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fe37c88e4df74d0f" /></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1928" yWindow="-48" windowWidth="11940" windowHeight="10008" tabRatio="875"/>
  </bookViews>
  <sheets>
    <sheet name="1. PL_TW (2)" sheetId="146" r:id="rId1"/>
    <sheet name="1. PL_TW" sheetId="140" state="hidden" r:id="rId2"/>
    <sheet name="CT_KCM" sheetId="145" state="hidden" r:id="rId3"/>
    <sheet name="TH CT_KCM" sheetId="143" state="hidden" r:id="rId4"/>
    <sheet name="DM o dua vao von tW" sheetId="144" state="hidden" r:id="rId5"/>
  </sheets>
  <definedNames>
    <definedName name="_xlnm.Print_Area" localSheetId="1">'1. PL_TW'!$A$1:$W$33</definedName>
    <definedName name="_xlnm.Print_Area" localSheetId="0">'1. PL_TW (2)'!$A$1:$V$27</definedName>
    <definedName name="_xlnm.Print_Area" localSheetId="3">'TH CT_KCM'!$A$1:$G$13</definedName>
    <definedName name="_xlnm.Print_Titles" localSheetId="1">'1. PL_TW'!$5:$9</definedName>
    <definedName name="_xlnm.Print_Titles" localSheetId="0">'1. PL_TW (2)'!$5:$9</definedName>
    <definedName name="_xlnm.Print_Titles" localSheetId="2">CT_KCM!$5:$5</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6" i="146" l="1"/>
  <c r="I16" i="146"/>
  <c r="J16" i="146"/>
  <c r="K16" i="146"/>
  <c r="L16" i="146"/>
  <c r="M16" i="146"/>
  <c r="N16" i="146"/>
  <c r="O16" i="146"/>
  <c r="P16" i="146"/>
  <c r="Q16" i="146"/>
  <c r="R16" i="146"/>
  <c r="S16" i="146"/>
  <c r="T16" i="146"/>
  <c r="U16" i="146"/>
  <c r="G16" i="146"/>
  <c r="T24" i="146" l="1"/>
  <c r="T23" i="146" s="1"/>
  <c r="T22" i="146" s="1"/>
  <c r="T13" i="146"/>
  <c r="T12" i="146" s="1"/>
  <c r="T11" i="146" l="1"/>
  <c r="T10" i="146" s="1"/>
  <c r="M20" i="146" l="1"/>
  <c r="I26" i="146"/>
  <c r="I25" i="146"/>
  <c r="I21" i="146"/>
  <c r="I20" i="146"/>
  <c r="I19" i="146"/>
  <c r="I18" i="146"/>
  <c r="I17" i="146"/>
  <c r="I15" i="146"/>
  <c r="I14" i="146"/>
  <c r="M18" i="146"/>
  <c r="M17" i="146"/>
  <c r="L24" i="146"/>
  <c r="L23" i="146" s="1"/>
  <c r="L22" i="146" s="1"/>
  <c r="L13" i="146"/>
  <c r="L12" i="146" s="1"/>
  <c r="Y18" i="146" l="1"/>
  <c r="Y20" i="146"/>
  <c r="S20" i="146"/>
  <c r="U20" i="146" s="1"/>
  <c r="S17" i="146"/>
  <c r="Y17" i="146"/>
  <c r="S18" i="146"/>
  <c r="U18" i="146" s="1"/>
  <c r="L11" i="146"/>
  <c r="L10" i="146" s="1"/>
  <c r="R14" i="146"/>
  <c r="M19" i="146"/>
  <c r="Y19" i="146" s="1"/>
  <c r="M21" i="146"/>
  <c r="Y21" i="146" s="1"/>
  <c r="M25" i="146"/>
  <c r="S25" i="146" s="1"/>
  <c r="M26" i="146"/>
  <c r="S26" i="146" s="1"/>
  <c r="M15" i="146"/>
  <c r="H14" i="146"/>
  <c r="H13" i="146" s="1"/>
  <c r="H12" i="146" s="1"/>
  <c r="I13" i="146"/>
  <c r="I12" i="146" s="1"/>
  <c r="J13" i="146"/>
  <c r="J12" i="146" s="1"/>
  <c r="K13" i="146"/>
  <c r="K12" i="146" s="1"/>
  <c r="M14" i="146"/>
  <c r="N13" i="146"/>
  <c r="N12" i="146" s="1"/>
  <c r="O13" i="146"/>
  <c r="O12" i="146" s="1"/>
  <c r="P13" i="146"/>
  <c r="P12" i="146"/>
  <c r="Q13" i="146"/>
  <c r="Q12" i="146" s="1"/>
  <c r="G13" i="146"/>
  <c r="G12" i="146" s="1"/>
  <c r="I24" i="146"/>
  <c r="Q24" i="146"/>
  <c r="Q23" i="146" s="1"/>
  <c r="Q22" i="146" s="1"/>
  <c r="P24" i="146"/>
  <c r="P23" i="146" s="1"/>
  <c r="P22" i="146" s="1"/>
  <c r="O24" i="146"/>
  <c r="O23" i="146" s="1"/>
  <c r="O22" i="146" s="1"/>
  <c r="N24" i="146"/>
  <c r="N23" i="146" s="1"/>
  <c r="N22" i="146" s="1"/>
  <c r="K24" i="146"/>
  <c r="K23" i="146" s="1"/>
  <c r="K22" i="146" s="1"/>
  <c r="J24" i="146"/>
  <c r="J23" i="146" s="1"/>
  <c r="J22" i="146" s="1"/>
  <c r="H24" i="146"/>
  <c r="H23" i="146" s="1"/>
  <c r="H22" i="146" s="1"/>
  <c r="G24" i="146"/>
  <c r="G23" i="146" s="1"/>
  <c r="G22" i="146" s="1"/>
  <c r="P13" i="140"/>
  <c r="P12" i="140"/>
  <c r="P17" i="140"/>
  <c r="P16" i="140"/>
  <c r="P26" i="140"/>
  <c r="P25" i="140"/>
  <c r="P11" i="140"/>
  <c r="P30" i="140"/>
  <c r="P29" i="140"/>
  <c r="P28" i="140"/>
  <c r="P10" i="140"/>
  <c r="A19" i="140"/>
  <c r="M19" i="140"/>
  <c r="Q19" i="140"/>
  <c r="V19" i="140"/>
  <c r="Z19" i="140"/>
  <c r="A20" i="140"/>
  <c r="G26" i="140"/>
  <c r="G17" i="140"/>
  <c r="G25" i="140"/>
  <c r="H26" i="140"/>
  <c r="H25" i="140"/>
  <c r="I26" i="140"/>
  <c r="I25" i="140"/>
  <c r="J26" i="140"/>
  <c r="J25" i="140"/>
  <c r="K26" i="140"/>
  <c r="K25" i="140"/>
  <c r="L26" i="140"/>
  <c r="L25" i="140"/>
  <c r="M27" i="140"/>
  <c r="M26" i="140"/>
  <c r="M25" i="140"/>
  <c r="N26" i="140"/>
  <c r="N25" i="140"/>
  <c r="O26" i="140"/>
  <c r="O25" i="140"/>
  <c r="Q27" i="140"/>
  <c r="Q26" i="140"/>
  <c r="Q25" i="140"/>
  <c r="R26" i="140"/>
  <c r="R25" i="140"/>
  <c r="S26" i="140"/>
  <c r="S25" i="140"/>
  <c r="T26" i="140"/>
  <c r="T25" i="140"/>
  <c r="U26" i="140"/>
  <c r="U25" i="140"/>
  <c r="V25" i="140"/>
  <c r="Z25" i="140"/>
  <c r="V26" i="140"/>
  <c r="Z26" i="140"/>
  <c r="V27" i="140"/>
  <c r="Z27" i="140"/>
  <c r="G13" i="140"/>
  <c r="G12" i="140"/>
  <c r="G16" i="140"/>
  <c r="G11" i="140"/>
  <c r="H14" i="140"/>
  <c r="H13" i="140"/>
  <c r="H12" i="140"/>
  <c r="H20" i="140"/>
  <c r="H21" i="140"/>
  <c r="H22" i="140"/>
  <c r="H23" i="140"/>
  <c r="H17" i="140"/>
  <c r="H16" i="140"/>
  <c r="H11" i="140"/>
  <c r="I13" i="140"/>
  <c r="I12" i="140"/>
  <c r="I17" i="140"/>
  <c r="I16" i="140"/>
  <c r="I11" i="140"/>
  <c r="J13" i="140"/>
  <c r="J12" i="140"/>
  <c r="J17" i="140"/>
  <c r="J16" i="140"/>
  <c r="J11" i="140"/>
  <c r="K13" i="140"/>
  <c r="K12" i="140"/>
  <c r="K17" i="140"/>
  <c r="K16" i="140"/>
  <c r="K11" i="140"/>
  <c r="L13" i="140"/>
  <c r="L12" i="140"/>
  <c r="L17" i="140"/>
  <c r="L16" i="140"/>
  <c r="L11" i="140"/>
  <c r="M14" i="140"/>
  <c r="M15" i="140"/>
  <c r="M13" i="140"/>
  <c r="M12" i="140"/>
  <c r="M18" i="140"/>
  <c r="M20" i="140"/>
  <c r="M21" i="140"/>
  <c r="M22" i="140"/>
  <c r="M23" i="140"/>
  <c r="M24" i="140"/>
  <c r="M17" i="140"/>
  <c r="M16" i="140"/>
  <c r="M11" i="140"/>
  <c r="N13" i="140"/>
  <c r="N12" i="140"/>
  <c r="N17" i="140"/>
  <c r="N16" i="140"/>
  <c r="N11" i="140"/>
  <c r="O13" i="140"/>
  <c r="O12" i="140"/>
  <c r="O17" i="140"/>
  <c r="O16" i="140"/>
  <c r="O11" i="140"/>
  <c r="Q14" i="140"/>
  <c r="Q15" i="140"/>
  <c r="Q13" i="140"/>
  <c r="Q12" i="140"/>
  <c r="Q18" i="140"/>
  <c r="Q20" i="140"/>
  <c r="Q21" i="140"/>
  <c r="Q22" i="140"/>
  <c r="Q23" i="140"/>
  <c r="Q24" i="140"/>
  <c r="Q17" i="140"/>
  <c r="Q16" i="140"/>
  <c r="Q11" i="140"/>
  <c r="R13" i="140"/>
  <c r="R12" i="140"/>
  <c r="R17" i="140"/>
  <c r="R16" i="140"/>
  <c r="R11" i="140"/>
  <c r="S13" i="140"/>
  <c r="S12" i="140"/>
  <c r="S17" i="140"/>
  <c r="S16" i="140"/>
  <c r="S11" i="140"/>
  <c r="T13" i="140"/>
  <c r="T12" i="140"/>
  <c r="T17" i="140"/>
  <c r="T16" i="140"/>
  <c r="T11" i="140"/>
  <c r="U13" i="140"/>
  <c r="U12" i="140"/>
  <c r="U17" i="140"/>
  <c r="U16" i="140"/>
  <c r="U11" i="140"/>
  <c r="V12" i="140"/>
  <c r="V16" i="140"/>
  <c r="V11" i="140"/>
  <c r="V18" i="140"/>
  <c r="V20" i="140"/>
  <c r="V21" i="140"/>
  <c r="V22" i="140"/>
  <c r="V23" i="140"/>
  <c r="V24" i="140"/>
  <c r="V17" i="140"/>
  <c r="A21" i="140"/>
  <c r="A22" i="140"/>
  <c r="A23" i="140"/>
  <c r="A24" i="140"/>
  <c r="H30" i="140"/>
  <c r="H29" i="140"/>
  <c r="H28" i="140"/>
  <c r="I30" i="140"/>
  <c r="I29" i="140"/>
  <c r="I28" i="140"/>
  <c r="J30" i="140"/>
  <c r="J29" i="140"/>
  <c r="J28" i="140"/>
  <c r="K30" i="140"/>
  <c r="K29" i="140"/>
  <c r="K28" i="140"/>
  <c r="L30" i="140"/>
  <c r="L29" i="140"/>
  <c r="L28" i="140"/>
  <c r="M31" i="140"/>
  <c r="M32" i="140"/>
  <c r="M30" i="140"/>
  <c r="M29" i="140"/>
  <c r="M28" i="140"/>
  <c r="N30" i="140"/>
  <c r="N29" i="140"/>
  <c r="N28" i="140"/>
  <c r="O30" i="140"/>
  <c r="O29" i="140"/>
  <c r="O28" i="140"/>
  <c r="Q31" i="140"/>
  <c r="Q32" i="140"/>
  <c r="Q30" i="140"/>
  <c r="Q29" i="140"/>
  <c r="Q28" i="140"/>
  <c r="R30" i="140"/>
  <c r="R29" i="140"/>
  <c r="R28" i="140"/>
  <c r="S30" i="140"/>
  <c r="S29" i="140"/>
  <c r="S28" i="140"/>
  <c r="T30" i="140"/>
  <c r="T29" i="140"/>
  <c r="T28" i="140"/>
  <c r="U30" i="140"/>
  <c r="U29" i="140"/>
  <c r="U28" i="140"/>
  <c r="V29" i="140"/>
  <c r="V28" i="140"/>
  <c r="G30" i="140"/>
  <c r="G29" i="140"/>
  <c r="G28" i="140"/>
  <c r="H10" i="140"/>
  <c r="I10" i="140"/>
  <c r="J10" i="140"/>
  <c r="K10" i="140"/>
  <c r="L10" i="140"/>
  <c r="M10" i="140"/>
  <c r="N10" i="140"/>
  <c r="O10" i="140"/>
  <c r="Q10" i="140"/>
  <c r="R10" i="140"/>
  <c r="S10" i="140"/>
  <c r="T10" i="140"/>
  <c r="U10" i="140"/>
  <c r="V10" i="140"/>
  <c r="G10" i="140"/>
  <c r="Z32" i="140"/>
  <c r="V32" i="140"/>
  <c r="Z31" i="140"/>
  <c r="V31" i="140"/>
  <c r="Z30" i="140"/>
  <c r="V30" i="140"/>
  <c r="Z29" i="140"/>
  <c r="Z28" i="140"/>
  <c r="V13" i="140"/>
  <c r="V14" i="140"/>
  <c r="V15" i="140"/>
  <c r="Z11" i="140"/>
  <c r="Z16" i="140"/>
  <c r="Z17" i="140"/>
  <c r="Z18" i="140"/>
  <c r="Z12" i="140"/>
  <c r="Z13" i="140"/>
  <c r="Z14" i="140"/>
  <c r="Z15" i="140"/>
  <c r="Z20" i="140"/>
  <c r="Z21" i="140"/>
  <c r="Z22" i="140"/>
  <c r="Z23" i="140"/>
  <c r="Z24" i="140"/>
  <c r="Z10" i="140"/>
  <c r="D13" i="143"/>
  <c r="C38" i="145"/>
  <c r="C39" i="145"/>
  <c r="D41" i="145"/>
  <c r="C45" i="145"/>
  <c r="D36" i="145"/>
  <c r="D35" i="145"/>
  <c r="C36" i="145"/>
  <c r="D34" i="145"/>
  <c r="C34" i="145"/>
  <c r="D33" i="145"/>
  <c r="D32" i="145"/>
  <c r="C33" i="145"/>
  <c r="C32" i="145"/>
  <c r="D27" i="145"/>
  <c r="D26" i="145"/>
  <c r="C27" i="145"/>
  <c r="C26" i="145"/>
  <c r="D25" i="145"/>
  <c r="D24" i="145"/>
  <c r="C25" i="145"/>
  <c r="C24" i="145"/>
  <c r="C23" i="145"/>
  <c r="C22" i="145"/>
  <c r="D23" i="145"/>
  <c r="D22" i="145"/>
  <c r="D21" i="145"/>
  <c r="D20" i="145"/>
  <c r="C21" i="145"/>
  <c r="C20" i="145"/>
  <c r="D19" i="145"/>
  <c r="D18" i="145"/>
  <c r="C19" i="145"/>
  <c r="C18" i="145"/>
  <c r="D16" i="145"/>
  <c r="D15" i="145"/>
  <c r="C16" i="145"/>
  <c r="C15" i="145"/>
  <c r="D13" i="145"/>
  <c r="C13" i="145"/>
  <c r="C14" i="145"/>
  <c r="C17" i="145"/>
  <c r="D17" i="145"/>
  <c r="D14" i="145"/>
  <c r="D45" i="145"/>
  <c r="C43" i="145"/>
  <c r="C44" i="145"/>
  <c r="D39" i="145"/>
  <c r="C42" i="145"/>
  <c r="C40" i="145"/>
  <c r="D40" i="145"/>
  <c r="D44" i="145"/>
  <c r="D43" i="145"/>
  <c r="D42" i="145"/>
  <c r="C37" i="145"/>
  <c r="D30" i="145"/>
  <c r="D29" i="145"/>
  <c r="C30" i="145"/>
  <c r="C29" i="145"/>
  <c r="F13" i="143"/>
  <c r="E13" i="143"/>
  <c r="D11" i="143"/>
  <c r="E11" i="143"/>
  <c r="F11" i="143"/>
  <c r="C7" i="143"/>
  <c r="A11" i="144"/>
  <c r="I8" i="143"/>
  <c r="D38" i="145"/>
  <c r="C28" i="145"/>
  <c r="D28" i="145"/>
  <c r="D12" i="143"/>
  <c r="E12" i="143"/>
  <c r="D37" i="145"/>
  <c r="D7" i="143"/>
  <c r="E7" i="143"/>
  <c r="D12" i="145"/>
  <c r="C12" i="145"/>
  <c r="C11" i="145"/>
  <c r="D8" i="145"/>
  <c r="C8" i="145"/>
  <c r="D9" i="145"/>
  <c r="C9" i="145"/>
  <c r="F7" i="143"/>
  <c r="D11" i="145"/>
  <c r="C7" i="145"/>
  <c r="C6" i="145"/>
  <c r="D7" i="145"/>
  <c r="D6" i="145"/>
  <c r="Y26" i="146" l="1"/>
  <c r="R26" i="146"/>
  <c r="M24" i="146"/>
  <c r="M23" i="146" s="1"/>
  <c r="M22" i="146" s="1"/>
  <c r="R25" i="146"/>
  <c r="J11" i="146"/>
  <c r="J10" i="146" s="1"/>
  <c r="U17" i="146"/>
  <c r="S24" i="146"/>
  <c r="S23" i="146" s="1"/>
  <c r="S22" i="146" s="1"/>
  <c r="Y25" i="146"/>
  <c r="S21" i="146"/>
  <c r="M13" i="146"/>
  <c r="M12" i="146" s="1"/>
  <c r="Y12" i="146" s="1"/>
  <c r="U25" i="146"/>
  <c r="G11" i="146"/>
  <c r="G10" i="146" s="1"/>
  <c r="P11" i="146"/>
  <c r="P10" i="146" s="1"/>
  <c r="O11" i="146"/>
  <c r="O10" i="146" s="1"/>
  <c r="K11" i="146"/>
  <c r="K10" i="146" s="1"/>
  <c r="S19" i="146"/>
  <c r="U19" i="146" s="1"/>
  <c r="Y14" i="146"/>
  <c r="S14" i="146"/>
  <c r="Y15" i="146"/>
  <c r="S15" i="146"/>
  <c r="N11" i="146"/>
  <c r="N10" i="146" s="1"/>
  <c r="Q11" i="146"/>
  <c r="Q10" i="146" s="1"/>
  <c r="R15" i="146"/>
  <c r="R13" i="146" s="1"/>
  <c r="R12" i="146" s="1"/>
  <c r="I23" i="146"/>
  <c r="H11" i="146"/>
  <c r="H10" i="146" s="1"/>
  <c r="R24" i="146" l="1"/>
  <c r="R23" i="146" s="1"/>
  <c r="R22" i="146" s="1"/>
  <c r="U26" i="146"/>
  <c r="U24" i="146"/>
  <c r="U23" i="146" s="1"/>
  <c r="U22" i="146" s="1"/>
  <c r="Y24" i="146"/>
  <c r="Y13" i="146"/>
  <c r="M11" i="146"/>
  <c r="M10" i="146" s="1"/>
  <c r="U14" i="146"/>
  <c r="S13" i="146"/>
  <c r="S12" i="146" s="1"/>
  <c r="R11" i="146"/>
  <c r="S11" i="146"/>
  <c r="S10" i="146" s="1"/>
  <c r="U15" i="146"/>
  <c r="U21" i="146"/>
  <c r="Y23" i="146"/>
  <c r="I22" i="146"/>
  <c r="R10" i="146" l="1"/>
  <c r="V10" i="146" s="1"/>
  <c r="U13" i="146"/>
  <c r="U12" i="146" s="1"/>
  <c r="U11" i="146" s="1"/>
  <c r="U10" i="146" s="1"/>
  <c r="Y16" i="146"/>
  <c r="I11" i="146"/>
  <c r="Y11" i="146" s="1"/>
  <c r="Y22" i="146"/>
  <c r="I10" i="146" l="1"/>
  <c r="Y10" i="146" s="1"/>
  <c r="Z10" i="146" s="1"/>
</calcChain>
</file>

<file path=xl/sharedStrings.xml><?xml version="1.0" encoding="utf-8"?>
<sst xmlns="http://schemas.openxmlformats.org/spreadsheetml/2006/main" count="335" uniqueCount="176">
  <si>
    <t>Huyện Trà Ôn</t>
  </si>
  <si>
    <t>I</t>
  </si>
  <si>
    <t>II</t>
  </si>
  <si>
    <t>Huyện Tam Bình</t>
  </si>
  <si>
    <t>2018-2022</t>
  </si>
  <si>
    <t>III</t>
  </si>
  <si>
    <t>STT</t>
  </si>
  <si>
    <t>Danh mục dự án/công trình</t>
  </si>
  <si>
    <t>Số quyết định; ngày tháng, năm ban hành</t>
  </si>
  <si>
    <t>Tổng mức đầu tư</t>
  </si>
  <si>
    <t>Ghi chú</t>
  </si>
  <si>
    <t>Tổng số</t>
  </si>
  <si>
    <t>ĐVT: Triệu đồng</t>
  </si>
  <si>
    <t>a</t>
  </si>
  <si>
    <t>Danh mục dự án</t>
  </si>
  <si>
    <t>Địa điểm XD</t>
  </si>
  <si>
    <t>IV</t>
  </si>
  <si>
    <t>Kế hoạch trung hạn giai đoạn 2021-2025</t>
  </si>
  <si>
    <t>Năng lực thiết kế (quy mô đầu tư)</t>
  </si>
  <si>
    <t>Kè bảo vệ, chống sạt lở Kênh Chà Và, khu vực Phường Đông Thuận, thị xã Bình Minh</t>
  </si>
  <si>
    <t>Hạ tầng phục vụ sản xuất nông nghiệp khu vực thị xã Bình Minh - huyện Tam Bình</t>
  </si>
  <si>
    <t>2021-2025</t>
  </si>
  <si>
    <t>Thị xã Bình Minh</t>
  </si>
  <si>
    <t>Đường tỉnh 910</t>
  </si>
  <si>
    <t>Tổng số (tất cả các nguồn vốn)</t>
  </si>
  <si>
    <t>Trong đó: NSTW</t>
  </si>
  <si>
    <t>Trong đó:</t>
  </si>
  <si>
    <t xml:space="preserve">Trong đó: </t>
  </si>
  <si>
    <t>Dự án nhóm B</t>
  </si>
  <si>
    <t>2020-2025</t>
  </si>
  <si>
    <t>3.000ha. Đường trục nội đồng 12,9km. Cống hở: 02 cống. Kiên cố đập: 04 đập.Trạm bơm: 01 trạm. Bến trung chuyển hàng hóa: 01 bến.</t>
  </si>
  <si>
    <t xml:space="preserve">Huyện Long Hồ </t>
  </si>
  <si>
    <t xml:space="preserve">Kè dài 4.300m </t>
  </si>
  <si>
    <t>Kè dài 900m</t>
  </si>
  <si>
    <t>Trong đó TW 60 tỷ đồng</t>
  </si>
  <si>
    <t xml:space="preserve">Đê bao chống ngập thành phố Vĩnh Long - khu vực sông Cái Cá </t>
  </si>
  <si>
    <t>TMĐT được duyệt là 400 tỷ đồng. TMĐT dự kiến điều chỉnh là 813 tỷ đồng. Đến năm 2020, vốn NSĐP bố trí là 297,5 tỷ (trong đó vốn do Đài PTTH hỗ trợ là 87 tỷ đồng). Nhu cầu bố trí 516 tỷ để thực hiện hoàn thành dự án.</t>
  </si>
  <si>
    <t>CÁC DỰ ÁN ĐỀ XUẤT TRUNG ƯƠNG NHƯNG CHƯA PHÙ HỢP VỚI CV HƯỚNG DẪN SỐ 3191/BKHĐT NGÀY 15/5/2020</t>
  </si>
  <si>
    <t>CĐT đề xuất vốn TW 2021-2025 (Trđ)</t>
  </si>
  <si>
    <t>Nguồn vốn</t>
  </si>
  <si>
    <t>Kế hoạch vốn 2016-2020 do TW giao hàng năm</t>
  </si>
  <si>
    <t>Dự kiến kế hoạch 2021-2025</t>
  </si>
  <si>
    <t>Hỗ trợ có mục tiêu từ NSTW</t>
  </si>
  <si>
    <t>Vốn TW hỗ trợ</t>
  </si>
  <si>
    <t>Vốn chống sạt lỡ bờ sông</t>
  </si>
  <si>
    <t>Vốn DP chung kế hoạch ĐTC</t>
  </si>
  <si>
    <t>Chênh lệch so với giai đoạn trước</t>
  </si>
  <si>
    <t>Vốn ODA</t>
  </si>
  <si>
    <t>Theo nhu cầu thực tế</t>
  </si>
  <si>
    <t>Tăng (+)/Giảm (-) so với giai đoạn trước</t>
  </si>
  <si>
    <t>Vốn TPCP</t>
  </si>
  <si>
    <t>Chương trình mục tiêu Quốc gia</t>
  </si>
  <si>
    <t>SO SÁNH KẾ HOẠCH TRUNG HẠN GIAI ĐOẠN 2016-2020 VỚI GĐ 2021-2025</t>
  </si>
  <si>
    <t>Nội dung</t>
  </si>
  <si>
    <t>Số vốn</t>
  </si>
  <si>
    <t>Số dự án</t>
  </si>
  <si>
    <t>CT</t>
  </si>
  <si>
    <t>KCM</t>
  </si>
  <si>
    <t>Chuyển tiếp</t>
  </si>
  <si>
    <t>Khởi công mới</t>
  </si>
  <si>
    <t>_Đây là vùng trồng cây ăn trái đặc sản và có tiềm năng phát triển du lịch sinh thái, có diện tích khá lớn nhưng do chưa có hệ thống thủy lợi hoàn chỉnh nên hàng năm bị ảnh hưởng do tình trạng xâm nhập mặn ngày càng  sâu và kéo dài.</t>
  </si>
  <si>
    <t>A</t>
  </si>
  <si>
    <t>B</t>
  </si>
  <si>
    <t>Chương trình mục tiêu quốc gia xây dựng nông thôn mới</t>
  </si>
  <si>
    <t>Chương trình mục tiêu quốc gia giảm nghèo bền vững</t>
  </si>
  <si>
    <t>Chương trình mục tiêu quốc gia phát triển kinh tế - xã hội vùng đồng bào dân tộc thiểu số và miền núi (theo nghị quyết số 88/2019/qh14 ngày 18/11/2019 của quốc hội và nghị quyết số 62/nq-cp ngày 04/5/2020 của chính phủ)</t>
  </si>
  <si>
    <t>Vốn trung ương đối ứng ODA</t>
  </si>
  <si>
    <t>Vốn Chương trình mục tiêu quốc gia</t>
  </si>
  <si>
    <t>Lĩnh vực giao thông</t>
  </si>
  <si>
    <t>Lĩnh vực thủy lợi</t>
  </si>
  <si>
    <t>Lĩnh vực xã hội</t>
  </si>
  <si>
    <t>Lĩnh vực văn hóa</t>
  </si>
  <si>
    <t>Cụm, công nghiệp</t>
  </si>
  <si>
    <t>Lĩnh vực kho tàng</t>
  </si>
  <si>
    <t>Lĩnh vực công nghệ, thông tin</t>
  </si>
  <si>
    <t>TÓM TẮT DỰ KIẾN BỐ TRÍ VỐN GIAI ĐOẠN 2021-2025 VỐN NSTW</t>
  </si>
  <si>
    <t>Vốn NSTW hỗ trợ ngành/lĩnh vực</t>
  </si>
  <si>
    <t>(số dự án không bao gồm các dự án TW đối ứng ODA, vì dự án ODA bao gồm dự án đối ứng ODA)</t>
  </si>
  <si>
    <t>Huyện Tam Bình và Trà Ôn</t>
  </si>
  <si>
    <t>2020-2024</t>
  </si>
  <si>
    <t>Thành phố Vĩnh Long</t>
  </si>
  <si>
    <t>Hệ thống thủy lợi Cồn Lục Sỹ, huyện Trà Ôn, tỉnh Vĩnh Long (giai đoạn 2)</t>
  </si>
  <si>
    <t xml:space="preserve">Kè dài 2.000m </t>
  </si>
  <si>
    <t>2902/QĐ-UBND ngày 29/10/2020</t>
  </si>
  <si>
    <t>Hệ thống thủy lợi Thanh Đức - Long Mỹ, huyện Long Hồ và huyện Mang Thít</t>
  </si>
  <si>
    <t xml:space="preserve">Dự án khẩn cấp được công bố tại quyết định 2356/QĐ-UBND ngày 16/9/2019 và Quyết định số 2700/QĐ-UBND ngày 28/10/2019 của UBND tỉnh </t>
  </si>
  <si>
    <t>Kết nối QL1A, đường tỉnh 908, giảm áp lực giao thông và vận chuyển hàng hóa tại khu vực.</t>
  </si>
  <si>
    <t>Hoàn thiện kết cấu hạ tầng giao thông, phục vụ thu hút đầu tư, vận chuyển hàng hóa tại các cụm công nghiệp trên địa bàn huyện</t>
  </si>
  <si>
    <t>Lĩnh vực Giao thông</t>
  </si>
  <si>
    <t>KCM-GT</t>
  </si>
  <si>
    <t>CT-NN</t>
  </si>
  <si>
    <t>KCM-NN</t>
  </si>
  <si>
    <t>CT-VH</t>
  </si>
  <si>
    <t>Lĩnh vực Văn hóa</t>
  </si>
  <si>
    <t>2016-2023</t>
  </si>
  <si>
    <t>_ Giai đoạn 1 : 01 cầu dài 0,342km và đường vào cầu dài 0,2km.
_Kết nối đường tỉnh 901, 904, QL!A, tạo thống suốt trên toán tuyến</t>
  </si>
  <si>
    <t>Phục vụ tưới tiêu, ngăn xâm nhập mặn các xã thuộc huyện Tam Bình, xây dựng nông thôn mới</t>
  </si>
  <si>
    <t>Phục vụ tưới tiêu, ngăn xâm nhập mặn ở xã Thanh Đức, huyện Long Hồ và xã Long Mỹ, huyện Mang Thít; xây dựng nông thôn mới</t>
  </si>
  <si>
    <t>_ Số vốn hỗ trợ dự án trọng điểm, có tính chất liên kết vùng 1.000 tỷ đồng</t>
  </si>
  <si>
    <t>1495/QĐ-UBND ngày 15/6/2020</t>
  </si>
  <si>
    <t>1943/QĐ-UBND ngày 31/7/2020</t>
  </si>
  <si>
    <t>1751/QĐ-UBND ngày 15/7/2020</t>
  </si>
  <si>
    <t>CÔNG TRÌNH CHUYỂN TIẾP</t>
  </si>
  <si>
    <t>Lĩnh vực Nông nghiệp - Thủy lợi</t>
  </si>
  <si>
    <t>CÔNG TRÌNH KHỞI CÔNG MỚI</t>
  </si>
  <si>
    <t>14,76 km</t>
  </si>
  <si>
    <t xml:space="preserve">Giai đoạn 1: 01 cầu dài 0,342 km và đường vào cầu dài 0,2 km; Giai đoạn 2: Đường dài 6,250 km và 03 cầu </t>
  </si>
  <si>
    <t>3,016 km và 01 cầu dài 0,025 km</t>
  </si>
  <si>
    <t>17.779 m2</t>
  </si>
  <si>
    <t>Đường dài 9,6 km  mở rộng mặt cầu 08 cầu</t>
  </si>
  <si>
    <t>Phục vụ tưới tiêu 2.000 ha, gồm: Đê bao dài 35 km, cống hở: 05 cống, kè chống sạt lở bờ sông 700 m</t>
  </si>
  <si>
    <t>Phục vụ tưới tiêu 10.000 ha; bao gồm: nạo vét kết hợp đắp đê bao: 67 km, cống hở: 08 cống</t>
  </si>
  <si>
    <t>Đê bao 12,8 km, đê bao kết hợp đường trục nội đồng 15km, cống hở: 05 cống, bến trung chuyển hàng hóa: 02 bến</t>
  </si>
  <si>
    <t>Trung tâm Hội nghị tỉnh Vĩnh Long</t>
  </si>
  <si>
    <t>Lũy kế bố trí vốn
đến hết năm 2020</t>
  </si>
  <si>
    <t>Kế hoạch vốn NSTW đã bố trí
giai đoạn 2016-2020</t>
  </si>
  <si>
    <t>GĐ thực hiện
DA</t>
  </si>
  <si>
    <t>Huyện Tam Bình, Long Hồ, TP Vĩnh Long</t>
  </si>
  <si>
    <t>Đường từ Quốc lộ 53 - Khu công nghiệp Hòa Phú (ĐT909B) - Đường Phú Lộc Bầu Gốc - Quốc lộ 1 tỉnh Vĩnh Long</t>
  </si>
  <si>
    <t>Thị xã Bình Minh, huyện Bình Tân</t>
  </si>
  <si>
    <t>Huyện Long Hồ, Mang Thít</t>
  </si>
  <si>
    <t>Kè chống sạt lở bờ sông Cổ Chiên (đọan từ đầu cù lao An Bình đến phà An Bình), xã An Bình, huyện Long Hồ, tỉnh Vĩnh Long</t>
  </si>
  <si>
    <t>Phụ lục</t>
  </si>
  <si>
    <t>Trong đó, Thu hồi các khoản ứng trước :</t>
  </si>
  <si>
    <t>Trong đó</t>
  </si>
  <si>
    <t>Theo QĐ số 1535</t>
  </si>
  <si>
    <t>Kế hoạch vốn bố trí hằng năm</t>
  </si>
  <si>
    <t>Năm 2021</t>
  </si>
  <si>
    <t>Năm 2022</t>
  </si>
  <si>
    <t>Quyết định đầu tư</t>
  </si>
  <si>
    <t>Nâng cấp hệ thống thủy lợi Mỹ Lộc - Mỹ Thạnh Trung - Long Phú - Song Phú, huyện Tam Bình</t>
  </si>
  <si>
    <t>1428/QĐ-UBND ngày 10/6/2021; 
1752/QĐ-UBND ngày 15/7/2020;
706/QĐ-UBND ngày 08/4/2022</t>
  </si>
  <si>
    <t>Đường từ ngã ba QL54 và ĐT.907 đến sông Hậu huyện Trà Ôn (ĐT907 nối dài)</t>
  </si>
  <si>
    <t>1424/QĐ-UBND ngày 10/6/2021; 
2501/QĐ-UBND ngày 21/9/2020;
695/QĐ-UBND ngày 08/4/2022</t>
  </si>
  <si>
    <t>Cầu Tam Bình và đường kết nối từ ĐT.905 đến ĐT.901</t>
  </si>
  <si>
    <t>1429/QĐ-UBND ngày 10/6/2021; 
2781/QĐ-UBND ngày 15/10/2020;
696/QĐ-UBND ngày 08/4/2022</t>
  </si>
  <si>
    <t>Cải tạo, nâng cấp ĐT.910B tỉnh Vĩnh Long</t>
  </si>
  <si>
    <t>1422/QĐ-UBND ngày 10/6/2021; 
2505/QĐ-UBND ngày 21/9/2020;
697/QĐ-UBND ngày 08/4/2022</t>
  </si>
  <si>
    <t>2634/QĐ-UBND ngày 28/10/2016;
2959/QĐ-UBND ngày 08/12/2016; 
2623/QĐ-UBND ngày 30/9/2020;
20/NQ-HĐND ngày 02/7/2021;
2140/QĐ-UBND ngày 11/8/2021</t>
  </si>
  <si>
    <t>1813/QĐ-UBND ngày 09/7/2019;
918A/QĐ-UBND ngày 13/4/2020;
1270/QĐ-UBND ngày 28/5/2021</t>
  </si>
  <si>
    <t>Theo QĐ số 215</t>
  </si>
  <si>
    <t>TỔNG HỢP KẾ HOẠCH ĐẦU TƯ CÔNG TỪ NGUỒN NGÂN SÁCH TRUNG ƯƠNG (ĐẦU TƯ CÁC DỰ ÁN THEO NGÀNH, LĨNH VỰC) GIAI ĐOẠN 2021 - 2025</t>
  </si>
  <si>
    <t>2483/QĐ-UBND ngày 18/9/2020;
1472/QĐ-UBND ngày 15/6/2021;
2101/QĐ-UBND ngày 05/8/2021;;
699/QĐ-UBND ngày 08/4/2022;
2701/QĐ-UBND ngày 23/12/2022</t>
  </si>
  <si>
    <t>Năm 2023</t>
  </si>
  <si>
    <t>Năm 2024
(đến ngày 31/5/2024)</t>
  </si>
  <si>
    <t>Dự kiến theo số đã trình UBTVQH</t>
  </si>
  <si>
    <t>Dự kiến kế hoạch vốn năm 2025</t>
  </si>
  <si>
    <t>TỔNG SỐ</t>
  </si>
  <si>
    <t>Kè chống sạt lở bờ sông Tiền (đọan từ sông Cái Đôi đến bến phà Mỹ Thuận cũ), phường Tân Hòa, thành phố Vĩnh Long, tỉnh Vĩnh Long</t>
  </si>
  <si>
    <t xml:space="preserve">         </t>
  </si>
  <si>
    <t xml:space="preserve">Ghi chú:
 - Danh mục được lập chưa bao gồm các dự án dự kiến được bổ sung trung hạn
(1) </t>
  </si>
  <si>
    <t>1079/QĐ-UBND ngày 01/6/2022; 
136/QĐ-UBND ngày 02/02/2023</t>
  </si>
  <si>
    <t>1911/QĐ-UBND ngày 15/9/2022; 
137/QĐ-UBND ngày 02/02/2023</t>
  </si>
  <si>
    <t>628/QĐ-UBND ngày 31/3/2022</t>
  </si>
  <si>
    <t>1740/QĐ-UBND ngày 21/7/2023</t>
  </si>
  <si>
    <t>Phụ lục 1</t>
  </si>
  <si>
    <t>Theo Quyết định số 1513/QĐ-TTg ngày 09/12/2022 của TTg CP</t>
  </si>
  <si>
    <t>Theo Quyết định số 215/QĐ-TTg ngày 12/3/2024 của TTg CP</t>
  </si>
  <si>
    <t>2902/QĐ-UBND ngày 29/10/2020; 2035/QĐ-UBND ngày 30/7/2021; 1726/QĐ-UBND ngày 24/8/2022</t>
  </si>
  <si>
    <t>2650/QĐ-UBND ngày 04/10/2021; 1649/QĐ-UBND ngày 15/8/2022</t>
  </si>
  <si>
    <t>Tăng/Giảm</t>
  </si>
  <si>
    <t>Theo Quyết định số 833/QĐ-TTg ngày 15/8/2024 của TTg CP</t>
  </si>
  <si>
    <t>Kế hoạch vốn năm 2025 đã đề xuất (tháng 7)</t>
  </si>
  <si>
    <t>Dự kiến đề xuất BKHĐT (tháng 10)</t>
  </si>
  <si>
    <t>Đvt: triệu đồng</t>
  </si>
  <si>
    <t>Kế hoạch trung hạn giai đoạn 2021-2026</t>
  </si>
  <si>
    <t>Kế hoạch trung hạn giai đoạn 2021-2027</t>
  </si>
  <si>
    <t>Kế hoạch trung hạn giai đoạn 2021-2028</t>
  </si>
  <si>
    <t xml:space="preserve"> Dự án liên kết vùng</t>
  </si>
  <si>
    <t>Năm 2024</t>
  </si>
  <si>
    <t>DỰ KIẾN KẾ HOẠCH ĐẦU TƯ CÔNG TỪ NGUỒN NGÂN SÁCH TRUNG ƯƠNG (ĐẦU TƯ CÁC DỰ ÁN THEO NGÀNH, LĨNH VỰC) NĂM 2025</t>
  </si>
  <si>
    <t>46/QĐ-UBND ngày 11/01/2022;
1650/QĐ-UBND ngày 15/8/2022</t>
  </si>
  <si>
    <t>Kế hoạch vốn năm 2025</t>
  </si>
  <si>
    <t>2230/QĐ-UBND ngày 31/10/2024</t>
  </si>
  <si>
    <t>2231/QĐ-UBND ngày 31/10/2024</t>
  </si>
  <si>
    <t>(Kèm theo Quyết định số: 2741/QĐ-UBND ngày 30/12 /2024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</si>
</sst>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 _V_N_D_-;\-* #,##0.00\ _V_N_D_-;_-* &quot;-&quot;??\ _V_N_D_-;_-@_-"/>
    <numFmt numFmtId="165" formatCode="_-* #,##0\ _€_-;\-* #,##0\ _€_-;_-* &quot;-&quot;??\ _€_-;_-@_-"/>
    <numFmt numFmtId="166" formatCode="_(* #,##0.00_);_(* \(#,##0.00\);_(* &quot;-&quot;_);_(@_)"/>
  </numFmts>
  <fonts count="31">
    <font>
      <sz val="10"/>
      <name val="Arial"/>
    </font>
    <font>
      <sz val="10"/>
      <name val="Arial"/>
      <family val="2"/>
      <charset val="163"/>
    </font>
    <font>
      <sz val="13"/>
      <name val="Times New Roman"/>
      <family val="1"/>
    </font>
    <font>
      <b/>
      <sz val="13"/>
      <name val="Times New Roman"/>
      <family val="1"/>
    </font>
    <font>
      <i/>
      <sz val="13"/>
      <name val="Times New Roman"/>
      <family val="1"/>
    </font>
    <font>
      <b/>
      <i/>
      <sz val="13"/>
      <name val="Times New Roman"/>
      <family val="1"/>
    </font>
    <font>
      <sz val="10"/>
      <name val="Arial"/>
      <family val="2"/>
    </font>
    <font>
      <sz val="11"/>
      <color indexed="8"/>
      <name val="Calibri"/>
      <family val="2"/>
    </font>
    <font>
      <b/>
      <sz val="14"/>
      <name val="Times New Roman"/>
      <family val="1"/>
    </font>
    <font>
      <sz val="14"/>
      <name val="Times New Roman"/>
      <family val="1"/>
    </font>
    <font>
      <sz val="12"/>
      <name val=".VnTime"/>
      <family val="2"/>
    </font>
    <font>
      <sz val="11"/>
      <color indexed="8"/>
      <name val="Helvetica Neue"/>
    </font>
    <font>
      <sz val="10"/>
      <name val="Times New Roman"/>
      <family val="1"/>
    </font>
    <font>
      <sz val="10"/>
      <name val="Arial"/>
      <family val="2"/>
      <charset val="163"/>
    </font>
    <font>
      <b/>
      <sz val="15"/>
      <name val="Times New Roman"/>
      <family val="1"/>
    </font>
    <font>
      <sz val="10"/>
      <name val="Arial"/>
      <family val="2"/>
      <charset val="163"/>
    </font>
    <font>
      <sz val="10"/>
      <name val="MS Sans Serif"/>
      <family val="2"/>
    </font>
    <font>
      <b/>
      <i/>
      <sz val="20"/>
      <name val="Times New Roman"/>
      <family val="1"/>
    </font>
    <font>
      <sz val="12"/>
      <name val="Times New Roman"/>
      <family val="1"/>
    </font>
    <font>
      <i/>
      <sz val="15"/>
      <name val="Times New Roman"/>
      <family val="1"/>
    </font>
    <font>
      <sz val="15"/>
      <name val="Times New Roman"/>
      <family val="1"/>
    </font>
    <font>
      <b/>
      <i/>
      <sz val="15"/>
      <name val="Times New Roman"/>
      <family val="1"/>
    </font>
    <font>
      <b/>
      <sz val="24"/>
      <name val="Times New Roman"/>
      <family val="1"/>
    </font>
    <font>
      <b/>
      <sz val="13"/>
      <name val="Times New Roman"/>
      <family val="1"/>
      <charset val="163"/>
    </font>
    <font>
      <b/>
      <sz val="15"/>
      <name val="Times New Roman"/>
      <family val="1"/>
      <charset val="163"/>
    </font>
    <font>
      <sz val="11"/>
      <color theme="1"/>
      <name val="Calibri"/>
      <family val="2"/>
      <scheme val="minor"/>
    </font>
    <font>
      <sz val="13"/>
      <color theme="1"/>
      <name val="Times New Roman"/>
      <family val="2"/>
    </font>
    <font>
      <sz val="12"/>
      <color theme="1"/>
      <name val="Times New Roman"/>
      <family val="2"/>
    </font>
    <font>
      <b/>
      <sz val="20"/>
      <name val="Times New Roman"/>
      <family val="1"/>
    </font>
    <font>
      <b/>
      <i/>
      <sz val="16"/>
      <name val="Times New Roman"/>
      <family val="1"/>
    </font>
    <font>
      <i/>
      <sz val="16"/>
      <name val="Times New Roman"/>
      <family val="1"/>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42">
    <xf numFmtId="0" fontId="0"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0" fontId="13" fillId="0" borderId="0"/>
    <xf numFmtId="0" fontId="1" fillId="0" borderId="0"/>
    <xf numFmtId="0" fontId="6" fillId="0" borderId="0"/>
    <xf numFmtId="0" fontId="26" fillId="0" borderId="0"/>
    <xf numFmtId="0" fontId="7" fillId="0" borderId="0"/>
    <xf numFmtId="0" fontId="6" fillId="0" borderId="0"/>
    <xf numFmtId="0" fontId="7" fillId="0" borderId="0"/>
    <xf numFmtId="0" fontId="7" fillId="0" borderId="0"/>
    <xf numFmtId="0" fontId="27" fillId="0" borderId="0"/>
    <xf numFmtId="0" fontId="7" fillId="0" borderId="0"/>
    <xf numFmtId="0" fontId="6" fillId="0" borderId="0"/>
    <xf numFmtId="0" fontId="6" fillId="0" borderId="0"/>
    <xf numFmtId="0" fontId="6" fillId="0" borderId="0"/>
    <xf numFmtId="0" fontId="6" fillId="0" borderId="0"/>
    <xf numFmtId="0" fontId="6" fillId="0" borderId="0"/>
    <xf numFmtId="0" fontId="11" fillId="0" borderId="0" applyNumberFormat="0" applyFill="0" applyBorder="0" applyProtection="0">
      <alignment vertical="top"/>
    </xf>
    <xf numFmtId="0" fontId="10" fillId="0" borderId="0"/>
    <xf numFmtId="0" fontId="25" fillId="0" borderId="0"/>
    <xf numFmtId="0" fontId="7" fillId="0" borderId="0"/>
    <xf numFmtId="0" fontId="6" fillId="0" borderId="0"/>
    <xf numFmtId="0" fontId="6" fillId="0" borderId="0"/>
    <xf numFmtId="0" fontId="6" fillId="0" borderId="0"/>
    <xf numFmtId="0" fontId="1" fillId="0" borderId="0"/>
    <xf numFmtId="9" fontId="6" fillId="0" borderId="0" applyFont="0" applyFill="0" applyBorder="0" applyAlignment="0" applyProtection="0"/>
    <xf numFmtId="0" fontId="16" fillId="0" borderId="0"/>
    <xf numFmtId="43" fontId="25" fillId="0" borderId="0" applyFont="0" applyFill="0" applyBorder="0" applyAlignment="0" applyProtection="0"/>
    <xf numFmtId="43" fontId="25" fillId="0" borderId="0" applyFont="0" applyFill="0" applyBorder="0" applyAlignment="0" applyProtection="0"/>
    <xf numFmtId="0" fontId="6" fillId="0" borderId="0"/>
    <xf numFmtId="43" fontId="1" fillId="0" borderId="0" applyFont="0" applyFill="0" applyBorder="0" applyAlignment="0" applyProtection="0"/>
    <xf numFmtId="0" fontId="1" fillId="0" borderId="0"/>
  </cellStyleXfs>
  <cellXfs count="16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3" fontId="3" fillId="0" borderId="2" xfId="33" applyNumberFormat="1" applyFont="1" applyBorder="1" applyAlignment="1">
      <alignment horizontal="left" vertical="center" wrapText="1"/>
    </xf>
    <xf numFmtId="3" fontId="5" fillId="0" borderId="2" xfId="33" applyNumberFormat="1" applyFont="1" applyBorder="1" applyAlignment="1">
      <alignment horizontal="left" vertical="center" wrapText="1"/>
    </xf>
    <xf numFmtId="41" fontId="9" fillId="0" borderId="2" xfId="33" quotePrefix="1" applyNumberFormat="1" applyFont="1" applyBorder="1" applyAlignment="1">
      <alignment horizontal="right" vertical="center" wrapText="1"/>
    </xf>
    <xf numFmtId="0" fontId="9" fillId="0" borderId="0" xfId="0" applyFont="1" applyAlignment="1">
      <alignment vertical="center" wrapText="1"/>
    </xf>
    <xf numFmtId="0" fontId="18" fillId="0" borderId="2" xfId="0" applyFont="1" applyBorder="1" applyAlignment="1">
      <alignment horizontal="justify" vertical="center" wrapText="1"/>
    </xf>
    <xf numFmtId="0" fontId="12" fillId="0" borderId="0" xfId="0" applyFont="1"/>
    <xf numFmtId="0" fontId="12" fillId="0" borderId="2" xfId="0" applyFont="1" applyBorder="1"/>
    <xf numFmtId="0" fontId="2" fillId="0" borderId="0" xfId="0" applyFont="1" applyAlignment="1">
      <alignment vertical="center"/>
    </xf>
    <xf numFmtId="0" fontId="2" fillId="0" borderId="2" xfId="0" applyFont="1" applyBorder="1" applyAlignment="1">
      <alignment vertical="center"/>
    </xf>
    <xf numFmtId="41" fontId="2" fillId="0" borderId="2" xfId="0" applyNumberFormat="1" applyFont="1" applyBorder="1" applyAlignment="1">
      <alignment vertical="center" wrapText="1"/>
    </xf>
    <xf numFmtId="41" fontId="3" fillId="0" borderId="2" xfId="0" applyNumberFormat="1" applyFont="1" applyBorder="1" applyAlignment="1">
      <alignment vertical="center" wrapText="1"/>
    </xf>
    <xf numFmtId="166" fontId="3" fillId="0" borderId="2" xfId="0" applyNumberFormat="1"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3" fontId="2" fillId="0" borderId="2" xfId="33" applyNumberFormat="1"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0" xfId="0" applyFont="1" applyAlignment="1">
      <alignment vertical="center"/>
    </xf>
    <xf numFmtId="41" fontId="3" fillId="0" borderId="2" xfId="0" applyNumberFormat="1" applyFont="1" applyBorder="1" applyAlignment="1">
      <alignment vertical="center"/>
    </xf>
    <xf numFmtId="41" fontId="2" fillId="0" borderId="0" xfId="0" applyNumberFormat="1" applyFont="1" applyAlignment="1">
      <alignment vertical="center"/>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41" fontId="21" fillId="0" borderId="2" xfId="0" applyNumberFormat="1" applyFont="1" applyBorder="1" applyAlignment="1">
      <alignment horizontal="center" vertical="center" wrapText="1"/>
    </xf>
    <xf numFmtId="0" fontId="21" fillId="0" borderId="0" xfId="0" applyFont="1" applyAlignment="1">
      <alignment vertical="center" wrapText="1"/>
    </xf>
    <xf numFmtId="0" fontId="20" fillId="0" borderId="0" xfId="0" applyFont="1" applyAlignment="1">
      <alignment vertical="center" wrapText="1"/>
    </xf>
    <xf numFmtId="0" fontId="3" fillId="0" borderId="2" xfId="0" applyFont="1" applyBorder="1" applyAlignment="1">
      <alignment vertical="center" wrapText="1"/>
    </xf>
    <xf numFmtId="0" fontId="20" fillId="0" borderId="2" xfId="0" applyFont="1" applyBorder="1" applyAlignment="1">
      <alignment horizontal="center" vertical="center" wrapText="1"/>
    </xf>
    <xf numFmtId="1" fontId="14" fillId="0" borderId="2" xfId="33" applyNumberFormat="1" applyFont="1" applyBorder="1" applyAlignment="1">
      <alignment horizontal="center" vertical="center" wrapText="1"/>
    </xf>
    <xf numFmtId="41"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20" fillId="0" borderId="2" xfId="0" quotePrefix="1" applyFont="1" applyBorder="1" applyAlignment="1">
      <alignment horizontal="center" vertical="center" wrapText="1"/>
    </xf>
    <xf numFmtId="0" fontId="20" fillId="0" borderId="2" xfId="0" applyFont="1" applyBorder="1" applyAlignment="1">
      <alignment vertical="center" wrapText="1"/>
    </xf>
    <xf numFmtId="49" fontId="20" fillId="0" borderId="2" xfId="0" applyNumberFormat="1" applyFont="1" applyBorder="1" applyAlignment="1">
      <alignment horizontal="center" vertical="center" wrapText="1"/>
    </xf>
    <xf numFmtId="0" fontId="3" fillId="2" borderId="2" xfId="0" applyFont="1" applyFill="1" applyBorder="1" applyAlignment="1">
      <alignment vertical="center"/>
    </xf>
    <xf numFmtId="0" fontId="4" fillId="0" borderId="2" xfId="0" applyFont="1" applyBorder="1" applyAlignment="1">
      <alignment vertical="center"/>
    </xf>
    <xf numFmtId="41" fontId="4" fillId="0" borderId="2" xfId="0" applyNumberFormat="1" applyFont="1" applyBorder="1" applyAlignment="1">
      <alignment vertical="center" wrapText="1"/>
    </xf>
    <xf numFmtId="0" fontId="4" fillId="0" borderId="0" xfId="0" applyFont="1" applyAlignment="1">
      <alignment vertical="center"/>
    </xf>
    <xf numFmtId="0" fontId="5" fillId="0" borderId="2" xfId="0" applyFont="1" applyBorder="1" applyAlignment="1">
      <alignment vertical="center"/>
    </xf>
    <xf numFmtId="0" fontId="3" fillId="2" borderId="2" xfId="0" applyFont="1" applyFill="1" applyBorder="1" applyAlignment="1">
      <alignment horizontal="center" vertical="center"/>
    </xf>
    <xf numFmtId="41" fontId="3" fillId="2" borderId="2" xfId="0" applyNumberFormat="1" applyFont="1" applyFill="1" applyBorder="1" applyAlignment="1">
      <alignment vertical="center" wrapText="1"/>
    </xf>
    <xf numFmtId="0" fontId="2" fillId="2" borderId="2" xfId="0" applyFont="1" applyFill="1" applyBorder="1" applyAlignment="1">
      <alignment vertical="center"/>
    </xf>
    <xf numFmtId="0" fontId="3" fillId="2" borderId="2" xfId="0" applyFont="1" applyFill="1" applyBorder="1" applyAlignment="1">
      <alignment vertical="center" wrapText="1"/>
    </xf>
    <xf numFmtId="41" fontId="3" fillId="2" borderId="2" xfId="0" applyNumberFormat="1" applyFont="1" applyFill="1" applyBorder="1" applyAlignment="1">
      <alignment vertical="center"/>
    </xf>
    <xf numFmtId="0" fontId="4" fillId="0" borderId="1" xfId="0" applyFont="1" applyBorder="1" applyAlignment="1">
      <alignment horizontal="right" vertical="center" wrapText="1"/>
    </xf>
    <xf numFmtId="41" fontId="20" fillId="0" borderId="2" xfId="1" applyNumberFormat="1" applyFont="1" applyFill="1" applyBorder="1" applyAlignment="1">
      <alignment horizontal="center" vertical="center" wrapText="1"/>
    </xf>
    <xf numFmtId="41" fontId="3" fillId="0" borderId="2" xfId="1" applyNumberFormat="1" applyFont="1" applyFill="1" applyBorder="1" applyAlignment="1">
      <alignment horizontal="right" vertical="center"/>
    </xf>
    <xf numFmtId="49" fontId="2" fillId="0" borderId="2" xfId="1" applyNumberFormat="1" applyFont="1" applyFill="1" applyBorder="1" applyAlignment="1">
      <alignment horizontal="left" vertical="center" wrapText="1"/>
    </xf>
    <xf numFmtId="41" fontId="2" fillId="0" borderId="2" xfId="1" applyNumberFormat="1" applyFont="1" applyFill="1" applyBorder="1" applyAlignment="1">
      <alignment horizontal="left" vertical="center" wrapText="1"/>
    </xf>
    <xf numFmtId="0" fontId="2" fillId="0" borderId="2" xfId="0" applyFont="1" applyBorder="1" applyAlignment="1">
      <alignment horizontal="justify" vertical="center" wrapText="1"/>
    </xf>
    <xf numFmtId="0" fontId="20" fillId="0" borderId="2" xfId="33" quotePrefix="1" applyFont="1" applyBorder="1" applyAlignment="1">
      <alignment horizontal="center" vertical="center" wrapText="1"/>
    </xf>
    <xf numFmtId="3" fontId="20" fillId="0" borderId="2" xfId="33" quotePrefix="1" applyNumberFormat="1" applyFont="1" applyBorder="1" applyAlignment="1">
      <alignment horizontal="center" vertical="center" wrapText="1"/>
    </xf>
    <xf numFmtId="0" fontId="20" fillId="0" borderId="2" xfId="0" applyFont="1" applyBorder="1" applyAlignment="1">
      <alignment horizontal="justify" vertical="center" wrapText="1"/>
    </xf>
    <xf numFmtId="165" fontId="20" fillId="0" borderId="2" xfId="1" applyNumberFormat="1" applyFont="1" applyFill="1" applyBorder="1" applyAlignment="1">
      <alignment horizontal="center" vertical="center" wrapText="1"/>
    </xf>
    <xf numFmtId="0" fontId="20" fillId="0" borderId="2" xfId="34" applyFont="1" applyBorder="1" applyAlignment="1">
      <alignment vertical="center" wrapText="1"/>
    </xf>
    <xf numFmtId="41" fontId="20" fillId="0" borderId="2" xfId="0" applyNumberFormat="1" applyFont="1" applyBorder="1" applyAlignment="1">
      <alignment vertical="center"/>
    </xf>
    <xf numFmtId="41" fontId="14" fillId="0" borderId="2" xfId="0" applyNumberFormat="1" applyFont="1" applyBorder="1" applyAlignment="1">
      <alignment vertical="center"/>
    </xf>
    <xf numFmtId="41" fontId="21" fillId="0" borderId="2" xfId="0" applyNumberFormat="1" applyFont="1" applyBorder="1" applyAlignment="1">
      <alignment vertical="center"/>
    </xf>
    <xf numFmtId="41" fontId="20" fillId="0" borderId="2" xfId="1" applyNumberFormat="1" applyFont="1" applyFill="1" applyBorder="1" applyAlignment="1">
      <alignment vertical="center"/>
    </xf>
    <xf numFmtId="41" fontId="20" fillId="0" borderId="2" xfId="3" applyNumberFormat="1" applyFont="1" applyFill="1" applyBorder="1" applyAlignment="1">
      <alignment vertical="center"/>
    </xf>
    <xf numFmtId="0" fontId="24" fillId="0" borderId="2" xfId="0" applyFont="1" applyBorder="1" applyAlignment="1">
      <alignment horizontal="center" vertical="center" wrapText="1"/>
    </xf>
    <xf numFmtId="1" fontId="14" fillId="0" borderId="2" xfId="33" applyNumberFormat="1" applyFont="1" applyBorder="1" applyAlignment="1">
      <alignment horizontal="left" vertical="center" wrapText="1"/>
    </xf>
    <xf numFmtId="0" fontId="19" fillId="0" borderId="1" xfId="0" applyFont="1" applyBorder="1" applyAlignment="1">
      <alignment horizontal="right" vertical="center" wrapText="1"/>
    </xf>
    <xf numFmtId="41" fontId="14" fillId="2" borderId="2" xfId="0" applyNumberFormat="1" applyFont="1" applyFill="1" applyBorder="1" applyAlignment="1">
      <alignment vertical="center"/>
    </xf>
    <xf numFmtId="41" fontId="24" fillId="2" borderId="2" xfId="0" applyNumberFormat="1" applyFont="1" applyFill="1" applyBorder="1" applyAlignment="1">
      <alignment vertical="center"/>
    </xf>
    <xf numFmtId="41" fontId="14" fillId="0" borderId="0" xfId="0" applyNumberFormat="1" applyFont="1" applyAlignment="1">
      <alignment vertical="center" wrapText="1"/>
    </xf>
    <xf numFmtId="3" fontId="2" fillId="0" borderId="2" xfId="1" applyNumberFormat="1" applyFont="1" applyFill="1" applyBorder="1" applyAlignment="1">
      <alignment horizontal="left" vertical="center" wrapText="1"/>
    </xf>
    <xf numFmtId="0" fontId="20" fillId="2" borderId="2" xfId="0" applyFont="1" applyFill="1" applyBorder="1" applyAlignment="1">
      <alignment horizontal="center" vertical="center" wrapText="1"/>
    </xf>
    <xf numFmtId="1" fontId="14" fillId="2" borderId="2" xfId="33" applyNumberFormat="1" applyFont="1" applyFill="1" applyBorder="1" applyAlignment="1">
      <alignment horizontal="center" vertical="center" wrapText="1"/>
    </xf>
    <xf numFmtId="41" fontId="3" fillId="2" borderId="2" xfId="1" applyNumberFormat="1" applyFont="1" applyFill="1" applyBorder="1" applyAlignment="1">
      <alignment horizontal="right" vertical="center"/>
    </xf>
    <xf numFmtId="0" fontId="14" fillId="2" borderId="0" xfId="0" applyFont="1" applyFill="1" applyAlignment="1">
      <alignment vertical="center" wrapText="1"/>
    </xf>
    <xf numFmtId="41" fontId="14" fillId="2" borderId="0" xfId="0" applyNumberFormat="1" applyFont="1" applyFill="1" applyAlignment="1">
      <alignment vertical="center" wrapText="1"/>
    </xf>
    <xf numFmtId="0" fontId="24" fillId="2" borderId="2" xfId="0" applyFont="1" applyFill="1" applyBorder="1" applyAlignment="1">
      <alignment horizontal="center" vertical="center" wrapText="1"/>
    </xf>
    <xf numFmtId="0" fontId="24" fillId="2" borderId="2" xfId="0" quotePrefix="1" applyFont="1" applyFill="1" applyBorder="1" applyAlignment="1">
      <alignment horizontal="center" vertical="center" wrapText="1"/>
    </xf>
    <xf numFmtId="41" fontId="24" fillId="2" borderId="2" xfId="0" applyNumberFormat="1" applyFont="1" applyFill="1" applyBorder="1" applyAlignment="1">
      <alignment horizontal="center" vertical="center" wrapText="1"/>
    </xf>
    <xf numFmtId="3" fontId="23" fillId="2" borderId="2" xfId="33" applyNumberFormat="1" applyFont="1" applyFill="1" applyBorder="1" applyAlignment="1">
      <alignment horizontal="left" vertical="center" wrapText="1"/>
    </xf>
    <xf numFmtId="0" fontId="23" fillId="2" borderId="0" xfId="0" applyFont="1" applyFill="1" applyAlignment="1">
      <alignment vertical="center" wrapText="1"/>
    </xf>
    <xf numFmtId="41" fontId="2" fillId="0" borderId="2" xfId="1" applyNumberFormat="1" applyFont="1" applyFill="1" applyBorder="1" applyAlignment="1">
      <alignment vertical="center"/>
    </xf>
    <xf numFmtId="165" fontId="2" fillId="0" borderId="2" xfId="1" applyNumberFormat="1" applyFont="1" applyFill="1" applyBorder="1" applyAlignment="1">
      <alignment horizontal="center" vertical="center" wrapText="1"/>
    </xf>
    <xf numFmtId="0" fontId="2" fillId="0" borderId="0" xfId="0" applyFont="1" applyFill="1" applyAlignment="1">
      <alignment vertical="center" wrapText="1"/>
    </xf>
    <xf numFmtId="0" fontId="4" fillId="0" borderId="1" xfId="0" applyFont="1" applyFill="1" applyBorder="1" applyAlignment="1">
      <alignment horizontal="right" vertical="center" wrapText="1"/>
    </xf>
    <xf numFmtId="0" fontId="19" fillId="0" borderId="1" xfId="0" applyFont="1" applyFill="1" applyBorder="1" applyAlignment="1">
      <alignment horizontal="right" vertical="center" wrapText="1"/>
    </xf>
    <xf numFmtId="0" fontId="20" fillId="0" borderId="2" xfId="0" applyFont="1" applyFill="1" applyBorder="1" applyAlignment="1">
      <alignment horizontal="center" vertical="center" wrapText="1"/>
    </xf>
    <xf numFmtId="1" fontId="14" fillId="0" borderId="2" xfId="33" applyNumberFormat="1" applyFont="1" applyFill="1" applyBorder="1" applyAlignment="1">
      <alignment horizontal="center" vertical="center" wrapText="1"/>
    </xf>
    <xf numFmtId="41" fontId="14" fillId="0" borderId="2" xfId="0" applyNumberFormat="1" applyFont="1" applyFill="1" applyBorder="1" applyAlignment="1">
      <alignment vertical="center"/>
    </xf>
    <xf numFmtId="0" fontId="14" fillId="0" borderId="0" xfId="0" applyFont="1" applyFill="1" applyAlignment="1">
      <alignment vertical="center" wrapText="1"/>
    </xf>
    <xf numFmtId="41" fontId="14" fillId="0" borderId="0" xfId="0" applyNumberFormat="1" applyFont="1" applyFill="1" applyAlignment="1">
      <alignment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1" fontId="3" fillId="0" borderId="2" xfId="0" applyNumberFormat="1" applyFont="1" applyFill="1" applyBorder="1" applyAlignment="1">
      <alignment vertical="center"/>
    </xf>
    <xf numFmtId="0" fontId="3" fillId="0" borderId="0" xfId="0" applyFont="1" applyFill="1" applyAlignment="1">
      <alignment vertical="center" wrapText="1"/>
    </xf>
    <xf numFmtId="41" fontId="3" fillId="0" borderId="0" xfId="0" applyNumberFormat="1" applyFont="1" applyFill="1" applyAlignment="1">
      <alignment vertical="center" wrapText="1"/>
    </xf>
    <xf numFmtId="0" fontId="3" fillId="0" borderId="2" xfId="0" applyFont="1" applyFill="1" applyBorder="1" applyAlignment="1">
      <alignment vertical="center" wrapText="1"/>
    </xf>
    <xf numFmtId="41" fontId="3" fillId="0" borderId="2" xfId="0" applyNumberFormat="1" applyFont="1" applyFill="1" applyBorder="1" applyAlignment="1">
      <alignment horizontal="center" vertical="center" wrapText="1"/>
    </xf>
    <xf numFmtId="3" fontId="3" fillId="0" borderId="2" xfId="33"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41" fontId="5" fillId="0" borderId="2" xfId="0" applyNumberFormat="1" applyFont="1" applyFill="1" applyBorder="1" applyAlignment="1">
      <alignment horizontal="center" vertical="center" wrapText="1"/>
    </xf>
    <xf numFmtId="41" fontId="5" fillId="0" borderId="2" xfId="0" applyNumberFormat="1" applyFont="1" applyFill="1" applyBorder="1" applyAlignment="1">
      <alignment vertical="center"/>
    </xf>
    <xf numFmtId="3" fontId="5" fillId="0" borderId="2" xfId="33" applyNumberFormat="1" applyFont="1" applyFill="1" applyBorder="1" applyAlignment="1">
      <alignment horizontal="left" vertical="center" wrapText="1"/>
    </xf>
    <xf numFmtId="0" fontId="5" fillId="0" borderId="0" xfId="0" applyFont="1" applyFill="1" applyAlignment="1">
      <alignment vertical="center" wrapText="1"/>
    </xf>
    <xf numFmtId="0" fontId="2" fillId="0" borderId="2" xfId="0" quotePrefix="1" applyFont="1" applyFill="1" applyBorder="1" applyAlignment="1">
      <alignment horizontal="center" vertical="center" wrapText="1"/>
    </xf>
    <xf numFmtId="0" fontId="2" fillId="0" borderId="2" xfId="0" applyFont="1" applyFill="1" applyBorder="1" applyAlignment="1">
      <alignment vertical="center" wrapText="1"/>
    </xf>
    <xf numFmtId="49" fontId="2" fillId="0" borderId="2" xfId="0" applyNumberFormat="1" applyFont="1" applyFill="1" applyBorder="1" applyAlignment="1">
      <alignment horizontal="center" vertical="center" wrapText="1"/>
    </xf>
    <xf numFmtId="41" fontId="2" fillId="0" borderId="2" xfId="0" applyNumberFormat="1" applyFont="1" applyFill="1" applyBorder="1" applyAlignment="1">
      <alignment vertical="center"/>
    </xf>
    <xf numFmtId="1" fontId="3" fillId="0" borderId="2" xfId="33" applyNumberFormat="1" applyFont="1" applyFill="1" applyBorder="1" applyAlignment="1">
      <alignment horizontal="left" vertical="center" wrapText="1"/>
    </xf>
    <xf numFmtId="0" fontId="2" fillId="0" borderId="2" xfId="0" applyFont="1" applyFill="1" applyBorder="1" applyAlignment="1">
      <alignment horizontal="justify" vertical="center" wrapText="1"/>
    </xf>
    <xf numFmtId="0" fontId="3" fillId="0" borderId="2" xfId="0" quotePrefix="1" applyFont="1" applyFill="1" applyBorder="1" applyAlignment="1">
      <alignment horizontal="center" vertical="center" wrapText="1"/>
    </xf>
    <xf numFmtId="41" fontId="2" fillId="0" borderId="2" xfId="0" applyNumberFormat="1"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8" fillId="0" borderId="7"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9" fillId="0" borderId="0" xfId="0" applyFont="1" applyFill="1" applyAlignment="1">
      <alignment horizontal="center" vertical="center" wrapText="1"/>
    </xf>
    <xf numFmtId="0" fontId="28" fillId="0" borderId="0" xfId="0" applyFont="1" applyFill="1" applyAlignment="1">
      <alignment horizontal="center" vertical="center" wrapText="1"/>
    </xf>
    <xf numFmtId="0" fontId="30" fillId="0" borderId="0" xfId="0" applyFont="1" applyFill="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 xfId="0" applyFont="1" applyBorder="1" applyAlignment="1">
      <alignment horizontal="left"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8" fillId="0" borderId="2" xfId="0" applyFont="1" applyBorder="1" applyAlignment="1">
      <alignment horizontal="center" vertical="center" wrapText="1"/>
    </xf>
    <xf numFmtId="0" fontId="22" fillId="0" borderId="0" xfId="0" applyFont="1" applyAlignment="1">
      <alignment horizontal="left" vertical="center" wrapText="1"/>
    </xf>
    <xf numFmtId="0" fontId="4" fillId="0" borderId="1" xfId="0"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42">
    <cellStyle name="Comma" xfId="1" builtinId="3"/>
    <cellStyle name="Comma 10 10" xfId="2"/>
    <cellStyle name="Comma 10 10 10" xfId="3"/>
    <cellStyle name="Comma 2" xfId="4"/>
    <cellStyle name="Comma 2 6" xfId="40"/>
    <cellStyle name="Comma 3" xfId="5"/>
    <cellStyle name="Comma 4" xfId="6"/>
    <cellStyle name="Comma 5" xfId="7"/>
    <cellStyle name="Comma 5 2" xfId="8"/>
    <cellStyle name="Comma 6" xfId="9"/>
    <cellStyle name="Comma 7" xfId="10"/>
    <cellStyle name="Comma 8" xfId="11"/>
    <cellStyle name="Comma 9" xfId="37"/>
    <cellStyle name="Comma 9 6" xfId="38"/>
    <cellStyle name="Normal" xfId="0" builtinId="0"/>
    <cellStyle name="Normal - Style1 2 2" xfId="39"/>
    <cellStyle name="Normal 10" xfId="12"/>
    <cellStyle name="Normal 10 2" xfId="41"/>
    <cellStyle name="Normal 11" xfId="13"/>
    <cellStyle name="Normal 12" xfId="14"/>
    <cellStyle name="Normal 13" xfId="15"/>
    <cellStyle name="Normal 2" xfId="16"/>
    <cellStyle name="Normal 2 2" xfId="17"/>
    <cellStyle name="Normal 2 3" xfId="18"/>
    <cellStyle name="Normal 2 3 2" xfId="19"/>
    <cellStyle name="Normal 2 4" xfId="20"/>
    <cellStyle name="Normal 2_Bang bieu" xfId="21"/>
    <cellStyle name="Normal 3" xfId="22"/>
    <cellStyle name="Normal 4" xfId="23"/>
    <cellStyle name="Normal 4 2" xfId="24"/>
    <cellStyle name="Normal 4_Bang bieu" xfId="25"/>
    <cellStyle name="Normal 5" xfId="26"/>
    <cellStyle name="Normal 6" xfId="27"/>
    <cellStyle name="Normal 7" xfId="28"/>
    <cellStyle name="Normal 73" xfId="29"/>
    <cellStyle name="Normal 8" xfId="30"/>
    <cellStyle name="Normal 9" xfId="31"/>
    <cellStyle name="Normal 9 2" xfId="32"/>
    <cellStyle name="Normal_Bieu mau (CV )" xfId="33"/>
    <cellStyle name="Normal_Bieu XDCB Phat trien KT-XH nam 2011" xfId="34"/>
    <cellStyle name="Percent 2" xfId="35"/>
    <cellStyle name="Style 1" xfId="36"/>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27"/>
  <sheetViews>
    <sheetView tabSelected="1" view="pageBreakPreview" zoomScale="50" zoomScaleNormal="70" zoomScaleSheetLayoutView="50" workbookViewId="0">
      <selection activeCell="A3" sqref="A3:V3"/>
    </sheetView>
  </sheetViews>
  <sheetFormatPr defaultColWidth="9.109375" defaultRowHeight="16.8"/>
  <cols>
    <col min="1" max="1" width="9" style="85" customWidth="1"/>
    <col min="2" max="2" width="50.6640625" style="85" customWidth="1"/>
    <col min="3" max="3" width="15.33203125" style="85" customWidth="1"/>
    <col min="4" max="4" width="20.6640625" style="85" customWidth="1"/>
    <col min="5" max="5" width="15.33203125" style="85" customWidth="1"/>
    <col min="6" max="6" width="22.6640625" style="85" customWidth="1"/>
    <col min="7" max="7" width="20.109375" style="85" customWidth="1"/>
    <col min="8" max="8" width="19.5546875" style="85" customWidth="1"/>
    <col min="9" max="9" width="19" style="85" customWidth="1"/>
    <col min="10" max="12" width="19.109375" style="85" hidden="1" customWidth="1"/>
    <col min="13" max="13" width="17.5546875" style="85" customWidth="1"/>
    <col min="14" max="15" width="15.88671875" style="85" customWidth="1"/>
    <col min="16" max="16" width="17.5546875" style="85" customWidth="1"/>
    <col min="17" max="17" width="17.33203125" style="85" customWidth="1"/>
    <col min="18" max="19" width="19.6640625" style="85" hidden="1" customWidth="1"/>
    <col min="20" max="20" width="21.109375" style="85" customWidth="1"/>
    <col min="21" max="21" width="15.88671875" style="85" hidden="1" customWidth="1"/>
    <col min="22" max="22" width="36.6640625" style="85" customWidth="1"/>
    <col min="23" max="23" width="16.6640625" style="85" customWidth="1"/>
    <col min="24" max="24" width="10.109375" style="85" bestFit="1" customWidth="1"/>
    <col min="25" max="25" width="15.33203125" style="85" bestFit="1" customWidth="1"/>
    <col min="26" max="26" width="12.44140625" style="85" bestFit="1" customWidth="1"/>
    <col min="27" max="16384" width="9.109375" style="85"/>
  </cols>
  <sheetData>
    <row r="1" spans="1:26" ht="33" customHeight="1">
      <c r="A1" s="133" t="s">
        <v>155</v>
      </c>
      <c r="B1" s="133"/>
      <c r="C1" s="133"/>
      <c r="D1" s="133"/>
      <c r="E1" s="133"/>
      <c r="F1" s="133"/>
      <c r="G1" s="133"/>
      <c r="H1" s="133"/>
      <c r="I1" s="133"/>
      <c r="J1" s="133"/>
      <c r="K1" s="133"/>
      <c r="L1" s="133"/>
      <c r="M1" s="133"/>
      <c r="N1" s="133"/>
      <c r="O1" s="133"/>
      <c r="P1" s="133"/>
      <c r="Q1" s="133"/>
      <c r="R1" s="133"/>
      <c r="S1" s="133"/>
      <c r="T1" s="133"/>
      <c r="U1" s="133"/>
      <c r="V1" s="133"/>
    </row>
    <row r="2" spans="1:26" ht="63" customHeight="1">
      <c r="A2" s="134" t="s">
        <v>170</v>
      </c>
      <c r="B2" s="134"/>
      <c r="C2" s="134"/>
      <c r="D2" s="134"/>
      <c r="E2" s="134"/>
      <c r="F2" s="134"/>
      <c r="G2" s="134"/>
      <c r="H2" s="134"/>
      <c r="I2" s="134"/>
      <c r="J2" s="134"/>
      <c r="K2" s="134"/>
      <c r="L2" s="134"/>
      <c r="M2" s="134"/>
      <c r="N2" s="134"/>
      <c r="O2" s="134"/>
      <c r="P2" s="134"/>
      <c r="Q2" s="134"/>
      <c r="R2" s="134"/>
      <c r="S2" s="134"/>
      <c r="T2" s="134"/>
      <c r="U2" s="134"/>
      <c r="V2" s="134"/>
    </row>
    <row r="3" spans="1:26" ht="42" customHeight="1">
      <c r="A3" s="135" t="s">
        <v>175</v>
      </c>
      <c r="B3" s="135"/>
      <c r="C3" s="135"/>
      <c r="D3" s="135"/>
      <c r="E3" s="135"/>
      <c r="F3" s="135"/>
      <c r="G3" s="135"/>
      <c r="H3" s="135"/>
      <c r="I3" s="135"/>
      <c r="J3" s="135"/>
      <c r="K3" s="135"/>
      <c r="L3" s="135"/>
      <c r="M3" s="135"/>
      <c r="N3" s="135"/>
      <c r="O3" s="135"/>
      <c r="P3" s="135"/>
      <c r="Q3" s="135"/>
      <c r="R3" s="135"/>
      <c r="S3" s="135"/>
      <c r="T3" s="135"/>
      <c r="U3" s="135"/>
      <c r="V3" s="135"/>
    </row>
    <row r="4" spans="1:26" ht="23.25" customHeight="1">
      <c r="J4" s="86"/>
      <c r="K4" s="86"/>
      <c r="L4" s="86"/>
      <c r="M4" s="86"/>
      <c r="N4" s="86"/>
      <c r="O4" s="86"/>
      <c r="P4" s="86"/>
      <c r="Q4" s="86"/>
      <c r="R4" s="86"/>
      <c r="S4" s="86"/>
      <c r="T4" s="86"/>
      <c r="U4" s="86"/>
      <c r="V4" s="87" t="s">
        <v>164</v>
      </c>
    </row>
    <row r="5" spans="1:26" ht="35.1" customHeight="1">
      <c r="A5" s="119" t="s">
        <v>6</v>
      </c>
      <c r="B5" s="119" t="s">
        <v>7</v>
      </c>
      <c r="C5" s="119" t="s">
        <v>15</v>
      </c>
      <c r="D5" s="119" t="s">
        <v>18</v>
      </c>
      <c r="E5" s="119" t="s">
        <v>116</v>
      </c>
      <c r="F5" s="119" t="s">
        <v>129</v>
      </c>
      <c r="G5" s="119"/>
      <c r="H5" s="119"/>
      <c r="I5" s="120" t="s">
        <v>17</v>
      </c>
      <c r="J5" s="115" t="s">
        <v>165</v>
      </c>
      <c r="K5" s="115" t="s">
        <v>166</v>
      </c>
      <c r="L5" s="115" t="s">
        <v>167</v>
      </c>
      <c r="M5" s="120" t="s">
        <v>126</v>
      </c>
      <c r="N5" s="129"/>
      <c r="O5" s="129"/>
      <c r="P5" s="129"/>
      <c r="Q5" s="130"/>
      <c r="R5" s="126" t="s">
        <v>162</v>
      </c>
      <c r="S5" s="126" t="s">
        <v>163</v>
      </c>
      <c r="T5" s="126" t="s">
        <v>172</v>
      </c>
      <c r="U5" s="126" t="s">
        <v>160</v>
      </c>
      <c r="V5" s="119" t="s">
        <v>10</v>
      </c>
    </row>
    <row r="6" spans="1:26" ht="67.5" customHeight="1">
      <c r="A6" s="119"/>
      <c r="B6" s="119"/>
      <c r="C6" s="119"/>
      <c r="D6" s="119"/>
      <c r="E6" s="119"/>
      <c r="F6" s="119" t="s">
        <v>8</v>
      </c>
      <c r="G6" s="119" t="s">
        <v>9</v>
      </c>
      <c r="H6" s="119"/>
      <c r="I6" s="121"/>
      <c r="J6" s="116"/>
      <c r="K6" s="116"/>
      <c r="L6" s="117"/>
      <c r="M6" s="122"/>
      <c r="N6" s="131"/>
      <c r="O6" s="131"/>
      <c r="P6" s="131"/>
      <c r="Q6" s="132"/>
      <c r="R6" s="127"/>
      <c r="S6" s="127"/>
      <c r="T6" s="127"/>
      <c r="U6" s="127"/>
      <c r="V6" s="119"/>
    </row>
    <row r="7" spans="1:26" ht="33.6" customHeight="1">
      <c r="A7" s="119"/>
      <c r="B7" s="119"/>
      <c r="C7" s="119"/>
      <c r="D7" s="119"/>
      <c r="E7" s="119"/>
      <c r="F7" s="119"/>
      <c r="G7" s="119" t="s">
        <v>24</v>
      </c>
      <c r="H7" s="119" t="s">
        <v>25</v>
      </c>
      <c r="I7" s="121"/>
      <c r="J7" s="123" t="s">
        <v>124</v>
      </c>
      <c r="K7" s="124"/>
      <c r="L7" s="125"/>
      <c r="M7" s="119" t="s">
        <v>11</v>
      </c>
      <c r="N7" s="123" t="s">
        <v>26</v>
      </c>
      <c r="O7" s="124"/>
      <c r="P7" s="124"/>
      <c r="Q7" s="125"/>
      <c r="R7" s="127"/>
      <c r="S7" s="127"/>
      <c r="T7" s="127"/>
      <c r="U7" s="127"/>
      <c r="V7" s="119"/>
    </row>
    <row r="8" spans="1:26" ht="31.5" customHeight="1">
      <c r="A8" s="119"/>
      <c r="B8" s="119"/>
      <c r="C8" s="119"/>
      <c r="D8" s="119"/>
      <c r="E8" s="119"/>
      <c r="F8" s="119"/>
      <c r="G8" s="119"/>
      <c r="H8" s="119"/>
      <c r="I8" s="121"/>
      <c r="J8" s="119" t="s">
        <v>156</v>
      </c>
      <c r="K8" s="119" t="s">
        <v>157</v>
      </c>
      <c r="L8" s="136" t="s">
        <v>161</v>
      </c>
      <c r="M8" s="119"/>
      <c r="N8" s="119" t="s">
        <v>127</v>
      </c>
      <c r="O8" s="119" t="s">
        <v>128</v>
      </c>
      <c r="P8" s="119" t="s">
        <v>143</v>
      </c>
      <c r="Q8" s="119" t="s">
        <v>169</v>
      </c>
      <c r="R8" s="127"/>
      <c r="S8" s="127"/>
      <c r="T8" s="127"/>
      <c r="U8" s="127"/>
      <c r="V8" s="119"/>
    </row>
    <row r="9" spans="1:26" ht="31.5" customHeight="1">
      <c r="A9" s="119"/>
      <c r="B9" s="119"/>
      <c r="C9" s="119"/>
      <c r="D9" s="119"/>
      <c r="E9" s="119"/>
      <c r="F9" s="119"/>
      <c r="G9" s="119"/>
      <c r="H9" s="119"/>
      <c r="I9" s="122"/>
      <c r="J9" s="119"/>
      <c r="K9" s="119"/>
      <c r="L9" s="137"/>
      <c r="M9" s="119"/>
      <c r="N9" s="119"/>
      <c r="O9" s="119"/>
      <c r="P9" s="119"/>
      <c r="Q9" s="119"/>
      <c r="R9" s="128"/>
      <c r="S9" s="128"/>
      <c r="T9" s="128"/>
      <c r="U9" s="128"/>
      <c r="V9" s="119"/>
    </row>
    <row r="10" spans="1:26" s="91" customFormat="1" ht="39.9" customHeight="1">
      <c r="A10" s="88"/>
      <c r="B10" s="89" t="s">
        <v>147</v>
      </c>
      <c r="C10" s="88"/>
      <c r="D10" s="88"/>
      <c r="E10" s="88"/>
      <c r="F10" s="88"/>
      <c r="G10" s="90">
        <f t="shared" ref="G10:U10" si="0">SUM(G11,G22)</f>
        <v>3894636</v>
      </c>
      <c r="H10" s="90">
        <f t="shared" si="0"/>
        <v>2481641</v>
      </c>
      <c r="I10" s="90">
        <f t="shared" si="0"/>
        <v>2480141</v>
      </c>
      <c r="J10" s="90">
        <f t="shared" si="0"/>
        <v>1790000</v>
      </c>
      <c r="K10" s="90">
        <f t="shared" si="0"/>
        <v>320958</v>
      </c>
      <c r="L10" s="90">
        <f t="shared" si="0"/>
        <v>369183</v>
      </c>
      <c r="M10" s="90">
        <f t="shared" si="0"/>
        <v>946165</v>
      </c>
      <c r="N10" s="90">
        <f t="shared" si="0"/>
        <v>0</v>
      </c>
      <c r="O10" s="90">
        <f t="shared" si="0"/>
        <v>76365</v>
      </c>
      <c r="P10" s="90">
        <f t="shared" si="0"/>
        <v>480000</v>
      </c>
      <c r="Q10" s="90">
        <f t="shared" si="0"/>
        <v>389800</v>
      </c>
      <c r="R10" s="90">
        <f t="shared" si="0"/>
        <v>1060993</v>
      </c>
      <c r="S10" s="90">
        <f t="shared" si="0"/>
        <v>1533976</v>
      </c>
      <c r="T10" s="90">
        <f t="shared" si="0"/>
        <v>1060993</v>
      </c>
      <c r="U10" s="90">
        <f t="shared" si="0"/>
        <v>472983</v>
      </c>
      <c r="V10" s="52">
        <f>R10-T10</f>
        <v>0</v>
      </c>
      <c r="Y10" s="92">
        <f>I10-M10</f>
        <v>1533976</v>
      </c>
      <c r="Z10" s="92">
        <f>Y10-T10+9300</f>
        <v>482283</v>
      </c>
    </row>
    <row r="11" spans="1:26" s="96" customFormat="1" ht="39.9" customHeight="1">
      <c r="A11" s="93" t="s">
        <v>61</v>
      </c>
      <c r="B11" s="111" t="s">
        <v>102</v>
      </c>
      <c r="C11" s="94"/>
      <c r="D11" s="94"/>
      <c r="E11" s="94"/>
      <c r="F11" s="94"/>
      <c r="G11" s="95">
        <f>SUM(G12,G16)</f>
        <v>3078805</v>
      </c>
      <c r="H11" s="95">
        <f t="shared" ref="H11:Q11" si="1">SUM(H12,H16)</f>
        <v>2211641</v>
      </c>
      <c r="I11" s="95">
        <f t="shared" si="1"/>
        <v>2210141</v>
      </c>
      <c r="J11" s="95">
        <f t="shared" si="1"/>
        <v>1650000</v>
      </c>
      <c r="K11" s="95">
        <f t="shared" si="1"/>
        <v>190958</v>
      </c>
      <c r="L11" s="95">
        <f t="shared" ref="L11" si="2">SUM(L12,L16)</f>
        <v>369183</v>
      </c>
      <c r="M11" s="95">
        <f t="shared" si="1"/>
        <v>946165</v>
      </c>
      <c r="N11" s="95">
        <f t="shared" si="1"/>
        <v>0</v>
      </c>
      <c r="O11" s="95">
        <f t="shared" si="1"/>
        <v>76365</v>
      </c>
      <c r="P11" s="95">
        <f t="shared" si="1"/>
        <v>480000</v>
      </c>
      <c r="Q11" s="95">
        <f t="shared" si="1"/>
        <v>389800</v>
      </c>
      <c r="R11" s="95">
        <f t="shared" ref="R11" si="3">SUM(R12,R16)</f>
        <v>790993</v>
      </c>
      <c r="S11" s="95">
        <f t="shared" ref="S11:U11" si="4">SUM(S12,S16)</f>
        <v>1263976</v>
      </c>
      <c r="T11" s="95">
        <f t="shared" si="4"/>
        <v>880993</v>
      </c>
      <c r="U11" s="95">
        <f t="shared" si="4"/>
        <v>472983</v>
      </c>
      <c r="V11" s="52"/>
      <c r="Y11" s="97">
        <f t="shared" ref="Y11:Y24" si="5">I11-M11</f>
        <v>1263976</v>
      </c>
    </row>
    <row r="12" spans="1:26" s="96" customFormat="1" ht="38.1" customHeight="1">
      <c r="A12" s="93" t="s">
        <v>1</v>
      </c>
      <c r="B12" s="98" t="s">
        <v>88</v>
      </c>
      <c r="C12" s="93"/>
      <c r="D12" s="93"/>
      <c r="E12" s="93"/>
      <c r="F12" s="99"/>
      <c r="G12" s="95">
        <f>SUM(G13)</f>
        <v>1649995</v>
      </c>
      <c r="H12" s="95">
        <f t="shared" ref="H12:U12" si="6">SUM(H13)</f>
        <v>1115000</v>
      </c>
      <c r="I12" s="95">
        <f t="shared" si="6"/>
        <v>1115000</v>
      </c>
      <c r="J12" s="95">
        <f t="shared" si="6"/>
        <v>1060000</v>
      </c>
      <c r="K12" s="95">
        <f t="shared" si="6"/>
        <v>55000</v>
      </c>
      <c r="L12" s="95">
        <f t="shared" si="6"/>
        <v>0</v>
      </c>
      <c r="M12" s="95">
        <f t="shared" si="6"/>
        <v>341365</v>
      </c>
      <c r="N12" s="95">
        <f t="shared" si="6"/>
        <v>0</v>
      </c>
      <c r="O12" s="95">
        <f t="shared" si="6"/>
        <v>76365</v>
      </c>
      <c r="P12" s="95">
        <f t="shared" si="6"/>
        <v>70000</v>
      </c>
      <c r="Q12" s="95">
        <f t="shared" si="6"/>
        <v>195000</v>
      </c>
      <c r="R12" s="95">
        <f t="shared" si="6"/>
        <v>773635</v>
      </c>
      <c r="S12" s="95">
        <f t="shared" si="6"/>
        <v>773635</v>
      </c>
      <c r="T12" s="95">
        <f t="shared" si="6"/>
        <v>773635</v>
      </c>
      <c r="U12" s="95">
        <f t="shared" si="6"/>
        <v>0</v>
      </c>
      <c r="V12" s="100"/>
      <c r="Y12" s="97">
        <f t="shared" si="5"/>
        <v>773635</v>
      </c>
    </row>
    <row r="13" spans="1:26" s="106" customFormat="1" ht="34.35" hidden="1" customHeight="1">
      <c r="A13" s="101" t="s">
        <v>13</v>
      </c>
      <c r="B13" s="102" t="s">
        <v>28</v>
      </c>
      <c r="C13" s="101"/>
      <c r="D13" s="101"/>
      <c r="E13" s="101"/>
      <c r="F13" s="103"/>
      <c r="G13" s="104">
        <f t="shared" ref="G13:Q13" si="7">SUM(G14:G15)</f>
        <v>1649995</v>
      </c>
      <c r="H13" s="104">
        <f t="shared" si="7"/>
        <v>1115000</v>
      </c>
      <c r="I13" s="104">
        <f t="shared" si="7"/>
        <v>1115000</v>
      </c>
      <c r="J13" s="104">
        <f t="shared" si="7"/>
        <v>1060000</v>
      </c>
      <c r="K13" s="104">
        <f t="shared" si="7"/>
        <v>55000</v>
      </c>
      <c r="L13" s="104">
        <f t="shared" ref="L13" si="8">SUM(L14:L15)</f>
        <v>0</v>
      </c>
      <c r="M13" s="104">
        <f t="shared" si="7"/>
        <v>341365</v>
      </c>
      <c r="N13" s="104">
        <f t="shared" si="7"/>
        <v>0</v>
      </c>
      <c r="O13" s="104">
        <f t="shared" si="7"/>
        <v>76365</v>
      </c>
      <c r="P13" s="104">
        <f t="shared" si="7"/>
        <v>70000</v>
      </c>
      <c r="Q13" s="104">
        <f t="shared" si="7"/>
        <v>195000</v>
      </c>
      <c r="R13" s="104">
        <f t="shared" ref="R13" si="9">SUM(R14:R15)</f>
        <v>773635</v>
      </c>
      <c r="S13" s="104">
        <f t="shared" ref="S13:U13" si="10">SUM(S14:S15)</f>
        <v>773635</v>
      </c>
      <c r="T13" s="104">
        <f t="shared" si="10"/>
        <v>773635</v>
      </c>
      <c r="U13" s="104">
        <f t="shared" si="10"/>
        <v>0</v>
      </c>
      <c r="V13" s="105"/>
      <c r="Y13" s="97">
        <f t="shared" si="5"/>
        <v>773635</v>
      </c>
    </row>
    <row r="14" spans="1:26" ht="101.25" customHeight="1">
      <c r="A14" s="107">
        <v>1</v>
      </c>
      <c r="B14" s="108" t="s">
        <v>118</v>
      </c>
      <c r="C14" s="94" t="s">
        <v>117</v>
      </c>
      <c r="D14" s="94" t="s">
        <v>105</v>
      </c>
      <c r="E14" s="94" t="s">
        <v>21</v>
      </c>
      <c r="F14" s="109" t="s">
        <v>153</v>
      </c>
      <c r="G14" s="83">
        <v>1492000</v>
      </c>
      <c r="H14" s="83">
        <f>J14</f>
        <v>1000000</v>
      </c>
      <c r="I14" s="83">
        <f>SUM(J14:L14)</f>
        <v>1000000</v>
      </c>
      <c r="J14" s="83">
        <v>1000000</v>
      </c>
      <c r="K14" s="83"/>
      <c r="L14" s="83"/>
      <c r="M14" s="83">
        <f t="shared" ref="M14:M15" si="11">SUM(N14:Q14)</f>
        <v>266365</v>
      </c>
      <c r="N14" s="83"/>
      <c r="O14" s="83">
        <v>76365</v>
      </c>
      <c r="P14" s="83">
        <v>70000</v>
      </c>
      <c r="Q14" s="83">
        <v>120000</v>
      </c>
      <c r="R14" s="110">
        <f>I14-O14-P14-Q14</f>
        <v>733635</v>
      </c>
      <c r="S14" s="110">
        <f>I14-M14</f>
        <v>733635</v>
      </c>
      <c r="T14" s="110">
        <v>733635</v>
      </c>
      <c r="U14" s="110">
        <f>S14-R14</f>
        <v>0</v>
      </c>
      <c r="V14" s="72" t="s">
        <v>168</v>
      </c>
      <c r="W14" s="85" t="s">
        <v>89</v>
      </c>
      <c r="Y14" s="97">
        <f t="shared" si="5"/>
        <v>733635</v>
      </c>
    </row>
    <row r="15" spans="1:26" ht="101.25" customHeight="1">
      <c r="A15" s="107">
        <v>2</v>
      </c>
      <c r="B15" s="108" t="s">
        <v>136</v>
      </c>
      <c r="C15" s="94" t="s">
        <v>119</v>
      </c>
      <c r="D15" s="94" t="s">
        <v>109</v>
      </c>
      <c r="E15" s="94" t="s">
        <v>21</v>
      </c>
      <c r="F15" s="109" t="s">
        <v>154</v>
      </c>
      <c r="G15" s="83">
        <v>157995</v>
      </c>
      <c r="H15" s="83">
        <v>115000</v>
      </c>
      <c r="I15" s="83">
        <f>SUM(J15:L15)</f>
        <v>115000</v>
      </c>
      <c r="J15" s="83">
        <v>60000</v>
      </c>
      <c r="K15" s="83">
        <v>55000</v>
      </c>
      <c r="L15" s="83"/>
      <c r="M15" s="83">
        <f t="shared" si="11"/>
        <v>75000</v>
      </c>
      <c r="N15" s="83"/>
      <c r="O15" s="83"/>
      <c r="P15" s="83"/>
      <c r="Q15" s="83">
        <v>75000</v>
      </c>
      <c r="R15" s="110">
        <f>I15-M15</f>
        <v>40000</v>
      </c>
      <c r="S15" s="110">
        <f>I15-M15</f>
        <v>40000</v>
      </c>
      <c r="T15" s="110">
        <v>40000</v>
      </c>
      <c r="U15" s="110">
        <f>S15-R15</f>
        <v>0</v>
      </c>
      <c r="V15" s="114"/>
      <c r="W15" s="85" t="s">
        <v>89</v>
      </c>
      <c r="Y15" s="97">
        <f t="shared" si="5"/>
        <v>40000</v>
      </c>
    </row>
    <row r="16" spans="1:26" s="96" customFormat="1" ht="35.1" customHeight="1">
      <c r="A16" s="93" t="s">
        <v>2</v>
      </c>
      <c r="B16" s="111" t="s">
        <v>103</v>
      </c>
      <c r="C16" s="94"/>
      <c r="D16" s="94"/>
      <c r="E16" s="94"/>
      <c r="F16" s="94"/>
      <c r="G16" s="95">
        <f>SUM(G17:G21)</f>
        <v>1428810</v>
      </c>
      <c r="H16" s="95">
        <f t="shared" ref="H16:U16" si="12">SUM(H17:H21)</f>
        <v>1096641</v>
      </c>
      <c r="I16" s="95">
        <f t="shared" si="12"/>
        <v>1095141</v>
      </c>
      <c r="J16" s="95">
        <f t="shared" si="12"/>
        <v>590000</v>
      </c>
      <c r="K16" s="95">
        <f t="shared" si="12"/>
        <v>135958</v>
      </c>
      <c r="L16" s="95">
        <f t="shared" si="12"/>
        <v>369183</v>
      </c>
      <c r="M16" s="95">
        <f t="shared" si="12"/>
        <v>604800</v>
      </c>
      <c r="N16" s="95">
        <f t="shared" si="12"/>
        <v>0</v>
      </c>
      <c r="O16" s="95">
        <f t="shared" si="12"/>
        <v>0</v>
      </c>
      <c r="P16" s="95">
        <f t="shared" si="12"/>
        <v>410000</v>
      </c>
      <c r="Q16" s="95">
        <f t="shared" si="12"/>
        <v>194800</v>
      </c>
      <c r="R16" s="95">
        <f t="shared" si="12"/>
        <v>17358</v>
      </c>
      <c r="S16" s="95">
        <f t="shared" si="12"/>
        <v>490341</v>
      </c>
      <c r="T16" s="95">
        <f t="shared" si="12"/>
        <v>107358</v>
      </c>
      <c r="U16" s="95">
        <f t="shared" si="12"/>
        <v>472983</v>
      </c>
      <c r="V16" s="52"/>
      <c r="Y16" s="97">
        <f t="shared" si="5"/>
        <v>490341</v>
      </c>
    </row>
    <row r="17" spans="1:25" ht="124.5" customHeight="1">
      <c r="A17" s="107">
        <v>1</v>
      </c>
      <c r="B17" s="112" t="s">
        <v>121</v>
      </c>
      <c r="C17" s="84" t="s">
        <v>31</v>
      </c>
      <c r="D17" s="94" t="s">
        <v>32</v>
      </c>
      <c r="E17" s="94" t="s">
        <v>29</v>
      </c>
      <c r="F17" s="109" t="s">
        <v>158</v>
      </c>
      <c r="G17" s="83">
        <v>256772</v>
      </c>
      <c r="H17" s="83">
        <v>201500</v>
      </c>
      <c r="I17" s="83">
        <f t="shared" ref="I17:I21" si="13">SUM(J17:L17)</f>
        <v>200000</v>
      </c>
      <c r="J17" s="83">
        <v>120000</v>
      </c>
      <c r="K17" s="83"/>
      <c r="L17" s="83">
        <v>80000</v>
      </c>
      <c r="M17" s="83">
        <f t="shared" ref="M17:M21" si="14">SUM(N17:Q17)</f>
        <v>67000</v>
      </c>
      <c r="N17" s="83"/>
      <c r="O17" s="83"/>
      <c r="P17" s="83"/>
      <c r="Q17" s="83">
        <v>67000</v>
      </c>
      <c r="R17" s="110"/>
      <c r="S17" s="110">
        <f t="shared" ref="S17:S20" si="15">I17-M17</f>
        <v>133000</v>
      </c>
      <c r="T17" s="110">
        <v>30000</v>
      </c>
      <c r="U17" s="110">
        <f t="shared" ref="U17:U21" si="16">S17-R17</f>
        <v>133000</v>
      </c>
      <c r="V17" s="112"/>
      <c r="Y17" s="97">
        <f t="shared" ref="Y17:Y20" si="17">I17-M17-T17</f>
        <v>103000</v>
      </c>
    </row>
    <row r="18" spans="1:25" ht="124.5" customHeight="1">
      <c r="A18" s="107">
        <v>2</v>
      </c>
      <c r="B18" s="112" t="s">
        <v>148</v>
      </c>
      <c r="C18" s="84" t="s">
        <v>80</v>
      </c>
      <c r="D18" s="94" t="s">
        <v>82</v>
      </c>
      <c r="E18" s="94" t="s">
        <v>29</v>
      </c>
      <c r="F18" s="109" t="s">
        <v>159</v>
      </c>
      <c r="G18" s="83">
        <v>292001</v>
      </c>
      <c r="H18" s="83">
        <v>220000</v>
      </c>
      <c r="I18" s="83">
        <f t="shared" si="13"/>
        <v>220000</v>
      </c>
      <c r="J18" s="83">
        <v>120000</v>
      </c>
      <c r="K18" s="83"/>
      <c r="L18" s="83">
        <v>100000</v>
      </c>
      <c r="M18" s="83">
        <f t="shared" si="14"/>
        <v>133800</v>
      </c>
      <c r="N18" s="83"/>
      <c r="O18" s="83"/>
      <c r="P18" s="83">
        <v>110000</v>
      </c>
      <c r="Q18" s="83">
        <v>23800</v>
      </c>
      <c r="R18" s="110"/>
      <c r="S18" s="110">
        <f t="shared" si="15"/>
        <v>86200</v>
      </c>
      <c r="T18" s="110">
        <v>20000</v>
      </c>
      <c r="U18" s="110">
        <f t="shared" si="16"/>
        <v>86200</v>
      </c>
      <c r="V18" s="112"/>
      <c r="Y18" s="97">
        <f t="shared" si="17"/>
        <v>66200</v>
      </c>
    </row>
    <row r="19" spans="1:25" ht="124.5" customHeight="1">
      <c r="A19" s="107">
        <v>3</v>
      </c>
      <c r="B19" s="112" t="s">
        <v>81</v>
      </c>
      <c r="C19" s="84" t="s">
        <v>0</v>
      </c>
      <c r="D19" s="94" t="s">
        <v>110</v>
      </c>
      <c r="E19" s="94" t="s">
        <v>21</v>
      </c>
      <c r="F19" s="109" t="s">
        <v>151</v>
      </c>
      <c r="G19" s="83">
        <v>309730</v>
      </c>
      <c r="H19" s="83">
        <v>256993</v>
      </c>
      <c r="I19" s="83">
        <f t="shared" si="13"/>
        <v>256993</v>
      </c>
      <c r="J19" s="83">
        <v>150000</v>
      </c>
      <c r="K19" s="83"/>
      <c r="L19" s="83">
        <v>106993</v>
      </c>
      <c r="M19" s="83">
        <f t="shared" si="14"/>
        <v>141000</v>
      </c>
      <c r="N19" s="83"/>
      <c r="O19" s="83"/>
      <c r="P19" s="83">
        <v>108000</v>
      </c>
      <c r="Q19" s="83">
        <v>33000</v>
      </c>
      <c r="R19" s="110">
        <v>9000</v>
      </c>
      <c r="S19" s="110">
        <f t="shared" si="15"/>
        <v>115993</v>
      </c>
      <c r="T19" s="110">
        <v>20000</v>
      </c>
      <c r="U19" s="110">
        <f t="shared" si="16"/>
        <v>106993</v>
      </c>
      <c r="V19" s="112"/>
      <c r="W19" s="85" t="s">
        <v>91</v>
      </c>
      <c r="Y19" s="97">
        <f t="shared" si="17"/>
        <v>95993</v>
      </c>
    </row>
    <row r="20" spans="1:25" ht="124.5" customHeight="1">
      <c r="A20" s="107">
        <v>4</v>
      </c>
      <c r="B20" s="112" t="s">
        <v>130</v>
      </c>
      <c r="C20" s="84" t="s">
        <v>3</v>
      </c>
      <c r="D20" s="94" t="s">
        <v>111</v>
      </c>
      <c r="E20" s="94" t="s">
        <v>21</v>
      </c>
      <c r="F20" s="109" t="s">
        <v>171</v>
      </c>
      <c r="G20" s="83">
        <v>294912</v>
      </c>
      <c r="H20" s="83">
        <v>170148</v>
      </c>
      <c r="I20" s="83">
        <f t="shared" si="13"/>
        <v>170148</v>
      </c>
      <c r="J20" s="83">
        <v>100000</v>
      </c>
      <c r="K20" s="83"/>
      <c r="L20" s="83">
        <v>70148</v>
      </c>
      <c r="M20" s="83">
        <f t="shared" si="14"/>
        <v>120000</v>
      </c>
      <c r="N20" s="83"/>
      <c r="O20" s="83"/>
      <c r="P20" s="83">
        <v>85000</v>
      </c>
      <c r="Q20" s="83">
        <v>35000</v>
      </c>
      <c r="R20" s="110"/>
      <c r="S20" s="110">
        <f t="shared" si="15"/>
        <v>50148</v>
      </c>
      <c r="T20" s="110">
        <v>20000</v>
      </c>
      <c r="U20" s="110">
        <f t="shared" si="16"/>
        <v>50148</v>
      </c>
      <c r="V20" s="112"/>
      <c r="Y20" s="97">
        <f t="shared" si="17"/>
        <v>30148</v>
      </c>
    </row>
    <row r="21" spans="1:25" ht="123" customHeight="1">
      <c r="A21" s="107">
        <v>5</v>
      </c>
      <c r="B21" s="112" t="s">
        <v>84</v>
      </c>
      <c r="C21" s="84" t="s">
        <v>120</v>
      </c>
      <c r="D21" s="94" t="s">
        <v>112</v>
      </c>
      <c r="E21" s="94" t="s">
        <v>21</v>
      </c>
      <c r="F21" s="109" t="s">
        <v>152</v>
      </c>
      <c r="G21" s="83">
        <v>275395</v>
      </c>
      <c r="H21" s="83">
        <v>248000</v>
      </c>
      <c r="I21" s="83">
        <f t="shared" si="13"/>
        <v>248000</v>
      </c>
      <c r="J21" s="83">
        <v>100000</v>
      </c>
      <c r="K21" s="83">
        <v>135958</v>
      </c>
      <c r="L21" s="83">
        <v>12042</v>
      </c>
      <c r="M21" s="83">
        <f t="shared" si="14"/>
        <v>143000</v>
      </c>
      <c r="N21" s="83"/>
      <c r="O21" s="83"/>
      <c r="P21" s="83">
        <v>107000</v>
      </c>
      <c r="Q21" s="83">
        <v>36000</v>
      </c>
      <c r="R21" s="110">
        <v>8358</v>
      </c>
      <c r="S21" s="110">
        <f>I21-M21</f>
        <v>105000</v>
      </c>
      <c r="T21" s="110">
        <v>17358</v>
      </c>
      <c r="U21" s="110">
        <f t="shared" si="16"/>
        <v>96642</v>
      </c>
      <c r="V21" s="112"/>
      <c r="W21" s="85" t="s">
        <v>91</v>
      </c>
      <c r="Y21" s="97">
        <f>I21-M21-T21</f>
        <v>87642</v>
      </c>
    </row>
    <row r="22" spans="1:25" s="96" customFormat="1" ht="38.1" customHeight="1">
      <c r="A22" s="113" t="s">
        <v>62</v>
      </c>
      <c r="B22" s="118" t="s">
        <v>104</v>
      </c>
      <c r="C22" s="93"/>
      <c r="D22" s="93"/>
      <c r="E22" s="93"/>
      <c r="F22" s="99"/>
      <c r="G22" s="95">
        <f>SUM(G23)</f>
        <v>815831</v>
      </c>
      <c r="H22" s="95">
        <f t="shared" ref="H22:U22" si="18">SUM(H23)</f>
        <v>270000</v>
      </c>
      <c r="I22" s="95">
        <f t="shared" si="18"/>
        <v>270000</v>
      </c>
      <c r="J22" s="95">
        <f t="shared" si="18"/>
        <v>140000</v>
      </c>
      <c r="K22" s="95">
        <f t="shared" si="18"/>
        <v>130000</v>
      </c>
      <c r="L22" s="95">
        <f t="shared" si="18"/>
        <v>0</v>
      </c>
      <c r="M22" s="95">
        <f t="shared" si="18"/>
        <v>0</v>
      </c>
      <c r="N22" s="95">
        <f t="shared" si="18"/>
        <v>0</v>
      </c>
      <c r="O22" s="95">
        <f t="shared" si="18"/>
        <v>0</v>
      </c>
      <c r="P22" s="95">
        <f t="shared" si="18"/>
        <v>0</v>
      </c>
      <c r="Q22" s="95">
        <f t="shared" si="18"/>
        <v>0</v>
      </c>
      <c r="R22" s="95">
        <f t="shared" si="18"/>
        <v>270000</v>
      </c>
      <c r="S22" s="95">
        <f t="shared" si="18"/>
        <v>270000</v>
      </c>
      <c r="T22" s="95">
        <f t="shared" si="18"/>
        <v>180000</v>
      </c>
      <c r="U22" s="95">
        <f t="shared" si="18"/>
        <v>0</v>
      </c>
      <c r="V22" s="100"/>
      <c r="Y22" s="97">
        <f t="shared" si="5"/>
        <v>270000</v>
      </c>
    </row>
    <row r="23" spans="1:25" s="96" customFormat="1" ht="38.1" customHeight="1">
      <c r="A23" s="93" t="s">
        <v>1</v>
      </c>
      <c r="B23" s="98" t="s">
        <v>88</v>
      </c>
      <c r="C23" s="93"/>
      <c r="D23" s="93"/>
      <c r="E23" s="93"/>
      <c r="F23" s="99"/>
      <c r="G23" s="95">
        <f>SUM(G24)</f>
        <v>815831</v>
      </c>
      <c r="H23" s="95">
        <f t="shared" ref="H23:U23" si="19">SUM(H24)</f>
        <v>270000</v>
      </c>
      <c r="I23" s="95">
        <f t="shared" si="19"/>
        <v>270000</v>
      </c>
      <c r="J23" s="95">
        <f t="shared" si="19"/>
        <v>140000</v>
      </c>
      <c r="K23" s="95">
        <f t="shared" si="19"/>
        <v>130000</v>
      </c>
      <c r="L23" s="95">
        <f t="shared" si="19"/>
        <v>0</v>
      </c>
      <c r="M23" s="95">
        <f t="shared" si="19"/>
        <v>0</v>
      </c>
      <c r="N23" s="95">
        <f t="shared" si="19"/>
        <v>0</v>
      </c>
      <c r="O23" s="95">
        <f t="shared" si="19"/>
        <v>0</v>
      </c>
      <c r="P23" s="95">
        <f t="shared" si="19"/>
        <v>0</v>
      </c>
      <c r="Q23" s="95">
        <f t="shared" si="19"/>
        <v>0</v>
      </c>
      <c r="R23" s="95">
        <f t="shared" si="19"/>
        <v>270000</v>
      </c>
      <c r="S23" s="95">
        <f t="shared" si="19"/>
        <v>270000</v>
      </c>
      <c r="T23" s="95">
        <f t="shared" si="19"/>
        <v>180000</v>
      </c>
      <c r="U23" s="95">
        <f t="shared" si="19"/>
        <v>0</v>
      </c>
      <c r="V23" s="100"/>
      <c r="Y23" s="97">
        <f t="shared" si="5"/>
        <v>270000</v>
      </c>
    </row>
    <row r="24" spans="1:25" s="106" customFormat="1" ht="34.35" hidden="1" customHeight="1">
      <c r="A24" s="101" t="s">
        <v>13</v>
      </c>
      <c r="B24" s="102" t="s">
        <v>28</v>
      </c>
      <c r="C24" s="101"/>
      <c r="D24" s="101"/>
      <c r="E24" s="101"/>
      <c r="F24" s="103"/>
      <c r="G24" s="104">
        <f t="shared" ref="G24:Q24" si="20">SUM(G25:G26)</f>
        <v>815831</v>
      </c>
      <c r="H24" s="104">
        <f t="shared" si="20"/>
        <v>270000</v>
      </c>
      <c r="I24" s="104">
        <f t="shared" si="20"/>
        <v>270000</v>
      </c>
      <c r="J24" s="104">
        <f t="shared" si="20"/>
        <v>140000</v>
      </c>
      <c r="K24" s="104">
        <f t="shared" si="20"/>
        <v>130000</v>
      </c>
      <c r="L24" s="104">
        <f t="shared" ref="L24" si="21">SUM(L25:L26)</f>
        <v>0</v>
      </c>
      <c r="M24" s="104">
        <f t="shared" si="20"/>
        <v>0</v>
      </c>
      <c r="N24" s="104">
        <f t="shared" si="20"/>
        <v>0</v>
      </c>
      <c r="O24" s="104">
        <f t="shared" si="20"/>
        <v>0</v>
      </c>
      <c r="P24" s="104">
        <f t="shared" si="20"/>
        <v>0</v>
      </c>
      <c r="Q24" s="104">
        <f t="shared" si="20"/>
        <v>0</v>
      </c>
      <c r="R24" s="104">
        <f t="shared" ref="R24" si="22">SUM(R25:R26)</f>
        <v>270000</v>
      </c>
      <c r="S24" s="104">
        <f t="shared" ref="S24:T24" si="23">SUM(S25:S26)</f>
        <v>270000</v>
      </c>
      <c r="T24" s="104">
        <f t="shared" si="23"/>
        <v>180000</v>
      </c>
      <c r="U24" s="104">
        <f t="shared" ref="U24" si="24">SUM(U25:U26)</f>
        <v>0</v>
      </c>
      <c r="V24" s="105"/>
      <c r="Y24" s="97">
        <f t="shared" si="5"/>
        <v>270000</v>
      </c>
    </row>
    <row r="25" spans="1:25" ht="119.25" customHeight="1">
      <c r="A25" s="107">
        <v>1</v>
      </c>
      <c r="B25" s="108" t="s">
        <v>132</v>
      </c>
      <c r="C25" s="94" t="s">
        <v>0</v>
      </c>
      <c r="D25" s="94" t="s">
        <v>107</v>
      </c>
      <c r="E25" s="94" t="s">
        <v>21</v>
      </c>
      <c r="F25" s="109" t="s">
        <v>173</v>
      </c>
      <c r="G25" s="83">
        <v>176816</v>
      </c>
      <c r="H25" s="83">
        <v>90000</v>
      </c>
      <c r="I25" s="83">
        <f t="shared" ref="I25:I26" si="25">SUM(J25:L25)</f>
        <v>90000</v>
      </c>
      <c r="J25" s="83">
        <v>60000</v>
      </c>
      <c r="K25" s="83">
        <v>30000</v>
      </c>
      <c r="L25" s="83"/>
      <c r="M25" s="83">
        <f t="shared" ref="M25:M26" si="26">SUM(N25:Q25)</f>
        <v>0</v>
      </c>
      <c r="N25" s="83"/>
      <c r="O25" s="83"/>
      <c r="P25" s="83"/>
      <c r="Q25" s="83"/>
      <c r="R25" s="110">
        <f>I25-M25</f>
        <v>90000</v>
      </c>
      <c r="S25" s="110">
        <f t="shared" ref="S25:S26" si="27">I25-M25</f>
        <v>90000</v>
      </c>
      <c r="T25" s="110">
        <v>80000</v>
      </c>
      <c r="U25" s="110">
        <f t="shared" ref="U25:U26" si="28">S25-R25</f>
        <v>0</v>
      </c>
      <c r="V25" s="72"/>
      <c r="W25" s="85" t="s">
        <v>89</v>
      </c>
      <c r="Y25" s="97">
        <f t="shared" ref="Y25:Y26" si="29">I25-M25-T25</f>
        <v>10000</v>
      </c>
    </row>
    <row r="26" spans="1:25" ht="128.25" customHeight="1">
      <c r="A26" s="107">
        <v>2</v>
      </c>
      <c r="B26" s="108" t="s">
        <v>134</v>
      </c>
      <c r="C26" s="94" t="s">
        <v>78</v>
      </c>
      <c r="D26" s="94" t="s">
        <v>106</v>
      </c>
      <c r="E26" s="94" t="s">
        <v>21</v>
      </c>
      <c r="F26" s="109" t="s">
        <v>174</v>
      </c>
      <c r="G26" s="83">
        <v>639015</v>
      </c>
      <c r="H26" s="83">
        <v>180000</v>
      </c>
      <c r="I26" s="83">
        <f t="shared" si="25"/>
        <v>180000</v>
      </c>
      <c r="J26" s="83">
        <v>80000</v>
      </c>
      <c r="K26" s="83">
        <v>100000</v>
      </c>
      <c r="L26" s="83"/>
      <c r="M26" s="83">
        <f t="shared" si="26"/>
        <v>0</v>
      </c>
      <c r="N26" s="83"/>
      <c r="O26" s="83"/>
      <c r="P26" s="83"/>
      <c r="Q26" s="83"/>
      <c r="R26" s="110">
        <f>I26-M26</f>
        <v>180000</v>
      </c>
      <c r="S26" s="110">
        <f t="shared" si="27"/>
        <v>180000</v>
      </c>
      <c r="T26" s="110">
        <v>100000</v>
      </c>
      <c r="U26" s="110">
        <f t="shared" si="28"/>
        <v>0</v>
      </c>
      <c r="V26" s="53"/>
      <c r="W26" s="85" t="s">
        <v>89</v>
      </c>
      <c r="Y26" s="97">
        <f t="shared" si="29"/>
        <v>80000</v>
      </c>
    </row>
    <row r="27" spans="1:25" ht="13.5" customHeight="1"/>
  </sheetData>
  <mergeCells count="30">
    <mergeCell ref="A1:V1"/>
    <mergeCell ref="A2:V2"/>
    <mergeCell ref="A3:V3"/>
    <mergeCell ref="A5:A9"/>
    <mergeCell ref="B5:B9"/>
    <mergeCell ref="C5:C9"/>
    <mergeCell ref="D5:D9"/>
    <mergeCell ref="E5:E9"/>
    <mergeCell ref="F5:H5"/>
    <mergeCell ref="F6:F9"/>
    <mergeCell ref="G6:H6"/>
    <mergeCell ref="G7:G9"/>
    <mergeCell ref="H7:H9"/>
    <mergeCell ref="T5:T9"/>
    <mergeCell ref="J7:L7"/>
    <mergeCell ref="L8:L9"/>
    <mergeCell ref="J8:J9"/>
    <mergeCell ref="K8:K9"/>
    <mergeCell ref="I5:I9"/>
    <mergeCell ref="V5:V9"/>
    <mergeCell ref="N7:Q7"/>
    <mergeCell ref="N8:N9"/>
    <mergeCell ref="O8:O9"/>
    <mergeCell ref="P8:P9"/>
    <mergeCell ref="Q8:Q9"/>
    <mergeCell ref="S5:S9"/>
    <mergeCell ref="U5:U9"/>
    <mergeCell ref="M7:M9"/>
    <mergeCell ref="M5:Q6"/>
    <mergeCell ref="R5:R9"/>
  </mergeCells>
  <printOptions horizontalCentered="1"/>
  <pageMargins left="0.16" right="0.25" top="0.39370078740157483" bottom="0.32" header="0.19685039370078741" footer="0.19685039370078741"/>
  <pageSetup paperSize="8" scale="6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32"/>
  <sheetViews>
    <sheetView view="pageBreakPreview" zoomScale="50" zoomScaleNormal="70" zoomScaleSheetLayoutView="50" workbookViewId="0">
      <selection activeCell="B14" sqref="B14"/>
    </sheetView>
  </sheetViews>
  <sheetFormatPr defaultColWidth="9.109375" defaultRowHeight="16.8"/>
  <cols>
    <col min="1" max="1" width="9" style="1" customWidth="1"/>
    <col min="2" max="2" width="50.6640625" style="1" customWidth="1"/>
    <col min="3" max="3" width="15.33203125" style="1" customWidth="1"/>
    <col min="4" max="4" width="24.6640625" style="1" customWidth="1"/>
    <col min="5" max="5" width="15.33203125" style="1" customWidth="1"/>
    <col min="6" max="6" width="22.6640625" style="1" customWidth="1"/>
    <col min="7" max="7" width="23.109375" style="1" customWidth="1"/>
    <col min="8" max="8" width="20.33203125" style="1" customWidth="1"/>
    <col min="9" max="9" width="18.44140625" style="1" hidden="1" customWidth="1"/>
    <col min="10" max="12" width="17.44140625" style="1" hidden="1" customWidth="1"/>
    <col min="13" max="13" width="17.44140625" style="1" customWidth="1"/>
    <col min="14" max="22" width="19.6640625" style="1" customWidth="1"/>
    <col min="23" max="23" width="45.6640625" style="1" customWidth="1"/>
    <col min="24" max="24" width="16.6640625" style="1" customWidth="1"/>
    <col min="25" max="25" width="10.109375" style="1" bestFit="1" customWidth="1"/>
    <col min="26" max="26" width="15.33203125" style="1" bestFit="1" customWidth="1"/>
    <col min="27" max="16384" width="9.109375" style="1"/>
  </cols>
  <sheetData>
    <row r="1" spans="1:26" ht="33" customHeight="1">
      <c r="A1" s="155" t="s">
        <v>122</v>
      </c>
      <c r="B1" s="155"/>
      <c r="C1" s="155"/>
      <c r="D1" s="155"/>
      <c r="E1" s="155"/>
      <c r="F1" s="155"/>
      <c r="G1" s="155"/>
      <c r="H1" s="155"/>
      <c r="I1" s="155"/>
      <c r="J1" s="155"/>
      <c r="K1" s="155"/>
      <c r="L1" s="155"/>
      <c r="M1" s="155"/>
      <c r="N1" s="155"/>
      <c r="O1" s="155"/>
      <c r="P1" s="155"/>
      <c r="Q1" s="155"/>
      <c r="R1" s="155"/>
      <c r="S1" s="155"/>
      <c r="T1" s="155"/>
      <c r="U1" s="155"/>
      <c r="V1" s="155"/>
      <c r="W1" s="155"/>
    </row>
    <row r="2" spans="1:26" ht="42" customHeight="1">
      <c r="A2" s="156" t="s">
        <v>141</v>
      </c>
      <c r="B2" s="156"/>
      <c r="C2" s="156"/>
      <c r="D2" s="156"/>
      <c r="E2" s="156"/>
      <c r="F2" s="156"/>
      <c r="G2" s="156"/>
      <c r="H2" s="156"/>
      <c r="I2" s="156"/>
      <c r="J2" s="156"/>
      <c r="K2" s="156"/>
      <c r="L2" s="156"/>
      <c r="M2" s="156"/>
      <c r="N2" s="156"/>
      <c r="O2" s="156"/>
      <c r="P2" s="156"/>
      <c r="Q2" s="156"/>
      <c r="R2" s="156"/>
      <c r="S2" s="156"/>
      <c r="T2" s="156"/>
      <c r="U2" s="156"/>
      <c r="V2" s="156"/>
      <c r="W2" s="156"/>
    </row>
    <row r="3" spans="1:26" ht="145.5" customHeight="1">
      <c r="A3" s="158" t="s">
        <v>150</v>
      </c>
      <c r="B3" s="158"/>
      <c r="C3" s="158"/>
      <c r="D3" s="158"/>
      <c r="E3" s="158"/>
      <c r="F3" s="158"/>
      <c r="G3" s="158"/>
      <c r="H3" s="158"/>
      <c r="I3" s="158"/>
      <c r="J3" s="158"/>
      <c r="K3" s="158"/>
      <c r="L3" s="158"/>
      <c r="M3" s="158"/>
      <c r="N3" s="158"/>
      <c r="O3" s="158"/>
      <c r="P3" s="158"/>
      <c r="Q3" s="158"/>
      <c r="R3" s="158"/>
      <c r="S3" s="158"/>
      <c r="T3" s="158"/>
      <c r="U3" s="158"/>
      <c r="V3" s="158"/>
      <c r="W3" s="158"/>
    </row>
    <row r="4" spans="1:26" ht="23.25" customHeight="1">
      <c r="N4" s="50"/>
      <c r="O4" s="50"/>
      <c r="P4" s="50"/>
      <c r="Q4" s="50"/>
      <c r="R4" s="50"/>
      <c r="S4" s="50"/>
      <c r="T4" s="50"/>
      <c r="U4" s="50"/>
      <c r="V4" s="50"/>
      <c r="W4" s="68"/>
    </row>
    <row r="5" spans="1:26" ht="35.1" customHeight="1">
      <c r="A5" s="139" t="s">
        <v>6</v>
      </c>
      <c r="B5" s="139" t="s">
        <v>7</v>
      </c>
      <c r="C5" s="139" t="s">
        <v>15</v>
      </c>
      <c r="D5" s="139" t="s">
        <v>18</v>
      </c>
      <c r="E5" s="139" t="s">
        <v>116</v>
      </c>
      <c r="F5" s="139" t="s">
        <v>129</v>
      </c>
      <c r="G5" s="139"/>
      <c r="H5" s="139"/>
      <c r="I5" s="157" t="s">
        <v>114</v>
      </c>
      <c r="J5" s="157"/>
      <c r="K5" s="157" t="s">
        <v>115</v>
      </c>
      <c r="L5" s="157"/>
      <c r="M5" s="140" t="s">
        <v>17</v>
      </c>
      <c r="N5" s="141"/>
      <c r="O5" s="141"/>
      <c r="P5" s="142"/>
      <c r="Q5" s="140" t="s">
        <v>126</v>
      </c>
      <c r="R5" s="141"/>
      <c r="S5" s="141"/>
      <c r="T5" s="141"/>
      <c r="U5" s="142"/>
      <c r="V5" s="152" t="s">
        <v>146</v>
      </c>
      <c r="W5" s="139" t="s">
        <v>10</v>
      </c>
    </row>
    <row r="6" spans="1:26" ht="30.6" customHeight="1">
      <c r="A6" s="139"/>
      <c r="B6" s="139"/>
      <c r="C6" s="139"/>
      <c r="D6" s="139"/>
      <c r="E6" s="139"/>
      <c r="F6" s="139" t="s">
        <v>8</v>
      </c>
      <c r="G6" s="139" t="s">
        <v>9</v>
      </c>
      <c r="H6" s="139"/>
      <c r="I6" s="157"/>
      <c r="J6" s="157"/>
      <c r="K6" s="157"/>
      <c r="L6" s="157"/>
      <c r="M6" s="143"/>
      <c r="N6" s="144"/>
      <c r="O6" s="144"/>
      <c r="P6" s="145"/>
      <c r="Q6" s="143"/>
      <c r="R6" s="144"/>
      <c r="S6" s="144"/>
      <c r="T6" s="144"/>
      <c r="U6" s="145"/>
      <c r="V6" s="153"/>
      <c r="W6" s="139"/>
    </row>
    <row r="7" spans="1:26" ht="33.6" customHeight="1">
      <c r="A7" s="139"/>
      <c r="B7" s="139"/>
      <c r="C7" s="139"/>
      <c r="D7" s="139"/>
      <c r="E7" s="139"/>
      <c r="F7" s="139"/>
      <c r="G7" s="139" t="s">
        <v>24</v>
      </c>
      <c r="H7" s="139" t="s">
        <v>25</v>
      </c>
      <c r="I7" s="139" t="s">
        <v>11</v>
      </c>
      <c r="J7" s="139" t="s">
        <v>25</v>
      </c>
      <c r="K7" s="139" t="s">
        <v>11</v>
      </c>
      <c r="L7" s="138" t="s">
        <v>123</v>
      </c>
      <c r="M7" s="139" t="s">
        <v>11</v>
      </c>
      <c r="N7" s="147" t="s">
        <v>124</v>
      </c>
      <c r="O7" s="148"/>
      <c r="P7" s="149"/>
      <c r="Q7" s="139" t="s">
        <v>11</v>
      </c>
      <c r="R7" s="147" t="s">
        <v>26</v>
      </c>
      <c r="S7" s="148"/>
      <c r="T7" s="148"/>
      <c r="U7" s="149"/>
      <c r="V7" s="153"/>
      <c r="W7" s="139"/>
    </row>
    <row r="8" spans="1:26" ht="32.25" customHeight="1">
      <c r="A8" s="139"/>
      <c r="B8" s="139"/>
      <c r="C8" s="139"/>
      <c r="D8" s="139"/>
      <c r="E8" s="139"/>
      <c r="F8" s="139"/>
      <c r="G8" s="139"/>
      <c r="H8" s="139"/>
      <c r="I8" s="139"/>
      <c r="J8" s="139"/>
      <c r="K8" s="139"/>
      <c r="L8" s="138"/>
      <c r="M8" s="139"/>
      <c r="N8" s="139" t="s">
        <v>125</v>
      </c>
      <c r="O8" s="139" t="s">
        <v>140</v>
      </c>
      <c r="P8" s="150" t="s">
        <v>145</v>
      </c>
      <c r="Q8" s="139"/>
      <c r="R8" s="139" t="s">
        <v>127</v>
      </c>
      <c r="S8" s="139" t="s">
        <v>128</v>
      </c>
      <c r="T8" s="139" t="s">
        <v>143</v>
      </c>
      <c r="U8" s="139" t="s">
        <v>144</v>
      </c>
      <c r="V8" s="153"/>
      <c r="W8" s="139"/>
    </row>
    <row r="9" spans="1:26" ht="60.6" customHeight="1">
      <c r="A9" s="139"/>
      <c r="B9" s="139"/>
      <c r="C9" s="139"/>
      <c r="D9" s="139"/>
      <c r="E9" s="139"/>
      <c r="F9" s="139"/>
      <c r="G9" s="139"/>
      <c r="H9" s="139"/>
      <c r="I9" s="139"/>
      <c r="J9" s="139"/>
      <c r="K9" s="139"/>
      <c r="L9" s="138"/>
      <c r="M9" s="139"/>
      <c r="N9" s="139"/>
      <c r="O9" s="139"/>
      <c r="P9" s="151"/>
      <c r="Q9" s="139"/>
      <c r="R9" s="139"/>
      <c r="S9" s="139"/>
      <c r="T9" s="139"/>
      <c r="U9" s="139"/>
      <c r="V9" s="154"/>
      <c r="W9" s="139"/>
    </row>
    <row r="10" spans="1:26" s="20" customFormat="1" ht="39.9" customHeight="1">
      <c r="A10" s="33"/>
      <c r="B10" s="34" t="s">
        <v>147</v>
      </c>
      <c r="C10" s="33"/>
      <c r="D10" s="33"/>
      <c r="E10" s="33"/>
      <c r="F10" s="33"/>
      <c r="G10" s="62">
        <f t="shared" ref="G10:V10" si="0">SUM(G11,G28)</f>
        <v>4340909</v>
      </c>
      <c r="H10" s="62">
        <f t="shared" si="0"/>
        <v>2471500</v>
      </c>
      <c r="I10" s="62">
        <f t="shared" si="0"/>
        <v>141724</v>
      </c>
      <c r="J10" s="62">
        <f t="shared" si="0"/>
        <v>78500</v>
      </c>
      <c r="K10" s="62">
        <f t="shared" si="0"/>
        <v>78500</v>
      </c>
      <c r="L10" s="62">
        <f t="shared" si="0"/>
        <v>0</v>
      </c>
      <c r="M10" s="62">
        <f t="shared" si="0"/>
        <v>2872141</v>
      </c>
      <c r="N10" s="62">
        <f t="shared" si="0"/>
        <v>2100000</v>
      </c>
      <c r="O10" s="62">
        <f t="shared" si="0"/>
        <v>320958</v>
      </c>
      <c r="P10" s="62">
        <f t="shared" si="0"/>
        <v>451183</v>
      </c>
      <c r="Q10" s="62">
        <f t="shared" si="0"/>
        <v>1328865</v>
      </c>
      <c r="R10" s="62">
        <f t="shared" si="0"/>
        <v>117000</v>
      </c>
      <c r="S10" s="62">
        <f t="shared" si="0"/>
        <v>238265</v>
      </c>
      <c r="T10" s="62">
        <f t="shared" si="0"/>
        <v>480000</v>
      </c>
      <c r="U10" s="62">
        <f t="shared" si="0"/>
        <v>493600</v>
      </c>
      <c r="V10" s="62">
        <f t="shared" si="0"/>
        <v>1543276</v>
      </c>
      <c r="W10" s="52"/>
      <c r="Z10" s="71">
        <f t="shared" ref="Z10:Z32" si="1">M10-Q10</f>
        <v>1543276</v>
      </c>
    </row>
    <row r="11" spans="1:26" s="76" customFormat="1" ht="39.9" customHeight="1">
      <c r="A11" s="78" t="s">
        <v>61</v>
      </c>
      <c r="B11" s="74" t="s">
        <v>102</v>
      </c>
      <c r="C11" s="73"/>
      <c r="D11" s="73"/>
      <c r="E11" s="73"/>
      <c r="F11" s="73"/>
      <c r="G11" s="69">
        <f t="shared" ref="G11:V11" si="2">SUM(G12,G16,G25)</f>
        <v>3681110</v>
      </c>
      <c r="H11" s="69">
        <f t="shared" si="2"/>
        <v>2201500</v>
      </c>
      <c r="I11" s="69">
        <f t="shared" si="2"/>
        <v>141724</v>
      </c>
      <c r="J11" s="69">
        <f t="shared" si="2"/>
        <v>78500</v>
      </c>
      <c r="K11" s="69">
        <f t="shared" si="2"/>
        <v>78500</v>
      </c>
      <c r="L11" s="69">
        <f t="shared" si="2"/>
        <v>0</v>
      </c>
      <c r="M11" s="69">
        <f t="shared" si="2"/>
        <v>2602141</v>
      </c>
      <c r="N11" s="69">
        <f t="shared" si="2"/>
        <v>1960000</v>
      </c>
      <c r="O11" s="69">
        <f t="shared" si="2"/>
        <v>190958</v>
      </c>
      <c r="P11" s="69">
        <f t="shared" si="2"/>
        <v>451183</v>
      </c>
      <c r="Q11" s="69">
        <f t="shared" si="2"/>
        <v>1328865</v>
      </c>
      <c r="R11" s="69">
        <f t="shared" si="2"/>
        <v>117000</v>
      </c>
      <c r="S11" s="69">
        <f t="shared" si="2"/>
        <v>238265</v>
      </c>
      <c r="T11" s="69">
        <f t="shared" si="2"/>
        <v>480000</v>
      </c>
      <c r="U11" s="69">
        <f t="shared" si="2"/>
        <v>493600</v>
      </c>
      <c r="V11" s="69">
        <f t="shared" si="2"/>
        <v>1273276</v>
      </c>
      <c r="W11" s="75"/>
      <c r="Z11" s="77">
        <f t="shared" si="1"/>
        <v>1273276</v>
      </c>
    </row>
    <row r="12" spans="1:26" s="20" customFormat="1" ht="38.1" customHeight="1">
      <c r="A12" s="36" t="s">
        <v>1</v>
      </c>
      <c r="B12" s="19" t="s">
        <v>88</v>
      </c>
      <c r="C12" s="36"/>
      <c r="D12" s="36"/>
      <c r="E12" s="36"/>
      <c r="F12" s="35"/>
      <c r="G12" s="62">
        <f>SUM(G13)</f>
        <v>1649995</v>
      </c>
      <c r="H12" s="62">
        <f t="shared" ref="H12:U12" si="3">SUM(H13)</f>
        <v>1115000</v>
      </c>
      <c r="I12" s="62">
        <f t="shared" si="3"/>
        <v>0</v>
      </c>
      <c r="J12" s="62">
        <f t="shared" si="3"/>
        <v>0</v>
      </c>
      <c r="K12" s="62">
        <f t="shared" si="3"/>
        <v>0</v>
      </c>
      <c r="L12" s="62">
        <f t="shared" si="3"/>
        <v>0</v>
      </c>
      <c r="M12" s="62">
        <f t="shared" si="3"/>
        <v>1115000</v>
      </c>
      <c r="N12" s="62">
        <f t="shared" si="3"/>
        <v>1060000</v>
      </c>
      <c r="O12" s="62">
        <f t="shared" si="3"/>
        <v>55000</v>
      </c>
      <c r="P12" s="62">
        <f t="shared" si="3"/>
        <v>0</v>
      </c>
      <c r="Q12" s="62">
        <f t="shared" si="3"/>
        <v>341365</v>
      </c>
      <c r="R12" s="62">
        <f t="shared" si="3"/>
        <v>0</v>
      </c>
      <c r="S12" s="62">
        <f t="shared" si="3"/>
        <v>76365</v>
      </c>
      <c r="T12" s="62">
        <f t="shared" si="3"/>
        <v>70000</v>
      </c>
      <c r="U12" s="62">
        <f t="shared" si="3"/>
        <v>195000</v>
      </c>
      <c r="V12" s="62">
        <f>M12-Q12</f>
        <v>773635</v>
      </c>
      <c r="W12" s="7"/>
      <c r="Z12" s="71">
        <f t="shared" si="1"/>
        <v>773635</v>
      </c>
    </row>
    <row r="13" spans="1:26" s="30" customFormat="1" ht="34.35" customHeight="1">
      <c r="A13" s="27" t="s">
        <v>13</v>
      </c>
      <c r="B13" s="28" t="s">
        <v>28</v>
      </c>
      <c r="C13" s="27"/>
      <c r="D13" s="27"/>
      <c r="E13" s="27"/>
      <c r="F13" s="29"/>
      <c r="G13" s="63">
        <f t="shared" ref="G13:U13" si="4">SUM(G14:G15)</f>
        <v>1649995</v>
      </c>
      <c r="H13" s="63">
        <f t="shared" si="4"/>
        <v>1115000</v>
      </c>
      <c r="I13" s="63">
        <f t="shared" si="4"/>
        <v>0</v>
      </c>
      <c r="J13" s="63">
        <f t="shared" si="4"/>
        <v>0</v>
      </c>
      <c r="K13" s="63">
        <f t="shared" si="4"/>
        <v>0</v>
      </c>
      <c r="L13" s="63">
        <f t="shared" si="4"/>
        <v>0</v>
      </c>
      <c r="M13" s="63">
        <f t="shared" si="4"/>
        <v>1115000</v>
      </c>
      <c r="N13" s="63">
        <f t="shared" si="4"/>
        <v>1060000</v>
      </c>
      <c r="O13" s="63">
        <f t="shared" si="4"/>
        <v>55000</v>
      </c>
      <c r="P13" s="63">
        <f t="shared" si="4"/>
        <v>0</v>
      </c>
      <c r="Q13" s="63">
        <f t="shared" si="4"/>
        <v>341365</v>
      </c>
      <c r="R13" s="63">
        <f t="shared" si="4"/>
        <v>0</v>
      </c>
      <c r="S13" s="63">
        <f t="shared" si="4"/>
        <v>76365</v>
      </c>
      <c r="T13" s="63">
        <f t="shared" si="4"/>
        <v>70000</v>
      </c>
      <c r="U13" s="63">
        <f t="shared" si="4"/>
        <v>195000</v>
      </c>
      <c r="V13" s="62">
        <f>M13-Q13</f>
        <v>773635</v>
      </c>
      <c r="W13" s="8"/>
      <c r="Z13" s="71">
        <f t="shared" si="1"/>
        <v>773635</v>
      </c>
    </row>
    <row r="14" spans="1:26" s="31" customFormat="1" ht="114" customHeight="1">
      <c r="A14" s="37">
        <v>1</v>
      </c>
      <c r="B14" s="38" t="s">
        <v>118</v>
      </c>
      <c r="C14" s="33" t="s">
        <v>117</v>
      </c>
      <c r="D14" s="33" t="s">
        <v>105</v>
      </c>
      <c r="E14" s="33" t="s">
        <v>21</v>
      </c>
      <c r="F14" s="39"/>
      <c r="G14" s="64">
        <v>1492000</v>
      </c>
      <c r="H14" s="64">
        <f>N14</f>
        <v>1000000</v>
      </c>
      <c r="I14" s="64"/>
      <c r="J14" s="64"/>
      <c r="K14" s="64"/>
      <c r="L14" s="64"/>
      <c r="M14" s="64">
        <f>SUM(N14:P14)</f>
        <v>1000000</v>
      </c>
      <c r="N14" s="64">
        <v>1000000</v>
      </c>
      <c r="O14" s="64"/>
      <c r="P14" s="64"/>
      <c r="Q14" s="64">
        <f t="shared" ref="Q14:Q15" si="5">SUM(R14:U14)</f>
        <v>266365</v>
      </c>
      <c r="R14" s="64"/>
      <c r="S14" s="64">
        <v>76365</v>
      </c>
      <c r="T14" s="64">
        <v>70000</v>
      </c>
      <c r="U14" s="64">
        <v>120000</v>
      </c>
      <c r="V14" s="61">
        <f>M14-Q14</f>
        <v>733635</v>
      </c>
      <c r="W14" s="72" t="s">
        <v>98</v>
      </c>
      <c r="X14" s="31" t="s">
        <v>89</v>
      </c>
      <c r="Z14" s="71">
        <f t="shared" si="1"/>
        <v>733635</v>
      </c>
    </row>
    <row r="15" spans="1:26" s="31" customFormat="1" ht="142.5" customHeight="1">
      <c r="A15" s="37">
        <v>8</v>
      </c>
      <c r="B15" s="38" t="s">
        <v>136</v>
      </c>
      <c r="C15" s="33" t="s">
        <v>119</v>
      </c>
      <c r="D15" s="33" t="s">
        <v>109</v>
      </c>
      <c r="E15" s="33" t="s">
        <v>21</v>
      </c>
      <c r="F15" s="39" t="s">
        <v>137</v>
      </c>
      <c r="G15" s="64">
        <v>157995</v>
      </c>
      <c r="H15" s="64">
        <v>115000</v>
      </c>
      <c r="I15" s="64"/>
      <c r="J15" s="64"/>
      <c r="K15" s="64"/>
      <c r="L15" s="64"/>
      <c r="M15" s="64">
        <f>SUM(N15:P15)</f>
        <v>115000</v>
      </c>
      <c r="N15" s="64">
        <v>60000</v>
      </c>
      <c r="O15" s="64">
        <v>55000</v>
      </c>
      <c r="P15" s="64"/>
      <c r="Q15" s="64">
        <f t="shared" si="5"/>
        <v>75000</v>
      </c>
      <c r="R15" s="64"/>
      <c r="S15" s="64"/>
      <c r="T15" s="64"/>
      <c r="U15" s="64">
        <v>75000</v>
      </c>
      <c r="V15" s="61">
        <f>M15-Q15</f>
        <v>40000</v>
      </c>
      <c r="W15" s="53" t="s">
        <v>86</v>
      </c>
      <c r="X15" s="31" t="s">
        <v>89</v>
      </c>
      <c r="Z15" s="71">
        <f t="shared" si="1"/>
        <v>40000</v>
      </c>
    </row>
    <row r="16" spans="1:26" s="20" customFormat="1" ht="35.1" customHeight="1">
      <c r="A16" s="66" t="s">
        <v>2</v>
      </c>
      <c r="B16" s="67" t="s">
        <v>103</v>
      </c>
      <c r="C16" s="33"/>
      <c r="D16" s="33"/>
      <c r="E16" s="33"/>
      <c r="F16" s="33"/>
      <c r="G16" s="62">
        <f>SUM(G17)</f>
        <v>1737270</v>
      </c>
      <c r="H16" s="62">
        <f>SUM(H17)</f>
        <v>891500</v>
      </c>
      <c r="I16" s="62">
        <f t="shared" ref="I16:U16" si="6">SUM(I17)</f>
        <v>71100</v>
      </c>
      <c r="J16" s="62">
        <f t="shared" si="6"/>
        <v>68500</v>
      </c>
      <c r="K16" s="62">
        <f t="shared" si="6"/>
        <v>68500</v>
      </c>
      <c r="L16" s="62">
        <f t="shared" si="6"/>
        <v>0</v>
      </c>
      <c r="M16" s="62">
        <f t="shared" si="6"/>
        <v>1282141</v>
      </c>
      <c r="N16" s="62">
        <f t="shared" si="6"/>
        <v>715000</v>
      </c>
      <c r="O16" s="62">
        <f t="shared" si="6"/>
        <v>135958</v>
      </c>
      <c r="P16" s="62">
        <f t="shared" si="6"/>
        <v>431183</v>
      </c>
      <c r="Q16" s="62">
        <f t="shared" si="6"/>
        <v>802500</v>
      </c>
      <c r="R16" s="62">
        <f t="shared" si="6"/>
        <v>41000</v>
      </c>
      <c r="S16" s="62">
        <f t="shared" si="6"/>
        <v>52900</v>
      </c>
      <c r="T16" s="62">
        <f t="shared" si="6"/>
        <v>410000</v>
      </c>
      <c r="U16" s="62">
        <f t="shared" si="6"/>
        <v>298600</v>
      </c>
      <c r="V16" s="62">
        <f>M16-Q16</f>
        <v>479641</v>
      </c>
      <c r="W16" s="52"/>
      <c r="Z16" s="71">
        <f t="shared" si="1"/>
        <v>479641</v>
      </c>
    </row>
    <row r="17" spans="1:26" s="3" customFormat="1" ht="32.1" customHeight="1">
      <c r="A17" s="27" t="s">
        <v>13</v>
      </c>
      <c r="B17" s="28" t="s">
        <v>28</v>
      </c>
      <c r="C17" s="27"/>
      <c r="D17" s="27"/>
      <c r="E17" s="27"/>
      <c r="F17" s="29"/>
      <c r="G17" s="63">
        <f t="shared" ref="G17:V17" si="7">SUM(G18:G24)</f>
        <v>1737270</v>
      </c>
      <c r="H17" s="63">
        <f t="shared" si="7"/>
        <v>891500</v>
      </c>
      <c r="I17" s="63">
        <f t="shared" si="7"/>
        <v>71100</v>
      </c>
      <c r="J17" s="63">
        <f t="shared" si="7"/>
        <v>68500</v>
      </c>
      <c r="K17" s="63">
        <f t="shared" si="7"/>
        <v>68500</v>
      </c>
      <c r="L17" s="63">
        <f t="shared" si="7"/>
        <v>0</v>
      </c>
      <c r="M17" s="63">
        <f t="shared" si="7"/>
        <v>1282141</v>
      </c>
      <c r="N17" s="63">
        <f t="shared" si="7"/>
        <v>715000</v>
      </c>
      <c r="O17" s="63">
        <f t="shared" si="7"/>
        <v>135958</v>
      </c>
      <c r="P17" s="63">
        <f t="shared" si="7"/>
        <v>431183</v>
      </c>
      <c r="Q17" s="63">
        <f t="shared" si="7"/>
        <v>802500</v>
      </c>
      <c r="R17" s="63">
        <f t="shared" si="7"/>
        <v>41000</v>
      </c>
      <c r="S17" s="63">
        <f t="shared" si="7"/>
        <v>52900</v>
      </c>
      <c r="T17" s="63">
        <f t="shared" si="7"/>
        <v>410000</v>
      </c>
      <c r="U17" s="63">
        <f t="shared" si="7"/>
        <v>298600</v>
      </c>
      <c r="V17" s="63">
        <f t="shared" si="7"/>
        <v>479641</v>
      </c>
      <c r="W17" s="8"/>
      <c r="Z17" s="71">
        <f t="shared" si="1"/>
        <v>479641</v>
      </c>
    </row>
    <row r="18" spans="1:26" s="10" customFormat="1" ht="214.5" customHeight="1">
      <c r="A18" s="37">
        <v>1</v>
      </c>
      <c r="B18" s="38" t="s">
        <v>19</v>
      </c>
      <c r="C18" s="56" t="s">
        <v>22</v>
      </c>
      <c r="D18" s="33" t="s">
        <v>33</v>
      </c>
      <c r="E18" s="57" t="s">
        <v>79</v>
      </c>
      <c r="F18" s="39" t="s">
        <v>142</v>
      </c>
      <c r="G18" s="64">
        <v>215458</v>
      </c>
      <c r="H18" s="64">
        <v>125000</v>
      </c>
      <c r="I18" s="64">
        <v>45000</v>
      </c>
      <c r="J18" s="64">
        <v>45000</v>
      </c>
      <c r="K18" s="64">
        <v>45000</v>
      </c>
      <c r="L18" s="64"/>
      <c r="M18" s="64">
        <f t="shared" ref="M18:M24" si="8">SUM(N18:P18)</f>
        <v>142000</v>
      </c>
      <c r="N18" s="64">
        <v>80000</v>
      </c>
      <c r="O18" s="64"/>
      <c r="P18" s="64">
        <v>62000</v>
      </c>
      <c r="Q18" s="64">
        <f t="shared" ref="Q18:Q19" si="9">SUM(R18:U18)</f>
        <v>80000</v>
      </c>
      <c r="R18" s="64">
        <v>40000</v>
      </c>
      <c r="S18" s="64">
        <v>40000</v>
      </c>
      <c r="T18" s="64"/>
      <c r="U18" s="64"/>
      <c r="V18" s="61">
        <f t="shared" ref="V18:V27" si="10">M18-Q18</f>
        <v>62000</v>
      </c>
      <c r="W18" s="54"/>
      <c r="X18" s="10" t="s">
        <v>90</v>
      </c>
      <c r="Z18" s="71">
        <f t="shared" si="1"/>
        <v>62000</v>
      </c>
    </row>
    <row r="19" spans="1:26" s="10" customFormat="1" ht="211.5" customHeight="1">
      <c r="A19" s="37">
        <f>+A18+1</f>
        <v>2</v>
      </c>
      <c r="B19" s="38" t="s">
        <v>20</v>
      </c>
      <c r="C19" s="33" t="s">
        <v>149</v>
      </c>
      <c r="D19" s="33" t="s">
        <v>30</v>
      </c>
      <c r="E19" s="33" t="s">
        <v>94</v>
      </c>
      <c r="F19" s="39" t="s">
        <v>138</v>
      </c>
      <c r="G19" s="64">
        <v>93000</v>
      </c>
      <c r="H19" s="64">
        <v>67000</v>
      </c>
      <c r="I19" s="64">
        <v>22000</v>
      </c>
      <c r="J19" s="64">
        <v>22000</v>
      </c>
      <c r="K19" s="64">
        <v>22000</v>
      </c>
      <c r="L19" s="64"/>
      <c r="M19" s="64">
        <f t="shared" si="8"/>
        <v>45000</v>
      </c>
      <c r="N19" s="64">
        <v>45000</v>
      </c>
      <c r="O19" s="64"/>
      <c r="P19" s="64"/>
      <c r="Q19" s="64">
        <f t="shared" si="9"/>
        <v>13900</v>
      </c>
      <c r="R19" s="64">
        <v>1000</v>
      </c>
      <c r="S19" s="64">
        <v>12900</v>
      </c>
      <c r="T19" s="64"/>
      <c r="U19" s="64"/>
      <c r="V19" s="61">
        <f t="shared" si="10"/>
        <v>31100</v>
      </c>
      <c r="W19" s="4"/>
      <c r="X19" s="10" t="s">
        <v>90</v>
      </c>
      <c r="Z19" s="71">
        <f t="shared" si="1"/>
        <v>31100</v>
      </c>
    </row>
    <row r="20" spans="1:26" s="10" customFormat="1" ht="97.5" customHeight="1">
      <c r="A20" s="37">
        <f>+A19+1</f>
        <v>3</v>
      </c>
      <c r="B20" s="58" t="s">
        <v>121</v>
      </c>
      <c r="C20" s="59" t="s">
        <v>31</v>
      </c>
      <c r="D20" s="33" t="s">
        <v>32</v>
      </c>
      <c r="E20" s="39" t="s">
        <v>29</v>
      </c>
      <c r="F20" s="51" t="s">
        <v>83</v>
      </c>
      <c r="G20" s="64">
        <v>256771</v>
      </c>
      <c r="H20" s="64">
        <f t="shared" ref="H20:H23" si="11">J20+N20</f>
        <v>121500</v>
      </c>
      <c r="I20" s="64">
        <v>2800</v>
      </c>
      <c r="J20" s="64">
        <v>1500</v>
      </c>
      <c r="K20" s="64">
        <v>1500</v>
      </c>
      <c r="L20" s="64"/>
      <c r="M20" s="64">
        <f t="shared" si="8"/>
        <v>200000</v>
      </c>
      <c r="N20" s="64">
        <v>120000</v>
      </c>
      <c r="O20" s="64"/>
      <c r="P20" s="64">
        <v>80000</v>
      </c>
      <c r="Q20" s="64">
        <f t="shared" ref="Q20:Q24" si="12">SUM(R20:U20)</f>
        <v>120000</v>
      </c>
      <c r="R20" s="64"/>
      <c r="S20" s="64"/>
      <c r="T20" s="64"/>
      <c r="U20" s="64">
        <v>120000</v>
      </c>
      <c r="V20" s="61">
        <f t="shared" si="10"/>
        <v>80000</v>
      </c>
      <c r="W20" s="146" t="s">
        <v>85</v>
      </c>
      <c r="X20" s="10" t="s">
        <v>91</v>
      </c>
      <c r="Z20" s="71">
        <f t="shared" si="1"/>
        <v>80000</v>
      </c>
    </row>
    <row r="21" spans="1:26" s="10" customFormat="1" ht="97.5" customHeight="1">
      <c r="A21" s="37">
        <f t="shared" ref="A21:A24" si="13">+A20+1</f>
        <v>4</v>
      </c>
      <c r="B21" s="58" t="s">
        <v>148</v>
      </c>
      <c r="C21" s="59" t="s">
        <v>80</v>
      </c>
      <c r="D21" s="33" t="s">
        <v>82</v>
      </c>
      <c r="E21" s="39" t="s">
        <v>29</v>
      </c>
      <c r="F21" s="51" t="s">
        <v>99</v>
      </c>
      <c r="G21" s="64">
        <v>292004</v>
      </c>
      <c r="H21" s="64">
        <f t="shared" si="11"/>
        <v>120000</v>
      </c>
      <c r="I21" s="65">
        <v>1300</v>
      </c>
      <c r="J21" s="65">
        <v>0</v>
      </c>
      <c r="K21" s="64">
        <v>0</v>
      </c>
      <c r="L21" s="64"/>
      <c r="M21" s="64">
        <f t="shared" si="8"/>
        <v>220000</v>
      </c>
      <c r="N21" s="64">
        <v>120000</v>
      </c>
      <c r="O21" s="64"/>
      <c r="P21" s="64">
        <v>100000</v>
      </c>
      <c r="Q21" s="64">
        <f t="shared" si="12"/>
        <v>120000</v>
      </c>
      <c r="R21" s="64"/>
      <c r="S21" s="64"/>
      <c r="T21" s="64">
        <v>110000</v>
      </c>
      <c r="U21" s="64">
        <v>10000</v>
      </c>
      <c r="V21" s="61">
        <f t="shared" si="10"/>
        <v>100000</v>
      </c>
      <c r="W21" s="146"/>
      <c r="X21" s="10" t="s">
        <v>91</v>
      </c>
      <c r="Z21" s="71">
        <f t="shared" si="1"/>
        <v>100000</v>
      </c>
    </row>
    <row r="22" spans="1:26" s="10" customFormat="1" ht="130.5" customHeight="1">
      <c r="A22" s="37">
        <f t="shared" si="13"/>
        <v>5</v>
      </c>
      <c r="B22" s="58" t="s">
        <v>81</v>
      </c>
      <c r="C22" s="59" t="s">
        <v>0</v>
      </c>
      <c r="D22" s="33" t="s">
        <v>110</v>
      </c>
      <c r="E22" s="33" t="s">
        <v>21</v>
      </c>
      <c r="F22" s="39" t="s">
        <v>100</v>
      </c>
      <c r="G22" s="64">
        <v>309730</v>
      </c>
      <c r="H22" s="64">
        <f t="shared" si="11"/>
        <v>150000</v>
      </c>
      <c r="I22" s="64"/>
      <c r="J22" s="64"/>
      <c r="K22" s="64"/>
      <c r="L22" s="64"/>
      <c r="M22" s="64">
        <f t="shared" si="8"/>
        <v>256993</v>
      </c>
      <c r="N22" s="64">
        <v>150000</v>
      </c>
      <c r="O22" s="64"/>
      <c r="P22" s="64">
        <v>106993</v>
      </c>
      <c r="Q22" s="64">
        <f t="shared" si="12"/>
        <v>141000</v>
      </c>
      <c r="R22" s="64"/>
      <c r="S22" s="64"/>
      <c r="T22" s="64">
        <v>108000</v>
      </c>
      <c r="U22" s="64">
        <v>33000</v>
      </c>
      <c r="V22" s="61">
        <f t="shared" si="10"/>
        <v>115993</v>
      </c>
      <c r="W22" s="55" t="s">
        <v>60</v>
      </c>
      <c r="X22" s="10" t="s">
        <v>91</v>
      </c>
      <c r="Z22" s="71">
        <f t="shared" si="1"/>
        <v>115993</v>
      </c>
    </row>
    <row r="23" spans="1:26" s="10" customFormat="1" ht="130.5" customHeight="1">
      <c r="A23" s="37">
        <f t="shared" si="13"/>
        <v>6</v>
      </c>
      <c r="B23" s="58" t="s">
        <v>130</v>
      </c>
      <c r="C23" s="59" t="s">
        <v>3</v>
      </c>
      <c r="D23" s="33" t="s">
        <v>111</v>
      </c>
      <c r="E23" s="33" t="s">
        <v>21</v>
      </c>
      <c r="F23" s="39" t="s">
        <v>101</v>
      </c>
      <c r="G23" s="64">
        <v>294912</v>
      </c>
      <c r="H23" s="64">
        <f t="shared" si="11"/>
        <v>100000</v>
      </c>
      <c r="I23" s="64"/>
      <c r="J23" s="64"/>
      <c r="K23" s="64"/>
      <c r="L23" s="64"/>
      <c r="M23" s="64">
        <f t="shared" si="8"/>
        <v>170148</v>
      </c>
      <c r="N23" s="64">
        <v>100000</v>
      </c>
      <c r="O23" s="64"/>
      <c r="P23" s="64">
        <v>70148</v>
      </c>
      <c r="Q23" s="64">
        <f t="shared" si="12"/>
        <v>100000</v>
      </c>
      <c r="R23" s="64"/>
      <c r="S23" s="64"/>
      <c r="T23" s="64">
        <v>85000</v>
      </c>
      <c r="U23" s="64">
        <v>15000</v>
      </c>
      <c r="V23" s="61">
        <f t="shared" si="10"/>
        <v>70148</v>
      </c>
      <c r="W23" s="54" t="s">
        <v>96</v>
      </c>
      <c r="X23" s="10" t="s">
        <v>91</v>
      </c>
      <c r="Z23" s="71">
        <f t="shared" si="1"/>
        <v>70148</v>
      </c>
    </row>
    <row r="24" spans="1:26" s="10" customFormat="1" ht="154.5" customHeight="1">
      <c r="A24" s="37">
        <f t="shared" si="13"/>
        <v>7</v>
      </c>
      <c r="B24" s="58" t="s">
        <v>84</v>
      </c>
      <c r="C24" s="59" t="s">
        <v>120</v>
      </c>
      <c r="D24" s="33" t="s">
        <v>112</v>
      </c>
      <c r="E24" s="33" t="s">
        <v>21</v>
      </c>
      <c r="F24" s="39" t="s">
        <v>131</v>
      </c>
      <c r="G24" s="64">
        <v>275395</v>
      </c>
      <c r="H24" s="64">
        <v>208000</v>
      </c>
      <c r="I24" s="64"/>
      <c r="J24" s="64"/>
      <c r="K24" s="64"/>
      <c r="L24" s="64"/>
      <c r="M24" s="64">
        <f t="shared" si="8"/>
        <v>248000</v>
      </c>
      <c r="N24" s="64">
        <v>100000</v>
      </c>
      <c r="O24" s="64">
        <v>135958</v>
      </c>
      <c r="P24" s="64">
        <v>12042</v>
      </c>
      <c r="Q24" s="64">
        <f t="shared" si="12"/>
        <v>227600</v>
      </c>
      <c r="R24" s="64"/>
      <c r="S24" s="64"/>
      <c r="T24" s="64">
        <v>107000</v>
      </c>
      <c r="U24" s="64">
        <v>120600</v>
      </c>
      <c r="V24" s="61">
        <f t="shared" si="10"/>
        <v>20400</v>
      </c>
      <c r="W24" s="54" t="s">
        <v>97</v>
      </c>
      <c r="X24" s="10" t="s">
        <v>91</v>
      </c>
      <c r="Z24" s="71">
        <f t="shared" si="1"/>
        <v>20400</v>
      </c>
    </row>
    <row r="25" spans="1:26" s="20" customFormat="1" ht="35.1" customHeight="1">
      <c r="A25" s="66" t="s">
        <v>5</v>
      </c>
      <c r="B25" s="67" t="s">
        <v>93</v>
      </c>
      <c r="C25" s="33"/>
      <c r="D25" s="33"/>
      <c r="E25" s="33"/>
      <c r="F25" s="33"/>
      <c r="G25" s="62">
        <f>SUM(G26)</f>
        <v>293845</v>
      </c>
      <c r="H25" s="62">
        <f>SUM(H26)</f>
        <v>195000</v>
      </c>
      <c r="I25" s="62">
        <f t="shared" ref="I25:U26" si="14">SUM(I26)</f>
        <v>70624</v>
      </c>
      <c r="J25" s="62">
        <f t="shared" si="14"/>
        <v>10000</v>
      </c>
      <c r="K25" s="62">
        <f t="shared" si="14"/>
        <v>10000</v>
      </c>
      <c r="L25" s="62">
        <f t="shared" si="14"/>
        <v>0</v>
      </c>
      <c r="M25" s="62">
        <f t="shared" si="14"/>
        <v>205000</v>
      </c>
      <c r="N25" s="62">
        <f t="shared" si="14"/>
        <v>185000</v>
      </c>
      <c r="O25" s="62">
        <f t="shared" si="14"/>
        <v>0</v>
      </c>
      <c r="P25" s="62">
        <f t="shared" si="14"/>
        <v>20000</v>
      </c>
      <c r="Q25" s="62">
        <f t="shared" si="14"/>
        <v>185000</v>
      </c>
      <c r="R25" s="62">
        <f t="shared" si="14"/>
        <v>76000</v>
      </c>
      <c r="S25" s="62">
        <f t="shared" si="14"/>
        <v>109000</v>
      </c>
      <c r="T25" s="62">
        <f t="shared" si="14"/>
        <v>0</v>
      </c>
      <c r="U25" s="62">
        <f t="shared" si="14"/>
        <v>0</v>
      </c>
      <c r="V25" s="62">
        <f t="shared" si="10"/>
        <v>20000</v>
      </c>
      <c r="W25" s="52"/>
      <c r="Z25" s="71">
        <f t="shared" si="1"/>
        <v>20000</v>
      </c>
    </row>
    <row r="26" spans="1:26" s="3" customFormat="1" ht="35.1" customHeight="1">
      <c r="A26" s="27" t="s">
        <v>13</v>
      </c>
      <c r="B26" s="28" t="s">
        <v>28</v>
      </c>
      <c r="C26" s="27"/>
      <c r="D26" s="27"/>
      <c r="E26" s="27"/>
      <c r="F26" s="29"/>
      <c r="G26" s="63">
        <f>SUM(G27)</f>
        <v>293845</v>
      </c>
      <c r="H26" s="63">
        <f>SUM(H27)</f>
        <v>195000</v>
      </c>
      <c r="I26" s="63">
        <f t="shared" si="14"/>
        <v>70624</v>
      </c>
      <c r="J26" s="63">
        <f t="shared" si="14"/>
        <v>10000</v>
      </c>
      <c r="K26" s="63">
        <f t="shared" si="14"/>
        <v>10000</v>
      </c>
      <c r="L26" s="63">
        <f t="shared" si="14"/>
        <v>0</v>
      </c>
      <c r="M26" s="63">
        <f t="shared" si="14"/>
        <v>205000</v>
      </c>
      <c r="N26" s="63">
        <f t="shared" si="14"/>
        <v>185000</v>
      </c>
      <c r="O26" s="63">
        <f t="shared" si="14"/>
        <v>0</v>
      </c>
      <c r="P26" s="63">
        <f t="shared" si="14"/>
        <v>20000</v>
      </c>
      <c r="Q26" s="63">
        <f t="shared" si="14"/>
        <v>185000</v>
      </c>
      <c r="R26" s="63">
        <f t="shared" si="14"/>
        <v>76000</v>
      </c>
      <c r="S26" s="63">
        <f t="shared" si="14"/>
        <v>109000</v>
      </c>
      <c r="T26" s="63">
        <f t="shared" si="14"/>
        <v>0</v>
      </c>
      <c r="U26" s="63">
        <f t="shared" si="14"/>
        <v>0</v>
      </c>
      <c r="V26" s="62">
        <f t="shared" si="10"/>
        <v>20000</v>
      </c>
      <c r="W26" s="8"/>
      <c r="Z26" s="71">
        <f t="shared" si="1"/>
        <v>20000</v>
      </c>
    </row>
    <row r="27" spans="1:26" s="2" customFormat="1" ht="136.5" customHeight="1">
      <c r="A27" s="37">
        <v>1</v>
      </c>
      <c r="B27" s="60" t="s">
        <v>113</v>
      </c>
      <c r="C27" s="39" t="s">
        <v>80</v>
      </c>
      <c r="D27" s="39" t="s">
        <v>108</v>
      </c>
      <c r="E27" s="33" t="s">
        <v>4</v>
      </c>
      <c r="F27" s="33" t="s">
        <v>139</v>
      </c>
      <c r="G27" s="61">
        <v>293845</v>
      </c>
      <c r="H27" s="61">
        <v>195000</v>
      </c>
      <c r="I27" s="61">
        <v>70624</v>
      </c>
      <c r="J27" s="61">
        <v>10000</v>
      </c>
      <c r="K27" s="61">
        <v>10000</v>
      </c>
      <c r="L27" s="61"/>
      <c r="M27" s="64">
        <f>SUM(N27:P27)</f>
        <v>205000</v>
      </c>
      <c r="N27" s="61">
        <v>185000</v>
      </c>
      <c r="O27" s="61"/>
      <c r="P27" s="61">
        <v>20000</v>
      </c>
      <c r="Q27" s="64">
        <f>SUM(R27:U27)</f>
        <v>185000</v>
      </c>
      <c r="R27" s="61">
        <v>76000</v>
      </c>
      <c r="S27" s="61">
        <v>109000</v>
      </c>
      <c r="T27" s="61"/>
      <c r="U27" s="61"/>
      <c r="V27" s="61">
        <f t="shared" si="10"/>
        <v>20000</v>
      </c>
      <c r="W27" s="21"/>
      <c r="X27" s="2" t="s">
        <v>92</v>
      </c>
      <c r="Z27" s="71">
        <f t="shared" si="1"/>
        <v>20000</v>
      </c>
    </row>
    <row r="28" spans="1:26" s="82" customFormat="1" ht="38.1" customHeight="1">
      <c r="A28" s="79" t="s">
        <v>62</v>
      </c>
      <c r="B28" s="78" t="s">
        <v>104</v>
      </c>
      <c r="C28" s="78"/>
      <c r="D28" s="78"/>
      <c r="E28" s="78"/>
      <c r="F28" s="80"/>
      <c r="G28" s="70">
        <f>SUM(G29)</f>
        <v>659799</v>
      </c>
      <c r="H28" s="70">
        <f t="shared" ref="H28:V28" si="15">SUM(H29)</f>
        <v>270000</v>
      </c>
      <c r="I28" s="70">
        <f t="shared" si="15"/>
        <v>0</v>
      </c>
      <c r="J28" s="70">
        <f t="shared" si="15"/>
        <v>0</v>
      </c>
      <c r="K28" s="70">
        <f t="shared" si="15"/>
        <v>0</v>
      </c>
      <c r="L28" s="70">
        <f t="shared" si="15"/>
        <v>0</v>
      </c>
      <c r="M28" s="70">
        <f t="shared" si="15"/>
        <v>270000</v>
      </c>
      <c r="N28" s="70">
        <f t="shared" si="15"/>
        <v>140000</v>
      </c>
      <c r="O28" s="70">
        <f t="shared" si="15"/>
        <v>130000</v>
      </c>
      <c r="P28" s="70">
        <f t="shared" si="15"/>
        <v>0</v>
      </c>
      <c r="Q28" s="70">
        <f t="shared" si="15"/>
        <v>0</v>
      </c>
      <c r="R28" s="70">
        <f t="shared" si="15"/>
        <v>0</v>
      </c>
      <c r="S28" s="70">
        <f t="shared" si="15"/>
        <v>0</v>
      </c>
      <c r="T28" s="70">
        <f t="shared" si="15"/>
        <v>0</v>
      </c>
      <c r="U28" s="70">
        <f t="shared" si="15"/>
        <v>0</v>
      </c>
      <c r="V28" s="70">
        <f t="shared" si="15"/>
        <v>270000</v>
      </c>
      <c r="W28" s="81"/>
      <c r="Z28" s="77">
        <f t="shared" si="1"/>
        <v>270000</v>
      </c>
    </row>
    <row r="29" spans="1:26" s="20" customFormat="1" ht="38.1" customHeight="1">
      <c r="A29" s="36" t="s">
        <v>1</v>
      </c>
      <c r="B29" s="19" t="s">
        <v>88</v>
      </c>
      <c r="C29" s="36"/>
      <c r="D29" s="36"/>
      <c r="E29" s="36"/>
      <c r="F29" s="35"/>
      <c r="G29" s="62">
        <f>SUM(G30)</f>
        <v>659799</v>
      </c>
      <c r="H29" s="62">
        <f t="shared" ref="H29:U29" si="16">SUM(H30)</f>
        <v>270000</v>
      </c>
      <c r="I29" s="62">
        <f t="shared" si="16"/>
        <v>0</v>
      </c>
      <c r="J29" s="62">
        <f t="shared" si="16"/>
        <v>0</v>
      </c>
      <c r="K29" s="62">
        <f t="shared" si="16"/>
        <v>0</v>
      </c>
      <c r="L29" s="62">
        <f t="shared" si="16"/>
        <v>0</v>
      </c>
      <c r="M29" s="62">
        <f t="shared" si="16"/>
        <v>270000</v>
      </c>
      <c r="N29" s="62">
        <f t="shared" si="16"/>
        <v>140000</v>
      </c>
      <c r="O29" s="62">
        <f t="shared" si="16"/>
        <v>130000</v>
      </c>
      <c r="P29" s="62">
        <f t="shared" si="16"/>
        <v>0</v>
      </c>
      <c r="Q29" s="62">
        <f t="shared" si="16"/>
        <v>0</v>
      </c>
      <c r="R29" s="62">
        <f t="shared" si="16"/>
        <v>0</v>
      </c>
      <c r="S29" s="62">
        <f t="shared" si="16"/>
        <v>0</v>
      </c>
      <c r="T29" s="62">
        <f t="shared" si="16"/>
        <v>0</v>
      </c>
      <c r="U29" s="62">
        <f t="shared" si="16"/>
        <v>0</v>
      </c>
      <c r="V29" s="62">
        <f>M29-Q29</f>
        <v>270000</v>
      </c>
      <c r="W29" s="7"/>
      <c r="Z29" s="71">
        <f t="shared" si="1"/>
        <v>270000</v>
      </c>
    </row>
    <row r="30" spans="1:26" s="30" customFormat="1" ht="34.35" customHeight="1">
      <c r="A30" s="27" t="s">
        <v>13</v>
      </c>
      <c r="B30" s="28" t="s">
        <v>28</v>
      </c>
      <c r="C30" s="27"/>
      <c r="D30" s="27"/>
      <c r="E30" s="27"/>
      <c r="F30" s="29"/>
      <c r="G30" s="63">
        <f t="shared" ref="G30:U30" si="17">SUM(G31:G32)</f>
        <v>659799</v>
      </c>
      <c r="H30" s="63">
        <f t="shared" si="17"/>
        <v>270000</v>
      </c>
      <c r="I30" s="63">
        <f t="shared" si="17"/>
        <v>0</v>
      </c>
      <c r="J30" s="63">
        <f t="shared" si="17"/>
        <v>0</v>
      </c>
      <c r="K30" s="63">
        <f t="shared" si="17"/>
        <v>0</v>
      </c>
      <c r="L30" s="63">
        <f t="shared" si="17"/>
        <v>0</v>
      </c>
      <c r="M30" s="63">
        <f t="shared" si="17"/>
        <v>270000</v>
      </c>
      <c r="N30" s="63">
        <f t="shared" si="17"/>
        <v>140000</v>
      </c>
      <c r="O30" s="63">
        <f t="shared" si="17"/>
        <v>130000</v>
      </c>
      <c r="P30" s="63">
        <f t="shared" si="17"/>
        <v>0</v>
      </c>
      <c r="Q30" s="63">
        <f t="shared" si="17"/>
        <v>0</v>
      </c>
      <c r="R30" s="63">
        <f t="shared" si="17"/>
        <v>0</v>
      </c>
      <c r="S30" s="63">
        <f t="shared" si="17"/>
        <v>0</v>
      </c>
      <c r="T30" s="63">
        <f t="shared" si="17"/>
        <v>0</v>
      </c>
      <c r="U30" s="63">
        <f t="shared" si="17"/>
        <v>0</v>
      </c>
      <c r="V30" s="62">
        <f>M30-Q30</f>
        <v>270000</v>
      </c>
      <c r="W30" s="8"/>
      <c r="Z30" s="71">
        <f t="shared" si="1"/>
        <v>270000</v>
      </c>
    </row>
    <row r="31" spans="1:26" s="31" customFormat="1" ht="142.5" customHeight="1">
      <c r="A31" s="37">
        <v>5</v>
      </c>
      <c r="B31" s="38" t="s">
        <v>132</v>
      </c>
      <c r="C31" s="33" t="s">
        <v>0</v>
      </c>
      <c r="D31" s="33" t="s">
        <v>107</v>
      </c>
      <c r="E31" s="33" t="s">
        <v>21</v>
      </c>
      <c r="F31" s="39" t="s">
        <v>133</v>
      </c>
      <c r="G31" s="64">
        <v>124958</v>
      </c>
      <c r="H31" s="64">
        <v>90000</v>
      </c>
      <c r="I31" s="64"/>
      <c r="J31" s="64"/>
      <c r="K31" s="64"/>
      <c r="L31" s="64"/>
      <c r="M31" s="64">
        <f>SUM(N31:P31)</f>
        <v>90000</v>
      </c>
      <c r="N31" s="64">
        <v>60000</v>
      </c>
      <c r="O31" s="64">
        <v>30000</v>
      </c>
      <c r="P31" s="64"/>
      <c r="Q31" s="64">
        <f t="shared" ref="Q31:Q32" si="18">SUM(R31:U31)</f>
        <v>0</v>
      </c>
      <c r="R31" s="64"/>
      <c r="S31" s="64"/>
      <c r="T31" s="64"/>
      <c r="U31" s="64"/>
      <c r="V31" s="62">
        <f>M31-Q31</f>
        <v>90000</v>
      </c>
      <c r="W31" s="72" t="s">
        <v>87</v>
      </c>
      <c r="X31" s="31" t="s">
        <v>89</v>
      </c>
      <c r="Z31" s="71">
        <f t="shared" si="1"/>
        <v>90000</v>
      </c>
    </row>
    <row r="32" spans="1:26" s="31" customFormat="1" ht="141.75" customHeight="1">
      <c r="A32" s="37">
        <v>7</v>
      </c>
      <c r="B32" s="38" t="s">
        <v>134</v>
      </c>
      <c r="C32" s="33" t="s">
        <v>78</v>
      </c>
      <c r="D32" s="33" t="s">
        <v>106</v>
      </c>
      <c r="E32" s="33" t="s">
        <v>21</v>
      </c>
      <c r="F32" s="39" t="s">
        <v>135</v>
      </c>
      <c r="G32" s="64">
        <v>534841</v>
      </c>
      <c r="H32" s="64">
        <v>180000</v>
      </c>
      <c r="I32" s="64">
        <v>0</v>
      </c>
      <c r="J32" s="64">
        <v>0</v>
      </c>
      <c r="K32" s="64">
        <v>0</v>
      </c>
      <c r="L32" s="64">
        <v>0</v>
      </c>
      <c r="M32" s="64">
        <f>SUM(N32:P32)</f>
        <v>180000</v>
      </c>
      <c r="N32" s="64">
        <v>80000</v>
      </c>
      <c r="O32" s="64">
        <v>100000</v>
      </c>
      <c r="P32" s="64"/>
      <c r="Q32" s="64">
        <f t="shared" si="18"/>
        <v>0</v>
      </c>
      <c r="R32" s="64"/>
      <c r="S32" s="64"/>
      <c r="T32" s="64"/>
      <c r="U32" s="64"/>
      <c r="V32" s="62">
        <f>M32-Q32</f>
        <v>180000</v>
      </c>
      <c r="W32" s="53" t="s">
        <v>95</v>
      </c>
      <c r="X32" s="31" t="s">
        <v>89</v>
      </c>
      <c r="Z32" s="71">
        <f t="shared" si="1"/>
        <v>180000</v>
      </c>
    </row>
  </sheetData>
  <mergeCells count="35">
    <mergeCell ref="A1:W1"/>
    <mergeCell ref="A2:W2"/>
    <mergeCell ref="A5:A9"/>
    <mergeCell ref="B5:B9"/>
    <mergeCell ref="C5:C9"/>
    <mergeCell ref="D5:D9"/>
    <mergeCell ref="E5:E9"/>
    <mergeCell ref="F5:H5"/>
    <mergeCell ref="I5:J6"/>
    <mergeCell ref="I7:I9"/>
    <mergeCell ref="F6:F9"/>
    <mergeCell ref="G7:G9"/>
    <mergeCell ref="A3:W3"/>
    <mergeCell ref="J7:J9"/>
    <mergeCell ref="K5:L6"/>
    <mergeCell ref="K7:K9"/>
    <mergeCell ref="W20:W21"/>
    <mergeCell ref="Q5:U6"/>
    <mergeCell ref="R7:U7"/>
    <mergeCell ref="U8:U9"/>
    <mergeCell ref="M7:M9"/>
    <mergeCell ref="N7:P7"/>
    <mergeCell ref="P8:P9"/>
    <mergeCell ref="V5:V9"/>
    <mergeCell ref="W5:W9"/>
    <mergeCell ref="Q7:Q9"/>
    <mergeCell ref="R8:R9"/>
    <mergeCell ref="S8:S9"/>
    <mergeCell ref="T8:T9"/>
    <mergeCell ref="L7:L9"/>
    <mergeCell ref="N8:N9"/>
    <mergeCell ref="M5:P6"/>
    <mergeCell ref="G6:H6"/>
    <mergeCell ref="H7:H9"/>
    <mergeCell ref="O8:O9"/>
  </mergeCells>
  <printOptions horizontalCentered="1"/>
  <pageMargins left="0.16" right="0.25" top="0.39370078740157483" bottom="0.32" header="0.19685039370078741" footer="0.19685039370078741"/>
  <pageSetup paperSize="8" scale="49"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45"/>
  <sheetViews>
    <sheetView view="pageBreakPreview" topLeftCell="A7" zoomScale="60" workbookViewId="0">
      <selection activeCell="J45" sqref="J45"/>
    </sheetView>
  </sheetViews>
  <sheetFormatPr defaultColWidth="9.109375" defaultRowHeight="16.8"/>
  <cols>
    <col min="1" max="1" width="7.44140625" style="14" customWidth="1"/>
    <col min="2" max="2" width="33.33203125" style="14" customWidth="1"/>
    <col min="3" max="3" width="13.44140625" style="14" customWidth="1"/>
    <col min="4" max="4" width="21.33203125" style="14" customWidth="1"/>
    <col min="5" max="5" width="20.44140625" style="14" customWidth="1"/>
    <col min="6" max="6" width="13.109375" style="14" bestFit="1" customWidth="1"/>
    <col min="7" max="16384" width="9.109375" style="14"/>
  </cols>
  <sheetData>
    <row r="2" spans="1:5">
      <c r="A2" s="160" t="s">
        <v>75</v>
      </c>
      <c r="B2" s="160"/>
      <c r="C2" s="160"/>
      <c r="D2" s="160"/>
      <c r="E2" s="160"/>
    </row>
    <row r="3" spans="1:5">
      <c r="A3" s="160"/>
      <c r="B3" s="160"/>
      <c r="C3" s="160"/>
      <c r="D3" s="160"/>
      <c r="E3" s="160"/>
    </row>
    <row r="4" spans="1:5" ht="28.5" customHeight="1">
      <c r="D4" s="159" t="s">
        <v>12</v>
      </c>
      <c r="E4" s="159"/>
    </row>
    <row r="5" spans="1:5" ht="57" customHeight="1">
      <c r="A5" s="22" t="s">
        <v>6</v>
      </c>
      <c r="B5" s="22" t="s">
        <v>53</v>
      </c>
      <c r="C5" s="22" t="s">
        <v>55</v>
      </c>
      <c r="D5" s="22" t="s">
        <v>54</v>
      </c>
      <c r="E5" s="22" t="s">
        <v>10</v>
      </c>
    </row>
    <row r="6" spans="1:5" ht="121.5" customHeight="1">
      <c r="A6" s="15"/>
      <c r="B6" s="22" t="s">
        <v>11</v>
      </c>
      <c r="C6" s="25" t="e">
        <f>SUM(C7,C28,C37,C42,C40)</f>
        <v>#REF!</v>
      </c>
      <c r="D6" s="25" t="e">
        <f>SUM(D7,D28,D37,D42,D40)</f>
        <v>#REF!</v>
      </c>
      <c r="E6" s="4" t="s">
        <v>77</v>
      </c>
    </row>
    <row r="7" spans="1:5" s="24" customFormat="1" ht="48.75" customHeight="1">
      <c r="A7" s="45">
        <v>1</v>
      </c>
      <c r="B7" s="48" t="s">
        <v>76</v>
      </c>
      <c r="C7" s="40">
        <f>SUM(C8:C9)</f>
        <v>0</v>
      </c>
      <c r="D7" s="46">
        <f>SUM(D8:D9)</f>
        <v>0</v>
      </c>
      <c r="E7" s="40"/>
    </row>
    <row r="8" spans="1:5" ht="27.75" customHeight="1">
      <c r="A8" s="15" t="s">
        <v>56</v>
      </c>
      <c r="B8" s="15" t="s">
        <v>58</v>
      </c>
      <c r="C8" s="15">
        <f>COUNTIF('1. PL_TW'!$X$10:$X$27,"CT")</f>
        <v>0</v>
      </c>
      <c r="D8" s="16">
        <f>SUMIF('1. PL_TW'!$X$10:$X$27,CT_KCM!A8,'1. PL_TW'!$N$10:$N$27)</f>
        <v>0</v>
      </c>
      <c r="E8" s="15"/>
    </row>
    <row r="9" spans="1:5" ht="26.25" customHeight="1">
      <c r="A9" s="15" t="s">
        <v>57</v>
      </c>
      <c r="B9" s="15" t="s">
        <v>59</v>
      </c>
      <c r="C9" s="15">
        <f>COUNTIF('1. PL_TW'!$X$10:$X$27,"kcm")</f>
        <v>0</v>
      </c>
      <c r="D9" s="16">
        <f>SUMIF('1. PL_TW'!$X$10:$X$27,CT_KCM!A9,'1. PL_TW'!$N$10:$N$27)</f>
        <v>0</v>
      </c>
      <c r="E9" s="15"/>
    </row>
    <row r="10" spans="1:5" s="43" customFormat="1" ht="26.25" customHeight="1">
      <c r="A10" s="41"/>
      <c r="B10" s="44" t="s">
        <v>27</v>
      </c>
      <c r="C10" s="41"/>
      <c r="D10" s="42"/>
      <c r="E10" s="41"/>
    </row>
    <row r="11" spans="1:5" ht="26.25" customHeight="1">
      <c r="A11" s="23"/>
      <c r="B11" s="23" t="s">
        <v>68</v>
      </c>
      <c r="C11" s="23">
        <f>SUM(C12:C13)</f>
        <v>0</v>
      </c>
      <c r="D11" s="17">
        <f>SUM(D12:D13)</f>
        <v>0</v>
      </c>
      <c r="E11" s="23"/>
    </row>
    <row r="12" spans="1:5" ht="26.25" customHeight="1">
      <c r="A12" s="15" t="s">
        <v>56</v>
      </c>
      <c r="B12" s="15" t="s">
        <v>58</v>
      </c>
      <c r="C12" s="15">
        <f>COUNTIF('1. PL_TW'!$X$10:$X$12,"CT")</f>
        <v>0</v>
      </c>
      <c r="D12" s="16">
        <f>SUMIF('1. PL_TW'!$X$10:$X$12,CT_KCM!A12,'1. PL_TW'!$N$10:$N$12)</f>
        <v>0</v>
      </c>
      <c r="E12" s="15"/>
    </row>
    <row r="13" spans="1:5" ht="26.25" customHeight="1">
      <c r="A13" s="15" t="s">
        <v>57</v>
      </c>
      <c r="B13" s="15" t="s">
        <v>59</v>
      </c>
      <c r="C13" s="15">
        <f>COUNTIF('1. PL_TW'!$X$13:$X$15,"kcm")</f>
        <v>0</v>
      </c>
      <c r="D13" s="16">
        <f>SUMIF('1. PL_TW'!$X$13:$X$15,CT_KCM!A13,'1. PL_TW'!$N$13:$N$15)</f>
        <v>0</v>
      </c>
      <c r="E13" s="15"/>
    </row>
    <row r="14" spans="1:5" ht="26.25" customHeight="1">
      <c r="A14" s="15"/>
      <c r="B14" s="23" t="s">
        <v>69</v>
      </c>
      <c r="C14" s="23" t="e">
        <f>SUM(C15:C16)</f>
        <v>#REF!</v>
      </c>
      <c r="D14" s="17" t="e">
        <f>SUM(D15:D16)</f>
        <v>#REF!</v>
      </c>
      <c r="E14" s="15"/>
    </row>
    <row r="15" spans="1:5" ht="26.25" customHeight="1">
      <c r="A15" s="15" t="s">
        <v>56</v>
      </c>
      <c r="B15" s="15" t="s">
        <v>58</v>
      </c>
      <c r="C15" s="15" t="e">
        <f>COUNTIF('1. PL_TW'!#REF!,"CT")</f>
        <v>#REF!</v>
      </c>
      <c r="D15" s="16" t="e">
        <f>SUMIF('1. PL_TW'!#REF!,CT_KCM!A15,'1. PL_TW'!#REF!)</f>
        <v>#REF!</v>
      </c>
      <c r="E15" s="15"/>
    </row>
    <row r="16" spans="1:5" ht="26.25" customHeight="1">
      <c r="A16" s="15" t="s">
        <v>57</v>
      </c>
      <c r="B16" s="15" t="s">
        <v>59</v>
      </c>
      <c r="C16" s="15" t="e">
        <f>COUNTIF('1. PL_TW'!#REF!,"kcm")</f>
        <v>#REF!</v>
      </c>
      <c r="D16" s="16" t="e">
        <f>SUMIF('1. PL_TW'!#REF!,CT_KCM!A16,'1. PL_TW'!#REF!)</f>
        <v>#REF!</v>
      </c>
      <c r="E16" s="15"/>
    </row>
    <row r="17" spans="1:6" ht="26.25" customHeight="1">
      <c r="A17" s="15"/>
      <c r="B17" s="23" t="s">
        <v>70</v>
      </c>
      <c r="C17" s="23" t="e">
        <f>SUM(C18:C19)</f>
        <v>#REF!</v>
      </c>
      <c r="D17" s="17" t="e">
        <f>SUM(D18:D19)</f>
        <v>#REF!</v>
      </c>
      <c r="E17" s="15"/>
    </row>
    <row r="18" spans="1:6" ht="26.25" customHeight="1">
      <c r="A18" s="15" t="s">
        <v>56</v>
      </c>
      <c r="B18" s="15" t="s">
        <v>58</v>
      </c>
      <c r="C18" s="15" t="e">
        <f>COUNTIF('1. PL_TW'!#REF!,"CT")</f>
        <v>#REF!</v>
      </c>
      <c r="D18" s="16" t="e">
        <f>SUMIF('1. PL_TW'!#REF!,CT_KCM!A18,'1. PL_TW'!#REF!)</f>
        <v>#REF!</v>
      </c>
      <c r="E18" s="15"/>
    </row>
    <row r="19" spans="1:6" ht="26.25" customHeight="1">
      <c r="A19" s="15" t="s">
        <v>57</v>
      </c>
      <c r="B19" s="15" t="s">
        <v>59</v>
      </c>
      <c r="C19" s="15" t="e">
        <f>COUNTIF('1. PL_TW'!#REF!,"kcm")</f>
        <v>#REF!</v>
      </c>
      <c r="D19" s="16" t="e">
        <f>SUMIF('1. PL_TW'!#REF!,CT_KCM!A19,'1. PL_TW'!#REF!)</f>
        <v>#REF!</v>
      </c>
      <c r="E19" s="15"/>
    </row>
    <row r="20" spans="1:6" ht="26.25" customHeight="1">
      <c r="A20" s="15"/>
      <c r="B20" s="23" t="s">
        <v>71</v>
      </c>
      <c r="C20" s="23" t="e">
        <f>SUM(C21)</f>
        <v>#REF!</v>
      </c>
      <c r="D20" s="17" t="e">
        <f>SUM(D21)</f>
        <v>#REF!</v>
      </c>
      <c r="E20" s="15"/>
    </row>
    <row r="21" spans="1:6" ht="26.25" customHeight="1">
      <c r="A21" s="15" t="s">
        <v>56</v>
      </c>
      <c r="B21" s="15" t="s">
        <v>58</v>
      </c>
      <c r="C21" s="15" t="e">
        <f>COUNTIF('1. PL_TW'!#REF!,"CT")</f>
        <v>#REF!</v>
      </c>
      <c r="D21" s="16" t="e">
        <f>SUMIF('1. PL_TW'!#REF!,CT_KCM!A21,'1. PL_TW'!#REF!)</f>
        <v>#REF!</v>
      </c>
      <c r="E21" s="15"/>
    </row>
    <row r="22" spans="1:6" ht="26.25" customHeight="1">
      <c r="A22" s="15"/>
      <c r="B22" s="23" t="s">
        <v>72</v>
      </c>
      <c r="C22" s="23" t="e">
        <f>SUM(C23)</f>
        <v>#REF!</v>
      </c>
      <c r="D22" s="17" t="e">
        <f>SUM(D23)</f>
        <v>#REF!</v>
      </c>
      <c r="E22" s="15"/>
    </row>
    <row r="23" spans="1:6" ht="26.25" customHeight="1">
      <c r="A23" s="15" t="s">
        <v>57</v>
      </c>
      <c r="B23" s="15" t="s">
        <v>59</v>
      </c>
      <c r="C23" s="15" t="e">
        <f>COUNTIF('1. PL_TW'!#REF!,"kcm")</f>
        <v>#REF!</v>
      </c>
      <c r="D23" s="16" t="e">
        <f>SUMIF('1. PL_TW'!#REF!,CT_KCM!A23,'1. PL_TW'!#REF!)</f>
        <v>#REF!</v>
      </c>
      <c r="E23" s="15"/>
    </row>
    <row r="24" spans="1:6" ht="26.25" customHeight="1">
      <c r="A24" s="15"/>
      <c r="B24" s="23" t="s">
        <v>73</v>
      </c>
      <c r="C24" s="23" t="e">
        <f>SUM(C25)</f>
        <v>#REF!</v>
      </c>
      <c r="D24" s="17" t="e">
        <f>SUM(D25)</f>
        <v>#REF!</v>
      </c>
      <c r="E24" s="15"/>
    </row>
    <row r="25" spans="1:6" ht="26.25" customHeight="1">
      <c r="A25" s="15" t="s">
        <v>57</v>
      </c>
      <c r="B25" s="15" t="s">
        <v>59</v>
      </c>
      <c r="C25" s="15" t="e">
        <f>COUNTIF('1. PL_TW'!#REF!,"kcm")</f>
        <v>#REF!</v>
      </c>
      <c r="D25" s="16" t="e">
        <f>SUMIF('1. PL_TW'!#REF!,CT_KCM!A25,'1. PL_TW'!#REF!)</f>
        <v>#REF!</v>
      </c>
      <c r="E25" s="15"/>
    </row>
    <row r="26" spans="1:6" ht="39.75" customHeight="1">
      <c r="A26" s="15"/>
      <c r="B26" s="32" t="s">
        <v>74</v>
      </c>
      <c r="C26" s="23" t="e">
        <f>SUM(C27)</f>
        <v>#REF!</v>
      </c>
      <c r="D26" s="17" t="e">
        <f>SUM(D27)</f>
        <v>#REF!</v>
      </c>
      <c r="E26" s="15"/>
    </row>
    <row r="27" spans="1:6" ht="26.25" customHeight="1">
      <c r="A27" s="15" t="s">
        <v>57</v>
      </c>
      <c r="B27" s="15" t="s">
        <v>59</v>
      </c>
      <c r="C27" s="15" t="e">
        <f>COUNTIF('1. PL_TW'!#REF!,"kcm")</f>
        <v>#REF!</v>
      </c>
      <c r="D27" s="16" t="e">
        <f>SUMIF('1. PL_TW'!#REF!,CT_KCM!A27,'1. PL_TW'!#REF!)</f>
        <v>#REF!</v>
      </c>
      <c r="E27" s="15"/>
    </row>
    <row r="28" spans="1:6" ht="36" customHeight="1">
      <c r="A28" s="45">
        <v>2</v>
      </c>
      <c r="B28" s="40" t="s">
        <v>50</v>
      </c>
      <c r="C28" s="40" t="e">
        <f>SUM(C29:C30)</f>
        <v>#REF!</v>
      </c>
      <c r="D28" s="46" t="e">
        <f>SUM(D29:D30)</f>
        <v>#REF!</v>
      </c>
      <c r="E28" s="47"/>
      <c r="F28" s="26"/>
    </row>
    <row r="29" spans="1:6" ht="26.25" customHeight="1">
      <c r="A29" s="15" t="s">
        <v>56</v>
      </c>
      <c r="B29" s="15" t="s">
        <v>58</v>
      </c>
      <c r="C29" s="15" t="e">
        <f>COUNTIF(#REF!,"CT")</f>
        <v>#REF!</v>
      </c>
      <c r="D29" s="16" t="e">
        <f>SUMIF(#REF!,CT_KCM!$A29,#REF!)</f>
        <v>#REF!</v>
      </c>
      <c r="E29" s="15"/>
    </row>
    <row r="30" spans="1:6" ht="26.25" customHeight="1">
      <c r="A30" s="15" t="s">
        <v>57</v>
      </c>
      <c r="B30" s="15" t="s">
        <v>59</v>
      </c>
      <c r="C30" s="15" t="e">
        <f>COUNTIF(#REF!,"kcm")</f>
        <v>#REF!</v>
      </c>
      <c r="D30" s="16" t="e">
        <f>SUMIF(#REF!,CT_KCM!$A30,#REF!)</f>
        <v>#REF!</v>
      </c>
      <c r="E30" s="15"/>
    </row>
    <row r="31" spans="1:6" ht="26.25" customHeight="1">
      <c r="A31" s="15"/>
      <c r="B31" s="44" t="s">
        <v>27</v>
      </c>
      <c r="C31" s="15"/>
      <c r="D31" s="16"/>
      <c r="E31" s="15"/>
    </row>
    <row r="32" spans="1:6" ht="26.25" customHeight="1">
      <c r="A32" s="15"/>
      <c r="B32" s="23" t="s">
        <v>69</v>
      </c>
      <c r="C32" s="23" t="e">
        <f>SUM(C33:C34)</f>
        <v>#REF!</v>
      </c>
      <c r="D32" s="17" t="e">
        <f>SUM(D33:D34)</f>
        <v>#REF!</v>
      </c>
      <c r="E32" s="15"/>
    </row>
    <row r="33" spans="1:6" ht="26.25" customHeight="1">
      <c r="A33" s="15" t="s">
        <v>56</v>
      </c>
      <c r="B33" s="15" t="s">
        <v>58</v>
      </c>
      <c r="C33" s="15" t="e">
        <f>COUNTIF(#REF!,"CT")</f>
        <v>#REF!</v>
      </c>
      <c r="D33" s="16" t="e">
        <f>SUMIF(#REF!,CT_KCM!$A33,#REF!)</f>
        <v>#REF!</v>
      </c>
      <c r="E33" s="15"/>
    </row>
    <row r="34" spans="1:6" ht="26.25" customHeight="1">
      <c r="A34" s="15" t="s">
        <v>57</v>
      </c>
      <c r="B34" s="15" t="s">
        <v>59</v>
      </c>
      <c r="C34" s="15" t="e">
        <f>COUNTIF(#REF!,"kcm")</f>
        <v>#REF!</v>
      </c>
      <c r="D34" s="16" t="e">
        <f>SUMIF(#REF!,CT_KCM!$A34,#REF!)</f>
        <v>#REF!</v>
      </c>
      <c r="E34" s="15"/>
    </row>
    <row r="35" spans="1:6" ht="26.25" customHeight="1">
      <c r="A35" s="23"/>
      <c r="B35" s="23" t="s">
        <v>68</v>
      </c>
      <c r="C35" s="15"/>
      <c r="D35" s="17" t="e">
        <f>SUM(D36)</f>
        <v>#REF!</v>
      </c>
      <c r="E35" s="15"/>
    </row>
    <row r="36" spans="1:6" ht="26.25" customHeight="1">
      <c r="A36" s="15" t="s">
        <v>57</v>
      </c>
      <c r="B36" s="15" t="s">
        <v>59</v>
      </c>
      <c r="C36" s="15" t="e">
        <f>COUNTIF(#REF!,"kcm")</f>
        <v>#REF!</v>
      </c>
      <c r="D36" s="16" t="e">
        <f>SUMIF(#REF!,CT_KCM!$A36,#REF!)</f>
        <v>#REF!</v>
      </c>
      <c r="E36" s="15"/>
    </row>
    <row r="37" spans="1:6" ht="39" customHeight="1">
      <c r="A37" s="45">
        <v>3</v>
      </c>
      <c r="B37" s="40" t="s">
        <v>47</v>
      </c>
      <c r="C37" s="40" t="e">
        <f>SUM(C38:C39)</f>
        <v>#REF!</v>
      </c>
      <c r="D37" s="46" t="e">
        <f>SUM(D38:D39)</f>
        <v>#REF!</v>
      </c>
      <c r="E37" s="47"/>
      <c r="F37" s="26"/>
    </row>
    <row r="38" spans="1:6" ht="26.25" customHeight="1">
      <c r="A38" s="15" t="s">
        <v>56</v>
      </c>
      <c r="B38" s="15" t="s">
        <v>58</v>
      </c>
      <c r="C38" s="15" t="e">
        <f>COUNTIF(#REF!,"CT")</f>
        <v>#REF!</v>
      </c>
      <c r="D38" s="16" t="e">
        <f>SUMIF(#REF!,CT_KCM!$A38,#REF!)</f>
        <v>#REF!</v>
      </c>
      <c r="E38" s="15"/>
    </row>
    <row r="39" spans="1:6" ht="26.25" customHeight="1">
      <c r="A39" s="15" t="s">
        <v>57</v>
      </c>
      <c r="B39" s="15" t="s">
        <v>59</v>
      </c>
      <c r="C39" s="15" t="e">
        <f>COUNTIF(#REF!,"kcm")</f>
        <v>#REF!</v>
      </c>
      <c r="D39" s="16" t="e">
        <f>SUMIF(#REF!,CT_KCM!$A39,#REF!)</f>
        <v>#REF!</v>
      </c>
      <c r="E39" s="15"/>
    </row>
    <row r="40" spans="1:6" ht="42" customHeight="1">
      <c r="A40" s="45">
        <v>4</v>
      </c>
      <c r="B40" s="48" t="s">
        <v>66</v>
      </c>
      <c r="C40" s="40">
        <f>SUM(C41:C41)</f>
        <v>0</v>
      </c>
      <c r="D40" s="46" t="e">
        <f>SUM(D41:D41)</f>
        <v>#REF!</v>
      </c>
      <c r="E40" s="47"/>
      <c r="F40" s="26"/>
    </row>
    <row r="41" spans="1:6" ht="34.5" customHeight="1">
      <c r="A41" s="15" t="s">
        <v>57</v>
      </c>
      <c r="B41" s="15" t="s">
        <v>59</v>
      </c>
      <c r="C41" s="15"/>
      <c r="D41" s="16" t="e">
        <f>SUMIF(#REF!,CT_KCM!$A41,#REF!)</f>
        <v>#REF!</v>
      </c>
      <c r="E41" s="15"/>
    </row>
    <row r="42" spans="1:6" ht="42" customHeight="1">
      <c r="A42" s="45">
        <v>5</v>
      </c>
      <c r="B42" s="48" t="s">
        <v>67</v>
      </c>
      <c r="C42" s="49" t="e">
        <f>SUM(C43:C45)</f>
        <v>#REF!</v>
      </c>
      <c r="D42" s="46" t="e">
        <f>SUM(D43:D45)</f>
        <v>#REF!</v>
      </c>
      <c r="E42" s="47"/>
      <c r="F42" s="26"/>
    </row>
    <row r="43" spans="1:6" ht="42" customHeight="1">
      <c r="A43" s="22"/>
      <c r="B43" s="4" t="s">
        <v>63</v>
      </c>
      <c r="C43" s="16" t="e">
        <f>#REF!</f>
        <v>#REF!</v>
      </c>
      <c r="D43" s="16" t="e">
        <f>#REF!</f>
        <v>#REF!</v>
      </c>
      <c r="E43" s="15"/>
      <c r="F43" s="26"/>
    </row>
    <row r="44" spans="1:6" ht="42" customHeight="1">
      <c r="A44" s="22"/>
      <c r="B44" s="4" t="s">
        <v>64</v>
      </c>
      <c r="C44" s="16" t="e">
        <f>#REF!</f>
        <v>#REF!</v>
      </c>
      <c r="D44" s="16" t="e">
        <f>#REF!</f>
        <v>#REF!</v>
      </c>
      <c r="E44" s="15"/>
      <c r="F44" s="26"/>
    </row>
    <row r="45" spans="1:6" ht="140.25" customHeight="1">
      <c r="A45" s="22"/>
      <c r="B45" s="4" t="s">
        <v>65</v>
      </c>
      <c r="C45" s="16" t="e">
        <f>#REF!</f>
        <v>#REF!</v>
      </c>
      <c r="D45" s="16" t="e">
        <f>#REF!</f>
        <v>#REF!</v>
      </c>
      <c r="E45" s="15"/>
      <c r="F45" s="26"/>
    </row>
  </sheetData>
  <mergeCells count="2">
    <mergeCell ref="D4:E4"/>
    <mergeCell ref="A2:E3"/>
  </mergeCells>
  <pageMargins left="0.7" right="0.7" top="0.75" bottom="0.75" header="0.3" footer="0.3"/>
  <pageSetup paperSize="9" scale="93"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13"/>
  <sheetViews>
    <sheetView view="pageBreakPreview" zoomScale="85" zoomScaleSheetLayoutView="85" workbookViewId="0">
      <selection activeCell="D14" sqref="D14"/>
    </sheetView>
  </sheetViews>
  <sheetFormatPr defaultColWidth="9.109375" defaultRowHeight="16.8"/>
  <cols>
    <col min="1" max="1" width="9.109375" style="1"/>
    <col min="2" max="2" width="33.109375" style="1" customWidth="1"/>
    <col min="3" max="3" width="19.6640625" style="1" customWidth="1"/>
    <col min="4" max="6" width="17.6640625" style="1" customWidth="1"/>
    <col min="7" max="7" width="19.88671875" style="1" customWidth="1"/>
    <col min="8" max="8" width="9.109375" style="1"/>
    <col min="9" max="9" width="14.88671875" style="1" bestFit="1" customWidth="1"/>
    <col min="10" max="16384" width="9.109375" style="1"/>
  </cols>
  <sheetData>
    <row r="3" spans="1:9" ht="35.25" customHeight="1">
      <c r="A3" s="162" t="s">
        <v>52</v>
      </c>
      <c r="B3" s="162"/>
      <c r="C3" s="162"/>
      <c r="D3" s="162"/>
      <c r="E3" s="162"/>
      <c r="F3" s="162"/>
      <c r="G3" s="162"/>
    </row>
    <row r="4" spans="1:9" ht="26.25" customHeight="1">
      <c r="D4" s="161" t="s">
        <v>12</v>
      </c>
      <c r="E4" s="161"/>
      <c r="F4" s="161"/>
      <c r="G4" s="161"/>
    </row>
    <row r="5" spans="1:9" ht="83.25" customHeight="1">
      <c r="A5" s="5" t="s">
        <v>6</v>
      </c>
      <c r="B5" s="5" t="s">
        <v>39</v>
      </c>
      <c r="C5" s="5" t="s">
        <v>40</v>
      </c>
      <c r="D5" s="5" t="s">
        <v>41</v>
      </c>
      <c r="E5" s="5" t="s">
        <v>49</v>
      </c>
      <c r="F5" s="5" t="s">
        <v>46</v>
      </c>
      <c r="G5" s="5" t="s">
        <v>10</v>
      </c>
    </row>
    <row r="6" spans="1:9" ht="28.5" customHeight="1">
      <c r="A6" s="4"/>
      <c r="B6" s="5" t="s">
        <v>11</v>
      </c>
      <c r="C6" s="4"/>
      <c r="D6" s="4"/>
      <c r="E6" s="4"/>
      <c r="F6" s="4"/>
      <c r="G6" s="4"/>
    </row>
    <row r="7" spans="1:9" ht="28.5" customHeight="1">
      <c r="A7" s="5" t="s">
        <v>1</v>
      </c>
      <c r="B7" s="5" t="s">
        <v>43</v>
      </c>
      <c r="C7" s="17">
        <f>SUM(C8:C10)</f>
        <v>1938578</v>
      </c>
      <c r="D7" s="17">
        <f>'1. PL_TW'!N10</f>
        <v>2100000</v>
      </c>
      <c r="E7" s="17">
        <f>D7-C7</f>
        <v>161422</v>
      </c>
      <c r="F7" s="18">
        <f>D7/C7</f>
        <v>1.0832682512645868</v>
      </c>
      <c r="G7" s="4"/>
    </row>
    <row r="8" spans="1:9" ht="32.25" customHeight="1">
      <c r="A8" s="4"/>
      <c r="B8" s="15" t="s">
        <v>42</v>
      </c>
      <c r="C8" s="16">
        <v>1596078</v>
      </c>
      <c r="D8" s="16"/>
      <c r="E8" s="16"/>
      <c r="F8" s="16"/>
      <c r="G8" s="4"/>
      <c r="I8" s="1">
        <f>D8/C8</f>
        <v>0</v>
      </c>
    </row>
    <row r="9" spans="1:9" ht="32.25" customHeight="1">
      <c r="A9" s="4"/>
      <c r="B9" s="15" t="s">
        <v>44</v>
      </c>
      <c r="C9" s="16">
        <v>230000</v>
      </c>
      <c r="D9" s="16"/>
      <c r="E9" s="16"/>
      <c r="F9" s="16"/>
      <c r="G9" s="4"/>
    </row>
    <row r="10" spans="1:9" ht="32.25" customHeight="1">
      <c r="A10" s="4"/>
      <c r="B10" s="15" t="s">
        <v>45</v>
      </c>
      <c r="C10" s="16">
        <v>112500</v>
      </c>
      <c r="D10" s="16"/>
      <c r="E10" s="16"/>
      <c r="F10" s="16"/>
      <c r="G10" s="4"/>
    </row>
    <row r="11" spans="1:9" ht="45" customHeight="1">
      <c r="A11" s="5" t="s">
        <v>2</v>
      </c>
      <c r="B11" s="5" t="s">
        <v>50</v>
      </c>
      <c r="C11" s="17">
        <v>974300</v>
      </c>
      <c r="D11" s="17" t="e">
        <f>#REF!</f>
        <v>#REF!</v>
      </c>
      <c r="E11" s="17" t="e">
        <f>D11-C11</f>
        <v>#REF!</v>
      </c>
      <c r="F11" s="18" t="e">
        <f>D11/C11</f>
        <v>#REF!</v>
      </c>
      <c r="G11" s="4"/>
    </row>
    <row r="12" spans="1:9" ht="45" customHeight="1">
      <c r="A12" s="5" t="s">
        <v>5</v>
      </c>
      <c r="B12" s="5" t="s">
        <v>47</v>
      </c>
      <c r="C12" s="17">
        <v>345627</v>
      </c>
      <c r="D12" s="17" t="e">
        <f>#REF!</f>
        <v>#REF!</v>
      </c>
      <c r="E12" s="17" t="e">
        <f>D12-C12</f>
        <v>#REF!</v>
      </c>
      <c r="F12" s="18" t="s">
        <v>48</v>
      </c>
      <c r="G12" s="4"/>
    </row>
    <row r="13" spans="1:9" ht="45" customHeight="1">
      <c r="A13" s="5" t="s">
        <v>16</v>
      </c>
      <c r="B13" s="5" t="s">
        <v>51</v>
      </c>
      <c r="C13" s="17">
        <v>385542</v>
      </c>
      <c r="D13" s="17" t="e">
        <f>#REF!</f>
        <v>#REF!</v>
      </c>
      <c r="E13" s="17" t="e">
        <f>D13-C13</f>
        <v>#REF!</v>
      </c>
      <c r="F13" s="18" t="e">
        <f>D13/C13</f>
        <v>#REF!</v>
      </c>
      <c r="G13" s="4"/>
    </row>
  </sheetData>
  <mergeCells count="2">
    <mergeCell ref="D4:G4"/>
    <mergeCell ref="A3:G3"/>
  </mergeCells>
  <pageMargins left="0.7" right="0.7" top="0.75" bottom="0.75" header="0.3" footer="0.3"/>
  <pageSetup paperSize="9" scale="66"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D11"/>
  <sheetViews>
    <sheetView view="pageBreakPreview" topLeftCell="A4" zoomScale="60" workbookViewId="0">
      <selection activeCell="F16" sqref="F16"/>
    </sheetView>
  </sheetViews>
  <sheetFormatPr defaultColWidth="9.109375" defaultRowHeight="13.2"/>
  <cols>
    <col min="1" max="1" width="7.44140625" style="12" customWidth="1"/>
    <col min="2" max="2" width="44.44140625" style="12" customWidth="1"/>
    <col min="3" max="3" width="27.88671875" style="12" customWidth="1"/>
    <col min="4" max="4" width="37.44140625" style="12" customWidth="1"/>
    <col min="5" max="16384" width="9.109375" style="12"/>
  </cols>
  <sheetData>
    <row r="5" spans="1:4" ht="57" customHeight="1">
      <c r="A5" s="163" t="s">
        <v>37</v>
      </c>
      <c r="B5" s="163"/>
      <c r="C5" s="163"/>
      <c r="D5" s="163"/>
    </row>
    <row r="6" spans="1:4" ht="20.25" customHeight="1"/>
    <row r="7" spans="1:4" ht="28.5" customHeight="1"/>
    <row r="8" spans="1:4" ht="64.5" customHeight="1">
      <c r="A8" s="6" t="s">
        <v>6</v>
      </c>
      <c r="B8" s="6" t="s">
        <v>14</v>
      </c>
      <c r="C8" s="6" t="s">
        <v>38</v>
      </c>
      <c r="D8" s="6" t="s">
        <v>10</v>
      </c>
    </row>
    <row r="9" spans="1:4" ht="39.75" customHeight="1">
      <c r="A9" s="6"/>
      <c r="B9" s="5" t="s">
        <v>11</v>
      </c>
      <c r="C9" s="13"/>
      <c r="D9" s="13"/>
    </row>
    <row r="10" spans="1:4" ht="43.5" customHeight="1">
      <c r="A10" s="6">
        <v>1</v>
      </c>
      <c r="B10" s="4" t="s">
        <v>23</v>
      </c>
      <c r="C10" s="9">
        <v>90000</v>
      </c>
      <c r="D10" s="4" t="s">
        <v>34</v>
      </c>
    </row>
    <row r="11" spans="1:4" ht="129.75" customHeight="1">
      <c r="A11" s="6">
        <f>+A10+1</f>
        <v>2</v>
      </c>
      <c r="B11" s="11" t="s">
        <v>35</v>
      </c>
      <c r="C11" s="9">
        <v>516000</v>
      </c>
      <c r="D11" s="4" t="s">
        <v>36</v>
      </c>
    </row>
  </sheetData>
  <mergeCells count="1">
    <mergeCell ref="A5:D5"/>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 PL_TW (2)</vt:lpstr>
      <vt:lpstr>1. PL_TW</vt:lpstr>
      <vt:lpstr>CT_KCM</vt:lpstr>
      <vt:lpstr>TH CT_KCM</vt:lpstr>
      <vt:lpstr>DM o dua vao von tW</vt:lpstr>
      <vt:lpstr>'1. PL_TW'!Print_Area</vt:lpstr>
      <vt:lpstr>'1. PL_TW (2)'!Print_Area</vt:lpstr>
      <vt:lpstr>'TH CT_KCM'!Print_Area</vt:lpstr>
      <vt:lpstr>'1. PL_TW'!Print_Titles</vt:lpstr>
      <vt:lpstr>'1. PL_TW (2)'!Print_Titles</vt:lpstr>
      <vt:lpstr>CT_KCM!Print_Titles</vt:lpstr>
    </vt:vector>
  </TitlesOfParts>
  <Company>skhdt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th1</dc:creator>
  <cp:lastModifiedBy>HP</cp:lastModifiedBy>
  <cp:lastPrinted>2024-12-30T07:42:03Z</cp:lastPrinted>
  <dcterms:created xsi:type="dcterms:W3CDTF">2014-12-03T02:08:46Z</dcterms:created>
  <dcterms:modified xsi:type="dcterms:W3CDTF">2024-12-31T07:10:27Z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b54c3187c31548c0baccc532a68151f4.psdsxs" Id="Rccdac689be4746d6" /></Relationships>
</file>