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578954041c644ae3" /></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1412" yWindow="-48" windowWidth="12456" windowHeight="10116" tabRatio="815"/>
  </bookViews>
  <sheets>
    <sheet name="TH" sheetId="31" r:id="rId1"/>
    <sheet name="1. CĐNS" sheetId="2" r:id="rId2"/>
    <sheet name="2. SDĐ" sheetId="3" r:id="rId3"/>
    <sheet name="3. XSKT" sheetId="11" r:id="rId4"/>
    <sheet name="4. ĐƯCTMTQG" sheetId="7" r:id="rId5"/>
    <sheet name="5. ĐPTTH" sheetId="1" r:id="rId6"/>
    <sheet name="6. UBTP hoàn trả" sheetId="6" r:id="rId7"/>
    <sheet name="7. XSKT CNT" sheetId="8" r:id="rId8"/>
    <sheet name="8. KDXSKT" sheetId="29" r:id="rId9"/>
    <sheet name="9. KDSDĐ năm 2020" sheetId="10" r:id="rId10"/>
    <sheet name="10. Boi chi" sheetId="16" r:id="rId11"/>
    <sheet name="11.VTXSKT" sheetId="20" r:id="rId12"/>
    <sheet name="12. KDCĐNS2022" sheetId="24" r:id="rId13"/>
    <sheet name="13. KDXSKT2022" sheetId="25" r:id="rId14"/>
    <sheet name="14. VTXSKT2022" sheetId="27" r:id="rId15"/>
    <sheet name="15. DA ĐB" sheetId="30" r:id="rId16"/>
    <sheet name="16. DA chưa QĐĐT (2)" sheetId="34" r:id="rId17"/>
    <sheet name="DA chưa QĐĐT" sheetId="32" state="hidden" r:id="rId18"/>
    <sheet name="17. KDXS2020-CNT" sheetId="35" r:id="rId19"/>
    <sheet name="18. Muon ĐPTTH" sheetId="36" r:id="rId20"/>
    <sheet name="19. DP NST 2024" sheetId="37" r:id="rId21"/>
    <sheet name="20. Tỉnh Trà Vinh hỗ trợ" sheetId="38" r:id="rId22"/>
    <sheet name="21. BQP hỗ trợ" sheetId="39" r:id="rId23"/>
    <sheet name="22. NHNN" sheetId="40" r:id="rId24"/>
    <sheet name="23. VTPCP" sheetId="41" r:id="rId25"/>
    <sheet name="16. DA chưa QĐĐT (full)" sheetId="33" state="hidden" r:id="rId26"/>
    <sheet name="24. CBĐT-QT" sheetId="42" r:id="rId27"/>
    <sheet name="TH 1" sheetId="28" state="hidden" r:id="rId28"/>
    <sheet name="25. ĐUPCP" sheetId="43" r:id="rId29"/>
  </sheets>
  <definedNames>
    <definedName name="____a1" localSheetId="15" hidden="1">{"'Sheet1'!$L$16"}</definedName>
    <definedName name="____a1" localSheetId="18" hidden="1">{"'Sheet1'!$L$16"}</definedName>
    <definedName name="____a1" localSheetId="19" hidden="1">{"'Sheet1'!$L$16"}</definedName>
    <definedName name="____a1" localSheetId="20" hidden="1">{"'Sheet1'!$L$16"}</definedName>
    <definedName name="____a1" localSheetId="23" hidden="1">{"'Sheet1'!$L$16"}</definedName>
    <definedName name="____a1" localSheetId="24" hidden="1">{"'Sheet1'!$L$16"}</definedName>
    <definedName name="____a1" localSheetId="8" hidden="1">{"'Sheet1'!$L$16"}</definedName>
    <definedName name="____a1" hidden="1">{"'Sheet1'!$L$16"}</definedName>
    <definedName name="____B1" localSheetId="15" hidden="1">{"'Sheet1'!$L$16"}</definedName>
    <definedName name="____B1" localSheetId="18" hidden="1">{"'Sheet1'!$L$16"}</definedName>
    <definedName name="____B1" localSheetId="19" hidden="1">{"'Sheet1'!$L$16"}</definedName>
    <definedName name="____B1" localSheetId="20" hidden="1">{"'Sheet1'!$L$16"}</definedName>
    <definedName name="____B1" localSheetId="23" hidden="1">{"'Sheet1'!$L$16"}</definedName>
    <definedName name="____B1" localSheetId="24" hidden="1">{"'Sheet1'!$L$16"}</definedName>
    <definedName name="____B1" localSheetId="8" hidden="1">{"'Sheet1'!$L$16"}</definedName>
    <definedName name="____B1" hidden="1">{"'Sheet1'!$L$16"}</definedName>
    <definedName name="____ban2" localSheetId="15" hidden="1">{"'Sheet1'!$L$16"}</definedName>
    <definedName name="____ban2" localSheetId="18" hidden="1">{"'Sheet1'!$L$16"}</definedName>
    <definedName name="____ban2" localSheetId="19" hidden="1">{"'Sheet1'!$L$16"}</definedName>
    <definedName name="____ban2" localSheetId="20" hidden="1">{"'Sheet1'!$L$16"}</definedName>
    <definedName name="____ban2" localSheetId="23" hidden="1">{"'Sheet1'!$L$16"}</definedName>
    <definedName name="____ban2" localSheetId="24" hidden="1">{"'Sheet1'!$L$16"}</definedName>
    <definedName name="____ban2" localSheetId="8" hidden="1">{"'Sheet1'!$L$16"}</definedName>
    <definedName name="____ban2" hidden="1">{"'Sheet1'!$L$16"}</definedName>
    <definedName name="____h1" localSheetId="15" hidden="1">{"'Sheet1'!$L$16"}</definedName>
    <definedName name="____h1" localSheetId="18" hidden="1">{"'Sheet1'!$L$16"}</definedName>
    <definedName name="____h1" localSheetId="19" hidden="1">{"'Sheet1'!$L$16"}</definedName>
    <definedName name="____h1" localSheetId="20" hidden="1">{"'Sheet1'!$L$16"}</definedName>
    <definedName name="____h1" localSheetId="23" hidden="1">{"'Sheet1'!$L$16"}</definedName>
    <definedName name="____h1" localSheetId="24" hidden="1">{"'Sheet1'!$L$16"}</definedName>
    <definedName name="____h1" localSheetId="8" hidden="1">{"'Sheet1'!$L$16"}</definedName>
    <definedName name="____h1" hidden="1">{"'Sheet1'!$L$16"}</definedName>
    <definedName name="____hu1" localSheetId="15" hidden="1">{"'Sheet1'!$L$16"}</definedName>
    <definedName name="____hu1" localSheetId="18" hidden="1">{"'Sheet1'!$L$16"}</definedName>
    <definedName name="____hu1" localSheetId="19" hidden="1">{"'Sheet1'!$L$16"}</definedName>
    <definedName name="____hu1" localSheetId="20" hidden="1">{"'Sheet1'!$L$16"}</definedName>
    <definedName name="____hu1" localSheetId="23" hidden="1">{"'Sheet1'!$L$16"}</definedName>
    <definedName name="____hu1" localSheetId="24" hidden="1">{"'Sheet1'!$L$16"}</definedName>
    <definedName name="____hu1" localSheetId="8" hidden="1">{"'Sheet1'!$L$16"}</definedName>
    <definedName name="____hu1" hidden="1">{"'Sheet1'!$L$16"}</definedName>
    <definedName name="____hu2" localSheetId="15" hidden="1">{"'Sheet1'!$L$16"}</definedName>
    <definedName name="____hu2" localSheetId="18" hidden="1">{"'Sheet1'!$L$16"}</definedName>
    <definedName name="____hu2" localSheetId="19" hidden="1">{"'Sheet1'!$L$16"}</definedName>
    <definedName name="____hu2" localSheetId="20" hidden="1">{"'Sheet1'!$L$16"}</definedName>
    <definedName name="____hu2" localSheetId="23" hidden="1">{"'Sheet1'!$L$16"}</definedName>
    <definedName name="____hu2" localSheetId="24" hidden="1">{"'Sheet1'!$L$16"}</definedName>
    <definedName name="____hu2" localSheetId="8" hidden="1">{"'Sheet1'!$L$16"}</definedName>
    <definedName name="____hu2" hidden="1">{"'Sheet1'!$L$16"}</definedName>
    <definedName name="____hu5" localSheetId="15" hidden="1">{"'Sheet1'!$L$16"}</definedName>
    <definedName name="____hu5" localSheetId="18" hidden="1">{"'Sheet1'!$L$16"}</definedName>
    <definedName name="____hu5" localSheetId="19" hidden="1">{"'Sheet1'!$L$16"}</definedName>
    <definedName name="____hu5" localSheetId="20" hidden="1">{"'Sheet1'!$L$16"}</definedName>
    <definedName name="____hu5" localSheetId="23" hidden="1">{"'Sheet1'!$L$16"}</definedName>
    <definedName name="____hu5" localSheetId="24" hidden="1">{"'Sheet1'!$L$16"}</definedName>
    <definedName name="____hu5" localSheetId="8" hidden="1">{"'Sheet1'!$L$16"}</definedName>
    <definedName name="____hu5" hidden="1">{"'Sheet1'!$L$16"}</definedName>
    <definedName name="____hu6" localSheetId="15" hidden="1">{"'Sheet1'!$L$16"}</definedName>
    <definedName name="____hu6" localSheetId="18" hidden="1">{"'Sheet1'!$L$16"}</definedName>
    <definedName name="____hu6" localSheetId="19" hidden="1">{"'Sheet1'!$L$16"}</definedName>
    <definedName name="____hu6" localSheetId="20" hidden="1">{"'Sheet1'!$L$16"}</definedName>
    <definedName name="____hu6" localSheetId="23" hidden="1">{"'Sheet1'!$L$16"}</definedName>
    <definedName name="____hu6" localSheetId="24" hidden="1">{"'Sheet1'!$L$16"}</definedName>
    <definedName name="____hu6" localSheetId="8" hidden="1">{"'Sheet1'!$L$16"}</definedName>
    <definedName name="____hu6" hidden="1">{"'Sheet1'!$L$16"}</definedName>
    <definedName name="____M36" localSheetId="15" hidden="1">{"'Sheet1'!$L$16"}</definedName>
    <definedName name="____M36" localSheetId="18" hidden="1">{"'Sheet1'!$L$16"}</definedName>
    <definedName name="____M36" localSheetId="19" hidden="1">{"'Sheet1'!$L$16"}</definedName>
    <definedName name="____M36" localSheetId="20" hidden="1">{"'Sheet1'!$L$16"}</definedName>
    <definedName name="____M36" localSheetId="23" hidden="1">{"'Sheet1'!$L$16"}</definedName>
    <definedName name="____M36" localSheetId="24" hidden="1">{"'Sheet1'!$L$16"}</definedName>
    <definedName name="____M36" localSheetId="8" hidden="1">{"'Sheet1'!$L$16"}</definedName>
    <definedName name="____M36" hidden="1">{"'Sheet1'!$L$16"}</definedName>
    <definedName name="____NSO2" localSheetId="18" hidden="1">{"'Sheet1'!$L$16"}</definedName>
    <definedName name="____NSO2" localSheetId="23" hidden="1">{"'Sheet1'!$L$16"}</definedName>
    <definedName name="____NSO2" localSheetId="24" hidden="1">{"'Sheet1'!$L$16"}</definedName>
    <definedName name="____NSO2" hidden="1">{"'Sheet1'!$L$16"}</definedName>
    <definedName name="____PA3" localSheetId="15" hidden="1">{"'Sheet1'!$L$16"}</definedName>
    <definedName name="____PA3" localSheetId="18" hidden="1">{"'Sheet1'!$L$16"}</definedName>
    <definedName name="____PA3" localSheetId="19" hidden="1">{"'Sheet1'!$L$16"}</definedName>
    <definedName name="____PA3" localSheetId="20" hidden="1">{"'Sheet1'!$L$16"}</definedName>
    <definedName name="____PA3" localSheetId="23" hidden="1">{"'Sheet1'!$L$16"}</definedName>
    <definedName name="____PA3" localSheetId="24" hidden="1">{"'Sheet1'!$L$16"}</definedName>
    <definedName name="____PA3" localSheetId="8" hidden="1">{"'Sheet1'!$L$16"}</definedName>
    <definedName name="____PA3" hidden="1">{"'Sheet1'!$L$16"}</definedName>
    <definedName name="____Pl2" localSheetId="15" hidden="1">{"'Sheet1'!$L$16"}</definedName>
    <definedName name="____Pl2" localSheetId="18" hidden="1">{"'Sheet1'!$L$16"}</definedName>
    <definedName name="____Pl2" localSheetId="19" hidden="1">{"'Sheet1'!$L$16"}</definedName>
    <definedName name="____Pl2" localSheetId="20" hidden="1">{"'Sheet1'!$L$16"}</definedName>
    <definedName name="____Pl2" localSheetId="23" hidden="1">{"'Sheet1'!$L$16"}</definedName>
    <definedName name="____Pl2" localSheetId="24" hidden="1">{"'Sheet1'!$L$16"}</definedName>
    <definedName name="____Pl2" localSheetId="8" hidden="1">{"'Sheet1'!$L$16"}</definedName>
    <definedName name="____Pl2" hidden="1">{"'Sheet1'!$L$16"}</definedName>
    <definedName name="____Tru21" localSheetId="15" hidden="1">{"'Sheet1'!$L$16"}</definedName>
    <definedName name="____Tru21" localSheetId="18" hidden="1">{"'Sheet1'!$L$16"}</definedName>
    <definedName name="____Tru21" localSheetId="19" hidden="1">{"'Sheet1'!$L$16"}</definedName>
    <definedName name="____Tru21" localSheetId="20" hidden="1">{"'Sheet1'!$L$16"}</definedName>
    <definedName name="____Tru21" localSheetId="23" hidden="1">{"'Sheet1'!$L$16"}</definedName>
    <definedName name="____Tru21" localSheetId="24" hidden="1">{"'Sheet1'!$L$16"}</definedName>
    <definedName name="____Tru21" localSheetId="8" hidden="1">{"'Sheet1'!$L$16"}</definedName>
    <definedName name="____Tru21" hidden="1">{"'Sheet1'!$L$16"}</definedName>
    <definedName name="___a1" localSheetId="15" hidden="1">{"'Sheet1'!$L$16"}</definedName>
    <definedName name="___a1" localSheetId="18" hidden="1">{"'Sheet1'!$L$16"}</definedName>
    <definedName name="___a1" localSheetId="19" hidden="1">{"'Sheet1'!$L$16"}</definedName>
    <definedName name="___a1" localSheetId="20" hidden="1">{"'Sheet1'!$L$16"}</definedName>
    <definedName name="___a1" localSheetId="23" hidden="1">{"'Sheet1'!$L$16"}</definedName>
    <definedName name="___a1" localSheetId="24" hidden="1">{"'Sheet1'!$L$16"}</definedName>
    <definedName name="___a1" localSheetId="8" hidden="1">{"'Sheet1'!$L$16"}</definedName>
    <definedName name="___a1" hidden="1">{"'Sheet1'!$L$16"}</definedName>
    <definedName name="___B1" localSheetId="15" hidden="1">{"'Sheet1'!$L$16"}</definedName>
    <definedName name="___B1" localSheetId="18" hidden="1">{"'Sheet1'!$L$16"}</definedName>
    <definedName name="___B1" localSheetId="19" hidden="1">{"'Sheet1'!$L$16"}</definedName>
    <definedName name="___B1" localSheetId="20" hidden="1">{"'Sheet1'!$L$16"}</definedName>
    <definedName name="___B1" localSheetId="23" hidden="1">{"'Sheet1'!$L$16"}</definedName>
    <definedName name="___B1" localSheetId="24" hidden="1">{"'Sheet1'!$L$16"}</definedName>
    <definedName name="___B1" localSheetId="8" hidden="1">{"'Sheet1'!$L$16"}</definedName>
    <definedName name="___B1" hidden="1">{"'Sheet1'!$L$16"}</definedName>
    <definedName name="___ban2" localSheetId="15" hidden="1">{"'Sheet1'!$L$16"}</definedName>
    <definedName name="___ban2" localSheetId="18" hidden="1">{"'Sheet1'!$L$16"}</definedName>
    <definedName name="___ban2" localSheetId="19" hidden="1">{"'Sheet1'!$L$16"}</definedName>
    <definedName name="___ban2" localSheetId="20" hidden="1">{"'Sheet1'!$L$16"}</definedName>
    <definedName name="___ban2" localSheetId="23" hidden="1">{"'Sheet1'!$L$16"}</definedName>
    <definedName name="___ban2" localSheetId="24" hidden="1">{"'Sheet1'!$L$16"}</definedName>
    <definedName name="___ban2" localSheetId="8" hidden="1">{"'Sheet1'!$L$16"}</definedName>
    <definedName name="___ban2" hidden="1">{"'Sheet1'!$L$16"}</definedName>
    <definedName name="___h1" localSheetId="15" hidden="1">{"'Sheet1'!$L$16"}</definedName>
    <definedName name="___h1" localSheetId="18" hidden="1">{"'Sheet1'!$L$16"}</definedName>
    <definedName name="___h1" localSheetId="19" hidden="1">{"'Sheet1'!$L$16"}</definedName>
    <definedName name="___h1" localSheetId="20" hidden="1">{"'Sheet1'!$L$16"}</definedName>
    <definedName name="___h1" localSheetId="23" hidden="1">{"'Sheet1'!$L$16"}</definedName>
    <definedName name="___h1" localSheetId="24" hidden="1">{"'Sheet1'!$L$16"}</definedName>
    <definedName name="___h1" localSheetId="8" hidden="1">{"'Sheet1'!$L$16"}</definedName>
    <definedName name="___h1" hidden="1">{"'Sheet1'!$L$16"}</definedName>
    <definedName name="___hsm2">1.1289</definedName>
    <definedName name="___hu1" localSheetId="15" hidden="1">{"'Sheet1'!$L$16"}</definedName>
    <definedName name="___hu1" localSheetId="18" hidden="1">{"'Sheet1'!$L$16"}</definedName>
    <definedName name="___hu1" localSheetId="19" hidden="1">{"'Sheet1'!$L$16"}</definedName>
    <definedName name="___hu1" localSheetId="20" hidden="1">{"'Sheet1'!$L$16"}</definedName>
    <definedName name="___hu1" localSheetId="23" hidden="1">{"'Sheet1'!$L$16"}</definedName>
    <definedName name="___hu1" localSheetId="24" hidden="1">{"'Sheet1'!$L$16"}</definedName>
    <definedName name="___hu1" localSheetId="8" hidden="1">{"'Sheet1'!$L$16"}</definedName>
    <definedName name="___hu1" hidden="1">{"'Sheet1'!$L$16"}</definedName>
    <definedName name="___hu2" localSheetId="15" hidden="1">{"'Sheet1'!$L$16"}</definedName>
    <definedName name="___hu2" localSheetId="18" hidden="1">{"'Sheet1'!$L$16"}</definedName>
    <definedName name="___hu2" localSheetId="19" hidden="1">{"'Sheet1'!$L$16"}</definedName>
    <definedName name="___hu2" localSheetId="20" hidden="1">{"'Sheet1'!$L$16"}</definedName>
    <definedName name="___hu2" localSheetId="23" hidden="1">{"'Sheet1'!$L$16"}</definedName>
    <definedName name="___hu2" localSheetId="24" hidden="1">{"'Sheet1'!$L$16"}</definedName>
    <definedName name="___hu2" localSheetId="8" hidden="1">{"'Sheet1'!$L$16"}</definedName>
    <definedName name="___hu2" hidden="1">{"'Sheet1'!$L$16"}</definedName>
    <definedName name="___hu5" localSheetId="15" hidden="1">{"'Sheet1'!$L$16"}</definedName>
    <definedName name="___hu5" localSheetId="18" hidden="1">{"'Sheet1'!$L$16"}</definedName>
    <definedName name="___hu5" localSheetId="19" hidden="1">{"'Sheet1'!$L$16"}</definedName>
    <definedName name="___hu5" localSheetId="20" hidden="1">{"'Sheet1'!$L$16"}</definedName>
    <definedName name="___hu5" localSheetId="23" hidden="1">{"'Sheet1'!$L$16"}</definedName>
    <definedName name="___hu5" localSheetId="24" hidden="1">{"'Sheet1'!$L$16"}</definedName>
    <definedName name="___hu5" localSheetId="8" hidden="1">{"'Sheet1'!$L$16"}</definedName>
    <definedName name="___hu5" hidden="1">{"'Sheet1'!$L$16"}</definedName>
    <definedName name="___hu6" localSheetId="15" hidden="1">{"'Sheet1'!$L$16"}</definedName>
    <definedName name="___hu6" localSheetId="18" hidden="1">{"'Sheet1'!$L$16"}</definedName>
    <definedName name="___hu6" localSheetId="19" hidden="1">{"'Sheet1'!$L$16"}</definedName>
    <definedName name="___hu6" localSheetId="20" hidden="1">{"'Sheet1'!$L$16"}</definedName>
    <definedName name="___hu6" localSheetId="23" hidden="1">{"'Sheet1'!$L$16"}</definedName>
    <definedName name="___hu6" localSheetId="24" hidden="1">{"'Sheet1'!$L$16"}</definedName>
    <definedName name="___hu6" localSheetId="8" hidden="1">{"'Sheet1'!$L$16"}</definedName>
    <definedName name="___hu6" hidden="1">{"'Sheet1'!$L$16"}</definedName>
    <definedName name="___isc1">0.035</definedName>
    <definedName name="___isc2">0.02</definedName>
    <definedName name="___isc3">0.054</definedName>
    <definedName name="___M36" localSheetId="15" hidden="1">{"'Sheet1'!$L$16"}</definedName>
    <definedName name="___M36" localSheetId="18" hidden="1">{"'Sheet1'!$L$16"}</definedName>
    <definedName name="___M36" localSheetId="19" hidden="1">{"'Sheet1'!$L$16"}</definedName>
    <definedName name="___M36" localSheetId="20" hidden="1">{"'Sheet1'!$L$16"}</definedName>
    <definedName name="___M36" localSheetId="23" hidden="1">{"'Sheet1'!$L$16"}</definedName>
    <definedName name="___M36" localSheetId="24" hidden="1">{"'Sheet1'!$L$16"}</definedName>
    <definedName name="___M36" localSheetId="8" hidden="1">{"'Sheet1'!$L$16"}</definedName>
    <definedName name="___M36" hidden="1">{"'Sheet1'!$L$16"}</definedName>
    <definedName name="___NSO2" localSheetId="15" hidden="1">{"'Sheet1'!$L$16"}</definedName>
    <definedName name="___NSO2" localSheetId="18" hidden="1">{"'Sheet1'!$L$16"}</definedName>
    <definedName name="___NSO2" localSheetId="19" hidden="1">{"'Sheet1'!$L$16"}</definedName>
    <definedName name="___NSO2" localSheetId="20" hidden="1">{"'Sheet1'!$L$16"}</definedName>
    <definedName name="___NSO2" localSheetId="23" hidden="1">{"'Sheet1'!$L$16"}</definedName>
    <definedName name="___NSO2" localSheetId="24" hidden="1">{"'Sheet1'!$L$16"}</definedName>
    <definedName name="___NSO2" localSheetId="8" hidden="1">{"'Sheet1'!$L$16"}</definedName>
    <definedName name="___NSO2" hidden="1">{"'Sheet1'!$L$16"}</definedName>
    <definedName name="___PA3" localSheetId="15" hidden="1">{"'Sheet1'!$L$16"}</definedName>
    <definedName name="___PA3" localSheetId="18" hidden="1">{"'Sheet1'!$L$16"}</definedName>
    <definedName name="___PA3" localSheetId="19" hidden="1">{"'Sheet1'!$L$16"}</definedName>
    <definedName name="___PA3" localSheetId="20" hidden="1">{"'Sheet1'!$L$16"}</definedName>
    <definedName name="___PA3" localSheetId="23" hidden="1">{"'Sheet1'!$L$16"}</definedName>
    <definedName name="___PA3" localSheetId="24" hidden="1">{"'Sheet1'!$L$16"}</definedName>
    <definedName name="___PA3" localSheetId="8" hidden="1">{"'Sheet1'!$L$16"}</definedName>
    <definedName name="___PA3" hidden="1">{"'Sheet1'!$L$16"}</definedName>
    <definedName name="___Pl2" localSheetId="15" hidden="1">{"'Sheet1'!$L$16"}</definedName>
    <definedName name="___Pl2" localSheetId="18" hidden="1">{"'Sheet1'!$L$16"}</definedName>
    <definedName name="___Pl2" localSheetId="19" hidden="1">{"'Sheet1'!$L$16"}</definedName>
    <definedName name="___Pl2" localSheetId="20" hidden="1">{"'Sheet1'!$L$16"}</definedName>
    <definedName name="___Pl2" localSheetId="23" hidden="1">{"'Sheet1'!$L$16"}</definedName>
    <definedName name="___Pl2" localSheetId="24" hidden="1">{"'Sheet1'!$L$16"}</definedName>
    <definedName name="___Pl2" localSheetId="8" hidden="1">{"'Sheet1'!$L$16"}</definedName>
    <definedName name="___Pl2" hidden="1">{"'Sheet1'!$L$16"}</definedName>
    <definedName name="___PL3" localSheetId="16" hidden="1">#REF!</definedName>
    <definedName name="___PL3" localSheetId="25" hidden="1">#REF!</definedName>
    <definedName name="___PL3" localSheetId="18" hidden="1">#REF!</definedName>
    <definedName name="___PL3" localSheetId="20" hidden="1">#REF!</definedName>
    <definedName name="___PL3" localSheetId="21" hidden="1">#REF!</definedName>
    <definedName name="___PL3" localSheetId="24" hidden="1">#REF!</definedName>
    <definedName name="___PL3" localSheetId="17" hidden="1">#REF!</definedName>
    <definedName name="___PL3" hidden="1">#REF!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15" hidden="1">{"'Sheet1'!$L$16"}</definedName>
    <definedName name="___Tru21" localSheetId="18" hidden="1">{"'Sheet1'!$L$16"}</definedName>
    <definedName name="___Tru21" localSheetId="19" hidden="1">{"'Sheet1'!$L$16"}</definedName>
    <definedName name="___Tru21" localSheetId="20" hidden="1">{"'Sheet1'!$L$16"}</definedName>
    <definedName name="___Tru21" localSheetId="23" hidden="1">{"'Sheet1'!$L$16"}</definedName>
    <definedName name="___Tru21" localSheetId="24" hidden="1">{"'Sheet1'!$L$16"}</definedName>
    <definedName name="___Tru21" localSheetId="8" hidden="1">{"'Sheet1'!$L$16"}</definedName>
    <definedName name="___Tru21" hidden="1">{"'Sheet1'!$L$16"}</definedName>
    <definedName name="__a1" localSheetId="15" hidden="1">{"'Sheet1'!$L$16"}</definedName>
    <definedName name="__a1" localSheetId="18" hidden="1">{"'Sheet1'!$L$16"}</definedName>
    <definedName name="__a1" localSheetId="19" hidden="1">{"'Sheet1'!$L$16"}</definedName>
    <definedName name="__a1" localSheetId="20" hidden="1">{"'Sheet1'!$L$16"}</definedName>
    <definedName name="__a1" localSheetId="23" hidden="1">{"'Sheet1'!$L$16"}</definedName>
    <definedName name="__a1" localSheetId="24" hidden="1">{"'Sheet1'!$L$16"}</definedName>
    <definedName name="__a1" localSheetId="8" hidden="1">{"'Sheet1'!$L$16"}</definedName>
    <definedName name="__a1" hidden="1">{"'Sheet1'!$L$16"}</definedName>
    <definedName name="__B1" localSheetId="15" hidden="1">{"'Sheet1'!$L$16"}</definedName>
    <definedName name="__B1" localSheetId="18" hidden="1">{"'Sheet1'!$L$16"}</definedName>
    <definedName name="__B1" localSheetId="19" hidden="1">{"'Sheet1'!$L$16"}</definedName>
    <definedName name="__B1" localSheetId="20" hidden="1">{"'Sheet1'!$L$16"}</definedName>
    <definedName name="__B1" localSheetId="23" hidden="1">{"'Sheet1'!$L$16"}</definedName>
    <definedName name="__B1" localSheetId="24" hidden="1">{"'Sheet1'!$L$16"}</definedName>
    <definedName name="__B1" localSheetId="8" hidden="1">{"'Sheet1'!$L$16"}</definedName>
    <definedName name="__B1" hidden="1">{"'Sheet1'!$L$16"}</definedName>
    <definedName name="__ban2" localSheetId="15" hidden="1">{"'Sheet1'!$L$16"}</definedName>
    <definedName name="__ban2" localSheetId="18" hidden="1">{"'Sheet1'!$L$16"}</definedName>
    <definedName name="__ban2" localSheetId="19" hidden="1">{"'Sheet1'!$L$16"}</definedName>
    <definedName name="__ban2" localSheetId="20" hidden="1">{"'Sheet1'!$L$16"}</definedName>
    <definedName name="__ban2" localSheetId="23" hidden="1">{"'Sheet1'!$L$16"}</definedName>
    <definedName name="__ban2" localSheetId="24" hidden="1">{"'Sheet1'!$L$16"}</definedName>
    <definedName name="__ban2" localSheetId="8" hidden="1">{"'Sheet1'!$L$16"}</definedName>
    <definedName name="__ban2" hidden="1">{"'Sheet1'!$L$16"}</definedName>
    <definedName name="__h1" localSheetId="15" hidden="1">{"'Sheet1'!$L$16"}</definedName>
    <definedName name="__h1" localSheetId="18" hidden="1">{"'Sheet1'!$L$16"}</definedName>
    <definedName name="__h1" localSheetId="19" hidden="1">{"'Sheet1'!$L$16"}</definedName>
    <definedName name="__h1" localSheetId="20" hidden="1">{"'Sheet1'!$L$16"}</definedName>
    <definedName name="__h1" localSheetId="23" hidden="1">{"'Sheet1'!$L$16"}</definedName>
    <definedName name="__h1" localSheetId="24" hidden="1">{"'Sheet1'!$L$16"}</definedName>
    <definedName name="__h1" localSheetId="8" hidden="1">{"'Sheet1'!$L$16"}</definedName>
    <definedName name="__h1" hidden="1">{"'Sheet1'!$L$16"}</definedName>
    <definedName name="__hsm2">1.1289</definedName>
    <definedName name="__hu1" localSheetId="15" hidden="1">{"'Sheet1'!$L$16"}</definedName>
    <definedName name="__hu1" localSheetId="18" hidden="1">{"'Sheet1'!$L$16"}</definedName>
    <definedName name="__hu1" localSheetId="19" hidden="1">{"'Sheet1'!$L$16"}</definedName>
    <definedName name="__hu1" localSheetId="20" hidden="1">{"'Sheet1'!$L$16"}</definedName>
    <definedName name="__hu1" localSheetId="23" hidden="1">{"'Sheet1'!$L$16"}</definedName>
    <definedName name="__hu1" localSheetId="24" hidden="1">{"'Sheet1'!$L$16"}</definedName>
    <definedName name="__hu1" localSheetId="8" hidden="1">{"'Sheet1'!$L$16"}</definedName>
    <definedName name="__hu1" hidden="1">{"'Sheet1'!$L$16"}</definedName>
    <definedName name="__hu2" localSheetId="15" hidden="1">{"'Sheet1'!$L$16"}</definedName>
    <definedName name="__hu2" localSheetId="18" hidden="1">{"'Sheet1'!$L$16"}</definedName>
    <definedName name="__hu2" localSheetId="19" hidden="1">{"'Sheet1'!$L$16"}</definedName>
    <definedName name="__hu2" localSheetId="20" hidden="1">{"'Sheet1'!$L$16"}</definedName>
    <definedName name="__hu2" localSheetId="23" hidden="1">{"'Sheet1'!$L$16"}</definedName>
    <definedName name="__hu2" localSheetId="24" hidden="1">{"'Sheet1'!$L$16"}</definedName>
    <definedName name="__hu2" localSheetId="8" hidden="1">{"'Sheet1'!$L$16"}</definedName>
    <definedName name="__hu2" hidden="1">{"'Sheet1'!$L$16"}</definedName>
    <definedName name="__hu5" localSheetId="15" hidden="1">{"'Sheet1'!$L$16"}</definedName>
    <definedName name="__hu5" localSheetId="18" hidden="1">{"'Sheet1'!$L$16"}</definedName>
    <definedName name="__hu5" localSheetId="19" hidden="1">{"'Sheet1'!$L$16"}</definedName>
    <definedName name="__hu5" localSheetId="20" hidden="1">{"'Sheet1'!$L$16"}</definedName>
    <definedName name="__hu5" localSheetId="23" hidden="1">{"'Sheet1'!$L$16"}</definedName>
    <definedName name="__hu5" localSheetId="24" hidden="1">{"'Sheet1'!$L$16"}</definedName>
    <definedName name="__hu5" localSheetId="8" hidden="1">{"'Sheet1'!$L$16"}</definedName>
    <definedName name="__hu5" hidden="1">{"'Sheet1'!$L$16"}</definedName>
    <definedName name="__hu6" localSheetId="15" hidden="1">{"'Sheet1'!$L$16"}</definedName>
    <definedName name="__hu6" localSheetId="18" hidden="1">{"'Sheet1'!$L$16"}</definedName>
    <definedName name="__hu6" localSheetId="19" hidden="1">{"'Sheet1'!$L$16"}</definedName>
    <definedName name="__hu6" localSheetId="20" hidden="1">{"'Sheet1'!$L$16"}</definedName>
    <definedName name="__hu6" localSheetId="23" hidden="1">{"'Sheet1'!$L$16"}</definedName>
    <definedName name="__hu6" localSheetId="24" hidden="1">{"'Sheet1'!$L$16"}</definedName>
    <definedName name="__hu6" localSheetId="8" hidden="1">{"'Sheet1'!$L$16"}</definedName>
    <definedName name="__hu6" hidden="1">{"'Sheet1'!$L$16"}</definedName>
    <definedName name="__isc1">0.035</definedName>
    <definedName name="__isc2">0.02</definedName>
    <definedName name="__isc3">0.054</definedName>
    <definedName name="__M36" localSheetId="15" hidden="1">{"'Sheet1'!$L$16"}</definedName>
    <definedName name="__M36" localSheetId="18" hidden="1">{"'Sheet1'!$L$16"}</definedName>
    <definedName name="__M36" localSheetId="19" hidden="1">{"'Sheet1'!$L$16"}</definedName>
    <definedName name="__M36" localSheetId="20" hidden="1">{"'Sheet1'!$L$16"}</definedName>
    <definedName name="__M36" localSheetId="23" hidden="1">{"'Sheet1'!$L$16"}</definedName>
    <definedName name="__M36" localSheetId="24" hidden="1">{"'Sheet1'!$L$16"}</definedName>
    <definedName name="__M36" localSheetId="8" hidden="1">{"'Sheet1'!$L$16"}</definedName>
    <definedName name="__M36" hidden="1">{"'Sheet1'!$L$16"}</definedName>
    <definedName name="__NSO2" localSheetId="15" hidden="1">{"'Sheet1'!$L$16"}</definedName>
    <definedName name="__NSO2" localSheetId="18" hidden="1">{"'Sheet1'!$L$16"}</definedName>
    <definedName name="__NSO2" localSheetId="19" hidden="1">{"'Sheet1'!$L$16"}</definedName>
    <definedName name="__NSO2" localSheetId="20" hidden="1">{"'Sheet1'!$L$16"}</definedName>
    <definedName name="__NSO2" localSheetId="23" hidden="1">{"'Sheet1'!$L$16"}</definedName>
    <definedName name="__NSO2" localSheetId="24" hidden="1">{"'Sheet1'!$L$16"}</definedName>
    <definedName name="__NSO2" localSheetId="8" hidden="1">{"'Sheet1'!$L$16"}</definedName>
    <definedName name="__NSO2" hidden="1">{"'Sheet1'!$L$16"}</definedName>
    <definedName name="__PA3" localSheetId="15" hidden="1">{"'Sheet1'!$L$16"}</definedName>
    <definedName name="__PA3" localSheetId="18" hidden="1">{"'Sheet1'!$L$16"}</definedName>
    <definedName name="__PA3" localSheetId="19" hidden="1">{"'Sheet1'!$L$16"}</definedName>
    <definedName name="__PA3" localSheetId="20" hidden="1">{"'Sheet1'!$L$16"}</definedName>
    <definedName name="__PA3" localSheetId="23" hidden="1">{"'Sheet1'!$L$16"}</definedName>
    <definedName name="__PA3" localSheetId="24" hidden="1">{"'Sheet1'!$L$16"}</definedName>
    <definedName name="__PA3" localSheetId="8" hidden="1">{"'Sheet1'!$L$16"}</definedName>
    <definedName name="__PA3" hidden="1">{"'Sheet1'!$L$16"}</definedName>
    <definedName name="__Pl2" localSheetId="15" hidden="1">{"'Sheet1'!$L$16"}</definedName>
    <definedName name="__Pl2" localSheetId="18" hidden="1">{"'Sheet1'!$L$16"}</definedName>
    <definedName name="__Pl2" localSheetId="19" hidden="1">{"'Sheet1'!$L$16"}</definedName>
    <definedName name="__Pl2" localSheetId="20" hidden="1">{"'Sheet1'!$L$16"}</definedName>
    <definedName name="__Pl2" localSheetId="23" hidden="1">{"'Sheet1'!$L$16"}</definedName>
    <definedName name="__Pl2" localSheetId="24" hidden="1">{"'Sheet1'!$L$16"}</definedName>
    <definedName name="__Pl2" localSheetId="8" hidden="1">{"'Sheet1'!$L$16"}</definedName>
    <definedName name="__Pl2" hidden="1">{"'Sheet1'!$L$16"}</definedName>
    <definedName name="__SOC10">0.3456</definedName>
    <definedName name="__SOC8">0.2827</definedName>
    <definedName name="__Sta1">531.877</definedName>
    <definedName name="__Sta2">561.952</definedName>
    <definedName name="__Sta3">712.202</definedName>
    <definedName name="__Sta4">762.202</definedName>
    <definedName name="__Tru21" localSheetId="15" hidden="1">{"'Sheet1'!$L$16"}</definedName>
    <definedName name="__Tru21" localSheetId="18" hidden="1">{"'Sheet1'!$L$16"}</definedName>
    <definedName name="__Tru21" localSheetId="19" hidden="1">{"'Sheet1'!$L$16"}</definedName>
    <definedName name="__Tru21" localSheetId="20" hidden="1">{"'Sheet1'!$L$16"}</definedName>
    <definedName name="__Tru21" localSheetId="23" hidden="1">{"'Sheet1'!$L$16"}</definedName>
    <definedName name="__Tru21" localSheetId="24" hidden="1">{"'Sheet1'!$L$16"}</definedName>
    <definedName name="__Tru21" localSheetId="8" hidden="1">{"'Sheet1'!$L$16"}</definedName>
    <definedName name="__Tru21" hidden="1">{"'Sheet1'!$L$16"}</definedName>
    <definedName name="__vl2" localSheetId="18" hidden="1">{"'Sheet1'!$L$16"}</definedName>
    <definedName name="__vl2" localSheetId="23" hidden="1">{"'Sheet1'!$L$16"}</definedName>
    <definedName name="__vl2" localSheetId="24" hidden="1">{"'Sheet1'!$L$16"}</definedName>
    <definedName name="__vl2" hidden="1">{"'Sheet1'!$L$16"}</definedName>
    <definedName name="_40x4">5100</definedName>
    <definedName name="_a1" localSheetId="15" hidden="1">{"'Sheet1'!$L$16"}</definedName>
    <definedName name="_a1" localSheetId="18" hidden="1">{"'Sheet1'!$L$16"}</definedName>
    <definedName name="_a1" localSheetId="19" hidden="1">{"'Sheet1'!$L$16"}</definedName>
    <definedName name="_a1" localSheetId="20" hidden="1">{"'Sheet1'!$L$16"}</definedName>
    <definedName name="_a1" localSheetId="23" hidden="1">{"'Sheet1'!$L$16"}</definedName>
    <definedName name="_a1" localSheetId="24" hidden="1">{"'Sheet1'!$L$16"}</definedName>
    <definedName name="_a1" localSheetId="8" hidden="1">{"'Sheet1'!$L$16"}</definedName>
    <definedName name="_a1" hidden="1">{"'Sheet1'!$L$16"}</definedName>
    <definedName name="_a129" localSheetId="18" hidden="1">{"Offgrid",#N/A,FALSE,"OFFGRID";"Region",#N/A,FALSE,"REGION";"Offgrid -2",#N/A,FALSE,"OFFGRID";"WTP",#N/A,FALSE,"WTP";"WTP -2",#N/A,FALSE,"WTP";"Project",#N/A,FALSE,"PROJECT";"Summary -2",#N/A,FALSE,"SUMMARY"}</definedName>
    <definedName name="_a129" localSheetId="23" hidden="1">{"Offgrid",#N/A,FALSE,"OFFGRID";"Region",#N/A,FALSE,"REGION";"Offgrid -2",#N/A,FALSE,"OFFGRID";"WTP",#N/A,FALSE,"WTP";"WTP -2",#N/A,FALSE,"WTP";"Project",#N/A,FALSE,"PROJECT";"Summary -2",#N/A,FALSE,"SUMMARY"}</definedName>
    <definedName name="_a129" localSheetId="24"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18" hidden="1">{"Offgrid",#N/A,FALSE,"OFFGRID";"Region",#N/A,FALSE,"REGION";"Offgrid -2",#N/A,FALSE,"OFFGRID";"WTP",#N/A,FALSE,"WTP";"WTP -2",#N/A,FALSE,"WTP";"Project",#N/A,FALSE,"PROJECT";"Summary -2",#N/A,FALSE,"SUMMARY"}</definedName>
    <definedName name="_a130" localSheetId="23" hidden="1">{"Offgrid",#N/A,FALSE,"OFFGRID";"Region",#N/A,FALSE,"REGION";"Offgrid -2",#N/A,FALSE,"OFFGRID";"WTP",#N/A,FALSE,"WTP";"WTP -2",#N/A,FALSE,"WTP";"Project",#N/A,FALSE,"PROJECT";"Summary -2",#N/A,FALSE,"SUMMARY"}</definedName>
    <definedName name="_a130" localSheetId="24"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1" localSheetId="15" hidden="1">{"'Sheet1'!$L$16"}</definedName>
    <definedName name="_B1" localSheetId="18" hidden="1">{"'Sheet1'!$L$16"}</definedName>
    <definedName name="_B1" localSheetId="19" hidden="1">{"'Sheet1'!$L$16"}</definedName>
    <definedName name="_B1" localSheetId="20" hidden="1">{"'Sheet1'!$L$16"}</definedName>
    <definedName name="_B1" localSheetId="23" hidden="1">{"'Sheet1'!$L$16"}</definedName>
    <definedName name="_B1" localSheetId="24" hidden="1">{"'Sheet1'!$L$16"}</definedName>
    <definedName name="_B1" localSheetId="8" hidden="1">{"'Sheet1'!$L$16"}</definedName>
    <definedName name="_B1" hidden="1">{"'Sheet1'!$L$16"}</definedName>
    <definedName name="_ban2" localSheetId="15" hidden="1">{"'Sheet1'!$L$16"}</definedName>
    <definedName name="_ban2" localSheetId="18" hidden="1">{"'Sheet1'!$L$16"}</definedName>
    <definedName name="_ban2" localSheetId="19" hidden="1">{"'Sheet1'!$L$16"}</definedName>
    <definedName name="_ban2" localSheetId="20" hidden="1">{"'Sheet1'!$L$16"}</definedName>
    <definedName name="_ban2" localSheetId="23" hidden="1">{"'Sheet1'!$L$16"}</definedName>
    <definedName name="_ban2" localSheetId="24" hidden="1">{"'Sheet1'!$L$16"}</definedName>
    <definedName name="_ban2" localSheetId="8" hidden="1">{"'Sheet1'!$L$16"}</definedName>
    <definedName name="_ban2" hidden="1">{"'Sheet1'!$L$16"}</definedName>
    <definedName name="_Fill" localSheetId="16" hidden="1">#REF!</definedName>
    <definedName name="_Fill" localSheetId="25" hidden="1">#REF!</definedName>
    <definedName name="_Fill" localSheetId="18" hidden="1">#REF!</definedName>
    <definedName name="_Fill" localSheetId="20" hidden="1">#REF!</definedName>
    <definedName name="_Fill" localSheetId="21" hidden="1">#REF!</definedName>
    <definedName name="_Fill" localSheetId="24" hidden="1">#REF!</definedName>
    <definedName name="_Fill" localSheetId="17" hidden="1">#REF!</definedName>
    <definedName name="_Fill" hidden="1">#REF!</definedName>
    <definedName name="_xlnm._FilterDatabase" localSheetId="16" hidden="1">#REF!</definedName>
    <definedName name="_xlnm._FilterDatabase" localSheetId="25" hidden="1">#REF!</definedName>
    <definedName name="_xlnm._FilterDatabase" localSheetId="18" hidden="1">#REF!</definedName>
    <definedName name="_xlnm._FilterDatabase" localSheetId="20" hidden="1">#REF!</definedName>
    <definedName name="_xlnm._FilterDatabase" localSheetId="21" hidden="1">#REF!</definedName>
    <definedName name="_xlnm._FilterDatabase" localSheetId="24" hidden="1">#REF!</definedName>
    <definedName name="_xlnm._FilterDatabase" localSheetId="17" hidden="1">#REF!</definedName>
    <definedName name="_xlnm._FilterDatabase" hidden="1">#REF!</definedName>
    <definedName name="_h1" localSheetId="15" hidden="1">{"'Sheet1'!$L$16"}</definedName>
    <definedName name="_h1" localSheetId="18" hidden="1">{"'Sheet1'!$L$16"}</definedName>
    <definedName name="_h1" localSheetId="19" hidden="1">{"'Sheet1'!$L$16"}</definedName>
    <definedName name="_h1" localSheetId="20" hidden="1">{"'Sheet1'!$L$16"}</definedName>
    <definedName name="_h1" localSheetId="23" hidden="1">{"'Sheet1'!$L$16"}</definedName>
    <definedName name="_h1" localSheetId="24" hidden="1">{"'Sheet1'!$L$16"}</definedName>
    <definedName name="_h1" localSheetId="8" hidden="1">{"'Sheet1'!$L$16"}</definedName>
    <definedName name="_h1" hidden="1">{"'Sheet1'!$L$16"}</definedName>
    <definedName name="_hsm2">1.1289</definedName>
    <definedName name="_hu1" localSheetId="15" hidden="1">{"'Sheet1'!$L$16"}</definedName>
    <definedName name="_hu1" localSheetId="18" hidden="1">{"'Sheet1'!$L$16"}</definedName>
    <definedName name="_hu1" localSheetId="19" hidden="1">{"'Sheet1'!$L$16"}</definedName>
    <definedName name="_hu1" localSheetId="20" hidden="1">{"'Sheet1'!$L$16"}</definedName>
    <definedName name="_hu1" localSheetId="23" hidden="1">{"'Sheet1'!$L$16"}</definedName>
    <definedName name="_hu1" localSheetId="24" hidden="1">{"'Sheet1'!$L$16"}</definedName>
    <definedName name="_hu1" localSheetId="8" hidden="1">{"'Sheet1'!$L$16"}</definedName>
    <definedName name="_hu1" hidden="1">{"'Sheet1'!$L$16"}</definedName>
    <definedName name="_hu2" localSheetId="15" hidden="1">{"'Sheet1'!$L$16"}</definedName>
    <definedName name="_hu2" localSheetId="18" hidden="1">{"'Sheet1'!$L$16"}</definedName>
    <definedName name="_hu2" localSheetId="19" hidden="1">{"'Sheet1'!$L$16"}</definedName>
    <definedName name="_hu2" localSheetId="20" hidden="1">{"'Sheet1'!$L$16"}</definedName>
    <definedName name="_hu2" localSheetId="23" hidden="1">{"'Sheet1'!$L$16"}</definedName>
    <definedName name="_hu2" localSheetId="24" hidden="1">{"'Sheet1'!$L$16"}</definedName>
    <definedName name="_hu2" localSheetId="8" hidden="1">{"'Sheet1'!$L$16"}</definedName>
    <definedName name="_hu2" hidden="1">{"'Sheet1'!$L$16"}</definedName>
    <definedName name="_hu5" localSheetId="15" hidden="1">{"'Sheet1'!$L$16"}</definedName>
    <definedName name="_hu5" localSheetId="18" hidden="1">{"'Sheet1'!$L$16"}</definedName>
    <definedName name="_hu5" localSheetId="19" hidden="1">{"'Sheet1'!$L$16"}</definedName>
    <definedName name="_hu5" localSheetId="20" hidden="1">{"'Sheet1'!$L$16"}</definedName>
    <definedName name="_hu5" localSheetId="23" hidden="1">{"'Sheet1'!$L$16"}</definedName>
    <definedName name="_hu5" localSheetId="24" hidden="1">{"'Sheet1'!$L$16"}</definedName>
    <definedName name="_hu5" localSheetId="8" hidden="1">{"'Sheet1'!$L$16"}</definedName>
    <definedName name="_hu5" hidden="1">{"'Sheet1'!$L$16"}</definedName>
    <definedName name="_hu6" localSheetId="15" hidden="1">{"'Sheet1'!$L$16"}</definedName>
    <definedName name="_hu6" localSheetId="18" hidden="1">{"'Sheet1'!$L$16"}</definedName>
    <definedName name="_hu6" localSheetId="19" hidden="1">{"'Sheet1'!$L$16"}</definedName>
    <definedName name="_hu6" localSheetId="20" hidden="1">{"'Sheet1'!$L$16"}</definedName>
    <definedName name="_hu6" localSheetId="23" hidden="1">{"'Sheet1'!$L$16"}</definedName>
    <definedName name="_hu6" localSheetId="24" hidden="1">{"'Sheet1'!$L$16"}</definedName>
    <definedName name="_hu6" localSheetId="8" hidden="1">{"'Sheet1'!$L$16"}</definedName>
    <definedName name="_hu6" hidden="1">{"'Sheet1'!$L$16"}</definedName>
    <definedName name="_isc1">0.035</definedName>
    <definedName name="_isc2">0.02</definedName>
    <definedName name="_isc3">0.054</definedName>
    <definedName name="_Key1" localSheetId="16" hidden="1">#REF!</definedName>
    <definedName name="_Key1" localSheetId="25" hidden="1">#REF!</definedName>
    <definedName name="_Key1" localSheetId="18" hidden="1">#REF!</definedName>
    <definedName name="_Key1" localSheetId="20" hidden="1">#REF!</definedName>
    <definedName name="_Key1" localSheetId="21" hidden="1">#REF!</definedName>
    <definedName name="_Key1" localSheetId="23" hidden="1">#REF!</definedName>
    <definedName name="_Key1" localSheetId="24" hidden="1">#REF!</definedName>
    <definedName name="_Key1" localSheetId="17" hidden="1">#REF!</definedName>
    <definedName name="_Key1" hidden="1">#REF!</definedName>
    <definedName name="_Key2" localSheetId="16" hidden="1">#REF!</definedName>
    <definedName name="_Key2" localSheetId="25" hidden="1">#REF!</definedName>
    <definedName name="_Key2" localSheetId="18" hidden="1">#REF!</definedName>
    <definedName name="_Key2" localSheetId="20" hidden="1">#REF!</definedName>
    <definedName name="_Key2" localSheetId="21" hidden="1">#REF!</definedName>
    <definedName name="_Key2" localSheetId="23" hidden="1">#REF!</definedName>
    <definedName name="_Key2" localSheetId="24" hidden="1">#REF!</definedName>
    <definedName name="_Key2" localSheetId="17" hidden="1">#REF!</definedName>
    <definedName name="_Key2" hidden="1">#REF!</definedName>
    <definedName name="_km03" localSheetId="18" hidden="1">{"'Sheet1'!$L$16"}</definedName>
    <definedName name="_km03" localSheetId="23" hidden="1">{"'Sheet1'!$L$16"}</definedName>
    <definedName name="_km03" localSheetId="24" hidden="1">{"'Sheet1'!$L$16"}</definedName>
    <definedName name="_km03" hidden="1">{"'Sheet1'!$L$16"}</definedName>
    <definedName name="_M36" localSheetId="15" hidden="1">{"'Sheet1'!$L$16"}</definedName>
    <definedName name="_M36" localSheetId="18" hidden="1">{"'Sheet1'!$L$16"}</definedName>
    <definedName name="_M36" localSheetId="19" hidden="1">{"'Sheet1'!$L$16"}</definedName>
    <definedName name="_M36" localSheetId="20" hidden="1">{"'Sheet1'!$L$16"}</definedName>
    <definedName name="_M36" localSheetId="23" hidden="1">{"'Sheet1'!$L$16"}</definedName>
    <definedName name="_M36" localSheetId="24" hidden="1">{"'Sheet1'!$L$16"}</definedName>
    <definedName name="_M36" localSheetId="8" hidden="1">{"'Sheet1'!$L$16"}</definedName>
    <definedName name="_M36" hidden="1">{"'Sheet1'!$L$16"}</definedName>
    <definedName name="_NSO2" localSheetId="15" hidden="1">{"'Sheet1'!$L$16"}</definedName>
    <definedName name="_NSO2" localSheetId="18" hidden="1">{"'Sheet1'!$L$16"}</definedName>
    <definedName name="_NSO2" localSheetId="19" hidden="1">{"'Sheet1'!$L$16"}</definedName>
    <definedName name="_NSO2" localSheetId="20" hidden="1">{"'Sheet1'!$L$16"}</definedName>
    <definedName name="_NSO2" localSheetId="23" hidden="1">{"'Sheet1'!$L$16"}</definedName>
    <definedName name="_NSO2" localSheetId="24" hidden="1">{"'Sheet1'!$L$16"}</definedName>
    <definedName name="_NSO2" localSheetId="8" hidden="1">{"'Sheet1'!$L$16"}</definedName>
    <definedName name="_NSO2" hidden="1">{"'Sheet1'!$L$16"}</definedName>
    <definedName name="_Order1" hidden="1">255</definedName>
    <definedName name="_Order2" hidden="1">255</definedName>
    <definedName name="_PA3" localSheetId="15" hidden="1">{"'Sheet1'!$L$16"}</definedName>
    <definedName name="_PA3" localSheetId="18" hidden="1">{"'Sheet1'!$L$16"}</definedName>
    <definedName name="_PA3" localSheetId="19" hidden="1">{"'Sheet1'!$L$16"}</definedName>
    <definedName name="_PA3" localSheetId="20" hidden="1">{"'Sheet1'!$L$16"}</definedName>
    <definedName name="_PA3" localSheetId="23" hidden="1">{"'Sheet1'!$L$16"}</definedName>
    <definedName name="_PA3" localSheetId="24" hidden="1">{"'Sheet1'!$L$16"}</definedName>
    <definedName name="_PA3" localSheetId="8" hidden="1">{"'Sheet1'!$L$16"}</definedName>
    <definedName name="_PA3" hidden="1">{"'Sheet1'!$L$16"}</definedName>
    <definedName name="_Pl2" localSheetId="15" hidden="1">{"'Sheet1'!$L$16"}</definedName>
    <definedName name="_Pl2" localSheetId="18" hidden="1">{"'Sheet1'!$L$16"}</definedName>
    <definedName name="_Pl2" localSheetId="19" hidden="1">{"'Sheet1'!$L$16"}</definedName>
    <definedName name="_Pl2" localSheetId="20" hidden="1">{"'Sheet1'!$L$16"}</definedName>
    <definedName name="_Pl2" localSheetId="23" hidden="1">{"'Sheet1'!$L$16"}</definedName>
    <definedName name="_Pl2" localSheetId="24" hidden="1">{"'Sheet1'!$L$16"}</definedName>
    <definedName name="_Pl2" localSheetId="8" hidden="1">{"'Sheet1'!$L$16"}</definedName>
    <definedName name="_Pl2" hidden="1">{"'Sheet1'!$L$16"}</definedName>
    <definedName name="_PL3" localSheetId="16" hidden="1">#REF!</definedName>
    <definedName name="_PL3" localSheetId="25" hidden="1">#REF!</definedName>
    <definedName name="_PL3" localSheetId="18" hidden="1">#REF!</definedName>
    <definedName name="_PL3" localSheetId="20" hidden="1">#REF!</definedName>
    <definedName name="_PL3" localSheetId="21" hidden="1">#REF!</definedName>
    <definedName name="_PL3" localSheetId="24" hidden="1">#REF!</definedName>
    <definedName name="_PL3" localSheetId="17" hidden="1">#REF!</definedName>
    <definedName name="_PL3" hidden="1">#REF!</definedName>
    <definedName name="_SOC10">0.3456</definedName>
    <definedName name="_SOC8">0.2827</definedName>
    <definedName name="_Sort" localSheetId="16" hidden="1">#REF!</definedName>
    <definedName name="_Sort" localSheetId="25" hidden="1">#REF!</definedName>
    <definedName name="_Sort" localSheetId="18" hidden="1">#REF!</definedName>
    <definedName name="_Sort" localSheetId="20" hidden="1">#REF!</definedName>
    <definedName name="_Sort" localSheetId="21" hidden="1">#REF!</definedName>
    <definedName name="_Sort" localSheetId="23" hidden="1">#REF!</definedName>
    <definedName name="_Sort" localSheetId="24" hidden="1">#REF!</definedName>
    <definedName name="_Sort" localSheetId="17" hidden="1">#REF!</definedName>
    <definedName name="_Sort" hidden="1">#REF!</definedName>
    <definedName name="_Sta1">531.877</definedName>
    <definedName name="_Sta2">561.952</definedName>
    <definedName name="_Sta3">712.202</definedName>
    <definedName name="_Sta4">762.202</definedName>
    <definedName name="_Tru21" localSheetId="15" hidden="1">{"'Sheet1'!$L$16"}</definedName>
    <definedName name="_Tru21" localSheetId="18" hidden="1">{"'Sheet1'!$L$16"}</definedName>
    <definedName name="_Tru21" localSheetId="19" hidden="1">{"'Sheet1'!$L$16"}</definedName>
    <definedName name="_Tru21" localSheetId="20" hidden="1">{"'Sheet1'!$L$16"}</definedName>
    <definedName name="_Tru21" localSheetId="23" hidden="1">{"'Sheet1'!$L$16"}</definedName>
    <definedName name="_Tru21" localSheetId="24" hidden="1">{"'Sheet1'!$L$16"}</definedName>
    <definedName name="_Tru21" localSheetId="8" hidden="1">{"'Sheet1'!$L$16"}</definedName>
    <definedName name="_Tru21" hidden="1">{"'Sheet1'!$L$16"}</definedName>
    <definedName name="_vl2" localSheetId="18" hidden="1">{"'Sheet1'!$L$16"}</definedName>
    <definedName name="_vl2" localSheetId="23" hidden="1">{"'Sheet1'!$L$16"}</definedName>
    <definedName name="_vl2" localSheetId="24" hidden="1">{"'Sheet1'!$L$16"}</definedName>
    <definedName name="_vl2" hidden="1">{"'Sheet1'!$L$16"}</definedName>
    <definedName name="a" localSheetId="15" hidden="1">{"'Sheet1'!$L$16"}</definedName>
    <definedName name="a" localSheetId="18" hidden="1">{"'Sheet1'!$L$16"}</definedName>
    <definedName name="a" localSheetId="19" hidden="1">{"'Sheet1'!$L$16"}</definedName>
    <definedName name="a" localSheetId="20" hidden="1">{"'Sheet1'!$L$16"}</definedName>
    <definedName name="a" localSheetId="23" hidden="1">{"'Sheet1'!$L$16"}</definedName>
    <definedName name="a" localSheetId="24" hidden="1">{"'Sheet1'!$L$16"}</definedName>
    <definedName name="a" localSheetId="8" hidden="1">{"'Sheet1'!$L$16"}</definedName>
    <definedName name="a" hidden="1">{"'Sheet1'!$L$16"}</definedName>
    <definedName name="ABC" localSheetId="16" hidden="1">#REF!</definedName>
    <definedName name="ABC" localSheetId="25" hidden="1">#REF!</definedName>
    <definedName name="ABC" localSheetId="18" hidden="1">#REF!</definedName>
    <definedName name="ABC" localSheetId="20" hidden="1">#REF!</definedName>
    <definedName name="ABC" localSheetId="21" hidden="1">#REF!</definedName>
    <definedName name="ABC" localSheetId="24" hidden="1">#REF!</definedName>
    <definedName name="ABC" localSheetId="17" hidden="1">#REF!</definedName>
    <definedName name="ABC" hidden="1">#REF!</definedName>
    <definedName name="anscount" hidden="1">3</definedName>
    <definedName name="ATGT" localSheetId="15" hidden="1">{"'Sheet1'!$L$16"}</definedName>
    <definedName name="ATGT" localSheetId="18" hidden="1">{"'Sheet1'!$L$16"}</definedName>
    <definedName name="ATGT" localSheetId="19" hidden="1">{"'Sheet1'!$L$16"}</definedName>
    <definedName name="ATGT" localSheetId="20" hidden="1">{"'Sheet1'!$L$16"}</definedName>
    <definedName name="ATGT" localSheetId="23" hidden="1">{"'Sheet1'!$L$16"}</definedName>
    <definedName name="ATGT" localSheetId="24" hidden="1">{"'Sheet1'!$L$16"}</definedName>
    <definedName name="ATGT" localSheetId="8" hidden="1">{"'Sheet1'!$L$16"}</definedName>
    <definedName name="ATGT" hidden="1">{"'Sheet1'!$L$16"}</definedName>
    <definedName name="B.nuamat">7.25</definedName>
    <definedName name="bdd">1.5</definedName>
    <definedName name="Bm">3.5</definedName>
    <definedName name="Bn">6.5</definedName>
    <definedName name="Bulongma">8700</definedName>
    <definedName name="C.doc1">540</definedName>
    <definedName name="C.doc2">740</definedName>
    <definedName name="CACAU">298161</definedName>
    <definedName name="CDTK_tim">31.77</definedName>
    <definedName name="chitietbgiang2" localSheetId="15" hidden="1">{"'Sheet1'!$L$16"}</definedName>
    <definedName name="chitietbgiang2" localSheetId="18" hidden="1">{"'Sheet1'!$L$16"}</definedName>
    <definedName name="chitietbgiang2" localSheetId="19" hidden="1">{"'Sheet1'!$L$16"}</definedName>
    <definedName name="chitietbgiang2" localSheetId="20" hidden="1">{"'Sheet1'!$L$16"}</definedName>
    <definedName name="chitietbgiang2" localSheetId="23" hidden="1">{"'Sheet1'!$L$16"}</definedName>
    <definedName name="chitietbgiang2" localSheetId="24" hidden="1">{"'Sheet1'!$L$16"}</definedName>
    <definedName name="chitietbgiang2" localSheetId="8" hidden="1">{"'Sheet1'!$L$16"}</definedName>
    <definedName name="chitietbgiang2" hidden="1">{"'Sheet1'!$L$16"}</definedName>
    <definedName name="chung">66</definedName>
    <definedName name="CLVC3">0.1</definedName>
    <definedName name="CoCauN" localSheetId="15" hidden="1">{"'Sheet1'!$L$16"}</definedName>
    <definedName name="CoCauN" localSheetId="18" hidden="1">{"'Sheet1'!$L$16"}</definedName>
    <definedName name="CoCauN" localSheetId="19" hidden="1">{"'Sheet1'!$L$16"}</definedName>
    <definedName name="CoCauN" localSheetId="20" hidden="1">{"'Sheet1'!$L$16"}</definedName>
    <definedName name="CoCauN" localSheetId="23" hidden="1">{"'Sheet1'!$L$16"}</definedName>
    <definedName name="CoCauN" localSheetId="24" hidden="1">{"'Sheet1'!$L$16"}</definedName>
    <definedName name="CoCauN" localSheetId="8" hidden="1">{"'Sheet1'!$L$16"}</definedName>
    <definedName name="CoCauN" hidden="1">{"'Sheet1'!$L$16"}</definedName>
    <definedName name="Code" localSheetId="16" hidden="1">#REF!</definedName>
    <definedName name="Code" localSheetId="25" hidden="1">#REF!</definedName>
    <definedName name="Code" localSheetId="18" hidden="1">#REF!</definedName>
    <definedName name="Code" localSheetId="20" hidden="1">#REF!</definedName>
    <definedName name="Code" localSheetId="21" hidden="1">#REF!</definedName>
    <definedName name="Code" localSheetId="24" hidden="1">#REF!</definedName>
    <definedName name="Code" localSheetId="17" hidden="1">#REF!</definedName>
    <definedName name="Code" hidden="1">#REF!</definedName>
    <definedName name="Cotsatma">9726</definedName>
    <definedName name="Cotthepma">9726</definedName>
    <definedName name="CP" localSheetId="16" hidden="1">#REF!</definedName>
    <definedName name="CP" localSheetId="25" hidden="1">#REF!</definedName>
    <definedName name="CP" localSheetId="18" hidden="1">#REF!</definedName>
    <definedName name="CP" localSheetId="20" hidden="1">#REF!</definedName>
    <definedName name="CP" localSheetId="21" hidden="1">#REF!</definedName>
    <definedName name="CP" localSheetId="23" hidden="1">#REF!</definedName>
    <definedName name="CP" localSheetId="24" hidden="1">#REF!</definedName>
    <definedName name="CP" localSheetId="17" hidden="1">#REF!</definedName>
    <definedName name="CP" hidden="1">#REF!</definedName>
    <definedName name="CTCT1" localSheetId="15" hidden="1">{"'Sheet1'!$L$16"}</definedName>
    <definedName name="CTCT1" localSheetId="18" hidden="1">{"'Sheet1'!$L$16"}</definedName>
    <definedName name="CTCT1" localSheetId="19" hidden="1">{"'Sheet1'!$L$16"}</definedName>
    <definedName name="CTCT1" localSheetId="20" hidden="1">{"'Sheet1'!$L$16"}</definedName>
    <definedName name="CTCT1" localSheetId="23" hidden="1">{"'Sheet1'!$L$16"}</definedName>
    <definedName name="CTCT1" localSheetId="24" hidden="1">{"'Sheet1'!$L$16"}</definedName>
    <definedName name="CTCT1" localSheetId="8" hidden="1">{"'Sheet1'!$L$16"}</definedName>
    <definedName name="CTCT1" hidden="1">{"'Sheet1'!$L$16"}</definedName>
    <definedName name="dam">78000</definedName>
    <definedName name="data1" localSheetId="16" hidden="1">#REF!</definedName>
    <definedName name="data1" localSheetId="25" hidden="1">#REF!</definedName>
    <definedName name="data1" localSheetId="18" hidden="1">#REF!</definedName>
    <definedName name="data1" localSheetId="20" hidden="1">#REF!</definedName>
    <definedName name="data1" localSheetId="21" hidden="1">#REF!</definedName>
    <definedName name="data1" localSheetId="23" hidden="1">#REF!</definedName>
    <definedName name="data1" localSheetId="24" hidden="1">#REF!</definedName>
    <definedName name="data1" localSheetId="17" hidden="1">#REF!</definedName>
    <definedName name="data1" hidden="1">#REF!</definedName>
    <definedName name="data2" localSheetId="16" hidden="1">#REF!</definedName>
    <definedName name="data2" localSheetId="25" hidden="1">#REF!</definedName>
    <definedName name="data2" localSheetId="18" hidden="1">#REF!</definedName>
    <definedName name="data2" localSheetId="20" hidden="1">#REF!</definedName>
    <definedName name="data2" localSheetId="21" hidden="1">#REF!</definedName>
    <definedName name="data2" localSheetId="24" hidden="1">#REF!</definedName>
    <definedName name="data2" localSheetId="17" hidden="1">#REF!</definedName>
    <definedName name="data2" hidden="1">#REF!</definedName>
    <definedName name="data3" localSheetId="16" hidden="1">#REF!</definedName>
    <definedName name="data3" localSheetId="25" hidden="1">#REF!</definedName>
    <definedName name="data3" localSheetId="18" hidden="1">#REF!</definedName>
    <definedName name="data3" localSheetId="20" hidden="1">#REF!</definedName>
    <definedName name="data3" localSheetId="21" hidden="1">#REF!</definedName>
    <definedName name="data3" localSheetId="24" hidden="1">#REF!</definedName>
    <definedName name="data3" localSheetId="17" hidden="1">#REF!</definedName>
    <definedName name="data3" hidden="1">#REF!</definedName>
    <definedName name="DCL_22">12117600</definedName>
    <definedName name="DCL_35">25490000</definedName>
    <definedName name="dddem">0.1</definedName>
    <definedName name="Discount" localSheetId="16" hidden="1">#REF!</definedName>
    <definedName name="Discount" localSheetId="25" hidden="1">#REF!</definedName>
    <definedName name="Discount" localSheetId="18" hidden="1">#REF!</definedName>
    <definedName name="Discount" localSheetId="20" hidden="1">#REF!</definedName>
    <definedName name="Discount" localSheetId="21" hidden="1">#REF!</definedName>
    <definedName name="Discount" localSheetId="23" hidden="1">#REF!</definedName>
    <definedName name="Discount" localSheetId="24" hidden="1">#REF!</definedName>
    <definedName name="Discount" localSheetId="17" hidden="1">#REF!</definedName>
    <definedName name="Discount" hidden="1">#REF!</definedName>
    <definedName name="display_area_2" localSheetId="16" hidden="1">#REF!</definedName>
    <definedName name="display_area_2" localSheetId="25" hidden="1">#REF!</definedName>
    <definedName name="display_area_2" localSheetId="18" hidden="1">#REF!</definedName>
    <definedName name="display_area_2" localSheetId="20" hidden="1">#REF!</definedName>
    <definedName name="display_area_2" localSheetId="21" hidden="1">#REF!</definedName>
    <definedName name="display_area_2" localSheetId="23" hidden="1">#REF!</definedName>
    <definedName name="display_area_2" localSheetId="24" hidden="1">#REF!</definedName>
    <definedName name="display_area_2" localSheetId="17" hidden="1">#REF!</definedName>
    <definedName name="display_area_2" hidden="1">#REF!</definedName>
    <definedName name="docdoc">0.03125</definedName>
    <definedName name="dotcong">1</definedName>
    <definedName name="drf" localSheetId="16" hidden="1">#REF!</definedName>
    <definedName name="drf" localSheetId="25" hidden="1">#REF!</definedName>
    <definedName name="drf" localSheetId="18" hidden="1">#REF!</definedName>
    <definedName name="drf" localSheetId="20" hidden="1">#REF!</definedName>
    <definedName name="drf" localSheetId="21" hidden="1">#REF!</definedName>
    <definedName name="drf" localSheetId="23" hidden="1">#REF!</definedName>
    <definedName name="drf" localSheetId="24" hidden="1">#REF!</definedName>
    <definedName name="drf" localSheetId="17" hidden="1">#REF!</definedName>
    <definedName name="drf" hidden="1">#REF!</definedName>
    <definedName name="ds" localSheetId="15" hidden="1">{#N/A,#N/A,FALSE,"Chi tiÆt"}</definedName>
    <definedName name="ds" localSheetId="18" hidden="1">{#N/A,#N/A,FALSE,"Chi tiÆt"}</definedName>
    <definedName name="ds" localSheetId="19" hidden="1">{#N/A,#N/A,FALSE,"Chi tiÆt"}</definedName>
    <definedName name="ds" localSheetId="20" hidden="1">{#N/A,#N/A,FALSE,"Chi tiÆt"}</definedName>
    <definedName name="ds" localSheetId="23" hidden="1">{#N/A,#N/A,FALSE,"Chi tiÆt"}</definedName>
    <definedName name="ds" localSheetId="24" hidden="1">{#N/A,#N/A,FALSE,"Chi tiÆt"}</definedName>
    <definedName name="ds" localSheetId="8" hidden="1">{#N/A,#N/A,FALSE,"Chi tiÆt"}</definedName>
    <definedName name="ds" hidden="1">{#N/A,#N/A,FALSE,"Chi tiÆt"}</definedName>
    <definedName name="dsh" localSheetId="15" hidden="1">#REF!</definedName>
    <definedName name="dsh" localSheetId="16" hidden="1">#REF!</definedName>
    <definedName name="dsh" localSheetId="25" hidden="1">#REF!</definedName>
    <definedName name="dsh" localSheetId="18" hidden="1">#REF!</definedName>
    <definedName name="dsh" localSheetId="20" hidden="1">#REF!</definedName>
    <definedName name="dsh" localSheetId="21" hidden="1">#REF!</definedName>
    <definedName name="dsh" localSheetId="23" hidden="1">#REF!</definedName>
    <definedName name="dsh" localSheetId="24" hidden="1">#REF!</definedName>
    <definedName name="dsh" localSheetId="17" hidden="1">#REF!</definedName>
    <definedName name="dsh" hidden="1">#REF!</definedName>
    <definedName name="E.chandoc">8.875</definedName>
    <definedName name="E.PC">10.438</definedName>
    <definedName name="E.PVI">12</definedName>
    <definedName name="FCode" localSheetId="15" hidden="1">#REF!</definedName>
    <definedName name="FCode" localSheetId="16" hidden="1">#REF!</definedName>
    <definedName name="FCode" localSheetId="25" hidden="1">#REF!</definedName>
    <definedName name="FCode" localSheetId="18" hidden="1">#REF!</definedName>
    <definedName name="FCode" localSheetId="20" hidden="1">#REF!</definedName>
    <definedName name="FCode" localSheetId="21" hidden="1">#REF!</definedName>
    <definedName name="FCode" localSheetId="23" hidden="1">#REF!</definedName>
    <definedName name="FCode" localSheetId="24" hidden="1">#REF!</definedName>
    <definedName name="FCode" localSheetId="17" hidden="1">#REF!</definedName>
    <definedName name="FCode" hidden="1">#REF!</definedName>
    <definedName name="fff" localSheetId="18" hidden="1">{"'Sheet1'!$L$16"}</definedName>
    <definedName name="fff" localSheetId="23" hidden="1">{"'Sheet1'!$L$16"}</definedName>
    <definedName name="fff" localSheetId="24" hidden="1">{"'Sheet1'!$L$16"}</definedName>
    <definedName name="fff" hidden="1">{"'Sheet1'!$L$16"}</definedName>
    <definedName name="FI_12">4820</definedName>
    <definedName name="g" localSheetId="15" hidden="1">{"'Sheet1'!$L$16"}</definedName>
    <definedName name="g" localSheetId="18" hidden="1">{"'Sheet1'!$L$16"}</definedName>
    <definedName name="g" localSheetId="19" hidden="1">{"'Sheet1'!$L$16"}</definedName>
    <definedName name="g" localSheetId="20" hidden="1">{"'Sheet1'!$L$16"}</definedName>
    <definedName name="g" localSheetId="23" hidden="1">{"'Sheet1'!$L$16"}</definedName>
    <definedName name="g" localSheetId="24" hidden="1">{"'Sheet1'!$L$16"}</definedName>
    <definedName name="g" localSheetId="8" hidden="1">{"'Sheet1'!$L$16"}</definedName>
    <definedName name="g" hidden="1">{"'Sheet1'!$L$16"}</definedName>
    <definedName name="h" localSheetId="15" hidden="1">{"'Sheet1'!$L$16"}</definedName>
    <definedName name="h" localSheetId="18" hidden="1">{"'Sheet1'!$L$16"}</definedName>
    <definedName name="h" localSheetId="19" hidden="1">{"'Sheet1'!$L$16"}</definedName>
    <definedName name="h" localSheetId="20" hidden="1">{"'Sheet1'!$L$16"}</definedName>
    <definedName name="h" localSheetId="23" hidden="1">{"'Sheet1'!$L$16"}</definedName>
    <definedName name="h" localSheetId="24" hidden="1">{"'Sheet1'!$L$16"}</definedName>
    <definedName name="h" localSheetId="8" hidden="1">{"'Sheet1'!$L$16"}</definedName>
    <definedName name="h" hidden="1">{"'Sheet1'!$L$16"}</definedName>
    <definedName name="Hdao">0.3</definedName>
    <definedName name="Hdap">5.2</definedName>
    <definedName name="Heä_soá_laép_xaø_H">1.7</definedName>
    <definedName name="HiddenRows" localSheetId="16" hidden="1">#REF!</definedName>
    <definedName name="HiddenRows" localSheetId="25" hidden="1">#REF!</definedName>
    <definedName name="HiddenRows" localSheetId="18" hidden="1">#REF!</definedName>
    <definedName name="HiddenRows" localSheetId="20" hidden="1">#REF!</definedName>
    <definedName name="HiddenRows" localSheetId="21" hidden="1">#REF!</definedName>
    <definedName name="HiddenRows" localSheetId="23" hidden="1">#REF!</definedName>
    <definedName name="HiddenRows" localSheetId="24" hidden="1">#REF!</definedName>
    <definedName name="HiddenRows" localSheetId="17" hidden="1">#REF!</definedName>
    <definedName name="HiddenRows" hidden="1">#REF!</definedName>
    <definedName name="hoc">55000</definedName>
    <definedName name="HSCT3">0.1</definedName>
    <definedName name="HSDN">2.5</definedName>
    <definedName name="HSLXH">1.7</definedName>
    <definedName name="hsm">1.1289</definedName>
    <definedName name="hsn">0.5</definedName>
    <definedName name="hsnc_cau">2.5039</definedName>
    <definedName name="hsnc_cau2">1.626</definedName>
    <definedName name="hsnc_d">1.6356</definedName>
    <definedName name="hsnc_d2">1.6356</definedName>
    <definedName name="hsvl">1</definedName>
    <definedName name="hsvl2">1</definedName>
    <definedName name="htlm" localSheetId="15" hidden="1">{"'Sheet1'!$L$16"}</definedName>
    <definedName name="htlm" localSheetId="18" hidden="1">{"'Sheet1'!$L$16"}</definedName>
    <definedName name="htlm" localSheetId="19" hidden="1">{"'Sheet1'!$L$16"}</definedName>
    <definedName name="htlm" localSheetId="20" hidden="1">{"'Sheet1'!$L$16"}</definedName>
    <definedName name="htlm" localSheetId="23" hidden="1">{"'Sheet1'!$L$16"}</definedName>
    <definedName name="htlm" localSheetId="24" hidden="1">{"'Sheet1'!$L$16"}</definedName>
    <definedName name="htlm" localSheetId="8" hidden="1">{"'Sheet1'!$L$16"}</definedName>
    <definedName name="htlm" hidden="1">{"'Sheet1'!$L$16"}</definedName>
    <definedName name="HTML_CodePage" hidden="1">950</definedName>
    <definedName name="HTML_Control" localSheetId="15" hidden="1">{"'Sheet1'!$L$16"}</definedName>
    <definedName name="HTML_Control" localSheetId="18" hidden="1">{"'Sheet1'!$L$16"}</definedName>
    <definedName name="HTML_Control" localSheetId="19" hidden="1">{"'Sheet1'!$L$16"}</definedName>
    <definedName name="HTML_Control" localSheetId="20" hidden="1">{"'Sheet1'!$L$16"}</definedName>
    <definedName name="HTML_Control" localSheetId="23" hidden="1">{"'Sheet1'!$L$16"}</definedName>
    <definedName name="HTML_Control" localSheetId="24" hidden="1">{"'Sheet1'!$L$16"}</definedName>
    <definedName name="HTML_Control" localSheetId="8"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localSheetId="15" hidden="1">{"'Sheet1'!$L$16"}</definedName>
    <definedName name="hu" localSheetId="18" hidden="1">{"'Sheet1'!$L$16"}</definedName>
    <definedName name="hu" localSheetId="19" hidden="1">{"'Sheet1'!$L$16"}</definedName>
    <definedName name="hu" localSheetId="20" hidden="1">{"'Sheet1'!$L$16"}</definedName>
    <definedName name="hu" localSheetId="23" hidden="1">{"'Sheet1'!$L$16"}</definedName>
    <definedName name="hu" localSheetId="24" hidden="1">{"'Sheet1'!$L$16"}</definedName>
    <definedName name="hu" localSheetId="8" hidden="1">{"'Sheet1'!$L$16"}</definedName>
    <definedName name="hu" hidden="1">{"'Sheet1'!$L$16"}</definedName>
    <definedName name="HUU" localSheetId="15" hidden="1">{"'Sheet1'!$L$16"}</definedName>
    <definedName name="HUU" localSheetId="18" hidden="1">{"'Sheet1'!$L$16"}</definedName>
    <definedName name="HUU" localSheetId="19" hidden="1">{"'Sheet1'!$L$16"}</definedName>
    <definedName name="HUU" localSheetId="20" hidden="1">{"'Sheet1'!$L$16"}</definedName>
    <definedName name="HUU" localSheetId="23" hidden="1">{"'Sheet1'!$L$16"}</definedName>
    <definedName name="HUU" localSheetId="24" hidden="1">{"'Sheet1'!$L$16"}</definedName>
    <definedName name="HUU" localSheetId="8" hidden="1">{"'Sheet1'!$L$16"}</definedName>
    <definedName name="HUU" hidden="1">{"'Sheet1'!$L$16"}</definedName>
    <definedName name="huy" localSheetId="15" hidden="1">{"'Sheet1'!$L$16"}</definedName>
    <definedName name="huy" localSheetId="18" hidden="1">{"'Sheet1'!$L$16"}</definedName>
    <definedName name="huy" localSheetId="19" hidden="1">{"'Sheet1'!$L$16"}</definedName>
    <definedName name="huy" localSheetId="20" hidden="1">{"'Sheet1'!$L$16"}</definedName>
    <definedName name="huy" localSheetId="23" hidden="1">{"'Sheet1'!$L$16"}</definedName>
    <definedName name="huy" localSheetId="24" hidden="1">{"'Sheet1'!$L$16"}</definedName>
    <definedName name="huy" localSheetId="8" hidden="1">{"'Sheet1'!$L$16"}</definedName>
    <definedName name="huy" hidden="1">{"'Sheet1'!$L$16"}</definedName>
    <definedName name="j" localSheetId="15" hidden="1">{"'Sheet1'!$L$16"}</definedName>
    <definedName name="j" localSheetId="18" hidden="1">{"'Sheet1'!$L$16"}</definedName>
    <definedName name="j" localSheetId="19" hidden="1">{"'Sheet1'!$L$16"}</definedName>
    <definedName name="j" localSheetId="20" hidden="1">{"'Sheet1'!$L$16"}</definedName>
    <definedName name="j" localSheetId="23" hidden="1">{"'Sheet1'!$L$16"}</definedName>
    <definedName name="j" localSheetId="24" hidden="1">{"'Sheet1'!$L$16"}</definedName>
    <definedName name="j" localSheetId="8" hidden="1">{"'Sheet1'!$L$16"}</definedName>
    <definedName name="j" hidden="1">{"'Sheet1'!$L$16"}</definedName>
    <definedName name="k" localSheetId="15" hidden="1">{"'Sheet1'!$L$16"}</definedName>
    <definedName name="k" localSheetId="18" hidden="1">{"'Sheet1'!$L$16"}</definedName>
    <definedName name="k" localSheetId="19" hidden="1">{"'Sheet1'!$L$16"}</definedName>
    <definedName name="k" localSheetId="20" hidden="1">{"'Sheet1'!$L$16"}</definedName>
    <definedName name="k" localSheetId="23" hidden="1">{"'Sheet1'!$L$16"}</definedName>
    <definedName name="k" localSheetId="24" hidden="1">{"'Sheet1'!$L$16"}</definedName>
    <definedName name="k" localSheetId="8" hidden="1">{"'Sheet1'!$L$16"}</definedName>
    <definedName name="k" hidden="1">{"'Sheet1'!$L$16"}</definedName>
    <definedName name="khac">2</definedName>
    <definedName name="khongtruotgia" localSheetId="15" hidden="1">{"'Sheet1'!$L$16"}</definedName>
    <definedName name="khongtruotgia" localSheetId="18" hidden="1">{"'Sheet1'!$L$16"}</definedName>
    <definedName name="khongtruotgia" localSheetId="19" hidden="1">{"'Sheet1'!$L$16"}</definedName>
    <definedName name="khongtruotgia" localSheetId="20" hidden="1">{"'Sheet1'!$L$16"}</definedName>
    <definedName name="khongtruotgia" localSheetId="23" hidden="1">{"'Sheet1'!$L$16"}</definedName>
    <definedName name="khongtruotgia" localSheetId="24" hidden="1">{"'Sheet1'!$L$16"}</definedName>
    <definedName name="khongtruotgia" localSheetId="8" hidden="1">{"'Sheet1'!$L$16"}</definedName>
    <definedName name="khongtruotgia" hidden="1">{"'Sheet1'!$L$16"}</definedName>
    <definedName name="ksbn" localSheetId="15" hidden="1">{"'Sheet1'!$L$16"}</definedName>
    <definedName name="ksbn" localSheetId="18" hidden="1">{"'Sheet1'!$L$16"}</definedName>
    <definedName name="ksbn" localSheetId="19" hidden="1">{"'Sheet1'!$L$16"}</definedName>
    <definedName name="ksbn" localSheetId="20" hidden="1">{"'Sheet1'!$L$16"}</definedName>
    <definedName name="ksbn" localSheetId="23" hidden="1">{"'Sheet1'!$L$16"}</definedName>
    <definedName name="ksbn" localSheetId="24" hidden="1">{"'Sheet1'!$L$16"}</definedName>
    <definedName name="ksbn" localSheetId="8" hidden="1">{"'Sheet1'!$L$16"}</definedName>
    <definedName name="ksbn" hidden="1">{"'Sheet1'!$L$16"}</definedName>
    <definedName name="kshn" localSheetId="15" hidden="1">{"'Sheet1'!$L$16"}</definedName>
    <definedName name="kshn" localSheetId="18" hidden="1">{"'Sheet1'!$L$16"}</definedName>
    <definedName name="kshn" localSheetId="19" hidden="1">{"'Sheet1'!$L$16"}</definedName>
    <definedName name="kshn" localSheetId="20" hidden="1">{"'Sheet1'!$L$16"}</definedName>
    <definedName name="kshn" localSheetId="23" hidden="1">{"'Sheet1'!$L$16"}</definedName>
    <definedName name="kshn" localSheetId="24" hidden="1">{"'Sheet1'!$L$16"}</definedName>
    <definedName name="kshn" localSheetId="8" hidden="1">{"'Sheet1'!$L$16"}</definedName>
    <definedName name="kshn" hidden="1">{"'Sheet1'!$L$16"}</definedName>
    <definedName name="ksls" localSheetId="15" hidden="1">{"'Sheet1'!$L$16"}</definedName>
    <definedName name="ksls" localSheetId="18" hidden="1">{"'Sheet1'!$L$16"}</definedName>
    <definedName name="ksls" localSheetId="19" hidden="1">{"'Sheet1'!$L$16"}</definedName>
    <definedName name="ksls" localSheetId="20" hidden="1">{"'Sheet1'!$L$16"}</definedName>
    <definedName name="ksls" localSheetId="23" hidden="1">{"'Sheet1'!$L$16"}</definedName>
    <definedName name="ksls" localSheetId="24" hidden="1">{"'Sheet1'!$L$16"}</definedName>
    <definedName name="ksls" localSheetId="8" hidden="1">{"'Sheet1'!$L$16"}</definedName>
    <definedName name="ksls" hidden="1">{"'Sheet1'!$L$16"}</definedName>
    <definedName name="l" localSheetId="15" hidden="1">{"'Sheet1'!$L$16"}</definedName>
    <definedName name="l" localSheetId="18" hidden="1">{"'Sheet1'!$L$16"}</definedName>
    <definedName name="l" localSheetId="19" hidden="1">{"'Sheet1'!$L$16"}</definedName>
    <definedName name="l" localSheetId="20" hidden="1">{"'Sheet1'!$L$16"}</definedName>
    <definedName name="l" localSheetId="23" hidden="1">{"'Sheet1'!$L$16"}</definedName>
    <definedName name="l" localSheetId="24" hidden="1">{"'Sheet1'!$L$16"}</definedName>
    <definedName name="l" localSheetId="8" hidden="1">{"'Sheet1'!$L$16"}</definedName>
    <definedName name="l" hidden="1">{"'Sheet1'!$L$16"}</definedName>
    <definedName name="L63x6">5800</definedName>
    <definedName name="langson" localSheetId="15" hidden="1">{"'Sheet1'!$L$16"}</definedName>
    <definedName name="langson" localSheetId="18" hidden="1">{"'Sheet1'!$L$16"}</definedName>
    <definedName name="langson" localSheetId="19" hidden="1">{"'Sheet1'!$L$16"}</definedName>
    <definedName name="langson" localSheetId="20" hidden="1">{"'Sheet1'!$L$16"}</definedName>
    <definedName name="langson" localSheetId="23" hidden="1">{"'Sheet1'!$L$16"}</definedName>
    <definedName name="langson" localSheetId="24" hidden="1">{"'Sheet1'!$L$16"}</definedName>
    <definedName name="langson" localSheetId="8" hidden="1">{"'Sheet1'!$L$16"}</definedName>
    <definedName name="langson" hidden="1">{"'Sheet1'!$L$16"}</definedName>
    <definedName name="LBS_22">107800000</definedName>
    <definedName name="lk" localSheetId="16" hidden="1">#REF!</definedName>
    <definedName name="lk" localSheetId="25" hidden="1">#REF!</definedName>
    <definedName name="lk" localSheetId="18" hidden="1">#REF!</definedName>
    <definedName name="lk" localSheetId="20" hidden="1">#REF!</definedName>
    <definedName name="lk" localSheetId="21" hidden="1">#REF!</definedName>
    <definedName name="lk" localSheetId="23" hidden="1">#REF!</definedName>
    <definedName name="lk" localSheetId="24" hidden="1">#REF!</definedName>
    <definedName name="lk" localSheetId="17" hidden="1">#REF!</definedName>
    <definedName name="lk" hidden="1">#REF!</definedName>
    <definedName name="m" localSheetId="15" hidden="1">{"'Sheet1'!$L$16"}</definedName>
    <definedName name="m" localSheetId="18" hidden="1">{"'Sheet1'!$L$16"}</definedName>
    <definedName name="m" localSheetId="19" hidden="1">{"'Sheet1'!$L$16"}</definedName>
    <definedName name="m" localSheetId="20" hidden="1">{"'Sheet1'!$L$16"}</definedName>
    <definedName name="m" localSheetId="23" hidden="1">{"'Sheet1'!$L$16"}</definedName>
    <definedName name="m" localSheetId="24" hidden="1">{"'Sheet1'!$L$16"}</definedName>
    <definedName name="m" localSheetId="8" hidden="1">{"'Sheet1'!$L$16"}</definedName>
    <definedName name="m" hidden="1">{"'Sheet1'!$L$16"}</definedName>
    <definedName name="mo" localSheetId="15" hidden="1">{"'Sheet1'!$L$16"}</definedName>
    <definedName name="mo" localSheetId="18" hidden="1">{"'Sheet1'!$L$16"}</definedName>
    <definedName name="mo" localSheetId="19" hidden="1">{"'Sheet1'!$L$16"}</definedName>
    <definedName name="mo" localSheetId="20" hidden="1">{"'Sheet1'!$L$16"}</definedName>
    <definedName name="mo" localSheetId="23" hidden="1">{"'Sheet1'!$L$16"}</definedName>
    <definedName name="mo" localSheetId="24" hidden="1">{"'Sheet1'!$L$16"}</definedName>
    <definedName name="mo" localSheetId="8" hidden="1">{"'Sheet1'!$L$16"}</definedName>
    <definedName name="mo" hidden="1">{"'Sheet1'!$L$16"}</definedName>
    <definedName name="moi" localSheetId="15" hidden="1">{"'Sheet1'!$L$16"}</definedName>
    <definedName name="moi" localSheetId="18" hidden="1">{"'Sheet1'!$L$16"}</definedName>
    <definedName name="moi" localSheetId="19" hidden="1">{"'Sheet1'!$L$16"}</definedName>
    <definedName name="moi" localSheetId="20" hidden="1">{"'Sheet1'!$L$16"}</definedName>
    <definedName name="moi" localSheetId="23" hidden="1">{"'Sheet1'!$L$16"}</definedName>
    <definedName name="moi" localSheetId="24" hidden="1">{"'Sheet1'!$L$16"}</definedName>
    <definedName name="moi" localSheetId="8" hidden="1">{"'Sheet1'!$L$16"}</definedName>
    <definedName name="moi" hidden="1">{"'Sheet1'!$L$16"}</definedName>
    <definedName name="n" localSheetId="15" hidden="1">{"'Sheet1'!$L$16"}</definedName>
    <definedName name="n" localSheetId="18" hidden="1">{"'Sheet1'!$L$16"}</definedName>
    <definedName name="n" localSheetId="19" hidden="1">{"'Sheet1'!$L$16"}</definedName>
    <definedName name="n" localSheetId="20" hidden="1">{"'Sheet1'!$L$16"}</definedName>
    <definedName name="n" localSheetId="23" hidden="1">{"'Sheet1'!$L$16"}</definedName>
    <definedName name="n" localSheetId="24" hidden="1">{"'Sheet1'!$L$16"}</definedName>
    <definedName name="n" localSheetId="8" hidden="1">{"'Sheet1'!$L$16"}</definedName>
    <definedName name="n" hidden="1">{"'Sheet1'!$L$16"}</definedName>
    <definedName name="OrderTable" localSheetId="16" hidden="1">#REF!</definedName>
    <definedName name="OrderTable" localSheetId="25" hidden="1">#REF!</definedName>
    <definedName name="OrderTable" localSheetId="18" hidden="1">#REF!</definedName>
    <definedName name="OrderTable" localSheetId="20" hidden="1">#REF!</definedName>
    <definedName name="OrderTable" localSheetId="21" hidden="1">#REF!</definedName>
    <definedName name="OrderTable" localSheetId="24" hidden="1">#REF!</definedName>
    <definedName name="OrderTable" localSheetId="17" hidden="1">#REF!</definedName>
    <definedName name="OrderTable" hidden="1">#REF!</definedName>
    <definedName name="PAIII_" localSheetId="15" hidden="1">{"'Sheet1'!$L$16"}</definedName>
    <definedName name="PAIII_" localSheetId="18" hidden="1">{"'Sheet1'!$L$16"}</definedName>
    <definedName name="PAIII_" localSheetId="19" hidden="1">{"'Sheet1'!$L$16"}</definedName>
    <definedName name="PAIII_" localSheetId="20" hidden="1">{"'Sheet1'!$L$16"}</definedName>
    <definedName name="PAIII_" localSheetId="23" hidden="1">{"'Sheet1'!$L$16"}</definedName>
    <definedName name="PAIII_" localSheetId="24" hidden="1">{"'Sheet1'!$L$16"}</definedName>
    <definedName name="PAIII_" localSheetId="8" hidden="1">{"'Sheet1'!$L$16"}</definedName>
    <definedName name="PAIII_" hidden="1">{"'Sheet1'!$L$16"}</definedName>
    <definedName name="PMS" localSheetId="15" hidden="1">{"'Sheet1'!$L$16"}</definedName>
    <definedName name="PMS" localSheetId="18" hidden="1">{"'Sheet1'!$L$16"}</definedName>
    <definedName name="PMS" localSheetId="19" hidden="1">{"'Sheet1'!$L$16"}</definedName>
    <definedName name="PMS" localSheetId="20" hidden="1">{"'Sheet1'!$L$16"}</definedName>
    <definedName name="PMS" localSheetId="23" hidden="1">{"'Sheet1'!$L$16"}</definedName>
    <definedName name="PMS" localSheetId="24" hidden="1">{"'Sheet1'!$L$16"}</definedName>
    <definedName name="PMS" localSheetId="8" hidden="1">{"'Sheet1'!$L$16"}</definedName>
    <definedName name="PMS" hidden="1">{"'Sheet1'!$L$16"}</definedName>
    <definedName name="_xlnm.Print_Area" localSheetId="1">'1. CĐNS'!$A$1:$AC$72</definedName>
    <definedName name="_xlnm.Print_Area" localSheetId="10">'10. Boi chi'!$A$1:$Q$15</definedName>
    <definedName name="_xlnm.Print_Area" localSheetId="11">'11.VTXSKT'!$A$1:$O$15</definedName>
    <definedName name="_xlnm.Print_Area" localSheetId="12">'12. KDCĐNS2022'!$A$1:$O$12</definedName>
    <definedName name="_xlnm.Print_Area" localSheetId="13">'13. KDXSKT2022'!$A$1:$R$25</definedName>
    <definedName name="_xlnm.Print_Area" localSheetId="14">'14. VTXSKT2022'!$A$1:$T$27</definedName>
    <definedName name="_xlnm.Print_Area" localSheetId="15">'15. DA ĐB'!$A$1:$J$25</definedName>
    <definedName name="_xlnm.Print_Area" localSheetId="16">'16. DA chưa QĐĐT (2)'!$A$1:$W$124</definedName>
    <definedName name="_xlnm.Print_Area" localSheetId="25">'16. DA chưa QĐĐT (full)'!$A$1:$X$148</definedName>
    <definedName name="_xlnm.Print_Area" localSheetId="18">'17. KDXS2020-CNT'!$A$1:$Z$13</definedName>
    <definedName name="_xlnm.Print_Area" localSheetId="19">'18. Muon ĐPTTH'!$A$1:$N$12</definedName>
    <definedName name="_xlnm.Print_Area" localSheetId="20">'19. DP NST 2024'!$A$1:$N$12</definedName>
    <definedName name="_xlnm.Print_Area" localSheetId="2">'2. SDĐ'!$A$1:$T$29</definedName>
    <definedName name="_xlnm.Print_Area" localSheetId="21">'20. Tỉnh Trà Vinh hỗ trợ'!$A$1:$N$12</definedName>
    <definedName name="_xlnm.Print_Area" localSheetId="22">'21. BQP hỗ trợ'!$A$1:$N$12</definedName>
    <definedName name="_xlnm.Print_Area" localSheetId="23">'22. NHNN'!$A$1:$O$12</definedName>
    <definedName name="_xlnm.Print_Area" localSheetId="24">'23. VTPCP'!$A$1:$O$13</definedName>
    <definedName name="_xlnm.Print_Area" localSheetId="26">'24. CBĐT-QT'!$A$1:$H$103</definedName>
    <definedName name="_xlnm.Print_Area" localSheetId="28">'25. ĐUPCP'!$A$1:$K$21</definedName>
    <definedName name="_xlnm.Print_Area" localSheetId="3">'3. XSKT'!$A$1:$AC$131</definedName>
    <definedName name="_xlnm.Print_Area" localSheetId="4">'4. ĐƯCTMTQG'!$A$1:$AD$125</definedName>
    <definedName name="_xlnm.Print_Area" localSheetId="5">'5. ĐPTTH'!$A$1:$AC$27</definedName>
    <definedName name="_xlnm.Print_Area" localSheetId="6">'6. UBTP hoàn trả'!$A$1:$AB$13</definedName>
    <definedName name="_xlnm.Print_Area" localSheetId="7">'7. XSKT CNT'!$A$1:$V$34</definedName>
    <definedName name="_xlnm.Print_Area" localSheetId="8">'8. KDXSKT'!$A$1:$S$15</definedName>
    <definedName name="_xlnm.Print_Area" localSheetId="9">'9. KDSDĐ năm 2020'!$A$1:$Y$12</definedName>
    <definedName name="_xlnm.Print_Area" localSheetId="17">'DA chưa QĐĐT'!$A$1:$X$100</definedName>
    <definedName name="_xlnm.Print_Area" localSheetId="0">TH!$A$1:$I$106</definedName>
    <definedName name="_xlnm.Print_Titles" localSheetId="1">'1. CĐNS'!$5:$7</definedName>
    <definedName name="_xlnm.Print_Titles" localSheetId="10">'10. Boi chi'!$5:$7</definedName>
    <definedName name="_xlnm.Print_Titles" localSheetId="11">'11.VTXSKT'!$5:$7</definedName>
    <definedName name="_xlnm.Print_Titles" localSheetId="12">'12. KDCĐNS2022'!$5:$7</definedName>
    <definedName name="_xlnm.Print_Titles" localSheetId="13">'13. KDXSKT2022'!$5:$7</definedName>
    <definedName name="_xlnm.Print_Titles" localSheetId="14">'14. VTXSKT2022'!$5:$7</definedName>
    <definedName name="_xlnm.Print_Titles" localSheetId="15">'15. DA ĐB'!$5:$7</definedName>
    <definedName name="_xlnm.Print_Titles" localSheetId="16">'16. DA chưa QĐĐT (2)'!$5:$7</definedName>
    <definedName name="_xlnm.Print_Titles" localSheetId="25">'16. DA chưa QĐĐT (full)'!$5:$7</definedName>
    <definedName name="_xlnm.Print_Titles" localSheetId="18">'17. KDXS2020-CNT'!$5:$7</definedName>
    <definedName name="_xlnm.Print_Titles" localSheetId="19">'18. Muon ĐPTTH'!$5:$7</definedName>
    <definedName name="_xlnm.Print_Titles" localSheetId="20">'19. DP NST 2024'!$5:$7</definedName>
    <definedName name="_xlnm.Print_Titles" localSheetId="2">'2. SDĐ'!$5:$7</definedName>
    <definedName name="_xlnm.Print_Titles" localSheetId="21">'20. Tỉnh Trà Vinh hỗ trợ'!$5:$7</definedName>
    <definedName name="_xlnm.Print_Titles" localSheetId="22">'21. BQP hỗ trợ'!$5:$7</definedName>
    <definedName name="_xlnm.Print_Titles" localSheetId="23">'22. NHNN'!$5:$7</definedName>
    <definedName name="_xlnm.Print_Titles" localSheetId="24">'23. VTPCP'!$5:$7</definedName>
    <definedName name="_xlnm.Print_Titles" localSheetId="26">'24. CBĐT-QT'!$5:$6</definedName>
    <definedName name="_xlnm.Print_Titles" localSheetId="28">'25. ĐUPCP'!$5:$7</definedName>
    <definedName name="_xlnm.Print_Titles" localSheetId="3">'3. XSKT'!$5:$7</definedName>
    <definedName name="_xlnm.Print_Titles" localSheetId="4">'4. ĐƯCTMTQG'!$6:$8</definedName>
    <definedName name="_xlnm.Print_Titles" localSheetId="5">'5. ĐPTTH'!$5:$7</definedName>
    <definedName name="_xlnm.Print_Titles" localSheetId="6">'6. UBTP hoàn trả'!$5:$7</definedName>
    <definedName name="_xlnm.Print_Titles" localSheetId="7">'7. XSKT CNT'!$5:$7</definedName>
    <definedName name="_xlnm.Print_Titles" localSheetId="8">'8. KDXSKT'!$5:$7</definedName>
    <definedName name="_xlnm.Print_Titles" localSheetId="9">'9. KDSDĐ năm 2020'!$5:$7</definedName>
    <definedName name="_xlnm.Print_Titles" localSheetId="17">'DA chưa QĐĐT'!$5:$7</definedName>
    <definedName name="_xlnm.Print_Titles" localSheetId="0">TH!$4:$5</definedName>
    <definedName name="ProdForm" localSheetId="15" hidden="1">#REF!</definedName>
    <definedName name="ProdForm" localSheetId="16" hidden="1">#REF!</definedName>
    <definedName name="ProdForm" localSheetId="25" hidden="1">#REF!</definedName>
    <definedName name="ProdForm" localSheetId="18" hidden="1">#REF!</definedName>
    <definedName name="ProdForm" localSheetId="20" hidden="1">#REF!</definedName>
    <definedName name="ProdForm" localSheetId="21" hidden="1">#REF!</definedName>
    <definedName name="ProdForm" localSheetId="23" hidden="1">#REF!</definedName>
    <definedName name="ProdForm" localSheetId="24" hidden="1">#REF!</definedName>
    <definedName name="ProdForm" localSheetId="8" hidden="1">#REF!</definedName>
    <definedName name="ProdForm" localSheetId="17" hidden="1">#REF!</definedName>
    <definedName name="ProdForm" hidden="1">#REF!</definedName>
    <definedName name="Product" localSheetId="16" hidden="1">#REF!</definedName>
    <definedName name="Product" localSheetId="25" hidden="1">#REF!</definedName>
    <definedName name="Product" localSheetId="18" hidden="1">#REF!</definedName>
    <definedName name="Product" localSheetId="20" hidden="1">#REF!</definedName>
    <definedName name="Product" localSheetId="21" hidden="1">#REF!</definedName>
    <definedName name="Product" localSheetId="23" hidden="1">#REF!</definedName>
    <definedName name="Product" localSheetId="24" hidden="1">#REF!</definedName>
    <definedName name="Product" localSheetId="8" hidden="1">#REF!</definedName>
    <definedName name="Product" localSheetId="17" hidden="1">#REF!</definedName>
    <definedName name="Product" hidden="1">#REF!</definedName>
    <definedName name="rate">14000</definedName>
    <definedName name="RCArea" localSheetId="16" hidden="1">#REF!</definedName>
    <definedName name="RCArea" localSheetId="25" hidden="1">#REF!</definedName>
    <definedName name="RCArea" localSheetId="18" hidden="1">#REF!</definedName>
    <definedName name="RCArea" localSheetId="20" hidden="1">#REF!</definedName>
    <definedName name="RCArea" localSheetId="21" hidden="1">#REF!</definedName>
    <definedName name="RCArea" localSheetId="23" hidden="1">#REF!</definedName>
    <definedName name="RCArea" localSheetId="24" hidden="1">#REF!</definedName>
    <definedName name="RCArea" localSheetId="8" hidden="1">#REF!</definedName>
    <definedName name="RCArea" localSheetId="17" hidden="1">#REF!</definedName>
    <definedName name="RCArea" hidden="1">#REF!</definedName>
    <definedName name="S.dinh">640</definedName>
    <definedName name="Spanner_Auto_File">"C:\My Documents\tinh cdo.x2a"</definedName>
    <definedName name="SpecialPrice" localSheetId="16" hidden="1">#REF!</definedName>
    <definedName name="SpecialPrice" localSheetId="25" hidden="1">#REF!</definedName>
    <definedName name="SpecialPrice" localSheetId="18" hidden="1">#REF!</definedName>
    <definedName name="SpecialPrice" localSheetId="20" hidden="1">#REF!</definedName>
    <definedName name="SpecialPrice" localSheetId="21" hidden="1">#REF!</definedName>
    <definedName name="SpecialPrice" localSheetId="23" hidden="1">#REF!</definedName>
    <definedName name="SpecialPrice" localSheetId="24" hidden="1">#REF!</definedName>
    <definedName name="SpecialPrice" localSheetId="17" hidden="1">#REF!</definedName>
    <definedName name="SpecialPrice" hidden="1">#REF!</definedName>
    <definedName name="t" localSheetId="15" hidden="1">{"'Sheet1'!$L$16"}</definedName>
    <definedName name="t" localSheetId="18" hidden="1">{"'Sheet1'!$L$16"}</definedName>
    <definedName name="t" localSheetId="19" hidden="1">{"'Sheet1'!$L$16"}</definedName>
    <definedName name="t" localSheetId="20" hidden="1">{"'Sheet1'!$L$16"}</definedName>
    <definedName name="t" localSheetId="23" hidden="1">{"'Sheet1'!$L$16"}</definedName>
    <definedName name="t" localSheetId="24" hidden="1">{"'Sheet1'!$L$16"}</definedName>
    <definedName name="t" localSheetId="8" hidden="1">{"'Sheet1'!$L$16"}</definedName>
    <definedName name="t" hidden="1">{"'Sheet1'!$L$16"}</definedName>
    <definedName name="Tang">100</definedName>
    <definedName name="TaxTV">10%</definedName>
    <definedName name="TaxXL">5%</definedName>
    <definedName name="tbl_ProdInfo" localSheetId="16" hidden="1">#REF!</definedName>
    <definedName name="tbl_ProdInfo" localSheetId="25" hidden="1">#REF!</definedName>
    <definedName name="tbl_ProdInfo" localSheetId="18" hidden="1">#REF!</definedName>
    <definedName name="tbl_ProdInfo" localSheetId="20" hidden="1">#REF!</definedName>
    <definedName name="tbl_ProdInfo" localSheetId="21" hidden="1">#REF!</definedName>
    <definedName name="tbl_ProdInfo" localSheetId="23" hidden="1">#REF!</definedName>
    <definedName name="tbl_ProdInfo" localSheetId="24" hidden="1">#REF!</definedName>
    <definedName name="tbl_ProdInfo" localSheetId="17" hidden="1">#REF!</definedName>
    <definedName name="tbl_ProdInfo" hidden="1">#REF!</definedName>
    <definedName name="tha" localSheetId="15" hidden="1">{"'Sheet1'!$L$16"}</definedName>
    <definedName name="tha" localSheetId="18" hidden="1">{"'Sheet1'!$L$16"}</definedName>
    <definedName name="tha" localSheetId="19" hidden="1">{"'Sheet1'!$L$16"}</definedName>
    <definedName name="tha" localSheetId="20" hidden="1">{"'Sheet1'!$L$16"}</definedName>
    <definedName name="tha" localSheetId="23" hidden="1">{"'Sheet1'!$L$16"}</definedName>
    <definedName name="tha" localSheetId="24" hidden="1">{"'Sheet1'!$L$16"}</definedName>
    <definedName name="tha" localSheetId="8" hidden="1">{"'Sheet1'!$L$16"}</definedName>
    <definedName name="tha" hidden="1">{"'Sheet1'!$L$16"}</definedName>
    <definedName name="thepma">10500</definedName>
    <definedName name="thue">6</definedName>
    <definedName name="Tiepdiama">9500</definedName>
    <definedName name="ttttt" localSheetId="15" hidden="1">{"'Sheet1'!$L$16"}</definedName>
    <definedName name="ttttt" localSheetId="18" hidden="1">{"'Sheet1'!$L$16"}</definedName>
    <definedName name="ttttt" localSheetId="19" hidden="1">{"'Sheet1'!$L$16"}</definedName>
    <definedName name="ttttt" localSheetId="20" hidden="1">{"'Sheet1'!$L$16"}</definedName>
    <definedName name="ttttt" localSheetId="23" hidden="1">{"'Sheet1'!$L$16"}</definedName>
    <definedName name="ttttt" localSheetId="24" hidden="1">{"'Sheet1'!$L$16"}</definedName>
    <definedName name="ttttt" localSheetId="8" hidden="1">{"'Sheet1'!$L$16"}</definedName>
    <definedName name="ttttt" hidden="1">{"'Sheet1'!$L$16"}</definedName>
    <definedName name="TTTTTTTTT" localSheetId="15" hidden="1">{"'Sheet1'!$L$16"}</definedName>
    <definedName name="TTTTTTTTT" localSheetId="18" hidden="1">{"'Sheet1'!$L$16"}</definedName>
    <definedName name="TTTTTTTTT" localSheetId="19" hidden="1">{"'Sheet1'!$L$16"}</definedName>
    <definedName name="TTTTTTTTT" localSheetId="20" hidden="1">{"'Sheet1'!$L$16"}</definedName>
    <definedName name="TTTTTTTTT" localSheetId="23" hidden="1">{"'Sheet1'!$L$16"}</definedName>
    <definedName name="TTTTTTTTT" localSheetId="24" hidden="1">{"'Sheet1'!$L$16"}</definedName>
    <definedName name="TTTTTTTTT" localSheetId="8" hidden="1">{"'Sheet1'!$L$16"}</definedName>
    <definedName name="TTTTTTTTT" hidden="1">{"'Sheet1'!$L$16"}</definedName>
    <definedName name="ttttttttttt" localSheetId="15" hidden="1">{"'Sheet1'!$L$16"}</definedName>
    <definedName name="ttttttttttt" localSheetId="18" hidden="1">{"'Sheet1'!$L$16"}</definedName>
    <definedName name="ttttttttttt" localSheetId="19" hidden="1">{"'Sheet1'!$L$16"}</definedName>
    <definedName name="ttttttttttt" localSheetId="20" hidden="1">{"'Sheet1'!$L$16"}</definedName>
    <definedName name="ttttttttttt" localSheetId="23" hidden="1">{"'Sheet1'!$L$16"}</definedName>
    <definedName name="ttttttttttt" localSheetId="24" hidden="1">{"'Sheet1'!$L$16"}</definedName>
    <definedName name="ttttttttttt" localSheetId="8" hidden="1">{"'Sheet1'!$L$16"}</definedName>
    <definedName name="ttttttttttt" hidden="1">{"'Sheet1'!$L$16"}</definedName>
    <definedName name="tuyennhanh" localSheetId="15" hidden="1">{"'Sheet1'!$L$16"}</definedName>
    <definedName name="tuyennhanh" localSheetId="18" hidden="1">{"'Sheet1'!$L$16"}</definedName>
    <definedName name="tuyennhanh" localSheetId="19" hidden="1">{"'Sheet1'!$L$16"}</definedName>
    <definedName name="tuyennhanh" localSheetId="20" hidden="1">{"'Sheet1'!$L$16"}</definedName>
    <definedName name="tuyennhanh" localSheetId="23" hidden="1">{"'Sheet1'!$L$16"}</definedName>
    <definedName name="tuyennhanh" localSheetId="24" hidden="1">{"'Sheet1'!$L$16"}</definedName>
    <definedName name="tuyennhanh" localSheetId="8" hidden="1">{"'Sheet1'!$L$16"}</definedName>
    <definedName name="tuyennhanh" hidden="1">{"'Sheet1'!$L$16"}</definedName>
    <definedName name="u" localSheetId="15" hidden="1">{"'Sheet1'!$L$16"}</definedName>
    <definedName name="u" localSheetId="18" hidden="1">{"'Sheet1'!$L$16"}</definedName>
    <definedName name="u" localSheetId="19" hidden="1">{"'Sheet1'!$L$16"}</definedName>
    <definedName name="u" localSheetId="20" hidden="1">{"'Sheet1'!$L$16"}</definedName>
    <definedName name="u" localSheetId="23" hidden="1">{"'Sheet1'!$L$16"}</definedName>
    <definedName name="u" localSheetId="24" hidden="1">{"'Sheet1'!$L$16"}</definedName>
    <definedName name="u" localSheetId="8" hidden="1">{"'Sheet1'!$L$16"}</definedName>
    <definedName name="u" hidden="1">{"'Sheet1'!$L$16"}</definedName>
    <definedName name="ư" localSheetId="15" hidden="1">{"'Sheet1'!$L$16"}</definedName>
    <definedName name="ư" localSheetId="18" hidden="1">{"'Sheet1'!$L$16"}</definedName>
    <definedName name="ư" localSheetId="19" hidden="1">{"'Sheet1'!$L$16"}</definedName>
    <definedName name="ư" localSheetId="20" hidden="1">{"'Sheet1'!$L$16"}</definedName>
    <definedName name="ư" localSheetId="23" hidden="1">{"'Sheet1'!$L$16"}</definedName>
    <definedName name="ư" localSheetId="24" hidden="1">{"'Sheet1'!$L$16"}</definedName>
    <definedName name="ư" localSheetId="8" hidden="1">{"'Sheet1'!$L$16"}</definedName>
    <definedName name="ư" hidden="1">{"'Sheet1'!$L$16"}</definedName>
    <definedName name="v" localSheetId="15" hidden="1">{"'Sheet1'!$L$16"}</definedName>
    <definedName name="v" localSheetId="18" hidden="1">{"'Sheet1'!$L$16"}</definedName>
    <definedName name="v" localSheetId="19" hidden="1">{"'Sheet1'!$L$16"}</definedName>
    <definedName name="v" localSheetId="20" hidden="1">{"'Sheet1'!$L$16"}</definedName>
    <definedName name="v" localSheetId="23" hidden="1">{"'Sheet1'!$L$16"}</definedName>
    <definedName name="v" localSheetId="24" hidden="1">{"'Sheet1'!$L$16"}</definedName>
    <definedName name="v" localSheetId="8" hidden="1">{"'Sheet1'!$L$16"}</definedName>
    <definedName name="v" hidden="1">{"'Sheet1'!$L$16"}</definedName>
    <definedName name="VAÄT_LIEÄU">"nhandongia"</definedName>
    <definedName name="vcbo1" localSheetId="18" hidden="1">{"'Sheet1'!$L$16"}</definedName>
    <definedName name="vcbo1" localSheetId="23" hidden="1">{"'Sheet1'!$L$16"}</definedName>
    <definedName name="vcbo1" localSheetId="24" hidden="1">{"'Sheet1'!$L$16"}</definedName>
    <definedName name="vcbo1" hidden="1">{"'Sheet1'!$L$16"}</definedName>
    <definedName name="vcoto" localSheetId="15" hidden="1">{"'Sheet1'!$L$16"}</definedName>
    <definedName name="vcoto" localSheetId="18" hidden="1">{"'Sheet1'!$L$16"}</definedName>
    <definedName name="vcoto" localSheetId="19" hidden="1">{"'Sheet1'!$L$16"}</definedName>
    <definedName name="vcoto" localSheetId="20" hidden="1">{"'Sheet1'!$L$16"}</definedName>
    <definedName name="vcoto" localSheetId="23" hidden="1">{"'Sheet1'!$L$16"}</definedName>
    <definedName name="vcoto" localSheetId="24" hidden="1">{"'Sheet1'!$L$16"}</definedName>
    <definedName name="vcoto" localSheetId="8" hidden="1">{"'Sheet1'!$L$16"}</definedName>
    <definedName name="vcoto" hidden="1">{"'Sheet1'!$L$16"}</definedName>
    <definedName name="Viet" localSheetId="15" hidden="1">{"'Sheet1'!$L$16"}</definedName>
    <definedName name="Viet" localSheetId="18" hidden="1">{"'Sheet1'!$L$16"}</definedName>
    <definedName name="Viet" localSheetId="19" hidden="1">{"'Sheet1'!$L$16"}</definedName>
    <definedName name="Viet" localSheetId="20" hidden="1">{"'Sheet1'!$L$16"}</definedName>
    <definedName name="Viet" localSheetId="23" hidden="1">{"'Sheet1'!$L$16"}</definedName>
    <definedName name="Viet" localSheetId="24" hidden="1">{"'Sheet1'!$L$16"}</definedName>
    <definedName name="Viet" localSheetId="8" hidden="1">{"'Sheet1'!$L$16"}</definedName>
    <definedName name="Viet" hidden="1">{"'Sheet1'!$L$16"}</definedName>
    <definedName name="WIRE1">5</definedName>
    <definedName name="wrn.aaa." localSheetId="15" hidden="1">{#N/A,#N/A,FALSE,"Sheet1";#N/A,#N/A,FALSE,"Sheet1";#N/A,#N/A,FALSE,"Sheet1"}</definedName>
    <definedName name="wrn.aaa." localSheetId="18" hidden="1">{#N/A,#N/A,FALSE,"Sheet1";#N/A,#N/A,FALSE,"Sheet1";#N/A,#N/A,FALSE,"Sheet1"}</definedName>
    <definedName name="wrn.aaa." localSheetId="19" hidden="1">{#N/A,#N/A,FALSE,"Sheet1";#N/A,#N/A,FALSE,"Sheet1";#N/A,#N/A,FALSE,"Sheet1"}</definedName>
    <definedName name="wrn.aaa." localSheetId="20" hidden="1">{#N/A,#N/A,FALSE,"Sheet1";#N/A,#N/A,FALSE,"Sheet1";#N/A,#N/A,FALSE,"Sheet1"}</definedName>
    <definedName name="wrn.aaa." localSheetId="23" hidden="1">{#N/A,#N/A,FALSE,"Sheet1";#N/A,#N/A,FALSE,"Sheet1";#N/A,#N/A,FALSE,"Sheet1"}</definedName>
    <definedName name="wrn.aaa." localSheetId="24" hidden="1">{#N/A,#N/A,FALSE,"Sheet1";#N/A,#N/A,FALSE,"Sheet1";#N/A,#N/A,FALSE,"Sheet1"}</definedName>
    <definedName name="wrn.aaa." localSheetId="8" hidden="1">{#N/A,#N/A,FALSE,"Sheet1";#N/A,#N/A,FALSE,"Sheet1";#N/A,#N/A,FALSE,"Sheet1"}</definedName>
    <definedName name="wrn.aaa." hidden="1">{#N/A,#N/A,FALSE,"Sheet1";#N/A,#N/A,FALSE,"Sheet1";#N/A,#N/A,FALSE,"Sheet1"}</definedName>
    <definedName name="wrn.chi._.tiÆt." localSheetId="15" hidden="1">{#N/A,#N/A,FALSE,"Chi tiÆt"}</definedName>
    <definedName name="wrn.chi._.tiÆt." localSheetId="18" hidden="1">{#N/A,#N/A,FALSE,"Chi tiÆt"}</definedName>
    <definedName name="wrn.chi._.tiÆt." localSheetId="19" hidden="1">{#N/A,#N/A,FALSE,"Chi tiÆt"}</definedName>
    <definedName name="wrn.chi._.tiÆt." localSheetId="20" hidden="1">{#N/A,#N/A,FALSE,"Chi tiÆt"}</definedName>
    <definedName name="wrn.chi._.tiÆt." localSheetId="23" hidden="1">{#N/A,#N/A,FALSE,"Chi tiÆt"}</definedName>
    <definedName name="wrn.chi._.tiÆt." localSheetId="24" hidden="1">{#N/A,#N/A,FALSE,"Chi tiÆt"}</definedName>
    <definedName name="wrn.chi._.tiÆt." localSheetId="8" hidden="1">{#N/A,#N/A,FALSE,"Chi tiÆt"}</definedName>
    <definedName name="wrn.chi._.tiÆt." hidden="1">{#N/A,#N/A,FALSE,"Chi tiÆt"}</definedName>
    <definedName name="wrn.cong." localSheetId="15" hidden="1">{#N/A,#N/A,FALSE,"Sheet1"}</definedName>
    <definedName name="wrn.cong." localSheetId="18" hidden="1">{#N/A,#N/A,FALSE,"Sheet1"}</definedName>
    <definedName name="wrn.cong." localSheetId="19" hidden="1">{#N/A,#N/A,FALSE,"Sheet1"}</definedName>
    <definedName name="wrn.cong." localSheetId="20" hidden="1">{#N/A,#N/A,FALSE,"Sheet1"}</definedName>
    <definedName name="wrn.cong." localSheetId="23" hidden="1">{#N/A,#N/A,FALSE,"Sheet1"}</definedName>
    <definedName name="wrn.cong." localSheetId="24" hidden="1">{#N/A,#N/A,FALSE,"Sheet1"}</definedName>
    <definedName name="wrn.cong." localSheetId="8" hidden="1">{#N/A,#N/A,FALSE,"Sheet1"}</definedName>
    <definedName name="wrn.cong." hidden="1">{#N/A,#N/A,FALSE,"Sheet1"}</definedName>
    <definedName name="wrn.Report." localSheetId="18" hidden="1">{"Offgrid",#N/A,FALSE,"OFFGRID";"Region",#N/A,FALSE,"REGION";"Offgrid -2",#N/A,FALSE,"OFFGRID";"WTP",#N/A,FALSE,"WTP";"WTP -2",#N/A,FALSE,"WTP";"Project",#N/A,FALSE,"PROJECT";"Summary -2",#N/A,FALSE,"SUMMARY"}</definedName>
    <definedName name="wrn.Report." localSheetId="23" hidden="1">{"Offgrid",#N/A,FALSE,"OFFGRID";"Region",#N/A,FALSE,"REGION";"Offgrid -2",#N/A,FALSE,"OFFGRID";"WTP",#N/A,FALSE,"WTP";"WTP -2",#N/A,FALSE,"WTP";"Project",#N/A,FALSE,"PROJECT";"Summary -2",#N/A,FALSE,"SUMMARY"}</definedName>
    <definedName name="wrn.Report." localSheetId="24"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15" hidden="1">{#N/A,#N/A,TRUE,"BT M200 da 10x20"}</definedName>
    <definedName name="wrn.vd." localSheetId="18" hidden="1">{#N/A,#N/A,TRUE,"BT M200 da 10x20"}</definedName>
    <definedName name="wrn.vd." localSheetId="19" hidden="1">{#N/A,#N/A,TRUE,"BT M200 da 10x20"}</definedName>
    <definedName name="wrn.vd." localSheetId="20" hidden="1">{#N/A,#N/A,TRUE,"BT M200 da 10x20"}</definedName>
    <definedName name="wrn.vd." localSheetId="23" hidden="1">{#N/A,#N/A,TRUE,"BT M200 da 10x20"}</definedName>
    <definedName name="wrn.vd." localSheetId="24" hidden="1">{#N/A,#N/A,TRUE,"BT M200 da 10x20"}</definedName>
    <definedName name="wrn.vd." localSheetId="8" hidden="1">{#N/A,#N/A,TRUE,"BT M200 da 10x20"}</definedName>
    <definedName name="wrn.vd." hidden="1">{#N/A,#N/A,TRUE,"BT M200 da 10x20"}</definedName>
    <definedName name="wrnf.report" localSheetId="18" hidden="1">{"Offgrid",#N/A,FALSE,"OFFGRID";"Region",#N/A,FALSE,"REGION";"Offgrid -2",#N/A,FALSE,"OFFGRID";"WTP",#N/A,FALSE,"WTP";"WTP -2",#N/A,FALSE,"WTP";"Project",#N/A,FALSE,"PROJECT";"Summary -2",#N/A,FALSE,"SUMMARY"}</definedName>
    <definedName name="wrnf.report" localSheetId="23" hidden="1">{"Offgrid",#N/A,FALSE,"OFFGRID";"Region",#N/A,FALSE,"REGION";"Offgrid -2",#N/A,FALSE,"OFFGRID";"WTP",#N/A,FALSE,"WTP";"WTP -2",#N/A,FALSE,"WTP";"Project",#N/A,FALSE,"PROJECT";"Summary -2",#N/A,FALSE,"SUMMARY"}</definedName>
    <definedName name="wrnf.report" localSheetId="24"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BCNCKT">5600</definedName>
    <definedName name="XCCT">0.5</definedName>
    <definedName name="xls" localSheetId="15" hidden="1">{"'Sheet1'!$L$16"}</definedName>
    <definedName name="xls" localSheetId="18" hidden="1">{"'Sheet1'!$L$16"}</definedName>
    <definedName name="xls" localSheetId="19" hidden="1">{"'Sheet1'!$L$16"}</definedName>
    <definedName name="xls" localSheetId="20" hidden="1">{"'Sheet1'!$L$16"}</definedName>
    <definedName name="xls" localSheetId="23" hidden="1">{"'Sheet1'!$L$16"}</definedName>
    <definedName name="xls" localSheetId="24" hidden="1">{"'Sheet1'!$L$16"}</definedName>
    <definedName name="xls" localSheetId="8" hidden="1">{"'Sheet1'!$L$16"}</definedName>
    <definedName name="xls" hidden="1">{"'Sheet1'!$L$16"}</definedName>
    <definedName name="xlttbninh" localSheetId="15" hidden="1">{"'Sheet1'!$L$16"}</definedName>
    <definedName name="xlttbninh" localSheetId="18" hidden="1">{"'Sheet1'!$L$16"}</definedName>
    <definedName name="xlttbninh" localSheetId="19" hidden="1">{"'Sheet1'!$L$16"}</definedName>
    <definedName name="xlttbninh" localSheetId="20" hidden="1">{"'Sheet1'!$L$16"}</definedName>
    <definedName name="xlttbninh" localSheetId="23" hidden="1">{"'Sheet1'!$L$16"}</definedName>
    <definedName name="xlttbninh" localSheetId="24" hidden="1">{"'Sheet1'!$L$16"}</definedName>
    <definedName name="xlttbninh" localSheetId="8" hidden="1">{"'Sheet1'!$L$16"}</definedName>
    <definedName name="xlttbninh" hidden="1">{"'Sheet1'!$L$16"}</definedName>
    <definedName name="XTKKTTC">7500</definedName>
  </definedNames>
  <calcPr calcId="144525"/>
</workbook>
</file>

<file path=xl/calcChain.xml><?xml version="1.0" encoding="utf-8"?>
<calcChain xmlns="http://schemas.openxmlformats.org/spreadsheetml/2006/main">
  <c r="E83" i="42" l="1"/>
  <c r="F93" i="42"/>
  <c r="G93" i="42"/>
  <c r="E93" i="42"/>
  <c r="F100" i="42"/>
  <c r="G100" i="42"/>
  <c r="E100" i="42"/>
  <c r="F83" i="42"/>
  <c r="G83" i="42"/>
  <c r="G44" i="31" l="1"/>
  <c r="H44" i="31" s="1"/>
  <c r="D44" i="31"/>
  <c r="F44" i="31"/>
  <c r="E44" i="31"/>
  <c r="C44" i="31"/>
  <c r="G69" i="31"/>
  <c r="D69" i="31"/>
  <c r="G65" i="31"/>
  <c r="D65" i="31"/>
  <c r="F65" i="31"/>
  <c r="E65" i="31"/>
  <c r="C65" i="31"/>
  <c r="G62" i="31"/>
  <c r="D62" i="31"/>
  <c r="F62" i="31"/>
  <c r="E62" i="31"/>
  <c r="C62" i="31"/>
  <c r="G59" i="31"/>
  <c r="D59" i="31"/>
  <c r="F59" i="31"/>
  <c r="E59" i="31"/>
  <c r="C59" i="31"/>
  <c r="G56" i="31"/>
  <c r="D56" i="31"/>
  <c r="F56" i="31"/>
  <c r="E56" i="31"/>
  <c r="C56" i="31"/>
  <c r="D51" i="31"/>
  <c r="G51" i="31"/>
  <c r="F51" i="31"/>
  <c r="E51" i="31"/>
  <c r="C51" i="31"/>
  <c r="G48" i="31"/>
  <c r="D48" i="31"/>
  <c r="F48" i="31"/>
  <c r="E48" i="31"/>
  <c r="C48" i="31"/>
  <c r="F69" i="31"/>
  <c r="E69" i="31"/>
  <c r="C69" i="31"/>
  <c r="G104" i="31"/>
  <c r="D104" i="31"/>
  <c r="F104" i="31"/>
  <c r="E104" i="31"/>
  <c r="C104" i="31"/>
  <c r="G101" i="31"/>
  <c r="D101" i="31"/>
  <c r="F101" i="31"/>
  <c r="E101" i="31"/>
  <c r="C101" i="31"/>
  <c r="G98" i="31"/>
  <c r="D98" i="31"/>
  <c r="F98" i="31"/>
  <c r="E98" i="31"/>
  <c r="C98" i="31"/>
  <c r="G95" i="31"/>
  <c r="D95" i="31"/>
  <c r="F95" i="31"/>
  <c r="E95" i="31"/>
  <c r="C95" i="31"/>
  <c r="G92" i="31"/>
  <c r="D92" i="31"/>
  <c r="F92" i="31"/>
  <c r="E92" i="31"/>
  <c r="C92" i="31"/>
  <c r="G89" i="31"/>
  <c r="D89" i="31"/>
  <c r="F89" i="31"/>
  <c r="E89" i="31"/>
  <c r="C89" i="31"/>
  <c r="G87" i="31"/>
  <c r="G86" i="31"/>
  <c r="E86" i="31"/>
  <c r="F86" i="31"/>
  <c r="D86" i="31"/>
  <c r="C86" i="31"/>
  <c r="H69" i="31" l="1"/>
  <c r="H65" i="31"/>
  <c r="H62" i="31"/>
  <c r="H59" i="31"/>
  <c r="H95" i="31"/>
  <c r="H56" i="31"/>
  <c r="H51" i="31"/>
  <c r="H48" i="31"/>
  <c r="H104" i="31"/>
  <c r="H92" i="31"/>
  <c r="H101" i="31"/>
  <c r="H98" i="31"/>
  <c r="H86" i="31"/>
  <c r="H89" i="31"/>
  <c r="R20" i="3"/>
  <c r="N12" i="16" l="1"/>
  <c r="N11" i="16"/>
  <c r="W12" i="16"/>
  <c r="V11" i="16"/>
  <c r="I49" i="7"/>
  <c r="I48" i="7"/>
  <c r="J49" i="7"/>
  <c r="J48" i="7"/>
  <c r="K49" i="7"/>
  <c r="L49" i="7"/>
  <c r="M49" i="7"/>
  <c r="N49" i="7"/>
  <c r="N48" i="7"/>
  <c r="O49" i="7"/>
  <c r="O48" i="7"/>
  <c r="P49" i="7"/>
  <c r="P48" i="7"/>
  <c r="Q49" i="7"/>
  <c r="Q48" i="7"/>
  <c r="R49" i="7"/>
  <c r="R48" i="7"/>
  <c r="S49" i="7"/>
  <c r="T49" i="7"/>
  <c r="T48" i="7"/>
  <c r="U49" i="7"/>
  <c r="U48" i="7"/>
  <c r="V49" i="7"/>
  <c r="V48" i="7"/>
  <c r="W49" i="7"/>
  <c r="X49" i="7"/>
  <c r="Y49" i="7"/>
  <c r="Z49" i="7"/>
  <c r="Z48" i="7"/>
  <c r="AA49" i="7"/>
  <c r="AA48" i="7"/>
  <c r="AB49" i="7"/>
  <c r="AB48" i="7"/>
  <c r="H49" i="7"/>
  <c r="H48" i="7"/>
  <c r="K48" i="7"/>
  <c r="L48" i="7"/>
  <c r="M48" i="7"/>
  <c r="S48" i="7"/>
  <c r="W48" i="7"/>
  <c r="X48" i="7"/>
  <c r="Y48" i="7"/>
  <c r="I51" i="7"/>
  <c r="J51" i="7"/>
  <c r="K51" i="7"/>
  <c r="L51" i="7"/>
  <c r="M51" i="7"/>
  <c r="N51" i="7"/>
  <c r="O51" i="7"/>
  <c r="P51" i="7"/>
  <c r="Q51" i="7"/>
  <c r="R51" i="7"/>
  <c r="S51" i="7"/>
  <c r="T51" i="7"/>
  <c r="U51" i="7"/>
  <c r="V51" i="7"/>
  <c r="W51" i="7"/>
  <c r="X51" i="7"/>
  <c r="Y51" i="7"/>
  <c r="Z51" i="7"/>
  <c r="AA51" i="7"/>
  <c r="AB51" i="7"/>
  <c r="H51" i="7"/>
  <c r="D64" i="31"/>
  <c r="E67" i="31"/>
  <c r="F67" i="31"/>
  <c r="G67" i="31"/>
  <c r="H67" i="31"/>
  <c r="D67" i="31"/>
  <c r="I8" i="20"/>
  <c r="J8" i="20"/>
  <c r="K8" i="20"/>
  <c r="L8" i="20"/>
  <c r="M8" i="20"/>
  <c r="N8" i="20"/>
  <c r="H8" i="20"/>
  <c r="N14" i="20"/>
  <c r="S14" i="20"/>
  <c r="N13" i="20"/>
  <c r="N12" i="20"/>
  <c r="M13" i="20"/>
  <c r="M12" i="20"/>
  <c r="L13" i="20"/>
  <c r="L12" i="20"/>
  <c r="K13" i="20"/>
  <c r="K12" i="20"/>
  <c r="J13" i="20"/>
  <c r="J12" i="20"/>
  <c r="I13" i="20"/>
  <c r="I12" i="20"/>
  <c r="H13" i="20"/>
  <c r="H12" i="20"/>
  <c r="E97" i="31"/>
  <c r="F97" i="31"/>
  <c r="G97" i="31"/>
  <c r="D97" i="31"/>
  <c r="E94" i="31"/>
  <c r="F94" i="31"/>
  <c r="G94" i="31"/>
  <c r="E91" i="31"/>
  <c r="F91" i="31"/>
  <c r="G91" i="31"/>
  <c r="D94" i="31"/>
  <c r="D91" i="31"/>
  <c r="E88" i="31"/>
  <c r="F88" i="31"/>
  <c r="G88" i="31"/>
  <c r="D88" i="31"/>
  <c r="E85" i="31"/>
  <c r="F85" i="31"/>
  <c r="G85" i="31"/>
  <c r="D85" i="31"/>
  <c r="E100" i="31"/>
  <c r="F100" i="31"/>
  <c r="G100" i="31"/>
  <c r="E102" i="31"/>
  <c r="F102" i="31"/>
  <c r="G102" i="31"/>
  <c r="D102" i="31"/>
  <c r="N11" i="40"/>
  <c r="N10" i="40"/>
  <c r="N9" i="40"/>
  <c r="N8" i="40"/>
  <c r="L10" i="40"/>
  <c r="L9" i="40"/>
  <c r="L8" i="40"/>
  <c r="M10" i="40"/>
  <c r="M9" i="40"/>
  <c r="M8" i="40"/>
  <c r="D100" i="31"/>
  <c r="E105" i="31"/>
  <c r="F105" i="31"/>
  <c r="G105" i="31"/>
  <c r="D105" i="31"/>
  <c r="E103" i="31"/>
  <c r="F103" i="31"/>
  <c r="G103" i="31"/>
  <c r="D103" i="31"/>
  <c r="C103" i="31"/>
  <c r="C100" i="31"/>
  <c r="E99" i="31"/>
  <c r="F99" i="31"/>
  <c r="G99" i="31"/>
  <c r="D99" i="31"/>
  <c r="C97" i="31"/>
  <c r="E96" i="31"/>
  <c r="F96" i="31"/>
  <c r="G96" i="31"/>
  <c r="D96" i="31"/>
  <c r="C94" i="31"/>
  <c r="E93" i="31"/>
  <c r="F93" i="31"/>
  <c r="G93" i="31"/>
  <c r="D93" i="31"/>
  <c r="C91" i="31"/>
  <c r="E90" i="31"/>
  <c r="F90" i="31"/>
  <c r="G90" i="31"/>
  <c r="D90" i="31"/>
  <c r="K89" i="31" s="1"/>
  <c r="C88" i="31"/>
  <c r="E87" i="31"/>
  <c r="F87" i="31"/>
  <c r="D87" i="31"/>
  <c r="H87" i="31" s="1"/>
  <c r="C85" i="31"/>
  <c r="E57" i="31"/>
  <c r="F57" i="31"/>
  <c r="G57" i="31"/>
  <c r="D57" i="31"/>
  <c r="K56" i="31" s="1"/>
  <c r="E50" i="31"/>
  <c r="F50" i="31"/>
  <c r="G50" i="31"/>
  <c r="E52" i="31"/>
  <c r="F52" i="31"/>
  <c r="G52" i="31"/>
  <c r="E53" i="31"/>
  <c r="F53" i="31"/>
  <c r="G53" i="31"/>
  <c r="E54" i="31"/>
  <c r="F54" i="31"/>
  <c r="G54" i="31"/>
  <c r="E55" i="31"/>
  <c r="F55" i="31"/>
  <c r="G55" i="31"/>
  <c r="E58" i="31"/>
  <c r="F58" i="31"/>
  <c r="G58" i="31"/>
  <c r="E60" i="31"/>
  <c r="F60" i="31"/>
  <c r="G60" i="31"/>
  <c r="F61" i="31"/>
  <c r="F63" i="31"/>
  <c r="E64" i="31"/>
  <c r="F64" i="31"/>
  <c r="G64" i="31"/>
  <c r="E66" i="31"/>
  <c r="F66" i="31"/>
  <c r="G66" i="31"/>
  <c r="E68" i="31"/>
  <c r="F68" i="31"/>
  <c r="G68" i="31"/>
  <c r="E70" i="31"/>
  <c r="F70" i="31"/>
  <c r="G70" i="31"/>
  <c r="E71" i="31"/>
  <c r="F71" i="31"/>
  <c r="G71" i="31"/>
  <c r="E72" i="31"/>
  <c r="F72" i="31"/>
  <c r="G72" i="31"/>
  <c r="E73" i="31"/>
  <c r="F73" i="31"/>
  <c r="G73" i="31"/>
  <c r="E74" i="31"/>
  <c r="F74" i="31"/>
  <c r="G74" i="31"/>
  <c r="E75" i="31"/>
  <c r="F75" i="31"/>
  <c r="G75" i="31"/>
  <c r="E76" i="31"/>
  <c r="F76" i="31"/>
  <c r="G76" i="31"/>
  <c r="E77" i="31"/>
  <c r="F77" i="31"/>
  <c r="G77" i="31"/>
  <c r="E78" i="31"/>
  <c r="F78" i="31"/>
  <c r="G78" i="31"/>
  <c r="E84" i="31"/>
  <c r="F84" i="31"/>
  <c r="G84" i="31"/>
  <c r="E43" i="31"/>
  <c r="F43" i="31"/>
  <c r="G43" i="31"/>
  <c r="E45" i="31"/>
  <c r="F45" i="31"/>
  <c r="G45" i="31"/>
  <c r="E46" i="31"/>
  <c r="F46" i="31"/>
  <c r="G46" i="31"/>
  <c r="E47" i="31"/>
  <c r="E49" i="31"/>
  <c r="E27" i="31"/>
  <c r="F27" i="31"/>
  <c r="G27" i="31"/>
  <c r="E28" i="31"/>
  <c r="F28" i="31"/>
  <c r="G28" i="31"/>
  <c r="E31" i="31"/>
  <c r="F31" i="31"/>
  <c r="G31" i="31"/>
  <c r="E32" i="31"/>
  <c r="F32" i="31"/>
  <c r="G32" i="31"/>
  <c r="E33" i="31"/>
  <c r="F33" i="31"/>
  <c r="G33" i="31"/>
  <c r="E34" i="31"/>
  <c r="F34" i="31"/>
  <c r="G34" i="31"/>
  <c r="E35" i="31"/>
  <c r="F35" i="31"/>
  <c r="G35" i="31"/>
  <c r="E36" i="31"/>
  <c r="F36" i="31"/>
  <c r="G36" i="31"/>
  <c r="E37" i="31"/>
  <c r="F37" i="31"/>
  <c r="G37" i="31"/>
  <c r="E38" i="31"/>
  <c r="F38" i="31"/>
  <c r="G38" i="31"/>
  <c r="E39" i="31"/>
  <c r="F39" i="31"/>
  <c r="G39" i="31"/>
  <c r="E40" i="31"/>
  <c r="F40" i="31"/>
  <c r="G40" i="31"/>
  <c r="E41" i="31"/>
  <c r="F41" i="31"/>
  <c r="G41" i="31"/>
  <c r="E42" i="31"/>
  <c r="F42" i="31"/>
  <c r="G42" i="31"/>
  <c r="E24" i="31"/>
  <c r="F24" i="31"/>
  <c r="G24" i="31"/>
  <c r="E25" i="31"/>
  <c r="F25" i="31"/>
  <c r="G25" i="31"/>
  <c r="E21" i="31"/>
  <c r="F21" i="31"/>
  <c r="G21" i="31"/>
  <c r="E22" i="31"/>
  <c r="F22" i="31"/>
  <c r="G22" i="31"/>
  <c r="F17" i="31"/>
  <c r="E18" i="31"/>
  <c r="E19" i="31"/>
  <c r="F19" i="31"/>
  <c r="G19" i="31"/>
  <c r="E20" i="31"/>
  <c r="F20" i="31"/>
  <c r="G20" i="31"/>
  <c r="E15" i="31"/>
  <c r="F15" i="31"/>
  <c r="G15" i="31"/>
  <c r="G13" i="31"/>
  <c r="G14" i="31"/>
  <c r="E11" i="31"/>
  <c r="F11" i="31"/>
  <c r="G11" i="31"/>
  <c r="E12" i="31"/>
  <c r="F12" i="31"/>
  <c r="G12" i="31"/>
  <c r="E13" i="31"/>
  <c r="F13" i="31"/>
  <c r="E14" i="31"/>
  <c r="F14" i="31"/>
  <c r="E7" i="31"/>
  <c r="F7" i="31"/>
  <c r="G7" i="31"/>
  <c r="E8" i="31"/>
  <c r="F8" i="31"/>
  <c r="G8" i="31"/>
  <c r="E9" i="31"/>
  <c r="F9" i="31"/>
  <c r="G9" i="31"/>
  <c r="E10" i="31"/>
  <c r="F10" i="31"/>
  <c r="G10" i="31"/>
  <c r="S17" i="3"/>
  <c r="S11" i="3"/>
  <c r="S10" i="3"/>
  <c r="P11" i="16"/>
  <c r="G20" i="43"/>
  <c r="G16" i="43"/>
  <c r="G13" i="43"/>
  <c r="J9" i="43"/>
  <c r="E9" i="43"/>
  <c r="F13" i="43"/>
  <c r="H13" i="43"/>
  <c r="I13" i="43"/>
  <c r="J13" i="43"/>
  <c r="E13" i="43"/>
  <c r="J20" i="43"/>
  <c r="H20" i="43"/>
  <c r="I19" i="43"/>
  <c r="I18" i="43"/>
  <c r="I17" i="43"/>
  <c r="H16" i="43"/>
  <c r="I16" i="43"/>
  <c r="G10" i="43"/>
  <c r="H10" i="43"/>
  <c r="H9" i="43"/>
  <c r="H8" i="43"/>
  <c r="I10" i="43"/>
  <c r="I9" i="43"/>
  <c r="G9" i="43"/>
  <c r="G8" i="43"/>
  <c r="F9" i="43"/>
  <c r="J8" i="43"/>
  <c r="J16" i="43"/>
  <c r="F16" i="43"/>
  <c r="E16" i="43"/>
  <c r="J10" i="43"/>
  <c r="E10" i="43"/>
  <c r="E8" i="43"/>
  <c r="F10" i="43"/>
  <c r="F8" i="43"/>
  <c r="G37" i="42"/>
  <c r="G26" i="42"/>
  <c r="G25" i="42"/>
  <c r="G24" i="42"/>
  <c r="G18" i="42" s="1"/>
  <c r="G23" i="42"/>
  <c r="F37" i="42"/>
  <c r="E37" i="42"/>
  <c r="R42" i="42"/>
  <c r="G10" i="42"/>
  <c r="G14" i="42"/>
  <c r="G16" i="42"/>
  <c r="G27" i="42"/>
  <c r="G30" i="42"/>
  <c r="G35" i="42"/>
  <c r="G29" i="42" s="1"/>
  <c r="F18" i="42"/>
  <c r="E18" i="42"/>
  <c r="F30" i="42"/>
  <c r="E30" i="42"/>
  <c r="E14" i="42"/>
  <c r="F14" i="42"/>
  <c r="E16" i="42"/>
  <c r="F16" i="42"/>
  <c r="E10" i="42"/>
  <c r="F10" i="42"/>
  <c r="E96" i="42"/>
  <c r="F96" i="42"/>
  <c r="E89" i="42"/>
  <c r="E81" i="42"/>
  <c r="G75" i="42"/>
  <c r="E75" i="42"/>
  <c r="E64" i="42"/>
  <c r="E47" i="42"/>
  <c r="E45" i="42"/>
  <c r="G89" i="42"/>
  <c r="F87" i="42"/>
  <c r="G87" i="42"/>
  <c r="E87" i="42"/>
  <c r="F75" i="42"/>
  <c r="F64" i="42"/>
  <c r="G64" i="42"/>
  <c r="G47" i="42"/>
  <c r="F91" i="42"/>
  <c r="F89" i="42" s="1"/>
  <c r="F49" i="42"/>
  <c r="F47" i="42" s="1"/>
  <c r="A98" i="42"/>
  <c r="A99" i="42" s="1"/>
  <c r="G96" i="42"/>
  <c r="F35" i="42"/>
  <c r="E35" i="42"/>
  <c r="E94" i="42"/>
  <c r="F45" i="42"/>
  <c r="G45" i="42"/>
  <c r="F94" i="42"/>
  <c r="G94" i="42"/>
  <c r="G81" i="42"/>
  <c r="F27" i="42"/>
  <c r="E27" i="42"/>
  <c r="E29" i="42"/>
  <c r="R26" i="42"/>
  <c r="F81" i="42"/>
  <c r="AB97" i="11"/>
  <c r="AB74" i="11"/>
  <c r="AB90" i="11"/>
  <c r="Z28" i="11"/>
  <c r="AI8" i="41"/>
  <c r="AH8" i="41"/>
  <c r="AG8" i="41"/>
  <c r="AF8" i="41"/>
  <c r="AE8" i="41"/>
  <c r="AD8" i="41"/>
  <c r="AC8" i="41"/>
  <c r="AB8" i="41"/>
  <c r="AA8" i="41"/>
  <c r="Z8" i="41"/>
  <c r="Y8" i="41"/>
  <c r="X8" i="41"/>
  <c r="W8" i="41"/>
  <c r="AB128" i="11"/>
  <c r="Z60" i="11"/>
  <c r="AA38" i="11"/>
  <c r="AA28" i="2"/>
  <c r="Y40" i="2"/>
  <c r="Y39" i="2"/>
  <c r="Y21" i="2"/>
  <c r="R33" i="8"/>
  <c r="I10" i="8"/>
  <c r="I10" i="16"/>
  <c r="J10" i="16"/>
  <c r="K10" i="16"/>
  <c r="L10" i="16"/>
  <c r="M10" i="16"/>
  <c r="N10" i="16"/>
  <c r="O10" i="16"/>
  <c r="H10" i="16"/>
  <c r="Y12" i="35"/>
  <c r="M11" i="39"/>
  <c r="AB115" i="11"/>
  <c r="AB116" i="11"/>
  <c r="AB113" i="11"/>
  <c r="AB112" i="11"/>
  <c r="AB107" i="11"/>
  <c r="H120" i="11"/>
  <c r="H92" i="11"/>
  <c r="I92" i="11"/>
  <c r="J92" i="11"/>
  <c r="K92" i="11"/>
  <c r="L92" i="11"/>
  <c r="M92" i="11"/>
  <c r="N92" i="11"/>
  <c r="O92" i="11"/>
  <c r="P92" i="11"/>
  <c r="Q92" i="11"/>
  <c r="R92" i="11"/>
  <c r="S92" i="11"/>
  <c r="T92" i="11"/>
  <c r="U92" i="11"/>
  <c r="V92" i="11"/>
  <c r="W92" i="11"/>
  <c r="X92" i="11"/>
  <c r="Y92" i="11"/>
  <c r="Z92" i="11"/>
  <c r="AA92" i="11"/>
  <c r="AB92" i="11"/>
  <c r="AB77" i="7"/>
  <c r="AB57" i="7"/>
  <c r="AB71" i="7"/>
  <c r="AB69" i="7"/>
  <c r="AB68" i="7"/>
  <c r="AB56" i="7"/>
  <c r="AB60" i="11"/>
  <c r="J59" i="11"/>
  <c r="T59" i="11"/>
  <c r="X59" i="11"/>
  <c r="Y59" i="11"/>
  <c r="AB59" i="11"/>
  <c r="AB58" i="11"/>
  <c r="AB61" i="11"/>
  <c r="AB28" i="11"/>
  <c r="AB27" i="11"/>
  <c r="J29" i="11"/>
  <c r="T29" i="11"/>
  <c r="X29" i="11"/>
  <c r="Y29" i="11"/>
  <c r="AB29" i="11"/>
  <c r="J30" i="11"/>
  <c r="T30" i="11"/>
  <c r="X30" i="11"/>
  <c r="Y30" i="11"/>
  <c r="AB30" i="11"/>
  <c r="J31" i="11"/>
  <c r="T31" i="11"/>
  <c r="X31" i="11"/>
  <c r="Y31" i="11"/>
  <c r="AB31" i="11"/>
  <c r="J32" i="11"/>
  <c r="T32" i="11"/>
  <c r="X32" i="11"/>
  <c r="Y32" i="11"/>
  <c r="AB32" i="11"/>
  <c r="T33" i="11"/>
  <c r="X33" i="11"/>
  <c r="Y33" i="11"/>
  <c r="AB33" i="11"/>
  <c r="J35" i="11"/>
  <c r="T35" i="11"/>
  <c r="X35" i="11"/>
  <c r="Y35" i="11"/>
  <c r="AB35" i="11"/>
  <c r="AB36" i="11"/>
  <c r="J37" i="11"/>
  <c r="T37" i="11"/>
  <c r="X37" i="11"/>
  <c r="Y37" i="11"/>
  <c r="AB37" i="11"/>
  <c r="J38" i="11"/>
  <c r="T38" i="11"/>
  <c r="X38" i="11"/>
  <c r="Y38" i="11"/>
  <c r="AB38" i="11"/>
  <c r="AB39" i="11"/>
  <c r="AB40" i="11"/>
  <c r="J41" i="11"/>
  <c r="T41" i="11"/>
  <c r="X41" i="11"/>
  <c r="Y41" i="11"/>
  <c r="AB41" i="11"/>
  <c r="AB42" i="11"/>
  <c r="J43" i="11"/>
  <c r="T43" i="11"/>
  <c r="X43" i="11"/>
  <c r="Y43" i="11"/>
  <c r="AB43" i="11"/>
  <c r="J44" i="11"/>
  <c r="T44" i="11"/>
  <c r="X44" i="11"/>
  <c r="Y44" i="11"/>
  <c r="AB44" i="11"/>
  <c r="J45" i="11"/>
  <c r="T45" i="11"/>
  <c r="X45" i="11"/>
  <c r="Y45" i="11"/>
  <c r="AB45" i="11"/>
  <c r="J46" i="11"/>
  <c r="T46" i="11"/>
  <c r="X46" i="11"/>
  <c r="Y46" i="11"/>
  <c r="AB46" i="11"/>
  <c r="J47" i="11"/>
  <c r="T47" i="11"/>
  <c r="X47" i="11"/>
  <c r="Y47" i="11"/>
  <c r="AB47" i="11"/>
  <c r="J48" i="11"/>
  <c r="T48" i="11"/>
  <c r="X48" i="11"/>
  <c r="Y48" i="11"/>
  <c r="AB48" i="11"/>
  <c r="AB50" i="11"/>
  <c r="AB51" i="11"/>
  <c r="AB52" i="11"/>
  <c r="AB53" i="11"/>
  <c r="AB54" i="11"/>
  <c r="AB55" i="11"/>
  <c r="AB56" i="11"/>
  <c r="J57" i="11"/>
  <c r="T57" i="11"/>
  <c r="X57" i="11"/>
  <c r="Y57" i="11"/>
  <c r="AB57" i="11"/>
  <c r="AB49" i="11"/>
  <c r="AB63" i="11"/>
  <c r="J64" i="11"/>
  <c r="T64" i="11"/>
  <c r="X64" i="11"/>
  <c r="Y64" i="11"/>
  <c r="AB64" i="11"/>
  <c r="AB62" i="11"/>
  <c r="AB66" i="11"/>
  <c r="AB67" i="11"/>
  <c r="AB65" i="11"/>
  <c r="J69" i="11"/>
  <c r="T69" i="11"/>
  <c r="X69" i="11"/>
  <c r="Y69" i="11"/>
  <c r="AB69" i="11"/>
  <c r="AB68" i="11"/>
  <c r="J71" i="11"/>
  <c r="T71" i="11"/>
  <c r="X71" i="11"/>
  <c r="Y71" i="11"/>
  <c r="AB71" i="11"/>
  <c r="J72" i="11"/>
  <c r="T72" i="11"/>
  <c r="X72" i="11"/>
  <c r="Y72" i="11"/>
  <c r="AB72" i="11"/>
  <c r="J73" i="11"/>
  <c r="T73" i="11"/>
  <c r="X73" i="11"/>
  <c r="Y73" i="11"/>
  <c r="AB73" i="11"/>
  <c r="AB70" i="11"/>
  <c r="AB91" i="11"/>
  <c r="AB85" i="11"/>
  <c r="AB80" i="11"/>
  <c r="AB81" i="11"/>
  <c r="AB82" i="11"/>
  <c r="AB83" i="11"/>
  <c r="AB84" i="11"/>
  <c r="AB86" i="11"/>
  <c r="AB87" i="11"/>
  <c r="AB88" i="11"/>
  <c r="AB89" i="11"/>
  <c r="AB79" i="11"/>
  <c r="J76" i="11"/>
  <c r="T76" i="11"/>
  <c r="X76" i="11"/>
  <c r="Y76" i="11"/>
  <c r="AB76" i="11"/>
  <c r="J77" i="11"/>
  <c r="T77" i="11"/>
  <c r="X77" i="11"/>
  <c r="Y77" i="11"/>
  <c r="AB77" i="11"/>
  <c r="AB78" i="11"/>
  <c r="AB75" i="11"/>
  <c r="AB93" i="11"/>
  <c r="AB94" i="11"/>
  <c r="AB95" i="11"/>
  <c r="J98" i="11"/>
  <c r="T98" i="11"/>
  <c r="X98" i="11"/>
  <c r="Y98" i="11"/>
  <c r="AB98" i="11"/>
  <c r="J99" i="11"/>
  <c r="T99" i="11"/>
  <c r="X99" i="11"/>
  <c r="Y99" i="11"/>
  <c r="AB99" i="11"/>
  <c r="J100" i="11"/>
  <c r="T100" i="11"/>
  <c r="X100" i="11"/>
  <c r="Y100" i="11"/>
  <c r="AB100" i="11"/>
  <c r="AB101" i="11"/>
  <c r="J102" i="11"/>
  <c r="T102" i="11"/>
  <c r="X102" i="11"/>
  <c r="Y102" i="11"/>
  <c r="AB102" i="11"/>
  <c r="AB103" i="11"/>
  <c r="AB83" i="7"/>
  <c r="AB81" i="7"/>
  <c r="AB80" i="7"/>
  <c r="AB72" i="7"/>
  <c r="AB55" i="7"/>
  <c r="AB28" i="7"/>
  <c r="AB27" i="7"/>
  <c r="AB26" i="7"/>
  <c r="AB25" i="7"/>
  <c r="AB20" i="11"/>
  <c r="J21" i="11"/>
  <c r="T21" i="11"/>
  <c r="X21" i="11"/>
  <c r="Y21" i="11"/>
  <c r="AB21" i="11"/>
  <c r="AB24" i="11"/>
  <c r="AB23" i="11"/>
  <c r="AB105" i="11"/>
  <c r="AB104" i="11"/>
  <c r="AB106" i="11"/>
  <c r="AB110" i="11"/>
  <c r="AB111" i="11"/>
  <c r="AB109" i="11"/>
  <c r="AB108" i="11"/>
  <c r="J114" i="11"/>
  <c r="T114" i="11"/>
  <c r="X114" i="11"/>
  <c r="Y114" i="11"/>
  <c r="AB114" i="11"/>
  <c r="AB117" i="11"/>
  <c r="AB118" i="11"/>
  <c r="AB119" i="11"/>
  <c r="AB121" i="11"/>
  <c r="AB96" i="11"/>
  <c r="AB120" i="11"/>
  <c r="AB123" i="11"/>
  <c r="AB124" i="11"/>
  <c r="AB125" i="11"/>
  <c r="AB126" i="11"/>
  <c r="AB127" i="11"/>
  <c r="AB122" i="11"/>
  <c r="AB10" i="11"/>
  <c r="AB11" i="11"/>
  <c r="AB12" i="11"/>
  <c r="AB13" i="11"/>
  <c r="AB14" i="11"/>
  <c r="AB15" i="11"/>
  <c r="AB16" i="11"/>
  <c r="AB17" i="11"/>
  <c r="AB9" i="11"/>
  <c r="Y9" i="11"/>
  <c r="Y18" i="11"/>
  <c r="AB18" i="11"/>
  <c r="AB110" i="7"/>
  <c r="AB106" i="7"/>
  <c r="AB105" i="7"/>
  <c r="AB103" i="7"/>
  <c r="AB98" i="7"/>
  <c r="AB86" i="7"/>
  <c r="AB85" i="7"/>
  <c r="AB82" i="7"/>
  <c r="AB79" i="7"/>
  <c r="AB78" i="7"/>
  <c r="AB76" i="7"/>
  <c r="I75" i="11"/>
  <c r="I79" i="11"/>
  <c r="I90" i="11"/>
  <c r="I97" i="11"/>
  <c r="I74" i="11"/>
  <c r="J78" i="11"/>
  <c r="J75" i="11"/>
  <c r="J80" i="11"/>
  <c r="J79" i="11"/>
  <c r="J93" i="11"/>
  <c r="J94" i="11"/>
  <c r="J90" i="11"/>
  <c r="J101" i="11"/>
  <c r="J97" i="11"/>
  <c r="J74" i="11"/>
  <c r="K75" i="11"/>
  <c r="K79" i="11"/>
  <c r="K90" i="11"/>
  <c r="K97" i="11"/>
  <c r="K74" i="11"/>
  <c r="L75" i="11"/>
  <c r="L79" i="11"/>
  <c r="L90" i="11"/>
  <c r="L97" i="11"/>
  <c r="L74" i="11"/>
  <c r="M75" i="11"/>
  <c r="M79" i="11"/>
  <c r="M90" i="11"/>
  <c r="M97" i="11"/>
  <c r="M74" i="11"/>
  <c r="N75" i="11"/>
  <c r="N79" i="11"/>
  <c r="N90" i="11"/>
  <c r="N97" i="11"/>
  <c r="N74" i="11"/>
  <c r="O75" i="11"/>
  <c r="O79" i="11"/>
  <c r="O90" i="11"/>
  <c r="O97" i="11"/>
  <c r="O74" i="11"/>
  <c r="P75" i="11"/>
  <c r="P79" i="11"/>
  <c r="P90" i="11"/>
  <c r="P97" i="11"/>
  <c r="P74" i="11"/>
  <c r="Q75" i="11"/>
  <c r="Q79" i="11"/>
  <c r="Q90" i="11"/>
  <c r="Q97" i="11"/>
  <c r="Q74" i="11"/>
  <c r="R75" i="11"/>
  <c r="R79" i="11"/>
  <c r="R90" i="11"/>
  <c r="R97" i="11"/>
  <c r="R74" i="11"/>
  <c r="S75" i="11"/>
  <c r="S79" i="11"/>
  <c r="S90" i="11"/>
  <c r="S97" i="11"/>
  <c r="S74" i="11"/>
  <c r="V78" i="11"/>
  <c r="T78" i="11"/>
  <c r="T75" i="11"/>
  <c r="T80" i="11"/>
  <c r="T79" i="11"/>
  <c r="T93" i="11"/>
  <c r="T94" i="11"/>
  <c r="T90" i="11"/>
  <c r="T101" i="11"/>
  <c r="T97" i="11"/>
  <c r="T74" i="11"/>
  <c r="U75" i="11"/>
  <c r="U79" i="11"/>
  <c r="U90" i="11"/>
  <c r="U97" i="11"/>
  <c r="U74" i="11"/>
  <c r="V75" i="11"/>
  <c r="V79" i="11"/>
  <c r="V90" i="11"/>
  <c r="V97" i="11"/>
  <c r="V74" i="11"/>
  <c r="W75" i="11"/>
  <c r="W79" i="11"/>
  <c r="W90" i="11"/>
  <c r="W97" i="11"/>
  <c r="W74" i="11"/>
  <c r="X78" i="11"/>
  <c r="X75" i="11"/>
  <c r="X80" i="11"/>
  <c r="X79" i="11"/>
  <c r="X93" i="11"/>
  <c r="X94" i="11"/>
  <c r="X90" i="11"/>
  <c r="X101" i="11"/>
  <c r="X97" i="11"/>
  <c r="X74" i="11"/>
  <c r="Y90" i="11"/>
  <c r="Y79" i="11"/>
  <c r="Y75" i="11"/>
  <c r="Y97" i="11"/>
  <c r="Y74" i="11"/>
  <c r="Z90" i="11"/>
  <c r="Z75" i="11"/>
  <c r="Z79" i="11"/>
  <c r="Z97" i="11"/>
  <c r="Z74" i="11"/>
  <c r="AA97" i="11"/>
  <c r="AA79" i="11"/>
  <c r="AA75" i="11"/>
  <c r="AA90" i="11"/>
  <c r="AA74" i="11"/>
  <c r="H75" i="11"/>
  <c r="H79" i="11"/>
  <c r="H90" i="11"/>
  <c r="H97" i="11"/>
  <c r="H74" i="11"/>
  <c r="H25" i="11"/>
  <c r="H19" i="11"/>
  <c r="H8" i="11"/>
  <c r="U33" i="8"/>
  <c r="U10" i="8"/>
  <c r="U24" i="8"/>
  <c r="U25" i="8"/>
  <c r="U26" i="8"/>
  <c r="U27" i="8"/>
  <c r="U28" i="8"/>
  <c r="U29" i="8"/>
  <c r="U30" i="8"/>
  <c r="U31" i="8"/>
  <c r="U32" i="8"/>
  <c r="A13" i="8"/>
  <c r="A14" i="8"/>
  <c r="A15" i="8"/>
  <c r="A16" i="8"/>
  <c r="A17" i="8"/>
  <c r="A18" i="8"/>
  <c r="A19" i="8"/>
  <c r="A20" i="8"/>
  <c r="A21" i="8"/>
  <c r="A22" i="8"/>
  <c r="A23" i="8"/>
  <c r="A24" i="8"/>
  <c r="A25" i="8"/>
  <c r="A26" i="8"/>
  <c r="A27" i="8"/>
  <c r="A28" i="8"/>
  <c r="A29" i="8"/>
  <c r="A30" i="8"/>
  <c r="A31" i="8"/>
  <c r="A32" i="8"/>
  <c r="A12" i="8"/>
  <c r="AB93" i="7"/>
  <c r="AB92" i="7"/>
  <c r="I72" i="7"/>
  <c r="A81" i="11"/>
  <c r="A82" i="11"/>
  <c r="A83" i="11"/>
  <c r="A84" i="11"/>
  <c r="A85" i="11"/>
  <c r="A86" i="11"/>
  <c r="A87" i="11"/>
  <c r="A88" i="11"/>
  <c r="A89" i="11"/>
  <c r="A94" i="11"/>
  <c r="A95" i="11"/>
  <c r="A115" i="11"/>
  <c r="A116" i="11"/>
  <c r="A117" i="11"/>
  <c r="A118" i="11"/>
  <c r="A119" i="11"/>
  <c r="AB67" i="7"/>
  <c r="AB63" i="7"/>
  <c r="AB61" i="7"/>
  <c r="A99" i="11"/>
  <c r="A100" i="11"/>
  <c r="A101" i="11"/>
  <c r="A102" i="11"/>
  <c r="A103" i="11"/>
  <c r="AB9" i="2"/>
  <c r="AB28" i="2"/>
  <c r="AB24" i="2"/>
  <c r="AB23" i="2"/>
  <c r="AB31" i="2"/>
  <c r="AB30" i="2"/>
  <c r="AB22" i="2"/>
  <c r="AB46" i="2"/>
  <c r="AB45" i="2"/>
  <c r="AB40" i="2"/>
  <c r="AB51" i="2"/>
  <c r="AB49" i="2"/>
  <c r="AB56" i="2"/>
  <c r="AB66" i="2"/>
  <c r="AB54" i="2"/>
  <c r="AB39" i="2"/>
  <c r="AB21" i="2"/>
  <c r="AB20" i="2"/>
  <c r="AB19" i="2"/>
  <c r="AB8" i="2"/>
  <c r="AC8" i="2"/>
  <c r="I54" i="2"/>
  <c r="J54" i="2"/>
  <c r="K54" i="2"/>
  <c r="L54" i="2"/>
  <c r="M54" i="2"/>
  <c r="N54" i="2"/>
  <c r="O54" i="2"/>
  <c r="P54" i="2"/>
  <c r="Q54" i="2"/>
  <c r="R54" i="2"/>
  <c r="S54" i="2"/>
  <c r="T54" i="2"/>
  <c r="U54" i="2"/>
  <c r="V54" i="2"/>
  <c r="W54" i="2"/>
  <c r="X54" i="2"/>
  <c r="Y54" i="2"/>
  <c r="Z54" i="2"/>
  <c r="AA54" i="2"/>
  <c r="H54" i="2"/>
  <c r="AB36" i="2"/>
  <c r="H36" i="2"/>
  <c r="H40" i="2"/>
  <c r="AB53" i="2"/>
  <c r="I49" i="2"/>
  <c r="J49" i="2"/>
  <c r="K49" i="2"/>
  <c r="L49" i="2"/>
  <c r="M49" i="2"/>
  <c r="N49" i="2"/>
  <c r="O49" i="2"/>
  <c r="P49" i="2"/>
  <c r="Q49" i="2"/>
  <c r="R49" i="2"/>
  <c r="S49" i="2"/>
  <c r="T49" i="2"/>
  <c r="U49" i="2"/>
  <c r="V49" i="2"/>
  <c r="W49" i="2"/>
  <c r="X49" i="2"/>
  <c r="Y49" i="2"/>
  <c r="Z49" i="2"/>
  <c r="AA49" i="2"/>
  <c r="H49" i="2"/>
  <c r="A53" i="2"/>
  <c r="A58" i="2"/>
  <c r="A59" i="2"/>
  <c r="A60" i="2"/>
  <c r="A61" i="2"/>
  <c r="A62" i="2"/>
  <c r="A63" i="2"/>
  <c r="A64" i="2"/>
  <c r="A65" i="2"/>
  <c r="A66" i="2"/>
  <c r="A67" i="2"/>
  <c r="A68" i="2"/>
  <c r="AB68" i="2"/>
  <c r="AB67" i="2"/>
  <c r="AB65" i="2"/>
  <c r="AB64" i="2"/>
  <c r="AB63" i="2"/>
  <c r="AB62" i="2"/>
  <c r="AB61" i="2"/>
  <c r="AB60" i="2"/>
  <c r="AB59" i="2"/>
  <c r="AB58" i="2"/>
  <c r="AG46" i="2"/>
  <c r="AG45" i="2"/>
  <c r="AA109" i="11"/>
  <c r="AA108" i="11"/>
  <c r="AA113" i="11"/>
  <c r="AA120" i="11"/>
  <c r="AA112" i="11"/>
  <c r="AA107" i="11"/>
  <c r="AB113" i="7"/>
  <c r="AB121" i="7"/>
  <c r="J24" i="27"/>
  <c r="K24" i="27"/>
  <c r="L24" i="27"/>
  <c r="M24" i="27"/>
  <c r="N24" i="27"/>
  <c r="O24" i="27"/>
  <c r="P24" i="27"/>
  <c r="Q24" i="27"/>
  <c r="R24" i="27"/>
  <c r="I24" i="27"/>
  <c r="J22" i="27"/>
  <c r="J21" i="27"/>
  <c r="I22" i="27"/>
  <c r="I21" i="27"/>
  <c r="K22" i="27"/>
  <c r="K21" i="27"/>
  <c r="L22" i="27"/>
  <c r="L21" i="27"/>
  <c r="M22" i="27"/>
  <c r="M21" i="27"/>
  <c r="N22" i="27"/>
  <c r="N21" i="27"/>
  <c r="O22" i="27"/>
  <c r="O21" i="27"/>
  <c r="P22" i="27"/>
  <c r="P21" i="27"/>
  <c r="Q22" i="27"/>
  <c r="Q21" i="27"/>
  <c r="R22" i="27"/>
  <c r="R21" i="27"/>
  <c r="S23" i="27"/>
  <c r="S22" i="27"/>
  <c r="S25" i="27"/>
  <c r="S24" i="27"/>
  <c r="J15" i="27"/>
  <c r="J14" i="27"/>
  <c r="I15" i="27"/>
  <c r="I14" i="27"/>
  <c r="J11" i="27"/>
  <c r="L11" i="27"/>
  <c r="M11" i="27"/>
  <c r="O11" i="27"/>
  <c r="P11" i="27"/>
  <c r="Q11" i="27"/>
  <c r="R11" i="27"/>
  <c r="I11" i="27"/>
  <c r="I10" i="27"/>
  <c r="K15" i="27"/>
  <c r="K14" i="27"/>
  <c r="L15" i="27"/>
  <c r="L14" i="27"/>
  <c r="M15" i="27"/>
  <c r="M14" i="27"/>
  <c r="N15" i="27"/>
  <c r="N14" i="27"/>
  <c r="O15" i="27"/>
  <c r="O14" i="27"/>
  <c r="P15" i="27"/>
  <c r="P14" i="27"/>
  <c r="Q15" i="27"/>
  <c r="Q14" i="27"/>
  <c r="R15" i="27"/>
  <c r="R14" i="27"/>
  <c r="S15" i="27"/>
  <c r="S14" i="27"/>
  <c r="S16" i="27"/>
  <c r="K12" i="27"/>
  <c r="K11" i="27"/>
  <c r="K10" i="27"/>
  <c r="K9" i="27"/>
  <c r="K13" i="27"/>
  <c r="N12" i="27"/>
  <c r="N11" i="27"/>
  <c r="N10" i="27"/>
  <c r="N9" i="27"/>
  <c r="N13" i="27"/>
  <c r="S12" i="27"/>
  <c r="S11" i="27"/>
  <c r="S10" i="27"/>
  <c r="S13" i="27"/>
  <c r="J22" i="25"/>
  <c r="J21" i="25"/>
  <c r="J8" i="25"/>
  <c r="K8" i="25"/>
  <c r="L8" i="25"/>
  <c r="M8" i="25"/>
  <c r="N8" i="25"/>
  <c r="O8" i="25"/>
  <c r="P8" i="25"/>
  <c r="Q8" i="25"/>
  <c r="I22" i="25"/>
  <c r="I21" i="25"/>
  <c r="I8" i="25"/>
  <c r="K22" i="25"/>
  <c r="K21" i="25"/>
  <c r="L22" i="25"/>
  <c r="L21" i="25"/>
  <c r="M22" i="25"/>
  <c r="M21" i="25"/>
  <c r="N22" i="25"/>
  <c r="N21" i="25"/>
  <c r="O22" i="25"/>
  <c r="O21" i="25"/>
  <c r="P22" i="25"/>
  <c r="P21" i="25"/>
  <c r="Q22" i="25"/>
  <c r="Q21" i="25"/>
  <c r="Q23" i="25"/>
  <c r="J11" i="25"/>
  <c r="J10" i="25"/>
  <c r="J9" i="25"/>
  <c r="K11" i="25"/>
  <c r="K10" i="25"/>
  <c r="K9" i="25"/>
  <c r="L12" i="25"/>
  <c r="L13" i="25"/>
  <c r="L11" i="25"/>
  <c r="L10" i="25"/>
  <c r="L9" i="25"/>
  <c r="M11" i="25"/>
  <c r="M10" i="25"/>
  <c r="M9" i="25"/>
  <c r="N11" i="25"/>
  <c r="N10" i="25"/>
  <c r="N9" i="25"/>
  <c r="O11" i="25"/>
  <c r="O10" i="25"/>
  <c r="O9" i="25"/>
  <c r="P11" i="25"/>
  <c r="P10" i="25"/>
  <c r="P9" i="25"/>
  <c r="Q12" i="25"/>
  <c r="Q13" i="25"/>
  <c r="Q11" i="25"/>
  <c r="Q10" i="25"/>
  <c r="Q9" i="25"/>
  <c r="I11" i="25"/>
  <c r="I10" i="25"/>
  <c r="I9" i="25"/>
  <c r="S10" i="8"/>
  <c r="T10" i="8"/>
  <c r="J10" i="8"/>
  <c r="K10" i="8"/>
  <c r="L10" i="8"/>
  <c r="M10" i="8"/>
  <c r="N10" i="8"/>
  <c r="O10" i="8"/>
  <c r="P10" i="8"/>
  <c r="Q10" i="8"/>
  <c r="R10" i="8"/>
  <c r="I120" i="11"/>
  <c r="J121" i="11"/>
  <c r="J120" i="11"/>
  <c r="K120" i="11"/>
  <c r="L120" i="11"/>
  <c r="M120" i="11"/>
  <c r="N120" i="11"/>
  <c r="O120" i="11"/>
  <c r="P120" i="11"/>
  <c r="Q120" i="11"/>
  <c r="R120" i="11"/>
  <c r="S120" i="11"/>
  <c r="T121" i="11"/>
  <c r="T120" i="11"/>
  <c r="U120" i="11"/>
  <c r="V120" i="11"/>
  <c r="W120" i="11"/>
  <c r="X121" i="11"/>
  <c r="X120" i="11"/>
  <c r="Y120" i="11"/>
  <c r="Z120" i="11"/>
  <c r="I111" i="7"/>
  <c r="J111" i="7"/>
  <c r="K111" i="7"/>
  <c r="L111" i="7"/>
  <c r="M111" i="7"/>
  <c r="N111" i="7"/>
  <c r="O111" i="7"/>
  <c r="P111" i="7"/>
  <c r="Q111" i="7"/>
  <c r="R111" i="7"/>
  <c r="S111" i="7"/>
  <c r="T111" i="7"/>
  <c r="U111" i="7"/>
  <c r="V111" i="7"/>
  <c r="W111" i="7"/>
  <c r="X111" i="7"/>
  <c r="Y111" i="7"/>
  <c r="Z111" i="7"/>
  <c r="AA111" i="7"/>
  <c r="AB111" i="7"/>
  <c r="H111" i="7"/>
  <c r="I108" i="7"/>
  <c r="J109" i="7"/>
  <c r="J108" i="7"/>
  <c r="K108" i="7"/>
  <c r="L108" i="7"/>
  <c r="M108" i="7"/>
  <c r="N108" i="7"/>
  <c r="O108" i="7"/>
  <c r="P108" i="7"/>
  <c r="Q108" i="7"/>
  <c r="R108" i="7"/>
  <c r="S108" i="7"/>
  <c r="T109" i="7"/>
  <c r="T108" i="7"/>
  <c r="U108" i="7"/>
  <c r="V108" i="7"/>
  <c r="W108" i="7"/>
  <c r="X109" i="7"/>
  <c r="X108" i="7"/>
  <c r="Y108" i="7"/>
  <c r="Z108" i="7"/>
  <c r="AA108" i="7"/>
  <c r="AB109" i="7"/>
  <c r="AB108" i="7"/>
  <c r="H108" i="7"/>
  <c r="I88" i="7"/>
  <c r="I91" i="7"/>
  <c r="I87" i="7"/>
  <c r="J89" i="7"/>
  <c r="J90" i="7"/>
  <c r="J88" i="7"/>
  <c r="J91" i="7"/>
  <c r="J87" i="7"/>
  <c r="K88" i="7"/>
  <c r="K91" i="7"/>
  <c r="K87" i="7"/>
  <c r="L88" i="7"/>
  <c r="L91" i="7"/>
  <c r="L87" i="7"/>
  <c r="M88" i="7"/>
  <c r="M91" i="7"/>
  <c r="M87" i="7"/>
  <c r="N88" i="7"/>
  <c r="N91" i="7"/>
  <c r="N87" i="7"/>
  <c r="O88" i="7"/>
  <c r="O91" i="7"/>
  <c r="O87" i="7"/>
  <c r="P88" i="7"/>
  <c r="P91" i="7"/>
  <c r="P87" i="7"/>
  <c r="Q88" i="7"/>
  <c r="Q91" i="7"/>
  <c r="Q87" i="7"/>
  <c r="R88" i="7"/>
  <c r="R91" i="7"/>
  <c r="R87" i="7"/>
  <c r="S88" i="7"/>
  <c r="S91" i="7"/>
  <c r="S87" i="7"/>
  <c r="T89" i="7"/>
  <c r="T90" i="7"/>
  <c r="T88" i="7"/>
  <c r="T91" i="7"/>
  <c r="T87" i="7"/>
  <c r="U88" i="7"/>
  <c r="U91" i="7"/>
  <c r="U87" i="7"/>
  <c r="V88" i="7"/>
  <c r="V91" i="7"/>
  <c r="V87" i="7"/>
  <c r="W88" i="7"/>
  <c r="W91" i="7"/>
  <c r="W87" i="7"/>
  <c r="X89" i="7"/>
  <c r="X90" i="7"/>
  <c r="X88" i="7"/>
  <c r="X91" i="7"/>
  <c r="X87" i="7"/>
  <c r="Y89" i="7"/>
  <c r="Y90" i="7"/>
  <c r="Y88" i="7"/>
  <c r="Y91" i="7"/>
  <c r="Y87" i="7"/>
  <c r="Z88" i="7"/>
  <c r="Z91" i="7"/>
  <c r="Z87" i="7"/>
  <c r="AA88" i="7"/>
  <c r="AA91" i="7"/>
  <c r="AA87" i="7"/>
  <c r="AB89" i="7"/>
  <c r="AB90" i="7"/>
  <c r="AB88" i="7"/>
  <c r="AB91" i="7"/>
  <c r="AB87" i="7"/>
  <c r="H88" i="7"/>
  <c r="H91" i="7"/>
  <c r="H87" i="7"/>
  <c r="AF91" i="7"/>
  <c r="AE91" i="7"/>
  <c r="AD91" i="7"/>
  <c r="I69" i="7"/>
  <c r="J70" i="7"/>
  <c r="J69" i="7"/>
  <c r="K69" i="7"/>
  <c r="L69" i="7"/>
  <c r="M69" i="7"/>
  <c r="N69" i="7"/>
  <c r="O69" i="7"/>
  <c r="P69" i="7"/>
  <c r="Q69" i="7"/>
  <c r="R69" i="7"/>
  <c r="S69" i="7"/>
  <c r="T70" i="7"/>
  <c r="T69" i="7"/>
  <c r="U69" i="7"/>
  <c r="V69" i="7"/>
  <c r="W69" i="7"/>
  <c r="X70" i="7"/>
  <c r="X69" i="7"/>
  <c r="Y70" i="7"/>
  <c r="Y69" i="7"/>
  <c r="Z69" i="7"/>
  <c r="AA69" i="7"/>
  <c r="AB70" i="7"/>
  <c r="H69" i="7"/>
  <c r="I113" i="11"/>
  <c r="J113" i="11"/>
  <c r="K113" i="11"/>
  <c r="L113" i="11"/>
  <c r="M113" i="11"/>
  <c r="N113" i="11"/>
  <c r="O113" i="11"/>
  <c r="P113" i="11"/>
  <c r="Q113" i="11"/>
  <c r="R113" i="11"/>
  <c r="S113" i="11"/>
  <c r="T113" i="11"/>
  <c r="U113" i="11"/>
  <c r="V113" i="11"/>
  <c r="W113" i="11"/>
  <c r="X113" i="11"/>
  <c r="Y113" i="11"/>
  <c r="Z113" i="11"/>
  <c r="H113" i="11"/>
  <c r="I119" i="7"/>
  <c r="J120" i="7"/>
  <c r="J119" i="7"/>
  <c r="K119" i="7"/>
  <c r="L119" i="7"/>
  <c r="M119" i="7"/>
  <c r="N119" i="7"/>
  <c r="O119" i="7"/>
  <c r="P119" i="7"/>
  <c r="Q119" i="7"/>
  <c r="R119" i="7"/>
  <c r="S119" i="7"/>
  <c r="T120" i="7"/>
  <c r="T119" i="7"/>
  <c r="U119" i="7"/>
  <c r="V119" i="7"/>
  <c r="W119" i="7"/>
  <c r="X120" i="7"/>
  <c r="X119" i="7"/>
  <c r="Y120" i="7"/>
  <c r="Y119" i="7"/>
  <c r="Z119" i="7"/>
  <c r="AA119" i="7"/>
  <c r="AB120" i="7"/>
  <c r="AB119" i="7"/>
  <c r="H119" i="7"/>
  <c r="I100" i="7"/>
  <c r="I102" i="7"/>
  <c r="I104" i="7"/>
  <c r="I99" i="7"/>
  <c r="J101" i="7"/>
  <c r="J100" i="7"/>
  <c r="J102" i="7"/>
  <c r="J104" i="7"/>
  <c r="J99" i="7"/>
  <c r="K100" i="7"/>
  <c r="K102" i="7"/>
  <c r="K104" i="7"/>
  <c r="K99" i="7"/>
  <c r="L100" i="7"/>
  <c r="L102" i="7"/>
  <c r="L104" i="7"/>
  <c r="L99" i="7"/>
  <c r="M100" i="7"/>
  <c r="M102" i="7"/>
  <c r="M104" i="7"/>
  <c r="M99" i="7"/>
  <c r="N100" i="7"/>
  <c r="N102" i="7"/>
  <c r="N104" i="7"/>
  <c r="N99" i="7"/>
  <c r="O100" i="7"/>
  <c r="O102" i="7"/>
  <c r="O104" i="7"/>
  <c r="O99" i="7"/>
  <c r="P100" i="7"/>
  <c r="P102" i="7"/>
  <c r="P104" i="7"/>
  <c r="P99" i="7"/>
  <c r="Q100" i="7"/>
  <c r="Q102" i="7"/>
  <c r="Q104" i="7"/>
  <c r="Q99" i="7"/>
  <c r="R100" i="7"/>
  <c r="R102" i="7"/>
  <c r="R104" i="7"/>
  <c r="R99" i="7"/>
  <c r="S100" i="7"/>
  <c r="S102" i="7"/>
  <c r="S104" i="7"/>
  <c r="S99" i="7"/>
  <c r="T101" i="7"/>
  <c r="T100" i="7"/>
  <c r="T102" i="7"/>
  <c r="T104" i="7"/>
  <c r="T99" i="7"/>
  <c r="U100" i="7"/>
  <c r="U102" i="7"/>
  <c r="U104" i="7"/>
  <c r="U99" i="7"/>
  <c r="V100" i="7"/>
  <c r="V102" i="7"/>
  <c r="V104" i="7"/>
  <c r="V99" i="7"/>
  <c r="W100" i="7"/>
  <c r="W102" i="7"/>
  <c r="W104" i="7"/>
  <c r="W99" i="7"/>
  <c r="X101" i="7"/>
  <c r="X100" i="7"/>
  <c r="X102" i="7"/>
  <c r="X104" i="7"/>
  <c r="X99" i="7"/>
  <c r="Y101" i="7"/>
  <c r="Y100" i="7"/>
  <c r="Y102" i="7"/>
  <c r="Y104" i="7"/>
  <c r="Y99" i="7"/>
  <c r="Z100" i="7"/>
  <c r="Z102" i="7"/>
  <c r="Z104" i="7"/>
  <c r="Z99" i="7"/>
  <c r="AA100" i="7"/>
  <c r="AA102" i="7"/>
  <c r="AA104" i="7"/>
  <c r="AA99" i="7"/>
  <c r="AB101" i="7"/>
  <c r="AB100" i="7"/>
  <c r="AB102" i="7"/>
  <c r="AB104" i="7"/>
  <c r="AB99" i="7"/>
  <c r="H100" i="7"/>
  <c r="H102" i="7"/>
  <c r="H104" i="7"/>
  <c r="H99" i="7"/>
  <c r="I74" i="7"/>
  <c r="I77" i="7"/>
  <c r="I73" i="7"/>
  <c r="I81" i="7"/>
  <c r="I84" i="7"/>
  <c r="I80" i="7"/>
  <c r="J75" i="7"/>
  <c r="J74" i="7"/>
  <c r="J77" i="7"/>
  <c r="J73" i="7"/>
  <c r="J81" i="7"/>
  <c r="J84" i="7"/>
  <c r="J80" i="7"/>
  <c r="J72" i="7"/>
  <c r="K74" i="7"/>
  <c r="K77" i="7"/>
  <c r="K73" i="7"/>
  <c r="K81" i="7"/>
  <c r="K84" i="7"/>
  <c r="K80" i="7"/>
  <c r="K72" i="7"/>
  <c r="L74" i="7"/>
  <c r="L77" i="7"/>
  <c r="L73" i="7"/>
  <c r="L81" i="7"/>
  <c r="L84" i="7"/>
  <c r="L80" i="7"/>
  <c r="L72" i="7"/>
  <c r="M74" i="7"/>
  <c r="M77" i="7"/>
  <c r="M73" i="7"/>
  <c r="M81" i="7"/>
  <c r="M84" i="7"/>
  <c r="M80" i="7"/>
  <c r="M72" i="7"/>
  <c r="N74" i="7"/>
  <c r="N77" i="7"/>
  <c r="N73" i="7"/>
  <c r="N81" i="7"/>
  <c r="N84" i="7"/>
  <c r="N80" i="7"/>
  <c r="N72" i="7"/>
  <c r="O74" i="7"/>
  <c r="O77" i="7"/>
  <c r="O73" i="7"/>
  <c r="O81" i="7"/>
  <c r="O84" i="7"/>
  <c r="O80" i="7"/>
  <c r="O72" i="7"/>
  <c r="P74" i="7"/>
  <c r="P77" i="7"/>
  <c r="P73" i="7"/>
  <c r="P81" i="7"/>
  <c r="P84" i="7"/>
  <c r="P80" i="7"/>
  <c r="P72" i="7"/>
  <c r="Q74" i="7"/>
  <c r="Q77" i="7"/>
  <c r="Q73" i="7"/>
  <c r="Q81" i="7"/>
  <c r="Q84" i="7"/>
  <c r="Q80" i="7"/>
  <c r="Q72" i="7"/>
  <c r="R74" i="7"/>
  <c r="R77" i="7"/>
  <c r="R73" i="7"/>
  <c r="R81" i="7"/>
  <c r="R84" i="7"/>
  <c r="R80" i="7"/>
  <c r="R72" i="7"/>
  <c r="S74" i="7"/>
  <c r="S77" i="7"/>
  <c r="S73" i="7"/>
  <c r="S81" i="7"/>
  <c r="S84" i="7"/>
  <c r="S80" i="7"/>
  <c r="S72" i="7"/>
  <c r="T75" i="7"/>
  <c r="T74" i="7"/>
  <c r="T77" i="7"/>
  <c r="T73" i="7"/>
  <c r="T81" i="7"/>
  <c r="T84" i="7"/>
  <c r="T80" i="7"/>
  <c r="T72" i="7"/>
  <c r="U74" i="7"/>
  <c r="U77" i="7"/>
  <c r="U73" i="7"/>
  <c r="U81" i="7"/>
  <c r="U84" i="7"/>
  <c r="U80" i="7"/>
  <c r="U72" i="7"/>
  <c r="V74" i="7"/>
  <c r="V77" i="7"/>
  <c r="V73" i="7"/>
  <c r="V81" i="7"/>
  <c r="V84" i="7"/>
  <c r="V80" i="7"/>
  <c r="V72" i="7"/>
  <c r="W74" i="7"/>
  <c r="W77" i="7"/>
  <c r="W73" i="7"/>
  <c r="W81" i="7"/>
  <c r="W84" i="7"/>
  <c r="W80" i="7"/>
  <c r="W72" i="7"/>
  <c r="X75" i="7"/>
  <c r="X74" i="7"/>
  <c r="X77" i="7"/>
  <c r="X73" i="7"/>
  <c r="X81" i="7"/>
  <c r="X84" i="7"/>
  <c r="X80" i="7"/>
  <c r="X72" i="7"/>
  <c r="Y74" i="7"/>
  <c r="Y77" i="7"/>
  <c r="Y73" i="7"/>
  <c r="Y81" i="7"/>
  <c r="Y84" i="7"/>
  <c r="Y80" i="7"/>
  <c r="Y72" i="7"/>
  <c r="Z74" i="7"/>
  <c r="Z77" i="7"/>
  <c r="Z73" i="7"/>
  <c r="Z81" i="7"/>
  <c r="Z84" i="7"/>
  <c r="Z80" i="7"/>
  <c r="Z72" i="7"/>
  <c r="AA74" i="7"/>
  <c r="AA77" i="7"/>
  <c r="AA73" i="7"/>
  <c r="AA81" i="7"/>
  <c r="AA84" i="7"/>
  <c r="AA80" i="7"/>
  <c r="AA72" i="7"/>
  <c r="AB75" i="7"/>
  <c r="AB74" i="7"/>
  <c r="AB73" i="7"/>
  <c r="AB84" i="7"/>
  <c r="H74" i="7"/>
  <c r="H77" i="7"/>
  <c r="H73" i="7"/>
  <c r="H81" i="7"/>
  <c r="H84" i="7"/>
  <c r="H80" i="7"/>
  <c r="H72" i="7"/>
  <c r="I65" i="7"/>
  <c r="J66" i="7"/>
  <c r="J65" i="7"/>
  <c r="K65" i="7"/>
  <c r="L65" i="7"/>
  <c r="M65" i="7"/>
  <c r="N65" i="7"/>
  <c r="O65" i="7"/>
  <c r="P65" i="7"/>
  <c r="Q65" i="7"/>
  <c r="R65" i="7"/>
  <c r="S65" i="7"/>
  <c r="T66" i="7"/>
  <c r="T65" i="7"/>
  <c r="U65" i="7"/>
  <c r="V65" i="7"/>
  <c r="W65" i="7"/>
  <c r="X66" i="7"/>
  <c r="X65" i="7"/>
  <c r="Y65" i="7"/>
  <c r="Z65" i="7"/>
  <c r="AA65" i="7"/>
  <c r="AB66" i="7"/>
  <c r="AB65" i="7"/>
  <c r="H65" i="7"/>
  <c r="I96" i="7"/>
  <c r="J97" i="7"/>
  <c r="J96" i="7"/>
  <c r="K96" i="7"/>
  <c r="L96" i="7"/>
  <c r="M96" i="7"/>
  <c r="N96" i="7"/>
  <c r="O96" i="7"/>
  <c r="P96" i="7"/>
  <c r="Q96" i="7"/>
  <c r="R96" i="7"/>
  <c r="S96" i="7"/>
  <c r="T97" i="7"/>
  <c r="T96" i="7"/>
  <c r="U96" i="7"/>
  <c r="V96" i="7"/>
  <c r="W96" i="7"/>
  <c r="X97" i="7"/>
  <c r="X96" i="7"/>
  <c r="Y97" i="7"/>
  <c r="Y96" i="7"/>
  <c r="Z96" i="7"/>
  <c r="AA96" i="7"/>
  <c r="AB97" i="7"/>
  <c r="AB96" i="7"/>
  <c r="H96" i="7"/>
  <c r="I58" i="7"/>
  <c r="I62" i="7"/>
  <c r="I57" i="7"/>
  <c r="J59" i="7"/>
  <c r="J60" i="7"/>
  <c r="J58" i="7"/>
  <c r="J62" i="7"/>
  <c r="J57" i="7"/>
  <c r="K58" i="7"/>
  <c r="K62" i="7"/>
  <c r="K57" i="7"/>
  <c r="L58" i="7"/>
  <c r="L62" i="7"/>
  <c r="L57" i="7"/>
  <c r="M58" i="7"/>
  <c r="M62" i="7"/>
  <c r="M57" i="7"/>
  <c r="N58" i="7"/>
  <c r="N62" i="7"/>
  <c r="N57" i="7"/>
  <c r="O58" i="7"/>
  <c r="O62" i="7"/>
  <c r="O57" i="7"/>
  <c r="P58" i="7"/>
  <c r="P62" i="7"/>
  <c r="P57" i="7"/>
  <c r="Q58" i="7"/>
  <c r="Q62" i="7"/>
  <c r="Q57" i="7"/>
  <c r="R58" i="7"/>
  <c r="R62" i="7"/>
  <c r="R57" i="7"/>
  <c r="S58" i="7"/>
  <c r="S62" i="7"/>
  <c r="S57" i="7"/>
  <c r="T59" i="7"/>
  <c r="T60" i="7"/>
  <c r="T58" i="7"/>
  <c r="T62" i="7"/>
  <c r="T57" i="7"/>
  <c r="U58" i="7"/>
  <c r="U62" i="7"/>
  <c r="U57" i="7"/>
  <c r="V58" i="7"/>
  <c r="V62" i="7"/>
  <c r="V57" i="7"/>
  <c r="W58" i="7"/>
  <c r="W62" i="7"/>
  <c r="W57" i="7"/>
  <c r="X59" i="7"/>
  <c r="X60" i="7"/>
  <c r="X58" i="7"/>
  <c r="X62" i="7"/>
  <c r="X57" i="7"/>
  <c r="Y58" i="7"/>
  <c r="Y62" i="7"/>
  <c r="Y57" i="7"/>
  <c r="Z58" i="7"/>
  <c r="Z62" i="7"/>
  <c r="Z57" i="7"/>
  <c r="AA58" i="7"/>
  <c r="AA62" i="7"/>
  <c r="AA57" i="7"/>
  <c r="AB59" i="7"/>
  <c r="AB60" i="7"/>
  <c r="AB58" i="7"/>
  <c r="AB62" i="7"/>
  <c r="H58" i="7"/>
  <c r="H62" i="7"/>
  <c r="H57" i="7"/>
  <c r="I42" i="2"/>
  <c r="I40" i="2"/>
  <c r="J42" i="2"/>
  <c r="J43" i="2"/>
  <c r="J44" i="2"/>
  <c r="J40" i="2"/>
  <c r="K40" i="2"/>
  <c r="L40" i="2"/>
  <c r="M40" i="2"/>
  <c r="N40" i="2"/>
  <c r="O40" i="2"/>
  <c r="P40" i="2"/>
  <c r="Q40" i="2"/>
  <c r="R40" i="2"/>
  <c r="S40" i="2"/>
  <c r="T41" i="2"/>
  <c r="T42" i="2"/>
  <c r="T43" i="2"/>
  <c r="T44" i="2"/>
  <c r="T40" i="2"/>
  <c r="U40" i="2"/>
  <c r="V40" i="2"/>
  <c r="W40" i="2"/>
  <c r="X41" i="2"/>
  <c r="X42" i="2"/>
  <c r="X43" i="2"/>
  <c r="X44" i="2"/>
  <c r="X40" i="2"/>
  <c r="Z40" i="2"/>
  <c r="AA40" i="2"/>
  <c r="AB41" i="2"/>
  <c r="AB42" i="2"/>
  <c r="AB43" i="2"/>
  <c r="AB44" i="2"/>
  <c r="A42" i="2"/>
  <c r="A43" i="2"/>
  <c r="A44" i="2"/>
  <c r="A45" i="2"/>
  <c r="A46" i="2"/>
  <c r="AB29" i="2"/>
  <c r="I24" i="2"/>
  <c r="I27" i="2"/>
  <c r="I23" i="2"/>
  <c r="J24" i="2"/>
  <c r="J25" i="2"/>
  <c r="J26" i="2"/>
  <c r="J27" i="2"/>
  <c r="J23" i="2"/>
  <c r="K23" i="2"/>
  <c r="L23" i="2"/>
  <c r="M23" i="2"/>
  <c r="N23" i="2"/>
  <c r="O23" i="2"/>
  <c r="P23" i="2"/>
  <c r="Q23" i="2"/>
  <c r="R23" i="2"/>
  <c r="S23" i="2"/>
  <c r="T24" i="2"/>
  <c r="T25" i="2"/>
  <c r="T26" i="2"/>
  <c r="T27" i="2"/>
  <c r="T23" i="2"/>
  <c r="U23" i="2"/>
  <c r="V23" i="2"/>
  <c r="W23" i="2"/>
  <c r="X24" i="2"/>
  <c r="X25" i="2"/>
  <c r="X26" i="2"/>
  <c r="X27" i="2"/>
  <c r="X28" i="2"/>
  <c r="X23" i="2"/>
  <c r="Y25" i="2"/>
  <c r="Y23" i="2"/>
  <c r="Z23" i="2"/>
  <c r="AA23" i="2"/>
  <c r="AB25" i="2"/>
  <c r="AB26" i="2"/>
  <c r="AB27" i="2"/>
  <c r="H23" i="2"/>
  <c r="N12" i="41"/>
  <c r="L11" i="41"/>
  <c r="L10" i="41"/>
  <c r="L9" i="41"/>
  <c r="L8" i="41"/>
  <c r="M11" i="41"/>
  <c r="M10" i="41"/>
  <c r="M9" i="41"/>
  <c r="M8" i="41"/>
  <c r="N11" i="41"/>
  <c r="N10" i="41"/>
  <c r="N9" i="41"/>
  <c r="N8" i="41"/>
  <c r="K10" i="39"/>
  <c r="K9" i="39"/>
  <c r="K8" i="39"/>
  <c r="L10" i="39"/>
  <c r="L9" i="39"/>
  <c r="L8" i="39"/>
  <c r="M10" i="39"/>
  <c r="M9" i="39"/>
  <c r="M8" i="39"/>
  <c r="M11" i="38"/>
  <c r="K10" i="38"/>
  <c r="K9" i="38"/>
  <c r="K8" i="38"/>
  <c r="L10" i="38"/>
  <c r="L9" i="38"/>
  <c r="L8" i="38"/>
  <c r="M10" i="38"/>
  <c r="M9" i="38"/>
  <c r="M8" i="38"/>
  <c r="M11" i="37"/>
  <c r="M10" i="37"/>
  <c r="K9" i="37"/>
  <c r="K8" i="37"/>
  <c r="L9" i="37"/>
  <c r="L8" i="37"/>
  <c r="M9" i="37"/>
  <c r="M8" i="37"/>
  <c r="M11" i="36"/>
  <c r="K10" i="36"/>
  <c r="K9" i="36"/>
  <c r="K8" i="36"/>
  <c r="L10" i="36"/>
  <c r="L9" i="36"/>
  <c r="L8" i="36"/>
  <c r="M10" i="36"/>
  <c r="M9" i="36"/>
  <c r="M8" i="36"/>
  <c r="Y11" i="35"/>
  <c r="Y10" i="35"/>
  <c r="Y9" i="35"/>
  <c r="Y8" i="35"/>
  <c r="W11" i="35"/>
  <c r="W10" i="35"/>
  <c r="W9" i="35"/>
  <c r="W8" i="35"/>
  <c r="X11" i="35"/>
  <c r="X10" i="35"/>
  <c r="X9" i="35"/>
  <c r="X8" i="35"/>
  <c r="S20" i="27"/>
  <c r="N11" i="24"/>
  <c r="N11" i="20"/>
  <c r="P14" i="16"/>
  <c r="P12" i="16"/>
  <c r="X11" i="10"/>
  <c r="K23" i="8"/>
  <c r="R23" i="8"/>
  <c r="U23" i="8"/>
  <c r="K22" i="8"/>
  <c r="R22" i="8"/>
  <c r="U22" i="8"/>
  <c r="K21" i="8"/>
  <c r="R21" i="8"/>
  <c r="U21" i="8"/>
  <c r="K20" i="8"/>
  <c r="R20" i="8"/>
  <c r="U20" i="8"/>
  <c r="K19" i="8"/>
  <c r="R19" i="8"/>
  <c r="U19" i="8"/>
  <c r="K18" i="8"/>
  <c r="R18" i="8"/>
  <c r="U18" i="8"/>
  <c r="K17" i="8"/>
  <c r="R17" i="8"/>
  <c r="U17" i="8"/>
  <c r="K16" i="8"/>
  <c r="R16" i="8"/>
  <c r="U16" i="8"/>
  <c r="K15" i="8"/>
  <c r="R15" i="8"/>
  <c r="U15" i="8"/>
  <c r="K14" i="8"/>
  <c r="R14" i="8"/>
  <c r="U14" i="8"/>
  <c r="K13" i="8"/>
  <c r="R13" i="8"/>
  <c r="U13" i="8"/>
  <c r="K12" i="8"/>
  <c r="R12" i="8"/>
  <c r="U12" i="8"/>
  <c r="K11" i="8"/>
  <c r="R11" i="8"/>
  <c r="U11" i="8"/>
  <c r="AA12" i="6"/>
  <c r="AB26" i="1"/>
  <c r="AB25" i="1"/>
  <c r="AB22" i="1"/>
  <c r="AB21" i="1"/>
  <c r="AB20" i="1"/>
  <c r="AB19" i="1"/>
  <c r="AB17" i="1"/>
  <c r="AB16" i="1"/>
  <c r="AB15" i="1"/>
  <c r="AB14" i="1"/>
  <c r="AB13" i="1"/>
  <c r="AB12" i="1"/>
  <c r="AB11" i="1"/>
  <c r="J124" i="7"/>
  <c r="T124" i="7"/>
  <c r="X124" i="7"/>
  <c r="Y124" i="7"/>
  <c r="AB124" i="7"/>
  <c r="J117" i="7"/>
  <c r="T117" i="7"/>
  <c r="X117" i="7"/>
  <c r="Y117" i="7"/>
  <c r="AB117" i="7"/>
  <c r="J112" i="7"/>
  <c r="T112" i="7"/>
  <c r="X112" i="7"/>
  <c r="Y112" i="7"/>
  <c r="AB112" i="7"/>
  <c r="AB54" i="7"/>
  <c r="J52" i="7"/>
  <c r="T52" i="7"/>
  <c r="X52" i="7"/>
  <c r="Y52" i="7"/>
  <c r="AB52" i="7"/>
  <c r="J50" i="7"/>
  <c r="T50" i="7"/>
  <c r="X50" i="7"/>
  <c r="Y50" i="7"/>
  <c r="AB50" i="7"/>
  <c r="J47" i="7"/>
  <c r="T47" i="7"/>
  <c r="X47" i="7"/>
  <c r="Y47" i="7"/>
  <c r="AB47" i="7"/>
  <c r="J43" i="7"/>
  <c r="X43" i="7"/>
  <c r="Y43" i="7"/>
  <c r="T43" i="7"/>
  <c r="J42" i="7"/>
  <c r="X42" i="7"/>
  <c r="T42" i="7"/>
  <c r="J38" i="7"/>
  <c r="X38" i="7"/>
  <c r="Y38" i="7"/>
  <c r="T38" i="7"/>
  <c r="J37" i="7"/>
  <c r="X37" i="7"/>
  <c r="T37" i="7"/>
  <c r="J34" i="7"/>
  <c r="T34" i="7"/>
  <c r="X34" i="7"/>
  <c r="Y34" i="7"/>
  <c r="AB34" i="7"/>
  <c r="J32" i="7"/>
  <c r="T32" i="7"/>
  <c r="X32" i="7"/>
  <c r="Y32" i="7"/>
  <c r="AB32" i="7"/>
  <c r="J24" i="7"/>
  <c r="X24" i="7"/>
  <c r="Y24" i="7"/>
  <c r="T24" i="7"/>
  <c r="J23" i="7"/>
  <c r="X23" i="7"/>
  <c r="T23" i="7"/>
  <c r="AB20" i="7"/>
  <c r="J18" i="7"/>
  <c r="T18" i="7"/>
  <c r="X18" i="7"/>
  <c r="Y18" i="7"/>
  <c r="AB18" i="7"/>
  <c r="J15" i="7"/>
  <c r="T15" i="7"/>
  <c r="X15" i="7"/>
  <c r="Y15" i="7"/>
  <c r="J14" i="7"/>
  <c r="X14" i="7"/>
  <c r="T14" i="7"/>
  <c r="Z53" i="7"/>
  <c r="Z44" i="7"/>
  <c r="Z46" i="7"/>
  <c r="Z45" i="7"/>
  <c r="Z19" i="7"/>
  <c r="Z17" i="7"/>
  <c r="Z16" i="7"/>
  <c r="Z11" i="7"/>
  <c r="Z13" i="7"/>
  <c r="Z12" i="7"/>
  <c r="Z22" i="7"/>
  <c r="Z21" i="7"/>
  <c r="Z27" i="7"/>
  <c r="Z26" i="7"/>
  <c r="Z25" i="7"/>
  <c r="Z31" i="7"/>
  <c r="Z33" i="7"/>
  <c r="Z30" i="7"/>
  <c r="Z36" i="7"/>
  <c r="Z35" i="7"/>
  <c r="Z29" i="7"/>
  <c r="Z41" i="7"/>
  <c r="Z40" i="7"/>
  <c r="Z39" i="7"/>
  <c r="Z64" i="7"/>
  <c r="Z68" i="7"/>
  <c r="Z56" i="7"/>
  <c r="Z95" i="7"/>
  <c r="Z107" i="7"/>
  <c r="Z94" i="7"/>
  <c r="Z116" i="7"/>
  <c r="Z115" i="7"/>
  <c r="Z118" i="7"/>
  <c r="Z123" i="7"/>
  <c r="Z122" i="7"/>
  <c r="Z114" i="7"/>
  <c r="Z55" i="7"/>
  <c r="AA13" i="7"/>
  <c r="AA12" i="7"/>
  <c r="AA17" i="7"/>
  <c r="AA19" i="7"/>
  <c r="AA16" i="7"/>
  <c r="AA11" i="7"/>
  <c r="AA22" i="7"/>
  <c r="AA21" i="7"/>
  <c r="AA27" i="7"/>
  <c r="AA26" i="7"/>
  <c r="AA25" i="7"/>
  <c r="AA31" i="7"/>
  <c r="AA33" i="7"/>
  <c r="AA30" i="7"/>
  <c r="AA36" i="7"/>
  <c r="AA35" i="7"/>
  <c r="AA29" i="7"/>
  <c r="AA41" i="7"/>
  <c r="AA40" i="7"/>
  <c r="AA39" i="7"/>
  <c r="AA46" i="7"/>
  <c r="AA45" i="7"/>
  <c r="AA44" i="7"/>
  <c r="AA53" i="7"/>
  <c r="AA64" i="7"/>
  <c r="AA68" i="7"/>
  <c r="AA56" i="7"/>
  <c r="AA95" i="7"/>
  <c r="AA107" i="7"/>
  <c r="AA94" i="7"/>
  <c r="AA116" i="7"/>
  <c r="AA115" i="7"/>
  <c r="AA118" i="7"/>
  <c r="AA123" i="7"/>
  <c r="AA122" i="7"/>
  <c r="AA114" i="7"/>
  <c r="AA55" i="7"/>
  <c r="AB17" i="7"/>
  <c r="AB19" i="7"/>
  <c r="AB16" i="7"/>
  <c r="AB31" i="7"/>
  <c r="AB33" i="7"/>
  <c r="AB30" i="7"/>
  <c r="AB46" i="7"/>
  <c r="AB45" i="7"/>
  <c r="AB44" i="7"/>
  <c r="AB53" i="7"/>
  <c r="AB64" i="7"/>
  <c r="AB95" i="7"/>
  <c r="AB107" i="7"/>
  <c r="AB94" i="7"/>
  <c r="AB116" i="7"/>
  <c r="AB115" i="7"/>
  <c r="AB118" i="7"/>
  <c r="AB123" i="7"/>
  <c r="AB122" i="7"/>
  <c r="AB114" i="7"/>
  <c r="S12" i="41"/>
  <c r="AI11" i="41"/>
  <c r="AH11" i="41"/>
  <c r="AG11" i="41"/>
  <c r="AF11" i="41"/>
  <c r="AE11" i="41"/>
  <c r="AD11" i="41"/>
  <c r="AC11" i="41"/>
  <c r="AB11" i="41"/>
  <c r="AA11" i="41"/>
  <c r="Z11" i="41"/>
  <c r="Y11" i="41"/>
  <c r="X11" i="41"/>
  <c r="W11" i="41"/>
  <c r="U11" i="41"/>
  <c r="K11" i="41"/>
  <c r="J11" i="41"/>
  <c r="I11" i="41"/>
  <c r="H11" i="41"/>
  <c r="K10" i="41"/>
  <c r="J10" i="41"/>
  <c r="I10" i="41"/>
  <c r="H10" i="41"/>
  <c r="AI9" i="41"/>
  <c r="AH9" i="41"/>
  <c r="AG9" i="41"/>
  <c r="AF9" i="41"/>
  <c r="AE9" i="41"/>
  <c r="AD9" i="41"/>
  <c r="AC9" i="41"/>
  <c r="AB9" i="41"/>
  <c r="AA9" i="41"/>
  <c r="Z9" i="41"/>
  <c r="Y9" i="41"/>
  <c r="X9" i="41"/>
  <c r="W9" i="41"/>
  <c r="U9" i="41"/>
  <c r="K9" i="41"/>
  <c r="J9" i="41"/>
  <c r="I9" i="41"/>
  <c r="H9" i="41"/>
  <c r="AJ8" i="41"/>
  <c r="V8" i="41"/>
  <c r="U8" i="41"/>
  <c r="K8" i="41"/>
  <c r="J8" i="41"/>
  <c r="I8" i="41"/>
  <c r="H8" i="41"/>
  <c r="W7" i="41"/>
  <c r="X7" i="41"/>
  <c r="Y7" i="41"/>
  <c r="Z7" i="41"/>
  <c r="AA7" i="41"/>
  <c r="AB7" i="41"/>
  <c r="AC7" i="41"/>
  <c r="AD7" i="41"/>
  <c r="AE7" i="41"/>
  <c r="AF7" i="41"/>
  <c r="AG7" i="41"/>
  <c r="AH7" i="41"/>
  <c r="AI7" i="41"/>
  <c r="AJ7" i="41"/>
  <c r="V7" i="41"/>
  <c r="U7" i="41"/>
  <c r="S11" i="40"/>
  <c r="AI10" i="40"/>
  <c r="AH10" i="40"/>
  <c r="AG10" i="40"/>
  <c r="AF10" i="40"/>
  <c r="AE10" i="40"/>
  <c r="AD10" i="40"/>
  <c r="AC10" i="40"/>
  <c r="AB10" i="40"/>
  <c r="AA10" i="40"/>
  <c r="Z10" i="40"/>
  <c r="Y10" i="40"/>
  <c r="X10" i="40"/>
  <c r="W10" i="40"/>
  <c r="U10" i="40"/>
  <c r="K10" i="40"/>
  <c r="K9" i="40"/>
  <c r="K8" i="40"/>
  <c r="J10" i="40"/>
  <c r="I10" i="40"/>
  <c r="I9" i="40"/>
  <c r="I8" i="40"/>
  <c r="H10" i="40"/>
  <c r="AI9" i="40"/>
  <c r="AH9" i="40"/>
  <c r="AG9" i="40"/>
  <c r="AF9" i="40"/>
  <c r="AE9" i="40"/>
  <c r="AD9" i="40"/>
  <c r="AC9" i="40"/>
  <c r="AB9" i="40"/>
  <c r="AA9" i="40"/>
  <c r="Z9" i="40"/>
  <c r="Y9" i="40"/>
  <c r="X9" i="40"/>
  <c r="W9" i="40"/>
  <c r="U9" i="40"/>
  <c r="J9" i="40"/>
  <c r="H9" i="40"/>
  <c r="W8" i="40"/>
  <c r="X8" i="40"/>
  <c r="Y8" i="40"/>
  <c r="Z8" i="40"/>
  <c r="AA8" i="40"/>
  <c r="AB8" i="40"/>
  <c r="AC8" i="40"/>
  <c r="AD8" i="40"/>
  <c r="AE8" i="40"/>
  <c r="AF8" i="40"/>
  <c r="AG8" i="40"/>
  <c r="AH8" i="40"/>
  <c r="AI8" i="40"/>
  <c r="AJ8" i="40"/>
  <c r="V8" i="40"/>
  <c r="U8" i="40"/>
  <c r="J8" i="40"/>
  <c r="H8" i="40"/>
  <c r="W7" i="40"/>
  <c r="X7" i="40"/>
  <c r="Y7" i="40"/>
  <c r="Z7" i="40"/>
  <c r="AA7" i="40"/>
  <c r="AB7" i="40"/>
  <c r="AC7" i="40"/>
  <c r="AD7" i="40"/>
  <c r="AE7" i="40"/>
  <c r="AF7" i="40"/>
  <c r="AG7" i="40"/>
  <c r="AH7" i="40"/>
  <c r="AI7" i="40"/>
  <c r="AJ7" i="40"/>
  <c r="V7" i="40"/>
  <c r="U7" i="40"/>
  <c r="J20" i="27"/>
  <c r="J19" i="27"/>
  <c r="J18" i="27"/>
  <c r="J17" i="27"/>
  <c r="K20" i="27"/>
  <c r="K19" i="27"/>
  <c r="K18" i="27"/>
  <c r="K17" i="27"/>
  <c r="L19" i="27"/>
  <c r="L18" i="27"/>
  <c r="L17" i="27"/>
  <c r="M19" i="27"/>
  <c r="M18" i="27"/>
  <c r="M17" i="27"/>
  <c r="N20" i="27"/>
  <c r="N19" i="27"/>
  <c r="N18" i="27"/>
  <c r="N17" i="27"/>
  <c r="O19" i="27"/>
  <c r="O18" i="27"/>
  <c r="O17" i="27"/>
  <c r="P19" i="27"/>
  <c r="P18" i="27"/>
  <c r="P17" i="27"/>
  <c r="Q19" i="27"/>
  <c r="Q18" i="27"/>
  <c r="Q17" i="27"/>
  <c r="R19" i="27"/>
  <c r="R18" i="27"/>
  <c r="R17" i="27"/>
  <c r="S19" i="27"/>
  <c r="S18" i="27"/>
  <c r="I19" i="27"/>
  <c r="I18" i="27"/>
  <c r="I17" i="27"/>
  <c r="I17" i="7"/>
  <c r="I19" i="7"/>
  <c r="I16" i="7"/>
  <c r="J17" i="7"/>
  <c r="J19" i="7"/>
  <c r="J16" i="7"/>
  <c r="K17" i="7"/>
  <c r="K19" i="7"/>
  <c r="K16" i="7"/>
  <c r="K11" i="7"/>
  <c r="L17" i="7"/>
  <c r="L19" i="7"/>
  <c r="L16" i="7"/>
  <c r="M17" i="7"/>
  <c r="M19" i="7"/>
  <c r="M16" i="7"/>
  <c r="N17" i="7"/>
  <c r="N19" i="7"/>
  <c r="N16" i="7"/>
  <c r="O17" i="7"/>
  <c r="O19" i="7"/>
  <c r="O16" i="7"/>
  <c r="O11" i="7"/>
  <c r="P17" i="7"/>
  <c r="P19" i="7"/>
  <c r="P16" i="7"/>
  <c r="Q17" i="7"/>
  <c r="Q19" i="7"/>
  <c r="Q16" i="7"/>
  <c r="R17" i="7"/>
  <c r="R19" i="7"/>
  <c r="R16" i="7"/>
  <c r="S17" i="7"/>
  <c r="S19" i="7"/>
  <c r="S16" i="7"/>
  <c r="S11" i="7"/>
  <c r="T17" i="7"/>
  <c r="T19" i="7"/>
  <c r="T16" i="7"/>
  <c r="U17" i="7"/>
  <c r="U19" i="7"/>
  <c r="U16" i="7"/>
  <c r="V17" i="7"/>
  <c r="V19" i="7"/>
  <c r="V16" i="7"/>
  <c r="W17" i="7"/>
  <c r="W19" i="7"/>
  <c r="W16" i="7"/>
  <c r="W11" i="7"/>
  <c r="X17" i="7"/>
  <c r="X19" i="7"/>
  <c r="X16" i="7"/>
  <c r="Y17" i="7"/>
  <c r="Y19" i="7"/>
  <c r="Y16" i="7"/>
  <c r="H17" i="7"/>
  <c r="H19" i="7"/>
  <c r="H16" i="7"/>
  <c r="AF19" i="7"/>
  <c r="AE19" i="7"/>
  <c r="AD19" i="7"/>
  <c r="A3" i="2"/>
  <c r="A3" i="16" s="1"/>
  <c r="J10" i="39"/>
  <c r="I10" i="39"/>
  <c r="H10" i="39"/>
  <c r="J9" i="39"/>
  <c r="I9" i="39"/>
  <c r="H9" i="39"/>
  <c r="J8" i="39"/>
  <c r="I8" i="39"/>
  <c r="H8" i="39"/>
  <c r="J10" i="38"/>
  <c r="I10" i="38"/>
  <c r="H10" i="38"/>
  <c r="J9" i="38"/>
  <c r="I9" i="38"/>
  <c r="H9" i="38"/>
  <c r="J8" i="38"/>
  <c r="I8" i="38"/>
  <c r="H8" i="38"/>
  <c r="J9" i="37"/>
  <c r="I9" i="37"/>
  <c r="H9" i="37"/>
  <c r="Z8" i="37"/>
  <c r="AA8" i="37"/>
  <c r="AB8" i="37"/>
  <c r="AC8" i="37"/>
  <c r="AD8" i="37"/>
  <c r="AE8" i="37"/>
  <c r="AF8" i="37"/>
  <c r="AG8" i="37"/>
  <c r="AH8" i="37"/>
  <c r="AI8" i="37"/>
  <c r="AJ8" i="37"/>
  <c r="AK8" i="37"/>
  <c r="AL8" i="37"/>
  <c r="AM8" i="37"/>
  <c r="Y8" i="37"/>
  <c r="X8" i="37"/>
  <c r="P8" i="37"/>
  <c r="O8" i="37"/>
  <c r="J8" i="37"/>
  <c r="I8" i="37"/>
  <c r="H8" i="37"/>
  <c r="Z7" i="37"/>
  <c r="AA7" i="37"/>
  <c r="AB7" i="37"/>
  <c r="AC7" i="37"/>
  <c r="AD7" i="37"/>
  <c r="AE7" i="37"/>
  <c r="AF7" i="37"/>
  <c r="AG7" i="37"/>
  <c r="AH7" i="37"/>
  <c r="AI7" i="37"/>
  <c r="AJ7" i="37"/>
  <c r="AK7" i="37"/>
  <c r="AL7" i="37"/>
  <c r="AM7" i="37"/>
  <c r="Y7" i="37"/>
  <c r="X7" i="37"/>
  <c r="V7" i="37"/>
  <c r="U7" i="37"/>
  <c r="T7" i="37"/>
  <c r="R11" i="36"/>
  <c r="J10" i="36"/>
  <c r="I10" i="36"/>
  <c r="H10" i="36"/>
  <c r="J9" i="36"/>
  <c r="I9" i="36"/>
  <c r="H9" i="36"/>
  <c r="J8" i="36"/>
  <c r="O8" i="36"/>
  <c r="I8" i="36"/>
  <c r="H8" i="36"/>
  <c r="V7" i="36"/>
  <c r="W7" i="36"/>
  <c r="X7" i="36"/>
  <c r="Y7" i="36"/>
  <c r="Z7" i="36"/>
  <c r="AA7" i="36"/>
  <c r="AB7" i="36"/>
  <c r="AC7" i="36"/>
  <c r="AD7" i="36"/>
  <c r="AE7" i="36"/>
  <c r="AF7" i="36"/>
  <c r="AG7" i="36"/>
  <c r="AH7" i="36"/>
  <c r="AI7" i="36"/>
  <c r="U7" i="36"/>
  <c r="T7" i="36"/>
  <c r="V6" i="36"/>
  <c r="W6" i="36"/>
  <c r="X6" i="36"/>
  <c r="Y6" i="36"/>
  <c r="Z6" i="36"/>
  <c r="AA6" i="36"/>
  <c r="AB6" i="36"/>
  <c r="AC6" i="36"/>
  <c r="AD6" i="36"/>
  <c r="AE6" i="36"/>
  <c r="AF6" i="36"/>
  <c r="AG6" i="36"/>
  <c r="AH6" i="36"/>
  <c r="AI6" i="36"/>
  <c r="U6" i="36"/>
  <c r="T6" i="36"/>
  <c r="I12" i="35"/>
  <c r="V11" i="35"/>
  <c r="U11" i="35"/>
  <c r="T11" i="35"/>
  <c r="S11" i="35"/>
  <c r="R11" i="35"/>
  <c r="Q11" i="35"/>
  <c r="P11" i="35"/>
  <c r="O11" i="35"/>
  <c r="N11" i="35"/>
  <c r="M11" i="35"/>
  <c r="L11" i="35"/>
  <c r="K11" i="35"/>
  <c r="J11" i="35"/>
  <c r="I11" i="35"/>
  <c r="H11" i="35"/>
  <c r="V10" i="35"/>
  <c r="U10" i="35"/>
  <c r="T10" i="35"/>
  <c r="S10" i="35"/>
  <c r="R10" i="35"/>
  <c r="Q10" i="35"/>
  <c r="P10" i="35"/>
  <c r="O10" i="35"/>
  <c r="N10" i="35"/>
  <c r="M10" i="35"/>
  <c r="L10" i="35"/>
  <c r="K10" i="35"/>
  <c r="J10" i="35"/>
  <c r="I10" i="35"/>
  <c r="H10" i="35"/>
  <c r="V9" i="35"/>
  <c r="U9" i="35"/>
  <c r="T9" i="35"/>
  <c r="S9" i="35"/>
  <c r="R9" i="35"/>
  <c r="Q9" i="35"/>
  <c r="P9" i="35"/>
  <c r="O9" i="35"/>
  <c r="N9" i="35"/>
  <c r="M9" i="35"/>
  <c r="L9" i="35"/>
  <c r="K9" i="35"/>
  <c r="J9" i="35"/>
  <c r="I9" i="35"/>
  <c r="H9" i="35"/>
  <c r="AA8" i="35"/>
  <c r="V8" i="35"/>
  <c r="U8" i="35"/>
  <c r="T8" i="35"/>
  <c r="S8" i="35"/>
  <c r="R8" i="35"/>
  <c r="Q8" i="35"/>
  <c r="P8" i="35"/>
  <c r="O8" i="35"/>
  <c r="N8" i="35"/>
  <c r="M8" i="35"/>
  <c r="L8" i="35"/>
  <c r="K8" i="35"/>
  <c r="J8" i="35"/>
  <c r="I8" i="35"/>
  <c r="H8" i="35"/>
  <c r="AJ7" i="35"/>
  <c r="AU7" i="35"/>
  <c r="AG7" i="35"/>
  <c r="AF7" i="35"/>
  <c r="AU6" i="35"/>
  <c r="AG6" i="35"/>
  <c r="AF6" i="35"/>
  <c r="N13" i="16"/>
  <c r="N9" i="16"/>
  <c r="O13" i="16"/>
  <c r="O9" i="16"/>
  <c r="O8" i="16"/>
  <c r="P13" i="16"/>
  <c r="I13" i="16"/>
  <c r="I9" i="16"/>
  <c r="J13" i="16"/>
  <c r="J9" i="16"/>
  <c r="K11" i="16"/>
  <c r="K13" i="16"/>
  <c r="K9" i="16"/>
  <c r="L13" i="16"/>
  <c r="L9" i="16"/>
  <c r="M13" i="16"/>
  <c r="M9" i="16"/>
  <c r="H13" i="16"/>
  <c r="H9" i="16"/>
  <c r="R14" i="29"/>
  <c r="R10" i="29"/>
  <c r="K10" i="29"/>
  <c r="K9" i="29"/>
  <c r="L9" i="29"/>
  <c r="M9" i="29"/>
  <c r="N9" i="29"/>
  <c r="O9" i="29"/>
  <c r="P9" i="29"/>
  <c r="Q9" i="29"/>
  <c r="R9" i="29"/>
  <c r="J9" i="29"/>
  <c r="K13" i="29"/>
  <c r="K12" i="29"/>
  <c r="K11" i="29"/>
  <c r="K8" i="29"/>
  <c r="L13" i="29"/>
  <c r="L12" i="29"/>
  <c r="L11" i="29"/>
  <c r="L8" i="29"/>
  <c r="M13" i="29"/>
  <c r="M12" i="29"/>
  <c r="M11" i="29"/>
  <c r="M8" i="29"/>
  <c r="N13" i="29"/>
  <c r="N12" i="29"/>
  <c r="N11" i="29"/>
  <c r="N8" i="29"/>
  <c r="O13" i="29"/>
  <c r="O12" i="29"/>
  <c r="O11" i="29"/>
  <c r="O8" i="29"/>
  <c r="P13" i="29"/>
  <c r="P12" i="29"/>
  <c r="P11" i="29"/>
  <c r="P8" i="29"/>
  <c r="Q13" i="29"/>
  <c r="Q12" i="29"/>
  <c r="Q11" i="29"/>
  <c r="Q8" i="29"/>
  <c r="R13" i="29"/>
  <c r="R12" i="29"/>
  <c r="R11" i="29"/>
  <c r="R8" i="29"/>
  <c r="H13" i="29"/>
  <c r="H12" i="29"/>
  <c r="H11" i="29"/>
  <c r="H8" i="29"/>
  <c r="I13" i="29"/>
  <c r="I12" i="29"/>
  <c r="I11" i="29"/>
  <c r="I8" i="29"/>
  <c r="J13" i="29"/>
  <c r="J12" i="29"/>
  <c r="J11" i="29"/>
  <c r="J8" i="29"/>
  <c r="I44" i="7"/>
  <c r="I53" i="7"/>
  <c r="J44" i="7"/>
  <c r="J53" i="7"/>
  <c r="K53" i="7"/>
  <c r="K44" i="7"/>
  <c r="L44" i="7"/>
  <c r="L53" i="7"/>
  <c r="M44" i="7"/>
  <c r="M53" i="7"/>
  <c r="N44" i="7"/>
  <c r="N53" i="7"/>
  <c r="O44" i="7"/>
  <c r="O53" i="7"/>
  <c r="P44" i="7"/>
  <c r="P53" i="7"/>
  <c r="Q53" i="7"/>
  <c r="R44" i="7"/>
  <c r="R53" i="7"/>
  <c r="S44" i="7"/>
  <c r="S53" i="7"/>
  <c r="T44" i="7"/>
  <c r="T53" i="7"/>
  <c r="U44" i="7"/>
  <c r="U53" i="7"/>
  <c r="V53" i="7"/>
  <c r="W44" i="7"/>
  <c r="W53" i="7"/>
  <c r="X44" i="7"/>
  <c r="X53" i="7"/>
  <c r="Y44" i="7"/>
  <c r="Y53" i="7"/>
  <c r="H44" i="7"/>
  <c r="H53" i="7"/>
  <c r="I13" i="7"/>
  <c r="I12" i="7"/>
  <c r="I22" i="7"/>
  <c r="I21" i="7"/>
  <c r="I11" i="7"/>
  <c r="I27" i="7"/>
  <c r="I26" i="7"/>
  <c r="I25" i="7"/>
  <c r="I31" i="7"/>
  <c r="I33" i="7"/>
  <c r="I30" i="7"/>
  <c r="I36" i="7"/>
  <c r="I35" i="7"/>
  <c r="I29" i="7"/>
  <c r="I41" i="7"/>
  <c r="I40" i="7"/>
  <c r="I39" i="7"/>
  <c r="I46" i="7"/>
  <c r="I45" i="7"/>
  <c r="J13" i="7"/>
  <c r="J12" i="7"/>
  <c r="J36" i="7"/>
  <c r="J35" i="7"/>
  <c r="J29" i="7"/>
  <c r="J31" i="7"/>
  <c r="J33" i="7"/>
  <c r="J30" i="7"/>
  <c r="J41" i="7"/>
  <c r="J40" i="7"/>
  <c r="J39" i="7"/>
  <c r="J27" i="7"/>
  <c r="J26" i="7"/>
  <c r="J25" i="7"/>
  <c r="J46" i="7"/>
  <c r="J45" i="7"/>
  <c r="K13" i="7"/>
  <c r="K12" i="7"/>
  <c r="K22" i="7"/>
  <c r="K21" i="7"/>
  <c r="K27" i="7"/>
  <c r="K26" i="7"/>
  <c r="K25" i="7"/>
  <c r="K31" i="7"/>
  <c r="K33" i="7"/>
  <c r="K30" i="7"/>
  <c r="K36" i="7"/>
  <c r="K35" i="7"/>
  <c r="K29" i="7"/>
  <c r="K41" i="7"/>
  <c r="K40" i="7"/>
  <c r="K39" i="7"/>
  <c r="K46" i="7"/>
  <c r="K45" i="7"/>
  <c r="L13" i="7"/>
  <c r="L12" i="7"/>
  <c r="L22" i="7"/>
  <c r="L21" i="7"/>
  <c r="L11" i="7"/>
  <c r="L27" i="7"/>
  <c r="L26" i="7"/>
  <c r="L25" i="7"/>
  <c r="L31" i="7"/>
  <c r="L33" i="7"/>
  <c r="L30" i="7"/>
  <c r="L36" i="7"/>
  <c r="L35" i="7"/>
  <c r="L29" i="7"/>
  <c r="L41" i="7"/>
  <c r="L40" i="7"/>
  <c r="L39" i="7"/>
  <c r="L46" i="7"/>
  <c r="L45" i="7"/>
  <c r="M13" i="7"/>
  <c r="M12" i="7"/>
  <c r="M22" i="7"/>
  <c r="M21" i="7"/>
  <c r="M11" i="7"/>
  <c r="M27" i="7"/>
  <c r="M26" i="7"/>
  <c r="M25" i="7"/>
  <c r="M31" i="7"/>
  <c r="M33" i="7"/>
  <c r="M30" i="7"/>
  <c r="M36" i="7"/>
  <c r="M35" i="7"/>
  <c r="M29" i="7"/>
  <c r="M41" i="7"/>
  <c r="M40" i="7"/>
  <c r="M39" i="7"/>
  <c r="M46" i="7"/>
  <c r="M45" i="7"/>
  <c r="N13" i="7"/>
  <c r="N12" i="7"/>
  <c r="N22" i="7"/>
  <c r="N21" i="7"/>
  <c r="N11" i="7"/>
  <c r="N27" i="7"/>
  <c r="N26" i="7"/>
  <c r="N25" i="7"/>
  <c r="N31" i="7"/>
  <c r="N33" i="7"/>
  <c r="N30" i="7"/>
  <c r="N36" i="7"/>
  <c r="N35" i="7"/>
  <c r="N29" i="7"/>
  <c r="N41" i="7"/>
  <c r="N40" i="7"/>
  <c r="N39" i="7"/>
  <c r="N46" i="7"/>
  <c r="N45" i="7"/>
  <c r="O13" i="7"/>
  <c r="O12" i="7"/>
  <c r="O22" i="7"/>
  <c r="O21" i="7"/>
  <c r="O27" i="7"/>
  <c r="O26" i="7"/>
  <c r="O25" i="7"/>
  <c r="O31" i="7"/>
  <c r="O33" i="7"/>
  <c r="O30" i="7"/>
  <c r="O36" i="7"/>
  <c r="O35" i="7"/>
  <c r="O29" i="7"/>
  <c r="O41" i="7"/>
  <c r="O40" i="7"/>
  <c r="O39" i="7"/>
  <c r="O46" i="7"/>
  <c r="O45" i="7"/>
  <c r="P13" i="7"/>
  <c r="P12" i="7"/>
  <c r="P22" i="7"/>
  <c r="P21" i="7"/>
  <c r="P11" i="7"/>
  <c r="P27" i="7"/>
  <c r="P26" i="7"/>
  <c r="P25" i="7"/>
  <c r="P31" i="7"/>
  <c r="P33" i="7"/>
  <c r="P30" i="7"/>
  <c r="P36" i="7"/>
  <c r="P35" i="7"/>
  <c r="P29" i="7"/>
  <c r="P41" i="7"/>
  <c r="P40" i="7"/>
  <c r="P39" i="7"/>
  <c r="P46" i="7"/>
  <c r="P45" i="7"/>
  <c r="Q13" i="7"/>
  <c r="Q12" i="7"/>
  <c r="Q22" i="7"/>
  <c r="Q21" i="7"/>
  <c r="Q11" i="7"/>
  <c r="Q27" i="7"/>
  <c r="Q26" i="7"/>
  <c r="Q25" i="7"/>
  <c r="Q31" i="7"/>
  <c r="Q33" i="7"/>
  <c r="Q30" i="7"/>
  <c r="Q36" i="7"/>
  <c r="Q35" i="7"/>
  <c r="Q29" i="7"/>
  <c r="Q41" i="7"/>
  <c r="Q40" i="7"/>
  <c r="Q39" i="7"/>
  <c r="Q46" i="7"/>
  <c r="Q45" i="7"/>
  <c r="Q44" i="7"/>
  <c r="R13" i="7"/>
  <c r="R12" i="7"/>
  <c r="R22" i="7"/>
  <c r="R21" i="7"/>
  <c r="R11" i="7"/>
  <c r="R27" i="7"/>
  <c r="R26" i="7"/>
  <c r="R25" i="7"/>
  <c r="R31" i="7"/>
  <c r="R33" i="7"/>
  <c r="R30" i="7"/>
  <c r="R36" i="7"/>
  <c r="R35" i="7"/>
  <c r="R29" i="7"/>
  <c r="R41" i="7"/>
  <c r="R40" i="7"/>
  <c r="R39" i="7"/>
  <c r="R46" i="7"/>
  <c r="R45" i="7"/>
  <c r="S13" i="7"/>
  <c r="S12" i="7"/>
  <c r="S22" i="7"/>
  <c r="S21" i="7"/>
  <c r="S27" i="7"/>
  <c r="S26" i="7"/>
  <c r="S25" i="7"/>
  <c r="S31" i="7"/>
  <c r="S33" i="7"/>
  <c r="S30" i="7"/>
  <c r="S36" i="7"/>
  <c r="S35" i="7"/>
  <c r="S29" i="7"/>
  <c r="S41" i="7"/>
  <c r="S40" i="7"/>
  <c r="S39" i="7"/>
  <c r="S46" i="7"/>
  <c r="S45" i="7"/>
  <c r="T13" i="7"/>
  <c r="T12" i="7"/>
  <c r="T22" i="7"/>
  <c r="T21" i="7"/>
  <c r="T11" i="7"/>
  <c r="T36" i="7"/>
  <c r="T35" i="7"/>
  <c r="T29" i="7"/>
  <c r="T31" i="7"/>
  <c r="T33" i="7"/>
  <c r="T30" i="7"/>
  <c r="T41" i="7"/>
  <c r="T40" i="7"/>
  <c r="T39" i="7"/>
  <c r="T27" i="7"/>
  <c r="T26" i="7"/>
  <c r="T25" i="7"/>
  <c r="T46" i="7"/>
  <c r="T45" i="7"/>
  <c r="U13" i="7"/>
  <c r="U12" i="7"/>
  <c r="U22" i="7"/>
  <c r="U21" i="7"/>
  <c r="U11" i="7"/>
  <c r="U27" i="7"/>
  <c r="U26" i="7"/>
  <c r="U25" i="7"/>
  <c r="U31" i="7"/>
  <c r="U33" i="7"/>
  <c r="U30" i="7"/>
  <c r="U36" i="7"/>
  <c r="U35" i="7"/>
  <c r="U29" i="7"/>
  <c r="U41" i="7"/>
  <c r="U40" i="7"/>
  <c r="U39" i="7"/>
  <c r="U46" i="7"/>
  <c r="U45" i="7"/>
  <c r="V13" i="7"/>
  <c r="V12" i="7"/>
  <c r="V22" i="7"/>
  <c r="V21" i="7"/>
  <c r="V11" i="7"/>
  <c r="V27" i="7"/>
  <c r="V26" i="7"/>
  <c r="V25" i="7"/>
  <c r="V31" i="7"/>
  <c r="V33" i="7"/>
  <c r="V30" i="7"/>
  <c r="V36" i="7"/>
  <c r="V35" i="7"/>
  <c r="V29" i="7"/>
  <c r="V41" i="7"/>
  <c r="V40" i="7"/>
  <c r="V39" i="7"/>
  <c r="V46" i="7"/>
  <c r="V45" i="7"/>
  <c r="V44" i="7"/>
  <c r="W13" i="7"/>
  <c r="W12" i="7"/>
  <c r="W22" i="7"/>
  <c r="W21" i="7"/>
  <c r="W27" i="7"/>
  <c r="W26" i="7"/>
  <c r="W25" i="7"/>
  <c r="W31" i="7"/>
  <c r="W33" i="7"/>
  <c r="W30" i="7"/>
  <c r="W36" i="7"/>
  <c r="W35" i="7"/>
  <c r="W29" i="7"/>
  <c r="W41" i="7"/>
  <c r="W40" i="7"/>
  <c r="W39" i="7"/>
  <c r="W46" i="7"/>
  <c r="W45" i="7"/>
  <c r="X31" i="7"/>
  <c r="X33" i="7"/>
  <c r="X30" i="7"/>
  <c r="X27" i="7"/>
  <c r="X26" i="7"/>
  <c r="X25" i="7"/>
  <c r="X46" i="7"/>
  <c r="X45" i="7"/>
  <c r="Y31" i="7"/>
  <c r="Y33" i="7"/>
  <c r="Y30" i="7"/>
  <c r="Y27" i="7"/>
  <c r="Y26" i="7"/>
  <c r="Y25" i="7"/>
  <c r="Y46" i="7"/>
  <c r="Y45" i="7"/>
  <c r="H13" i="7"/>
  <c r="H12" i="7"/>
  <c r="H11" i="7"/>
  <c r="H22" i="7"/>
  <c r="H21" i="7"/>
  <c r="H27" i="7"/>
  <c r="H26" i="7"/>
  <c r="H25" i="7"/>
  <c r="H31" i="7"/>
  <c r="H33" i="7"/>
  <c r="H30" i="7"/>
  <c r="H36" i="7"/>
  <c r="H35" i="7"/>
  <c r="H29" i="7"/>
  <c r="H41" i="7"/>
  <c r="H40" i="7"/>
  <c r="H39" i="7"/>
  <c r="H46" i="7"/>
  <c r="H45" i="7"/>
  <c r="Q10" i="27"/>
  <c r="Q9" i="27"/>
  <c r="R10" i="27"/>
  <c r="R9" i="27"/>
  <c r="R8" i="27"/>
  <c r="F79" i="31"/>
  <c r="Q17" i="25"/>
  <c r="Q20" i="25"/>
  <c r="O19" i="25"/>
  <c r="O18" i="25"/>
  <c r="P19" i="25"/>
  <c r="P18" i="25"/>
  <c r="Q19" i="25"/>
  <c r="Q18" i="25"/>
  <c r="O16" i="25"/>
  <c r="O15" i="25"/>
  <c r="O14" i="25"/>
  <c r="P16" i="25"/>
  <c r="P15" i="25"/>
  <c r="P14" i="25"/>
  <c r="Q16" i="25"/>
  <c r="Q15" i="25"/>
  <c r="Q14" i="25"/>
  <c r="L10" i="24"/>
  <c r="L9" i="24"/>
  <c r="L8" i="24"/>
  <c r="M10" i="24"/>
  <c r="M9" i="24"/>
  <c r="M8" i="24"/>
  <c r="N10" i="24"/>
  <c r="N9" i="24"/>
  <c r="N8" i="24"/>
  <c r="L10" i="20"/>
  <c r="L9" i="20"/>
  <c r="M10" i="20"/>
  <c r="M9" i="20"/>
  <c r="N10" i="20"/>
  <c r="N9" i="20"/>
  <c r="V10" i="10"/>
  <c r="V9" i="10"/>
  <c r="V8" i="10"/>
  <c r="W10" i="10"/>
  <c r="W9" i="10"/>
  <c r="W8" i="10"/>
  <c r="X10" i="10"/>
  <c r="X9" i="10"/>
  <c r="X8" i="10"/>
  <c r="S9" i="8"/>
  <c r="S8" i="8"/>
  <c r="T9" i="8"/>
  <c r="T8" i="8"/>
  <c r="U9" i="8"/>
  <c r="U8" i="8"/>
  <c r="Y11" i="6"/>
  <c r="Y10" i="6"/>
  <c r="Y9" i="6"/>
  <c r="Y8" i="6"/>
  <c r="Z11" i="6"/>
  <c r="Z10" i="6"/>
  <c r="AA11" i="6"/>
  <c r="AA10" i="6"/>
  <c r="Z24" i="1"/>
  <c r="Z23" i="1"/>
  <c r="AA24" i="1"/>
  <c r="AA23" i="1"/>
  <c r="AB24" i="1"/>
  <c r="AB23" i="1"/>
  <c r="Z18" i="1"/>
  <c r="AA18" i="1"/>
  <c r="AA9" i="1"/>
  <c r="AA8" i="1"/>
  <c r="AB18" i="1"/>
  <c r="Z10" i="1"/>
  <c r="Z9" i="1"/>
  <c r="Z8" i="1"/>
  <c r="AA10" i="1"/>
  <c r="AB10" i="1"/>
  <c r="AB9" i="1"/>
  <c r="AB8" i="1"/>
  <c r="Z122" i="11"/>
  <c r="AA122" i="11"/>
  <c r="Z112" i="11"/>
  <c r="Z109" i="11"/>
  <c r="Z108" i="11"/>
  <c r="Z107" i="11"/>
  <c r="Z104" i="11"/>
  <c r="AA104" i="11"/>
  <c r="Z70" i="11"/>
  <c r="AA70" i="11"/>
  <c r="Z68" i="11"/>
  <c r="AA68" i="11"/>
  <c r="Z65" i="11"/>
  <c r="AA65" i="11"/>
  <c r="Z62" i="11"/>
  <c r="AA62" i="11"/>
  <c r="Z58" i="11"/>
  <c r="AA58" i="11"/>
  <c r="Z49" i="11"/>
  <c r="AA49" i="11"/>
  <c r="Z34" i="11"/>
  <c r="AA34" i="11"/>
  <c r="Z27" i="11"/>
  <c r="AA27" i="11"/>
  <c r="AA26" i="11"/>
  <c r="Z23" i="11"/>
  <c r="AA23" i="11"/>
  <c r="Z9" i="11"/>
  <c r="AA9" i="11"/>
  <c r="P26" i="3"/>
  <c r="S26" i="3"/>
  <c r="M25" i="3"/>
  <c r="K25" i="3"/>
  <c r="O25" i="3"/>
  <c r="P25" i="3"/>
  <c r="S25" i="3"/>
  <c r="S21" i="3"/>
  <c r="S20" i="3"/>
  <c r="S19" i="3"/>
  <c r="S16" i="3"/>
  <c r="S15" i="3"/>
  <c r="S14" i="3"/>
  <c r="S13" i="3"/>
  <c r="S12" i="3"/>
  <c r="Q24" i="3"/>
  <c r="Q23" i="3"/>
  <c r="Q22" i="3"/>
  <c r="R24" i="3"/>
  <c r="R23" i="3"/>
  <c r="R22" i="3"/>
  <c r="S24" i="3"/>
  <c r="S23" i="3"/>
  <c r="S22" i="3"/>
  <c r="Q18" i="3"/>
  <c r="R18" i="3"/>
  <c r="F18" i="31" s="1"/>
  <c r="Q9" i="3"/>
  <c r="E17" i="31" s="1"/>
  <c r="R9" i="3"/>
  <c r="AB57" i="2"/>
  <c r="X56" i="2"/>
  <c r="Y56" i="2"/>
  <c r="AB55" i="2"/>
  <c r="J52" i="2"/>
  <c r="X52" i="2"/>
  <c r="Y52" i="2"/>
  <c r="AB52" i="2"/>
  <c r="J51" i="2"/>
  <c r="T51" i="2"/>
  <c r="X51" i="2"/>
  <c r="Y51" i="2"/>
  <c r="J50" i="2"/>
  <c r="T50" i="2"/>
  <c r="X50" i="2"/>
  <c r="Y50" i="2"/>
  <c r="AB50" i="2"/>
  <c r="AB48" i="2"/>
  <c r="Z34" i="2"/>
  <c r="AA34" i="2"/>
  <c r="AB35" i="2"/>
  <c r="AB34" i="2"/>
  <c r="AB38" i="2"/>
  <c r="AB37" i="2"/>
  <c r="J33" i="2"/>
  <c r="T33" i="2"/>
  <c r="X33" i="2"/>
  <c r="Y33" i="2"/>
  <c r="AB33" i="2"/>
  <c r="J32" i="2"/>
  <c r="T32" i="2"/>
  <c r="X32" i="2"/>
  <c r="Y32" i="2"/>
  <c r="AB32" i="2"/>
  <c r="J31" i="2"/>
  <c r="T31" i="2"/>
  <c r="X31" i="2"/>
  <c r="Y31" i="2"/>
  <c r="AB18" i="2"/>
  <c r="Y11" i="2"/>
  <c r="AB11" i="2"/>
  <c r="Y12" i="2"/>
  <c r="AB12" i="2"/>
  <c r="Y13" i="2"/>
  <c r="AB13" i="2"/>
  <c r="Y14" i="2"/>
  <c r="AB14" i="2"/>
  <c r="Y15" i="2"/>
  <c r="AB15" i="2"/>
  <c r="Y16" i="2"/>
  <c r="AB16" i="2"/>
  <c r="Y17" i="2"/>
  <c r="AB17" i="2"/>
  <c r="Y10" i="2"/>
  <c r="AB10" i="2"/>
  <c r="Z47" i="2"/>
  <c r="AA47" i="2"/>
  <c r="AB47" i="2"/>
  <c r="Z39" i="2"/>
  <c r="AA39" i="2"/>
  <c r="Z36" i="2"/>
  <c r="AA36" i="2"/>
  <c r="Z30" i="2"/>
  <c r="AA30" i="2"/>
  <c r="Z22" i="2"/>
  <c r="Z21" i="2"/>
  <c r="AA22" i="2"/>
  <c r="AA21" i="2"/>
  <c r="Z19" i="2"/>
  <c r="AA19" i="2"/>
  <c r="Z9" i="2"/>
  <c r="Z8" i="2"/>
  <c r="AA9" i="2"/>
  <c r="AA8" i="2"/>
  <c r="Y9" i="2"/>
  <c r="Y30" i="2"/>
  <c r="Y34" i="2"/>
  <c r="Y36" i="2"/>
  <c r="Y22" i="2"/>
  <c r="Y47" i="2"/>
  <c r="Y19" i="2"/>
  <c r="Y8" i="2"/>
  <c r="D7" i="31"/>
  <c r="P9" i="3"/>
  <c r="P18" i="3"/>
  <c r="P24" i="3"/>
  <c r="P23" i="3"/>
  <c r="P22" i="3"/>
  <c r="P8" i="3"/>
  <c r="D16" i="31"/>
  <c r="Y64" i="7"/>
  <c r="Y68" i="7"/>
  <c r="Y56" i="7"/>
  <c r="Y95" i="7"/>
  <c r="Y107" i="7"/>
  <c r="Y94" i="7"/>
  <c r="Y116" i="7"/>
  <c r="Y115" i="7"/>
  <c r="Y118" i="7"/>
  <c r="Y123" i="7"/>
  <c r="Y122" i="7"/>
  <c r="Y114" i="7"/>
  <c r="Y55" i="7"/>
  <c r="Y23" i="11"/>
  <c r="Y27" i="11"/>
  <c r="Y34" i="11"/>
  <c r="Y49" i="11"/>
  <c r="Y58" i="11"/>
  <c r="Y62" i="11"/>
  <c r="Y65" i="11"/>
  <c r="Y68" i="11"/>
  <c r="Y70" i="11"/>
  <c r="Y26" i="11"/>
  <c r="Y25" i="11"/>
  <c r="Y104" i="11"/>
  <c r="Y109" i="11"/>
  <c r="Y108" i="11"/>
  <c r="Y112" i="11"/>
  <c r="Y107" i="11"/>
  <c r="Y122" i="11"/>
  <c r="J14" i="1"/>
  <c r="T14" i="1"/>
  <c r="X14" i="1"/>
  <c r="Y14" i="1"/>
  <c r="J15" i="1"/>
  <c r="T15" i="1"/>
  <c r="X15" i="1"/>
  <c r="Y15" i="1"/>
  <c r="J17" i="1"/>
  <c r="T17" i="1"/>
  <c r="X17" i="1"/>
  <c r="Y17" i="1"/>
  <c r="Y10" i="1"/>
  <c r="J20" i="1"/>
  <c r="T20" i="1"/>
  <c r="X20" i="1"/>
  <c r="Y20" i="1"/>
  <c r="J21" i="1"/>
  <c r="T21" i="1"/>
  <c r="X21" i="1"/>
  <c r="Y21" i="1"/>
  <c r="Y18" i="1"/>
  <c r="Y9" i="1"/>
  <c r="K25" i="1"/>
  <c r="J25" i="1"/>
  <c r="T25" i="1"/>
  <c r="X25" i="1"/>
  <c r="Y25" i="1"/>
  <c r="J26" i="1"/>
  <c r="T26" i="1"/>
  <c r="X26" i="1"/>
  <c r="Y26" i="1"/>
  <c r="Y24" i="1"/>
  <c r="Y23" i="1"/>
  <c r="Y8" i="1"/>
  <c r="D43" i="31"/>
  <c r="H43" i="31" s="1"/>
  <c r="J12" i="6"/>
  <c r="S12" i="6"/>
  <c r="W12" i="6"/>
  <c r="X12" i="6"/>
  <c r="X11" i="6"/>
  <c r="X10" i="6"/>
  <c r="X9" i="6"/>
  <c r="X8" i="6"/>
  <c r="D47" i="31"/>
  <c r="R9" i="8"/>
  <c r="R8" i="8"/>
  <c r="D50" i="31"/>
  <c r="H50" i="31" s="1"/>
  <c r="D54" i="31"/>
  <c r="H54" i="31" s="1"/>
  <c r="U10" i="10"/>
  <c r="U9" i="10"/>
  <c r="U8" i="10"/>
  <c r="D58" i="31"/>
  <c r="H58" i="31" s="1"/>
  <c r="M8" i="16"/>
  <c r="D61" i="31"/>
  <c r="K10" i="20"/>
  <c r="K9" i="20"/>
  <c r="H64" i="31"/>
  <c r="K10" i="24"/>
  <c r="K9" i="24"/>
  <c r="K8" i="24"/>
  <c r="D68" i="31"/>
  <c r="N16" i="25"/>
  <c r="N15" i="25"/>
  <c r="N14" i="25"/>
  <c r="N19" i="25"/>
  <c r="N18" i="25"/>
  <c r="D71" i="31"/>
  <c r="H71" i="31" s="1"/>
  <c r="P10" i="27"/>
  <c r="P9" i="27"/>
  <c r="P8" i="27"/>
  <c r="AG24" i="2"/>
  <c r="AG25" i="2"/>
  <c r="AG26" i="2"/>
  <c r="AG27" i="2"/>
  <c r="AG28" i="2"/>
  <c r="AG31" i="2"/>
  <c r="AG32" i="2"/>
  <c r="AG33" i="2"/>
  <c r="AG35" i="2"/>
  <c r="AG37" i="2"/>
  <c r="AG38" i="2"/>
  <c r="AG41" i="2"/>
  <c r="AG42" i="2"/>
  <c r="AG43" i="2"/>
  <c r="AG44" i="2"/>
  <c r="AG48" i="2"/>
  <c r="AG50" i="2"/>
  <c r="AG51" i="2"/>
  <c r="AG52" i="2"/>
  <c r="AG55" i="2"/>
  <c r="AG56" i="2"/>
  <c r="AG57" i="2"/>
  <c r="AM6" i="2"/>
  <c r="AC6" i="8"/>
  <c r="AN50" i="7"/>
  <c r="AN52" i="7"/>
  <c r="AN18" i="7"/>
  <c r="AN32" i="7"/>
  <c r="AN34" i="7"/>
  <c r="AN47" i="7"/>
  <c r="U11" i="16"/>
  <c r="X6" i="16"/>
  <c r="X25" i="3"/>
  <c r="X26" i="3"/>
  <c r="AA7" i="3"/>
  <c r="AG24" i="11"/>
  <c r="AG28" i="11"/>
  <c r="AG29" i="11"/>
  <c r="AG30" i="11"/>
  <c r="AG31" i="11"/>
  <c r="AG32" i="11"/>
  <c r="AG33" i="11"/>
  <c r="AG35" i="11"/>
  <c r="AG36" i="11"/>
  <c r="AG37" i="11"/>
  <c r="AG38" i="11"/>
  <c r="AG39" i="11"/>
  <c r="AG40" i="11"/>
  <c r="AG41" i="11"/>
  <c r="AG42" i="11"/>
  <c r="AG43" i="11"/>
  <c r="AG44" i="11"/>
  <c r="AG45" i="11"/>
  <c r="AG46" i="11"/>
  <c r="AG47" i="11"/>
  <c r="AG48" i="11"/>
  <c r="AG50" i="11"/>
  <c r="AG51" i="11"/>
  <c r="AG52" i="11"/>
  <c r="AG53" i="11"/>
  <c r="AG54" i="11"/>
  <c r="AG55" i="11"/>
  <c r="AG56" i="11"/>
  <c r="AG57" i="11"/>
  <c r="AG59" i="11"/>
  <c r="AG60" i="11"/>
  <c r="AG61" i="11"/>
  <c r="AG63" i="11"/>
  <c r="AG64" i="11"/>
  <c r="AG66" i="11"/>
  <c r="AG67" i="11"/>
  <c r="AG69" i="11"/>
  <c r="AG71" i="11"/>
  <c r="AG72" i="11"/>
  <c r="AG73" i="11"/>
  <c r="AG76" i="11"/>
  <c r="AG77" i="11"/>
  <c r="AG78" i="11"/>
  <c r="AG80" i="11"/>
  <c r="AG93" i="11"/>
  <c r="AG94" i="11"/>
  <c r="AG98" i="11"/>
  <c r="AG99" i="11"/>
  <c r="AG100" i="11"/>
  <c r="AG101" i="11"/>
  <c r="AG102" i="11"/>
  <c r="AG106" i="11"/>
  <c r="AG110" i="11"/>
  <c r="AG111" i="11"/>
  <c r="AG114" i="11"/>
  <c r="AG121" i="11"/>
  <c r="AM7" i="11"/>
  <c r="AG11" i="1"/>
  <c r="AG12" i="1"/>
  <c r="AG13" i="1"/>
  <c r="AG14" i="1"/>
  <c r="AG15" i="1"/>
  <c r="AG16" i="1"/>
  <c r="AG17" i="1"/>
  <c r="AG19" i="1"/>
  <c r="AG20" i="1"/>
  <c r="AG21" i="1"/>
  <c r="AG22" i="1"/>
  <c r="AG25" i="1"/>
  <c r="AG26" i="1"/>
  <c r="AM6" i="1"/>
  <c r="AF12" i="6"/>
  <c r="AI6" i="6"/>
  <c r="AC11" i="10"/>
  <c r="AF6" i="10"/>
  <c r="S11" i="20"/>
  <c r="V7" i="20"/>
  <c r="V6" i="24"/>
  <c r="V12" i="25"/>
  <c r="V13" i="25"/>
  <c r="V17" i="25"/>
  <c r="Y6" i="25"/>
  <c r="AA6" i="27"/>
  <c r="AM7" i="2"/>
  <c r="Z11" i="8"/>
  <c r="Z12" i="8"/>
  <c r="Z13" i="8"/>
  <c r="Z14" i="8"/>
  <c r="Z15" i="8"/>
  <c r="Z16" i="8"/>
  <c r="Z17" i="8"/>
  <c r="Z18" i="8"/>
  <c r="Z19" i="8"/>
  <c r="Z20" i="8"/>
  <c r="Z21" i="8"/>
  <c r="Z22" i="8"/>
  <c r="Z23" i="8"/>
  <c r="AC7" i="8"/>
  <c r="AN59" i="7"/>
  <c r="AN60" i="7"/>
  <c r="AN66" i="7"/>
  <c r="AN70" i="7"/>
  <c r="AN75" i="7"/>
  <c r="AN89" i="7"/>
  <c r="AN90" i="7"/>
  <c r="AN97" i="7"/>
  <c r="AN101" i="7"/>
  <c r="AN109" i="7"/>
  <c r="AN112" i="7"/>
  <c r="AN117" i="7"/>
  <c r="AN120" i="7"/>
  <c r="AN124" i="7"/>
  <c r="AT8" i="7"/>
  <c r="O6" i="31"/>
  <c r="O14" i="31" s="1"/>
  <c r="X7" i="16"/>
  <c r="AA8" i="3"/>
  <c r="AM8" i="11"/>
  <c r="AM7" i="1"/>
  <c r="AI7" i="6"/>
  <c r="AF7" i="10"/>
  <c r="V8" i="20"/>
  <c r="S11" i="24"/>
  <c r="V7" i="24"/>
  <c r="V20" i="25"/>
  <c r="Y7" i="25"/>
  <c r="X12" i="27"/>
  <c r="X13" i="27"/>
  <c r="X20" i="27"/>
  <c r="AA7" i="27"/>
  <c r="Y10" i="34"/>
  <c r="Y12" i="34"/>
  <c r="Y9" i="34"/>
  <c r="Y15" i="34"/>
  <c r="Y14" i="34"/>
  <c r="Y18" i="34"/>
  <c r="Y21" i="34"/>
  <c r="Y25" i="34"/>
  <c r="Y17" i="34"/>
  <c r="Y28" i="34"/>
  <c r="Y34" i="34"/>
  <c r="Y40" i="34"/>
  <c r="Y27" i="34"/>
  <c r="Y45" i="34"/>
  <c r="Y44" i="34"/>
  <c r="Y47" i="34"/>
  <c r="Y52" i="34"/>
  <c r="Y56" i="34"/>
  <c r="Y55" i="34"/>
  <c r="Y59" i="34"/>
  <c r="Y58" i="34"/>
  <c r="Y63" i="34"/>
  <c r="Y62" i="34"/>
  <c r="Y66" i="34"/>
  <c r="Y65" i="34"/>
  <c r="Y69" i="34"/>
  <c r="Y68" i="34"/>
  <c r="Y73" i="34"/>
  <c r="Y72" i="34"/>
  <c r="Y84" i="34"/>
  <c r="Y83" i="34"/>
  <c r="Y88" i="34"/>
  <c r="Y87" i="34"/>
  <c r="Y92" i="34"/>
  <c r="Y91" i="34"/>
  <c r="Y95" i="34"/>
  <c r="Y94" i="34"/>
  <c r="Y98" i="34"/>
  <c r="Y97" i="34"/>
  <c r="Y101" i="34"/>
  <c r="Y100" i="34"/>
  <c r="Y103" i="34"/>
  <c r="Y113" i="34"/>
  <c r="AO8" i="2"/>
  <c r="AE8" i="8"/>
  <c r="AV9" i="7"/>
  <c r="Z8" i="16"/>
  <c r="AC9" i="3"/>
  <c r="AO9" i="11"/>
  <c r="AO8" i="1"/>
  <c r="AK8" i="6"/>
  <c r="AH8" i="10"/>
  <c r="X9" i="20"/>
  <c r="X8" i="24"/>
  <c r="AA8" i="25"/>
  <c r="AC8" i="27"/>
  <c r="AJ8" i="32"/>
  <c r="AO9" i="2"/>
  <c r="AE9" i="8"/>
  <c r="AV10" i="7"/>
  <c r="Z9" i="16"/>
  <c r="AC10" i="3"/>
  <c r="AO10" i="11"/>
  <c r="AO9" i="1"/>
  <c r="AK9" i="6"/>
  <c r="AH9" i="10"/>
  <c r="X10" i="20"/>
  <c r="X9" i="24"/>
  <c r="AA9" i="25"/>
  <c r="AC9" i="27"/>
  <c r="AJ9" i="32"/>
  <c r="AP8" i="2"/>
  <c r="AF8" i="8"/>
  <c r="AW9" i="7"/>
  <c r="AA8" i="16"/>
  <c r="AD9" i="3"/>
  <c r="AP9" i="11"/>
  <c r="AP8" i="1"/>
  <c r="AL8" i="6"/>
  <c r="AI8" i="10"/>
  <c r="Y9" i="20"/>
  <c r="Y8" i="24"/>
  <c r="AB8" i="25"/>
  <c r="AD8" i="27"/>
  <c r="AK8" i="32"/>
  <c r="AP9" i="2"/>
  <c r="AF9" i="8"/>
  <c r="AW10" i="7"/>
  <c r="AA9" i="16"/>
  <c r="AD10" i="3"/>
  <c r="AP10" i="11"/>
  <c r="AP9" i="1"/>
  <c r="AL9" i="6"/>
  <c r="AI9" i="10"/>
  <c r="Y10" i="20"/>
  <c r="Y9" i="24"/>
  <c r="AB9" i="25"/>
  <c r="AD9" i="27"/>
  <c r="AK9" i="32"/>
  <c r="AQ8" i="2"/>
  <c r="AG8" i="8"/>
  <c r="AX9" i="7"/>
  <c r="AB8" i="16"/>
  <c r="AE9" i="3"/>
  <c r="AQ9" i="11"/>
  <c r="AQ8" i="1"/>
  <c r="AM8" i="6"/>
  <c r="AJ8" i="10"/>
  <c r="Z9" i="20"/>
  <c r="Z8" i="24"/>
  <c r="AC8" i="25"/>
  <c r="AE8" i="27"/>
  <c r="AL8" i="32"/>
  <c r="AQ9" i="2"/>
  <c r="AG9" i="8"/>
  <c r="AX10" i="7"/>
  <c r="AB9" i="16"/>
  <c r="AE10" i="3"/>
  <c r="AQ10" i="11"/>
  <c r="AQ9" i="1"/>
  <c r="AM9" i="6"/>
  <c r="AJ9" i="10"/>
  <c r="Z10" i="20"/>
  <c r="Z9" i="24"/>
  <c r="AC9" i="25"/>
  <c r="AE9" i="27"/>
  <c r="AL9" i="32"/>
  <c r="AR8" i="2"/>
  <c r="AH8" i="8"/>
  <c r="AY9" i="7"/>
  <c r="AC8" i="16"/>
  <c r="AF9" i="3"/>
  <c r="AR9" i="11"/>
  <c r="AR8" i="1"/>
  <c r="AN8" i="6"/>
  <c r="AK8" i="10"/>
  <c r="AA9" i="20"/>
  <c r="AA8" i="24"/>
  <c r="AD8" i="25"/>
  <c r="AF8" i="27"/>
  <c r="AM8" i="32"/>
  <c r="AR9" i="2"/>
  <c r="AH9" i="8"/>
  <c r="AY10" i="7"/>
  <c r="AC9" i="16"/>
  <c r="AF10" i="3"/>
  <c r="AR10" i="11"/>
  <c r="AR9" i="1"/>
  <c r="AN9" i="6"/>
  <c r="AK9" i="10"/>
  <c r="AA10" i="20"/>
  <c r="AA9" i="24"/>
  <c r="AD9" i="25"/>
  <c r="AF9" i="27"/>
  <c r="AM9" i="32"/>
  <c r="AS8" i="2"/>
  <c r="AI8" i="8"/>
  <c r="AZ9" i="7"/>
  <c r="AD8" i="16"/>
  <c r="AG9" i="3"/>
  <c r="AS9" i="11"/>
  <c r="AS8" i="1"/>
  <c r="AO8" i="6"/>
  <c r="AL8" i="10"/>
  <c r="AB9" i="20"/>
  <c r="AB8" i="24"/>
  <c r="AE8" i="25"/>
  <c r="AG8" i="27"/>
  <c r="AN8" i="32"/>
  <c r="AS9" i="2"/>
  <c r="AI9" i="8"/>
  <c r="AZ10" i="7"/>
  <c r="AD9" i="16"/>
  <c r="AG10" i="3"/>
  <c r="AS10" i="11"/>
  <c r="AS9" i="1"/>
  <c r="AO9" i="6"/>
  <c r="AL9" i="10"/>
  <c r="AB10" i="20"/>
  <c r="AB9" i="24"/>
  <c r="AE9" i="25"/>
  <c r="AG9" i="27"/>
  <c r="AN9" i="32"/>
  <c r="AT8" i="2"/>
  <c r="AJ8" i="8"/>
  <c r="BA9" i="7"/>
  <c r="AE8" i="16"/>
  <c r="AH9" i="3"/>
  <c r="AT9" i="11"/>
  <c r="AT8" i="1"/>
  <c r="AP8" i="6"/>
  <c r="AM8" i="10"/>
  <c r="AC9" i="20"/>
  <c r="AC8" i="24"/>
  <c r="AF8" i="25"/>
  <c r="AH8" i="27"/>
  <c r="AO8" i="32"/>
  <c r="AT9" i="2"/>
  <c r="AJ9" i="8"/>
  <c r="BA10" i="7"/>
  <c r="AE9" i="16"/>
  <c r="AH10" i="3"/>
  <c r="AT10" i="11"/>
  <c r="AT9" i="1"/>
  <c r="AP9" i="6"/>
  <c r="AM9" i="10"/>
  <c r="AC10" i="20"/>
  <c r="AC9" i="24"/>
  <c r="AF9" i="25"/>
  <c r="AH9" i="27"/>
  <c r="AO9" i="32"/>
  <c r="AU8" i="2"/>
  <c r="AK8" i="8"/>
  <c r="BB9" i="7"/>
  <c r="AF8" i="16"/>
  <c r="AI9" i="3"/>
  <c r="AU9" i="11"/>
  <c r="AU8" i="1"/>
  <c r="AQ8" i="6"/>
  <c r="AN8" i="10"/>
  <c r="AD9" i="20"/>
  <c r="AD8" i="24"/>
  <c r="AG8" i="25"/>
  <c r="AI8" i="27"/>
  <c r="AP8" i="32"/>
  <c r="AU9" i="2"/>
  <c r="AK9" i="8"/>
  <c r="BB10" i="7"/>
  <c r="AF9" i="16"/>
  <c r="AI10" i="3"/>
  <c r="AU10" i="11"/>
  <c r="AU9" i="1"/>
  <c r="AQ9" i="6"/>
  <c r="AN9" i="10"/>
  <c r="AD10" i="20"/>
  <c r="AD9" i="24"/>
  <c r="AG9" i="25"/>
  <c r="AI9" i="27"/>
  <c r="AP9" i="32"/>
  <c r="AV8" i="2"/>
  <c r="AL8" i="8"/>
  <c r="BC9" i="7"/>
  <c r="AG8" i="16"/>
  <c r="AJ9" i="3"/>
  <c r="AV9" i="11"/>
  <c r="AV8" i="1"/>
  <c r="AR8" i="6"/>
  <c r="AO8" i="10"/>
  <c r="AE9" i="20"/>
  <c r="AE8" i="24"/>
  <c r="AH8" i="25"/>
  <c r="AJ8" i="27"/>
  <c r="AQ8" i="32"/>
  <c r="AV9" i="2"/>
  <c r="AL9" i="8"/>
  <c r="BC10" i="7"/>
  <c r="AG9" i="16"/>
  <c r="AJ10" i="3"/>
  <c r="AV10" i="11"/>
  <c r="AV9" i="1"/>
  <c r="AR9" i="6"/>
  <c r="AO9" i="10"/>
  <c r="AE10" i="20"/>
  <c r="AE9" i="24"/>
  <c r="AH9" i="25"/>
  <c r="AJ9" i="27"/>
  <c r="AQ9" i="32"/>
  <c r="AW8" i="2"/>
  <c r="AM8" i="8"/>
  <c r="BD9" i="7"/>
  <c r="AH8" i="16"/>
  <c r="AK9" i="3"/>
  <c r="AW9" i="11"/>
  <c r="AW8" i="1"/>
  <c r="AS8" i="6"/>
  <c r="AP8" i="10"/>
  <c r="AF9" i="20"/>
  <c r="AF8" i="24"/>
  <c r="AI8" i="25"/>
  <c r="AK8" i="27"/>
  <c r="AR8" i="32"/>
  <c r="AW9" i="2"/>
  <c r="AM9" i="8"/>
  <c r="BD10" i="7"/>
  <c r="AH9" i="16"/>
  <c r="AK10" i="3"/>
  <c r="AW10" i="11"/>
  <c r="AW9" i="1"/>
  <c r="AS9" i="6"/>
  <c r="AP9" i="10"/>
  <c r="AF10" i="20"/>
  <c r="AF9" i="24"/>
  <c r="AI9" i="25"/>
  <c r="AK9" i="27"/>
  <c r="AR9" i="32"/>
  <c r="AX8" i="2"/>
  <c r="AN8" i="8"/>
  <c r="BE9" i="7"/>
  <c r="AI8" i="16"/>
  <c r="AL9" i="3"/>
  <c r="AX9" i="11"/>
  <c r="AX8" i="1"/>
  <c r="AT8" i="6"/>
  <c r="AQ8" i="10"/>
  <c r="AG9" i="20"/>
  <c r="AG8" i="24"/>
  <c r="AJ8" i="25"/>
  <c r="AL8" i="27"/>
  <c r="AS8" i="32"/>
  <c r="AX9" i="2"/>
  <c r="AN9" i="8"/>
  <c r="BE10" i="7"/>
  <c r="AI9" i="16"/>
  <c r="AL10" i="3"/>
  <c r="AX10" i="11"/>
  <c r="AX9" i="1"/>
  <c r="AT9" i="6"/>
  <c r="AQ9" i="10"/>
  <c r="AG10" i="20"/>
  <c r="AG9" i="24"/>
  <c r="AJ9" i="25"/>
  <c r="AL9" i="27"/>
  <c r="AS9" i="32"/>
  <c r="AY8" i="2"/>
  <c r="AO8" i="8"/>
  <c r="BF9" i="7"/>
  <c r="AJ8" i="16"/>
  <c r="AM9" i="3"/>
  <c r="AY9" i="11"/>
  <c r="AY8" i="1"/>
  <c r="AU8" i="6"/>
  <c r="AR8" i="10"/>
  <c r="AH9" i="20"/>
  <c r="AH8" i="24"/>
  <c r="AK8" i="25"/>
  <c r="AM8" i="27"/>
  <c r="AT8" i="32"/>
  <c r="AY9" i="2"/>
  <c r="AO9" i="8"/>
  <c r="BF10" i="7"/>
  <c r="AJ9" i="16"/>
  <c r="AM10" i="3"/>
  <c r="AY10" i="11"/>
  <c r="AY9" i="1"/>
  <c r="AU9" i="6"/>
  <c r="AR9" i="10"/>
  <c r="AH10" i="20"/>
  <c r="AH9" i="24"/>
  <c r="AK9" i="25"/>
  <c r="AM9" i="27"/>
  <c r="AT9" i="32"/>
  <c r="AZ8" i="2"/>
  <c r="AP8" i="8"/>
  <c r="BG9" i="7"/>
  <c r="AK8" i="16"/>
  <c r="AN9" i="3"/>
  <c r="AZ9" i="11"/>
  <c r="AZ8" i="1"/>
  <c r="AV8" i="6"/>
  <c r="AS8" i="10"/>
  <c r="AI9" i="20"/>
  <c r="AI8" i="24"/>
  <c r="AL8" i="25"/>
  <c r="AN8" i="27"/>
  <c r="AU8" i="32"/>
  <c r="AZ9" i="2"/>
  <c r="AP9" i="8"/>
  <c r="BG10" i="7"/>
  <c r="AK9" i="16"/>
  <c r="AN10" i="3"/>
  <c r="AZ10" i="11"/>
  <c r="AZ9" i="1"/>
  <c r="AV9" i="6"/>
  <c r="AS9" i="10"/>
  <c r="AI10" i="20"/>
  <c r="AI9" i="24"/>
  <c r="AL9" i="25"/>
  <c r="AN9" i="27"/>
  <c r="AU9" i="32"/>
  <c r="AN8" i="2"/>
  <c r="AD8" i="8"/>
  <c r="AU9" i="7"/>
  <c r="Y8" i="16"/>
  <c r="AB9" i="3"/>
  <c r="AN9" i="11"/>
  <c r="AN8" i="1"/>
  <c r="AJ8" i="6"/>
  <c r="AG8" i="10"/>
  <c r="W9" i="20"/>
  <c r="W8" i="24"/>
  <c r="Z8" i="25"/>
  <c r="AB8" i="27"/>
  <c r="Z8" i="27"/>
  <c r="AI8" i="32"/>
  <c r="AN9" i="2"/>
  <c r="AD9" i="8"/>
  <c r="AU10" i="7"/>
  <c r="AS10" i="7"/>
  <c r="Y9" i="16"/>
  <c r="AB10" i="3"/>
  <c r="AN10" i="11"/>
  <c r="AN9" i="1"/>
  <c r="AJ9" i="6"/>
  <c r="AG9" i="10"/>
  <c r="W10" i="20"/>
  <c r="U10" i="20"/>
  <c r="W9" i="24"/>
  <c r="Z9" i="25"/>
  <c r="AB9" i="27"/>
  <c r="AI9" i="32"/>
  <c r="AO6" i="2"/>
  <c r="AE6" i="8"/>
  <c r="AV7" i="7"/>
  <c r="Z6" i="16"/>
  <c r="AC7" i="3"/>
  <c r="AO7" i="11"/>
  <c r="AO6" i="1"/>
  <c r="AK6" i="6"/>
  <c r="AH6" i="10"/>
  <c r="X7" i="20"/>
  <c r="X6" i="24"/>
  <c r="AA6" i="25"/>
  <c r="AC6" i="27"/>
  <c r="AJ6" i="32"/>
  <c r="AO7" i="2"/>
  <c r="AE7" i="8"/>
  <c r="AV8" i="7"/>
  <c r="Z7" i="16"/>
  <c r="AC8" i="3"/>
  <c r="AO8" i="11"/>
  <c r="AO7" i="1"/>
  <c r="AK7" i="6"/>
  <c r="AH7" i="10"/>
  <c r="X8" i="20"/>
  <c r="X7" i="24"/>
  <c r="AA7" i="25"/>
  <c r="AC7" i="27"/>
  <c r="AJ7" i="32"/>
  <c r="AP6" i="2"/>
  <c r="AF6" i="8"/>
  <c r="AA6" i="16"/>
  <c r="AD7" i="3"/>
  <c r="AP7" i="11"/>
  <c r="AP6" i="1"/>
  <c r="AL6" i="6"/>
  <c r="AI6" i="10"/>
  <c r="Y7" i="20"/>
  <c r="Y6" i="24"/>
  <c r="AB6" i="25"/>
  <c r="AD6" i="27"/>
  <c r="AK6" i="32"/>
  <c r="AP7" i="2"/>
  <c r="AF7" i="8"/>
  <c r="AW8" i="7"/>
  <c r="AA7" i="16"/>
  <c r="AD8" i="3"/>
  <c r="AP8" i="11"/>
  <c r="AP7" i="1"/>
  <c r="AL7" i="6"/>
  <c r="AI7" i="10"/>
  <c r="Y8" i="20"/>
  <c r="Y7" i="24"/>
  <c r="AB7" i="25"/>
  <c r="AD7" i="27"/>
  <c r="AB37" i="32"/>
  <c r="AB38" i="32"/>
  <c r="AB39" i="32"/>
  <c r="AB40" i="32"/>
  <c r="AB11" i="32"/>
  <c r="AB12" i="32"/>
  <c r="AB13" i="32"/>
  <c r="AB15" i="32"/>
  <c r="AB17" i="32"/>
  <c r="AB18" i="32"/>
  <c r="AB19" i="32"/>
  <c r="AB20" i="32"/>
  <c r="AB21" i="32"/>
  <c r="AB22" i="32"/>
  <c r="AB23" i="32"/>
  <c r="AB24" i="32"/>
  <c r="AB25" i="32"/>
  <c r="AB26" i="32"/>
  <c r="AB27" i="32"/>
  <c r="AB30" i="32"/>
  <c r="AB31" i="32"/>
  <c r="AB32" i="32"/>
  <c r="AB33" i="32"/>
  <c r="AB34" i="32"/>
  <c r="AB35" i="32"/>
  <c r="AB41" i="32"/>
  <c r="AB42" i="32"/>
  <c r="AB43" i="32"/>
  <c r="AB44" i="32"/>
  <c r="AB45" i="32"/>
  <c r="AB46" i="32"/>
  <c r="AB47" i="32"/>
  <c r="AB48" i="32"/>
  <c r="AB49" i="32"/>
  <c r="AB50" i="32"/>
  <c r="AB51" i="32"/>
  <c r="AB52" i="32"/>
  <c r="AB53" i="32"/>
  <c r="AB54" i="32"/>
  <c r="AB55" i="32"/>
  <c r="AB56" i="32"/>
  <c r="AB57" i="32"/>
  <c r="AB58" i="32"/>
  <c r="AB59" i="32"/>
  <c r="AB60" i="32"/>
  <c r="AB61" i="32"/>
  <c r="AB62" i="32"/>
  <c r="AB63" i="32"/>
  <c r="AB65" i="32"/>
  <c r="AB67" i="32"/>
  <c r="AB68" i="32"/>
  <c r="AB69" i="32"/>
  <c r="AB70" i="32"/>
  <c r="AB71" i="32"/>
  <c r="AB72" i="32"/>
  <c r="AB73" i="32"/>
  <c r="AB75" i="32"/>
  <c r="AB77" i="32"/>
  <c r="AB80" i="32"/>
  <c r="AB81" i="32"/>
  <c r="AB82" i="32"/>
  <c r="AB83" i="32"/>
  <c r="AB84" i="32"/>
  <c r="AB85" i="32"/>
  <c r="AB86" i="32"/>
  <c r="AB87" i="32"/>
  <c r="AB88" i="32"/>
  <c r="AB89" i="32"/>
  <c r="AB92" i="32"/>
  <c r="AB95" i="32"/>
  <c r="AB97" i="32"/>
  <c r="AB99" i="32"/>
  <c r="AK7" i="32"/>
  <c r="AQ6" i="2"/>
  <c r="AG6" i="8"/>
  <c r="AX7" i="7"/>
  <c r="AB6" i="16"/>
  <c r="AE7" i="3"/>
  <c r="AQ7" i="11"/>
  <c r="AQ6" i="1"/>
  <c r="AM6" i="6"/>
  <c r="AJ6" i="10"/>
  <c r="Z7" i="20"/>
  <c r="Z6" i="24"/>
  <c r="AC6" i="25"/>
  <c r="AE6" i="27"/>
  <c r="AL6" i="32"/>
  <c r="AQ7" i="2"/>
  <c r="AG7" i="8"/>
  <c r="AX8" i="7"/>
  <c r="AB7" i="16"/>
  <c r="AE8" i="3"/>
  <c r="AQ8" i="11"/>
  <c r="AQ7" i="1"/>
  <c r="AM7" i="6"/>
  <c r="AJ7" i="10"/>
  <c r="Z8" i="20"/>
  <c r="Z7" i="24"/>
  <c r="AC7" i="25"/>
  <c r="AE7" i="27"/>
  <c r="AL7" i="32"/>
  <c r="AR6" i="2"/>
  <c r="AH6" i="8"/>
  <c r="AC6" i="16"/>
  <c r="AF7" i="3"/>
  <c r="AR7" i="11"/>
  <c r="AR6" i="1"/>
  <c r="AN6" i="6"/>
  <c r="AK6" i="10"/>
  <c r="AA7" i="20"/>
  <c r="AA6" i="24"/>
  <c r="AD6" i="25"/>
  <c r="AF6" i="27"/>
  <c r="AM6" i="32"/>
  <c r="AR7" i="2"/>
  <c r="AH7" i="8"/>
  <c r="AY8" i="7"/>
  <c r="AC7" i="16"/>
  <c r="AF8" i="3"/>
  <c r="AR8" i="11"/>
  <c r="AR7" i="1"/>
  <c r="AN7" i="6"/>
  <c r="AK7" i="10"/>
  <c r="AA8" i="20"/>
  <c r="AA7" i="24"/>
  <c r="AD7" i="25"/>
  <c r="AF7" i="27"/>
  <c r="AM7" i="32"/>
  <c r="AS6" i="2"/>
  <c r="AI6" i="8"/>
  <c r="AZ7" i="7"/>
  <c r="AD6" i="16"/>
  <c r="AG7" i="3"/>
  <c r="AS7" i="11"/>
  <c r="AS6" i="1"/>
  <c r="AO6" i="6"/>
  <c r="AL6" i="10"/>
  <c r="AB7" i="20"/>
  <c r="AB6" i="24"/>
  <c r="AE6" i="25"/>
  <c r="AG6" i="27"/>
  <c r="AN6" i="32"/>
  <c r="AS7" i="2"/>
  <c r="AI7" i="8"/>
  <c r="AZ8" i="7"/>
  <c r="AD7" i="16"/>
  <c r="AG8" i="3"/>
  <c r="AS8" i="11"/>
  <c r="AS7" i="1"/>
  <c r="AO7" i="6"/>
  <c r="AL7" i="10"/>
  <c r="AB8" i="20"/>
  <c r="AB7" i="24"/>
  <c r="AE7" i="25"/>
  <c r="AG7" i="27"/>
  <c r="AN7" i="32"/>
  <c r="AT6" i="2"/>
  <c r="AJ6" i="8"/>
  <c r="BA7" i="7"/>
  <c r="AE6" i="16"/>
  <c r="AH7" i="3"/>
  <c r="AT7" i="11"/>
  <c r="AT6" i="1"/>
  <c r="AP6" i="6"/>
  <c r="AM6" i="10"/>
  <c r="AC7" i="20"/>
  <c r="AC6" i="24"/>
  <c r="AF6" i="25"/>
  <c r="AH6" i="27"/>
  <c r="AO6" i="32"/>
  <c r="AT7" i="2"/>
  <c r="AJ7" i="8"/>
  <c r="BA8" i="7"/>
  <c r="AE7" i="16"/>
  <c r="AH8" i="3"/>
  <c r="AT8" i="11"/>
  <c r="AT7" i="1"/>
  <c r="AP7" i="6"/>
  <c r="AM7" i="10"/>
  <c r="AC8" i="20"/>
  <c r="AC7" i="24"/>
  <c r="AF7" i="25"/>
  <c r="AH7" i="27"/>
  <c r="AO7" i="32"/>
  <c r="AU6" i="2"/>
  <c r="AK6" i="8"/>
  <c r="BB7" i="7"/>
  <c r="AF6" i="16"/>
  <c r="AI7" i="3"/>
  <c r="AU7" i="11"/>
  <c r="AU6" i="1"/>
  <c r="AQ6" i="6"/>
  <c r="AN6" i="10"/>
  <c r="AD7" i="20"/>
  <c r="AD6" i="24"/>
  <c r="AG6" i="25"/>
  <c r="AI6" i="27"/>
  <c r="AP6" i="32"/>
  <c r="AU7" i="2"/>
  <c r="AK7" i="8"/>
  <c r="BB8" i="7"/>
  <c r="AF7" i="16"/>
  <c r="AI8" i="3"/>
  <c r="AU8" i="11"/>
  <c r="AU7" i="1"/>
  <c r="AQ7" i="6"/>
  <c r="AN7" i="10"/>
  <c r="AD8" i="20"/>
  <c r="AD7" i="24"/>
  <c r="AG7" i="25"/>
  <c r="AI7" i="27"/>
  <c r="AP7" i="32"/>
  <c r="AV6" i="2"/>
  <c r="AL6" i="8"/>
  <c r="BC7" i="7"/>
  <c r="AG6" i="16"/>
  <c r="AJ7" i="3"/>
  <c r="AV7" i="11"/>
  <c r="AV6" i="1"/>
  <c r="AR6" i="6"/>
  <c r="AO6" i="10"/>
  <c r="AE7" i="20"/>
  <c r="AE6" i="24"/>
  <c r="AH6" i="25"/>
  <c r="AJ6" i="27"/>
  <c r="AQ6" i="32"/>
  <c r="AV7" i="2"/>
  <c r="AL7" i="8"/>
  <c r="BC8" i="7"/>
  <c r="AG7" i="16"/>
  <c r="AJ8" i="3"/>
  <c r="AV8" i="11"/>
  <c r="AV7" i="1"/>
  <c r="AR7" i="6"/>
  <c r="AO7" i="10"/>
  <c r="AE8" i="20"/>
  <c r="AE7" i="24"/>
  <c r="AH7" i="25"/>
  <c r="AJ7" i="27"/>
  <c r="AQ7" i="32"/>
  <c r="AW6" i="2"/>
  <c r="AM6" i="8"/>
  <c r="BD7" i="7"/>
  <c r="AH6" i="16"/>
  <c r="AK7" i="3"/>
  <c r="AW7" i="11"/>
  <c r="AW6" i="1"/>
  <c r="AS6" i="6"/>
  <c r="AP6" i="10"/>
  <c r="AF7" i="20"/>
  <c r="AF6" i="24"/>
  <c r="AI6" i="25"/>
  <c r="AK6" i="27"/>
  <c r="AR6" i="32"/>
  <c r="AW7" i="2"/>
  <c r="AM7" i="8"/>
  <c r="BD8" i="7"/>
  <c r="AH7" i="16"/>
  <c r="AK8" i="3"/>
  <c r="AW8" i="11"/>
  <c r="AW7" i="1"/>
  <c r="AS7" i="6"/>
  <c r="AP7" i="10"/>
  <c r="AF8" i="20"/>
  <c r="AF7" i="24"/>
  <c r="AI7" i="25"/>
  <c r="AK7" i="27"/>
  <c r="AR7" i="32"/>
  <c r="AX6" i="2"/>
  <c r="AN6" i="8"/>
  <c r="BE7" i="7"/>
  <c r="AI6" i="16"/>
  <c r="AL7" i="3"/>
  <c r="AX7" i="11"/>
  <c r="AX6" i="1"/>
  <c r="AT6" i="6"/>
  <c r="AQ6" i="10"/>
  <c r="AG7" i="20"/>
  <c r="AG6" i="24"/>
  <c r="AJ6" i="25"/>
  <c r="AL6" i="27"/>
  <c r="AS6" i="32"/>
  <c r="AX7" i="2"/>
  <c r="AN7" i="8"/>
  <c r="BE8" i="7"/>
  <c r="AI7" i="16"/>
  <c r="AL8" i="3"/>
  <c r="AX8" i="11"/>
  <c r="AX7" i="1"/>
  <c r="AT7" i="6"/>
  <c r="AQ7" i="10"/>
  <c r="AG8" i="20"/>
  <c r="AG7" i="24"/>
  <c r="AJ7" i="25"/>
  <c r="AL7" i="27"/>
  <c r="AS7" i="32"/>
  <c r="AY6" i="2"/>
  <c r="AO6" i="8"/>
  <c r="BF7" i="7"/>
  <c r="AJ6" i="16"/>
  <c r="AM7" i="3"/>
  <c r="AY7" i="11"/>
  <c r="AY6" i="1"/>
  <c r="AU6" i="6"/>
  <c r="AR6" i="10"/>
  <c r="AH7" i="20"/>
  <c r="AH6" i="24"/>
  <c r="AK6" i="25"/>
  <c r="AM6" i="27"/>
  <c r="AT6" i="32"/>
  <c r="AY7" i="2"/>
  <c r="AO7" i="8"/>
  <c r="BF8" i="7"/>
  <c r="AJ7" i="16"/>
  <c r="AM8" i="3"/>
  <c r="AY8" i="11"/>
  <c r="AY7" i="1"/>
  <c r="AU7" i="6"/>
  <c r="AR7" i="10"/>
  <c r="AH8" i="20"/>
  <c r="AH7" i="24"/>
  <c r="AK7" i="25"/>
  <c r="AM7" i="27"/>
  <c r="AT7" i="32"/>
  <c r="AZ6" i="2"/>
  <c r="AP6" i="8"/>
  <c r="BG7" i="7"/>
  <c r="AK6" i="16"/>
  <c r="AN7" i="3"/>
  <c r="AZ7" i="11"/>
  <c r="AZ6" i="1"/>
  <c r="AV6" i="6"/>
  <c r="AS6" i="10"/>
  <c r="AI7" i="20"/>
  <c r="AI6" i="24"/>
  <c r="AL6" i="25"/>
  <c r="AN6" i="27"/>
  <c r="AU6" i="32"/>
  <c r="AZ7" i="2"/>
  <c r="AP7" i="8"/>
  <c r="BG8" i="7"/>
  <c r="AK7" i="16"/>
  <c r="AN8" i="3"/>
  <c r="AZ8" i="11"/>
  <c r="AZ7" i="1"/>
  <c r="AV7" i="6"/>
  <c r="AS7" i="10"/>
  <c r="AI8" i="20"/>
  <c r="AI7" i="24"/>
  <c r="AL7" i="25"/>
  <c r="AN7" i="27"/>
  <c r="AU7" i="32"/>
  <c r="AN6" i="2"/>
  <c r="AD6" i="8"/>
  <c r="Y6" i="16"/>
  <c r="AB7" i="3"/>
  <c r="AN7" i="11"/>
  <c r="AN6" i="1"/>
  <c r="AJ6" i="6"/>
  <c r="AG6" i="10"/>
  <c r="W7" i="20"/>
  <c r="AJ7" i="20"/>
  <c r="W6" i="24"/>
  <c r="Z6" i="25"/>
  <c r="AB6" i="27"/>
  <c r="AO6" i="27"/>
  <c r="AI6" i="32"/>
  <c r="AN7" i="2"/>
  <c r="AD7" i="8"/>
  <c r="AU8" i="7"/>
  <c r="Y7" i="16"/>
  <c r="AB8" i="3"/>
  <c r="AN8" i="11"/>
  <c r="AN7" i="1"/>
  <c r="AJ7" i="6"/>
  <c r="AG7" i="10"/>
  <c r="W8" i="20"/>
  <c r="W7" i="24"/>
  <c r="Z7" i="25"/>
  <c r="AB7" i="27"/>
  <c r="AI7" i="32"/>
  <c r="AL6" i="2"/>
  <c r="AB6" i="8"/>
  <c r="AS7" i="7"/>
  <c r="W6" i="16"/>
  <c r="Z7" i="3"/>
  <c r="AL7" i="11"/>
  <c r="AL6" i="1"/>
  <c r="AH6" i="6"/>
  <c r="AE6" i="10"/>
  <c r="U7" i="20"/>
  <c r="U6" i="24"/>
  <c r="X6" i="25"/>
  <c r="Z6" i="27"/>
  <c r="AG6" i="32"/>
  <c r="AL7" i="2"/>
  <c r="AB7" i="8"/>
  <c r="AS8" i="7"/>
  <c r="W7" i="16"/>
  <c r="Z8" i="3"/>
  <c r="AL8" i="11"/>
  <c r="AL7" i="1"/>
  <c r="AH7" i="6"/>
  <c r="AE7" i="10"/>
  <c r="U8" i="20"/>
  <c r="U7" i="24"/>
  <c r="X7" i="25"/>
  <c r="Z7" i="27"/>
  <c r="AG7" i="32"/>
  <c r="AH6" i="32"/>
  <c r="AH7" i="32"/>
  <c r="AG9" i="32"/>
  <c r="AG8" i="32"/>
  <c r="W144" i="33"/>
  <c r="W143" i="33"/>
  <c r="AB145" i="33"/>
  <c r="V143" i="33"/>
  <c r="U143" i="33"/>
  <c r="T143" i="33"/>
  <c r="S143" i="33"/>
  <c r="R143" i="33"/>
  <c r="Q143" i="33"/>
  <c r="P143" i="33"/>
  <c r="O143" i="33"/>
  <c r="N143" i="33"/>
  <c r="M143" i="33"/>
  <c r="L143" i="33"/>
  <c r="K143" i="33"/>
  <c r="J143" i="33"/>
  <c r="I143" i="33"/>
  <c r="H143" i="33"/>
  <c r="W141" i="33"/>
  <c r="W140" i="33"/>
  <c r="AB142" i="33"/>
  <c r="V140" i="33"/>
  <c r="U140" i="33"/>
  <c r="T140" i="33"/>
  <c r="S140" i="33"/>
  <c r="R140" i="33"/>
  <c r="Q140" i="33"/>
  <c r="P140" i="33"/>
  <c r="O140" i="33"/>
  <c r="N140" i="33"/>
  <c r="M140" i="33"/>
  <c r="L140" i="33"/>
  <c r="K140" i="33"/>
  <c r="J140" i="33"/>
  <c r="I140" i="33"/>
  <c r="H140" i="33"/>
  <c r="A81" i="32"/>
  <c r="A82" i="32"/>
  <c r="A83" i="32"/>
  <c r="A84" i="32"/>
  <c r="A85" i="32"/>
  <c r="A86" i="32"/>
  <c r="A87" i="32"/>
  <c r="A88" i="32"/>
  <c r="A89" i="32"/>
  <c r="A115" i="34"/>
  <c r="A116" i="34"/>
  <c r="A117" i="34"/>
  <c r="A118" i="34"/>
  <c r="A119" i="34"/>
  <c r="A120" i="34"/>
  <c r="A121" i="34"/>
  <c r="A122" i="34"/>
  <c r="A123" i="34"/>
  <c r="W10" i="32"/>
  <c r="A12" i="32"/>
  <c r="J11" i="32"/>
  <c r="W69" i="33"/>
  <c r="J70" i="33"/>
  <c r="J70" i="34"/>
  <c r="AB123" i="34"/>
  <c r="AB122" i="34"/>
  <c r="AB118" i="34"/>
  <c r="AB117" i="34"/>
  <c r="AB116" i="34"/>
  <c r="AB114" i="34"/>
  <c r="AB112" i="34"/>
  <c r="AB111" i="34"/>
  <c r="AB110" i="34"/>
  <c r="AB109" i="34"/>
  <c r="AB108" i="34"/>
  <c r="AB107" i="34"/>
  <c r="AB106" i="34"/>
  <c r="AB105" i="34"/>
  <c r="AB104" i="34"/>
  <c r="AB102" i="34"/>
  <c r="V100" i="34"/>
  <c r="U100" i="34"/>
  <c r="T100" i="34"/>
  <c r="S100" i="34"/>
  <c r="R100" i="34"/>
  <c r="Q100" i="34"/>
  <c r="P100" i="34"/>
  <c r="O100" i="34"/>
  <c r="N100" i="34"/>
  <c r="M100" i="34"/>
  <c r="L100" i="34"/>
  <c r="K100" i="34"/>
  <c r="J100" i="34"/>
  <c r="I100" i="34"/>
  <c r="H100" i="34"/>
  <c r="AB99" i="34"/>
  <c r="V97" i="34"/>
  <c r="U97" i="34"/>
  <c r="T97" i="34"/>
  <c r="S97" i="34"/>
  <c r="R97" i="34"/>
  <c r="Q97" i="34"/>
  <c r="P97" i="34"/>
  <c r="O97" i="34"/>
  <c r="N97" i="34"/>
  <c r="M97" i="34"/>
  <c r="L97" i="34"/>
  <c r="K97" i="34"/>
  <c r="J97" i="34"/>
  <c r="I97" i="34"/>
  <c r="H97" i="34"/>
  <c r="AB96" i="34"/>
  <c r="V94" i="34"/>
  <c r="U94" i="34"/>
  <c r="T94" i="34"/>
  <c r="S94" i="34"/>
  <c r="R94" i="34"/>
  <c r="Q94" i="34"/>
  <c r="P94" i="34"/>
  <c r="O94" i="34"/>
  <c r="N94" i="34"/>
  <c r="M94" i="34"/>
  <c r="L94" i="34"/>
  <c r="K94" i="34"/>
  <c r="J94" i="34"/>
  <c r="I94" i="34"/>
  <c r="H94" i="34"/>
  <c r="AB93" i="34"/>
  <c r="V91" i="34"/>
  <c r="U91" i="34"/>
  <c r="T91" i="34"/>
  <c r="S91" i="34"/>
  <c r="R91" i="34"/>
  <c r="Q91" i="34"/>
  <c r="P91" i="34"/>
  <c r="O91" i="34"/>
  <c r="N91" i="34"/>
  <c r="M91" i="34"/>
  <c r="L91" i="34"/>
  <c r="K91" i="34"/>
  <c r="J91" i="34"/>
  <c r="I91" i="34"/>
  <c r="H91" i="34"/>
  <c r="AB90" i="34"/>
  <c r="AB89" i="34"/>
  <c r="V87" i="34"/>
  <c r="U87" i="34"/>
  <c r="U84" i="34"/>
  <c r="T87" i="34"/>
  <c r="T84" i="34"/>
  <c r="S87" i="34"/>
  <c r="S84" i="34"/>
  <c r="R87" i="34"/>
  <c r="R84" i="34"/>
  <c r="Q87" i="34"/>
  <c r="Q84" i="34"/>
  <c r="P87" i="34"/>
  <c r="P84" i="34"/>
  <c r="O87" i="34"/>
  <c r="O84" i="34"/>
  <c r="N87" i="34"/>
  <c r="N84" i="34"/>
  <c r="M87" i="34"/>
  <c r="M84" i="34"/>
  <c r="L87" i="34"/>
  <c r="L84" i="34"/>
  <c r="K87" i="34"/>
  <c r="K84" i="34"/>
  <c r="J87" i="34"/>
  <c r="J84" i="34"/>
  <c r="I87" i="34"/>
  <c r="I84" i="34"/>
  <c r="H87" i="34"/>
  <c r="H84" i="34"/>
  <c r="AB86" i="34"/>
  <c r="V86" i="34"/>
  <c r="AB85" i="34"/>
  <c r="V85" i="34"/>
  <c r="V83" i="34"/>
  <c r="U83" i="34"/>
  <c r="U73" i="34"/>
  <c r="T83" i="34"/>
  <c r="T73" i="34"/>
  <c r="S83" i="34"/>
  <c r="S73" i="34"/>
  <c r="R83" i="34"/>
  <c r="Q83" i="34"/>
  <c r="Q73" i="34"/>
  <c r="P83" i="34"/>
  <c r="P73" i="34"/>
  <c r="O83" i="34"/>
  <c r="O73" i="34"/>
  <c r="N83" i="34"/>
  <c r="N73" i="34"/>
  <c r="M83" i="34"/>
  <c r="M73" i="34"/>
  <c r="L83" i="34"/>
  <c r="L73" i="34"/>
  <c r="K83" i="34"/>
  <c r="K73" i="34"/>
  <c r="J83" i="34"/>
  <c r="J73" i="34"/>
  <c r="I83" i="34"/>
  <c r="I73" i="34"/>
  <c r="H83" i="34"/>
  <c r="AB82" i="34"/>
  <c r="V82" i="34"/>
  <c r="AB81" i="34"/>
  <c r="R81" i="34"/>
  <c r="H81" i="34"/>
  <c r="AB80" i="34"/>
  <c r="R80" i="34"/>
  <c r="H80" i="34"/>
  <c r="AB79" i="34"/>
  <c r="R79" i="34"/>
  <c r="H79" i="34"/>
  <c r="AB78" i="34"/>
  <c r="R78" i="34"/>
  <c r="H78" i="34"/>
  <c r="AB77" i="34"/>
  <c r="R77" i="34"/>
  <c r="H77" i="34"/>
  <c r="AB76" i="34"/>
  <c r="R76" i="34"/>
  <c r="H76" i="34"/>
  <c r="AB75" i="34"/>
  <c r="R75" i="34"/>
  <c r="H75" i="34"/>
  <c r="A75" i="34"/>
  <c r="A76" i="34"/>
  <c r="A77" i="34"/>
  <c r="A78" i="34"/>
  <c r="A79" i="34"/>
  <c r="A80" i="34"/>
  <c r="A81" i="34"/>
  <c r="A82" i="34"/>
  <c r="AB74" i="34"/>
  <c r="R74" i="34"/>
  <c r="H74" i="34"/>
  <c r="V72" i="34"/>
  <c r="U72" i="34"/>
  <c r="T72" i="34"/>
  <c r="S72" i="34"/>
  <c r="R72" i="34"/>
  <c r="Q72" i="34"/>
  <c r="P72" i="34"/>
  <c r="O72" i="34"/>
  <c r="N72" i="34"/>
  <c r="M72" i="34"/>
  <c r="L72" i="34"/>
  <c r="K72" i="34"/>
  <c r="J72" i="34"/>
  <c r="I72" i="34"/>
  <c r="H72" i="34"/>
  <c r="AB71" i="34"/>
  <c r="V68" i="34"/>
  <c r="U68" i="34"/>
  <c r="T68" i="34"/>
  <c r="S68" i="34"/>
  <c r="R68" i="34"/>
  <c r="Q68" i="34"/>
  <c r="P68" i="34"/>
  <c r="O68" i="34"/>
  <c r="N68" i="34"/>
  <c r="M68" i="34"/>
  <c r="L68" i="34"/>
  <c r="K68" i="34"/>
  <c r="J68" i="34"/>
  <c r="I68" i="34"/>
  <c r="H68" i="34"/>
  <c r="AB67" i="34"/>
  <c r="H67" i="34"/>
  <c r="V67" i="34"/>
  <c r="V66" i="34"/>
  <c r="U66" i="34"/>
  <c r="T66" i="34"/>
  <c r="S66" i="34"/>
  <c r="R66" i="34"/>
  <c r="Q66" i="34"/>
  <c r="P66" i="34"/>
  <c r="O66" i="34"/>
  <c r="N66" i="34"/>
  <c r="M66" i="34"/>
  <c r="L66" i="34"/>
  <c r="K66" i="34"/>
  <c r="J66" i="34"/>
  <c r="I66" i="34"/>
  <c r="V65" i="34"/>
  <c r="U65" i="34"/>
  <c r="T65" i="34"/>
  <c r="S65" i="34"/>
  <c r="R65" i="34"/>
  <c r="Q65" i="34"/>
  <c r="P65" i="34"/>
  <c r="O65" i="34"/>
  <c r="N65" i="34"/>
  <c r="M65" i="34"/>
  <c r="L65" i="34"/>
  <c r="K65" i="34"/>
  <c r="J65" i="34"/>
  <c r="I65" i="34"/>
  <c r="H65" i="34"/>
  <c r="AB64" i="34"/>
  <c r="V62" i="34"/>
  <c r="U62" i="34"/>
  <c r="T62" i="34"/>
  <c r="S62" i="34"/>
  <c r="R62" i="34"/>
  <c r="Q62" i="34"/>
  <c r="P62" i="34"/>
  <c r="O62" i="34"/>
  <c r="N62" i="34"/>
  <c r="M62" i="34"/>
  <c r="L62" i="34"/>
  <c r="K62" i="34"/>
  <c r="J62" i="34"/>
  <c r="I62" i="34"/>
  <c r="H62" i="34"/>
  <c r="AB61" i="34"/>
  <c r="AB60" i="34"/>
  <c r="V58" i="34"/>
  <c r="U58" i="34"/>
  <c r="T58" i="34"/>
  <c r="S58" i="34"/>
  <c r="R58" i="34"/>
  <c r="Q58" i="34"/>
  <c r="P58" i="34"/>
  <c r="O58" i="34"/>
  <c r="N58" i="34"/>
  <c r="M58" i="34"/>
  <c r="L58" i="34"/>
  <c r="K58" i="34"/>
  <c r="J58" i="34"/>
  <c r="I58" i="34"/>
  <c r="H58" i="34"/>
  <c r="AB57" i="34"/>
  <c r="V55" i="34"/>
  <c r="U55" i="34"/>
  <c r="T55" i="34"/>
  <c r="S55" i="34"/>
  <c r="R55" i="34"/>
  <c r="Q55" i="34"/>
  <c r="P55" i="34"/>
  <c r="O55" i="34"/>
  <c r="N55" i="34"/>
  <c r="M55" i="34"/>
  <c r="L55" i="34"/>
  <c r="K55" i="34"/>
  <c r="J55" i="34"/>
  <c r="I55" i="34"/>
  <c r="H55" i="34"/>
  <c r="AB54" i="34"/>
  <c r="AB53" i="34"/>
  <c r="AB51" i="34"/>
  <c r="AB50" i="34"/>
  <c r="AB49" i="34"/>
  <c r="AB46" i="34"/>
  <c r="V44" i="34"/>
  <c r="U44" i="34"/>
  <c r="T44" i="34"/>
  <c r="S44" i="34"/>
  <c r="R44" i="34"/>
  <c r="Q44" i="34"/>
  <c r="P44" i="34"/>
  <c r="O44" i="34"/>
  <c r="N44" i="34"/>
  <c r="M44" i="34"/>
  <c r="L44" i="34"/>
  <c r="K44" i="34"/>
  <c r="J44" i="34"/>
  <c r="I44" i="34"/>
  <c r="H44" i="34"/>
  <c r="AB43" i="34"/>
  <c r="AB42" i="34"/>
  <c r="AB41" i="34"/>
  <c r="AB39" i="34"/>
  <c r="AB38" i="34"/>
  <c r="AB37" i="34"/>
  <c r="AB36" i="34"/>
  <c r="AB35" i="34"/>
  <c r="AB33" i="34"/>
  <c r="AB32" i="34"/>
  <c r="AB31" i="34"/>
  <c r="AB30" i="34"/>
  <c r="V30" i="34"/>
  <c r="AB29" i="34"/>
  <c r="V29" i="34"/>
  <c r="V27" i="34"/>
  <c r="U27" i="34"/>
  <c r="T27" i="34"/>
  <c r="S27" i="34"/>
  <c r="R27" i="34"/>
  <c r="Q27" i="34"/>
  <c r="P27" i="34"/>
  <c r="O27" i="34"/>
  <c r="N27" i="34"/>
  <c r="M27" i="34"/>
  <c r="L27" i="34"/>
  <c r="K27" i="34"/>
  <c r="J27" i="34"/>
  <c r="I27" i="34"/>
  <c r="H27" i="34"/>
  <c r="AB26" i="34"/>
  <c r="AB24" i="34"/>
  <c r="AB23" i="34"/>
  <c r="AB22" i="34"/>
  <c r="AB20" i="34"/>
  <c r="AB19" i="34"/>
  <c r="V17" i="34"/>
  <c r="U17" i="34"/>
  <c r="T17" i="34"/>
  <c r="S17" i="34"/>
  <c r="R17" i="34"/>
  <c r="Q17" i="34"/>
  <c r="P17" i="34"/>
  <c r="O17" i="34"/>
  <c r="N17" i="34"/>
  <c r="M17" i="34"/>
  <c r="L17" i="34"/>
  <c r="K17" i="34"/>
  <c r="J17" i="34"/>
  <c r="I17" i="34"/>
  <c r="H17" i="34"/>
  <c r="AB16" i="34"/>
  <c r="V14" i="34"/>
  <c r="U14" i="34"/>
  <c r="T14" i="34"/>
  <c r="S14" i="34"/>
  <c r="R14" i="34"/>
  <c r="Q14" i="34"/>
  <c r="P14" i="34"/>
  <c r="O14" i="34"/>
  <c r="N14" i="34"/>
  <c r="M14" i="34"/>
  <c r="L14" i="34"/>
  <c r="K14" i="34"/>
  <c r="J14" i="34"/>
  <c r="I14" i="34"/>
  <c r="H14" i="34"/>
  <c r="AB13" i="34"/>
  <c r="AB11" i="34"/>
  <c r="V9" i="34"/>
  <c r="U9" i="34"/>
  <c r="T9" i="34"/>
  <c r="S9" i="34"/>
  <c r="R9" i="34"/>
  <c r="Q9" i="34"/>
  <c r="P9" i="34"/>
  <c r="O9" i="34"/>
  <c r="N9" i="34"/>
  <c r="M9" i="34"/>
  <c r="L9" i="34"/>
  <c r="K9" i="34"/>
  <c r="J9" i="34"/>
  <c r="I9" i="34"/>
  <c r="H9" i="34"/>
  <c r="AU7" i="34"/>
  <c r="AT7" i="34"/>
  <c r="AS7" i="34"/>
  <c r="AR7" i="34"/>
  <c r="AQ7" i="34"/>
  <c r="AP7" i="34"/>
  <c r="AO7" i="34"/>
  <c r="AN7" i="34"/>
  <c r="AM7" i="34"/>
  <c r="AL7" i="34"/>
  <c r="AK7" i="34"/>
  <c r="AJ7" i="34"/>
  <c r="AI7" i="34"/>
  <c r="AH7" i="34"/>
  <c r="AG7" i="34"/>
  <c r="AE7" i="34"/>
  <c r="AD7" i="34"/>
  <c r="AC7" i="34"/>
  <c r="AU6" i="34"/>
  <c r="AT6" i="34"/>
  <c r="AS6" i="34"/>
  <c r="AR6" i="34"/>
  <c r="AQ6" i="34"/>
  <c r="AP6" i="34"/>
  <c r="AO6" i="34"/>
  <c r="AN6" i="34"/>
  <c r="AV6" i="34"/>
  <c r="AM6" i="34"/>
  <c r="AL6" i="34"/>
  <c r="AK6" i="34"/>
  <c r="AJ6" i="34"/>
  <c r="AI6" i="34"/>
  <c r="AH6" i="34"/>
  <c r="AG6" i="34"/>
  <c r="A3" i="34"/>
  <c r="A3" i="35" s="1"/>
  <c r="A3" i="36" s="1"/>
  <c r="A3" i="37" s="1"/>
  <c r="W47" i="33"/>
  <c r="AB46" i="33"/>
  <c r="AB139" i="33"/>
  <c r="AB138" i="33"/>
  <c r="AB135" i="33"/>
  <c r="AB134" i="33"/>
  <c r="AB133" i="33"/>
  <c r="AB60" i="33"/>
  <c r="AB54" i="33"/>
  <c r="AB53" i="33"/>
  <c r="AB51" i="33"/>
  <c r="AB50" i="33"/>
  <c r="AB43" i="33"/>
  <c r="AB42" i="33"/>
  <c r="AB39" i="33"/>
  <c r="AB38" i="33"/>
  <c r="AB37" i="33"/>
  <c r="AB36" i="33"/>
  <c r="AB33" i="33"/>
  <c r="AB32" i="33"/>
  <c r="AB31" i="33"/>
  <c r="AB30" i="33"/>
  <c r="AB29" i="33"/>
  <c r="AB24" i="33"/>
  <c r="AB23" i="33"/>
  <c r="AB20" i="33"/>
  <c r="AB19" i="33"/>
  <c r="W21" i="33"/>
  <c r="W18" i="33"/>
  <c r="W25" i="33"/>
  <c r="W17" i="33"/>
  <c r="W131" i="33"/>
  <c r="W130" i="33"/>
  <c r="W137" i="33"/>
  <c r="W136" i="33"/>
  <c r="W15" i="33"/>
  <c r="W14" i="33"/>
  <c r="W10" i="33"/>
  <c r="W12" i="33"/>
  <c r="W9" i="33"/>
  <c r="W73" i="33"/>
  <c r="W72" i="33"/>
  <c r="W84" i="33"/>
  <c r="W83" i="33"/>
  <c r="W59" i="33"/>
  <c r="W58" i="33"/>
  <c r="W40" i="33"/>
  <c r="W34" i="33"/>
  <c r="W28" i="33"/>
  <c r="V136" i="33"/>
  <c r="U136" i="33"/>
  <c r="T136" i="33"/>
  <c r="S136" i="33"/>
  <c r="R136" i="33"/>
  <c r="Q136" i="33"/>
  <c r="P136" i="33"/>
  <c r="O136" i="33"/>
  <c r="N136" i="33"/>
  <c r="M136" i="33"/>
  <c r="L136" i="33"/>
  <c r="K136" i="33"/>
  <c r="J136" i="33"/>
  <c r="I136" i="33"/>
  <c r="H136" i="33"/>
  <c r="AB132" i="33"/>
  <c r="V130" i="33"/>
  <c r="U130" i="33"/>
  <c r="T130" i="33"/>
  <c r="S130" i="33"/>
  <c r="R130" i="33"/>
  <c r="Q130" i="33"/>
  <c r="P130" i="33"/>
  <c r="O130" i="33"/>
  <c r="N130" i="33"/>
  <c r="M130" i="33"/>
  <c r="L130" i="33"/>
  <c r="K130" i="33"/>
  <c r="J130" i="33"/>
  <c r="I130" i="33"/>
  <c r="H130" i="33"/>
  <c r="AB64" i="33"/>
  <c r="W63" i="33"/>
  <c r="W62" i="33"/>
  <c r="V62" i="33"/>
  <c r="U62" i="33"/>
  <c r="T62" i="33"/>
  <c r="S62" i="33"/>
  <c r="R62" i="33"/>
  <c r="Q62" i="33"/>
  <c r="P62" i="33"/>
  <c r="O62" i="33"/>
  <c r="N62" i="33"/>
  <c r="M62" i="33"/>
  <c r="L62" i="33"/>
  <c r="K62" i="33"/>
  <c r="J62" i="33"/>
  <c r="I62" i="33"/>
  <c r="H62" i="33"/>
  <c r="AB61" i="33"/>
  <c r="V58" i="33"/>
  <c r="U58" i="33"/>
  <c r="T58" i="33"/>
  <c r="S58" i="33"/>
  <c r="R58" i="33"/>
  <c r="Q58" i="33"/>
  <c r="P58" i="33"/>
  <c r="O58" i="33"/>
  <c r="N58" i="33"/>
  <c r="M58" i="33"/>
  <c r="L58" i="33"/>
  <c r="K58" i="33"/>
  <c r="J58" i="33"/>
  <c r="I58" i="33"/>
  <c r="H58" i="33"/>
  <c r="AB57" i="33"/>
  <c r="W56" i="33"/>
  <c r="W55" i="33"/>
  <c r="V55" i="33"/>
  <c r="U55" i="33"/>
  <c r="T55" i="33"/>
  <c r="S55" i="33"/>
  <c r="R55" i="33"/>
  <c r="Q55" i="33"/>
  <c r="P55" i="33"/>
  <c r="O55" i="33"/>
  <c r="N55" i="33"/>
  <c r="M55" i="33"/>
  <c r="L55" i="33"/>
  <c r="K55" i="33"/>
  <c r="J55" i="33"/>
  <c r="I55" i="33"/>
  <c r="H55" i="33"/>
  <c r="W52" i="33"/>
  <c r="AB49" i="33"/>
  <c r="W45" i="33"/>
  <c r="V44" i="33"/>
  <c r="U44" i="33"/>
  <c r="T44" i="33"/>
  <c r="S44" i="33"/>
  <c r="R44" i="33"/>
  <c r="Q44" i="33"/>
  <c r="P44" i="33"/>
  <c r="O44" i="33"/>
  <c r="N44" i="33"/>
  <c r="M44" i="33"/>
  <c r="L44" i="33"/>
  <c r="K44" i="33"/>
  <c r="J44" i="33"/>
  <c r="I44" i="33"/>
  <c r="H44" i="33"/>
  <c r="AB41" i="33"/>
  <c r="V30" i="33"/>
  <c r="V29" i="33"/>
  <c r="AB35" i="33"/>
  <c r="V27" i="33"/>
  <c r="U27" i="33"/>
  <c r="T27" i="33"/>
  <c r="S27" i="33"/>
  <c r="R27" i="33"/>
  <c r="Q27" i="33"/>
  <c r="P27" i="33"/>
  <c r="O27" i="33"/>
  <c r="N27" i="33"/>
  <c r="M27" i="33"/>
  <c r="L27" i="33"/>
  <c r="K27" i="33"/>
  <c r="J27" i="33"/>
  <c r="I27" i="33"/>
  <c r="H27" i="33"/>
  <c r="AB26" i="33"/>
  <c r="AB22" i="33"/>
  <c r="V17" i="33"/>
  <c r="U17" i="33"/>
  <c r="T17" i="33"/>
  <c r="S17" i="33"/>
  <c r="R17" i="33"/>
  <c r="Q17" i="33"/>
  <c r="P17" i="33"/>
  <c r="O17" i="33"/>
  <c r="N17" i="33"/>
  <c r="M17" i="33"/>
  <c r="L17" i="33"/>
  <c r="K17" i="33"/>
  <c r="J17" i="33"/>
  <c r="I17" i="33"/>
  <c r="H17" i="33"/>
  <c r="V127" i="33"/>
  <c r="U127" i="33"/>
  <c r="T127" i="33"/>
  <c r="S127" i="33"/>
  <c r="R127" i="33"/>
  <c r="Q127" i="33"/>
  <c r="P127" i="33"/>
  <c r="O127" i="33"/>
  <c r="N127" i="33"/>
  <c r="M127" i="33"/>
  <c r="L127" i="33"/>
  <c r="K127" i="33"/>
  <c r="J127" i="33"/>
  <c r="I127" i="33"/>
  <c r="H127" i="33"/>
  <c r="V124" i="33"/>
  <c r="U124" i="33"/>
  <c r="T124" i="33"/>
  <c r="S124" i="33"/>
  <c r="R124" i="33"/>
  <c r="Q124" i="33"/>
  <c r="P124" i="33"/>
  <c r="O124" i="33"/>
  <c r="N124" i="33"/>
  <c r="M124" i="33"/>
  <c r="L124" i="33"/>
  <c r="K124" i="33"/>
  <c r="J124" i="33"/>
  <c r="I124" i="33"/>
  <c r="H124" i="33"/>
  <c r="V121" i="33"/>
  <c r="U121" i="33"/>
  <c r="T121" i="33"/>
  <c r="S121" i="33"/>
  <c r="R121" i="33"/>
  <c r="Q121" i="33"/>
  <c r="P121" i="33"/>
  <c r="O121" i="33"/>
  <c r="N121" i="33"/>
  <c r="M121" i="33"/>
  <c r="L121" i="33"/>
  <c r="K121" i="33"/>
  <c r="J121" i="33"/>
  <c r="I121" i="33"/>
  <c r="H121" i="33"/>
  <c r="V118" i="33"/>
  <c r="U118" i="33"/>
  <c r="T118" i="33"/>
  <c r="S118" i="33"/>
  <c r="R118" i="33"/>
  <c r="Q118" i="33"/>
  <c r="P118" i="33"/>
  <c r="O118" i="33"/>
  <c r="N118" i="33"/>
  <c r="M118" i="33"/>
  <c r="L118" i="33"/>
  <c r="K118" i="33"/>
  <c r="J118" i="33"/>
  <c r="I118" i="33"/>
  <c r="H118" i="33"/>
  <c r="V115" i="33"/>
  <c r="U115" i="33"/>
  <c r="T115" i="33"/>
  <c r="S115" i="33"/>
  <c r="R115" i="33"/>
  <c r="Q115" i="33"/>
  <c r="P115" i="33"/>
  <c r="O115" i="33"/>
  <c r="N115" i="33"/>
  <c r="M115" i="33"/>
  <c r="L115" i="33"/>
  <c r="K115" i="33"/>
  <c r="J115" i="33"/>
  <c r="I115" i="33"/>
  <c r="H115" i="33"/>
  <c r="V112" i="33"/>
  <c r="U112" i="33"/>
  <c r="T112" i="33"/>
  <c r="S112" i="33"/>
  <c r="R112" i="33"/>
  <c r="Q112" i="33"/>
  <c r="P112" i="33"/>
  <c r="O112" i="33"/>
  <c r="N112" i="33"/>
  <c r="M112" i="33"/>
  <c r="L112" i="33"/>
  <c r="K112" i="33"/>
  <c r="J112" i="33"/>
  <c r="I112" i="33"/>
  <c r="H112" i="33"/>
  <c r="V109" i="33"/>
  <c r="U109" i="33"/>
  <c r="T109" i="33"/>
  <c r="S109" i="33"/>
  <c r="R109" i="33"/>
  <c r="Q109" i="33"/>
  <c r="P109" i="33"/>
  <c r="O109" i="33"/>
  <c r="N109" i="33"/>
  <c r="M109" i="33"/>
  <c r="L109" i="33"/>
  <c r="K109" i="33"/>
  <c r="J109" i="33"/>
  <c r="I109" i="33"/>
  <c r="H109" i="33"/>
  <c r="V106" i="33"/>
  <c r="U106" i="33"/>
  <c r="T106" i="33"/>
  <c r="S106" i="33"/>
  <c r="R106" i="33"/>
  <c r="Q106" i="33"/>
  <c r="P106" i="33"/>
  <c r="O106" i="33"/>
  <c r="N106" i="33"/>
  <c r="M106" i="33"/>
  <c r="L106" i="33"/>
  <c r="K106" i="33"/>
  <c r="J106" i="33"/>
  <c r="I106" i="33"/>
  <c r="H106" i="33"/>
  <c r="V103" i="33"/>
  <c r="U103" i="33"/>
  <c r="T103" i="33"/>
  <c r="S103" i="33"/>
  <c r="R103" i="33"/>
  <c r="Q103" i="33"/>
  <c r="P103" i="33"/>
  <c r="O103" i="33"/>
  <c r="N103" i="33"/>
  <c r="M103" i="33"/>
  <c r="L103" i="33"/>
  <c r="K103" i="33"/>
  <c r="J103" i="33"/>
  <c r="I103" i="33"/>
  <c r="H103" i="33"/>
  <c r="W128" i="33"/>
  <c r="W127" i="33"/>
  <c r="W125" i="33"/>
  <c r="W124" i="33"/>
  <c r="W122" i="33"/>
  <c r="W121" i="33"/>
  <c r="W119" i="33"/>
  <c r="W118" i="33"/>
  <c r="W116" i="33"/>
  <c r="W115" i="33"/>
  <c r="W113" i="33"/>
  <c r="W112" i="33"/>
  <c r="W110" i="33"/>
  <c r="W109" i="33"/>
  <c r="W107" i="33"/>
  <c r="W106" i="33"/>
  <c r="W104" i="33"/>
  <c r="W103" i="33"/>
  <c r="AB129" i="33"/>
  <c r="AB126" i="33"/>
  <c r="AB123" i="33"/>
  <c r="AB120" i="33"/>
  <c r="AB117" i="33"/>
  <c r="AB114" i="33"/>
  <c r="AB111" i="33"/>
  <c r="AB108" i="33"/>
  <c r="AB105" i="33"/>
  <c r="W92" i="33"/>
  <c r="W91" i="33"/>
  <c r="W98" i="33"/>
  <c r="W97" i="33"/>
  <c r="AB13" i="33"/>
  <c r="V94" i="33"/>
  <c r="U94" i="33"/>
  <c r="T94" i="33"/>
  <c r="S94" i="33"/>
  <c r="R94" i="33"/>
  <c r="Q94" i="33"/>
  <c r="P94" i="33"/>
  <c r="O94" i="33"/>
  <c r="N94" i="33"/>
  <c r="M94" i="33"/>
  <c r="L94" i="33"/>
  <c r="K94" i="33"/>
  <c r="J94" i="33"/>
  <c r="I94" i="33"/>
  <c r="H94" i="33"/>
  <c r="V91" i="33"/>
  <c r="U91" i="33"/>
  <c r="T91" i="33"/>
  <c r="S91" i="33"/>
  <c r="R91" i="33"/>
  <c r="Q91" i="33"/>
  <c r="P91" i="33"/>
  <c r="O91" i="33"/>
  <c r="N91" i="33"/>
  <c r="M91" i="33"/>
  <c r="L91" i="33"/>
  <c r="K91" i="33"/>
  <c r="J91" i="33"/>
  <c r="I91" i="33"/>
  <c r="H91" i="33"/>
  <c r="AB96" i="33"/>
  <c r="W95" i="33"/>
  <c r="W94" i="33"/>
  <c r="AB93" i="33"/>
  <c r="W101" i="33"/>
  <c r="W100" i="33"/>
  <c r="V100" i="33"/>
  <c r="U100" i="33"/>
  <c r="T100" i="33"/>
  <c r="S100" i="33"/>
  <c r="R100" i="33"/>
  <c r="Q100" i="33"/>
  <c r="P100" i="33"/>
  <c r="O100" i="33"/>
  <c r="N100" i="33"/>
  <c r="M100" i="33"/>
  <c r="L100" i="33"/>
  <c r="K100" i="33"/>
  <c r="J100" i="33"/>
  <c r="I100" i="33"/>
  <c r="H100" i="33"/>
  <c r="AB102" i="33"/>
  <c r="V97" i="33"/>
  <c r="U97" i="33"/>
  <c r="T97" i="33"/>
  <c r="S97" i="33"/>
  <c r="R97" i="33"/>
  <c r="Q97" i="33"/>
  <c r="P97" i="33"/>
  <c r="O97" i="33"/>
  <c r="N97" i="33"/>
  <c r="M97" i="33"/>
  <c r="L97" i="33"/>
  <c r="K97" i="33"/>
  <c r="J97" i="33"/>
  <c r="I97" i="33"/>
  <c r="H97" i="33"/>
  <c r="AB99" i="33"/>
  <c r="W88" i="33"/>
  <c r="W87" i="33"/>
  <c r="AB90" i="33"/>
  <c r="V87" i="33"/>
  <c r="U87" i="33"/>
  <c r="U84" i="33"/>
  <c r="T87" i="33"/>
  <c r="T84" i="33"/>
  <c r="S87" i="33"/>
  <c r="S84" i="33"/>
  <c r="R87" i="33"/>
  <c r="R84" i="33"/>
  <c r="Q87" i="33"/>
  <c r="Q84" i="33"/>
  <c r="P87" i="33"/>
  <c r="P84" i="33"/>
  <c r="O87" i="33"/>
  <c r="O84" i="33"/>
  <c r="N87" i="33"/>
  <c r="N84" i="33"/>
  <c r="M87" i="33"/>
  <c r="M84" i="33"/>
  <c r="L87" i="33"/>
  <c r="L84" i="33"/>
  <c r="K87" i="33"/>
  <c r="K84" i="33"/>
  <c r="J87" i="33"/>
  <c r="J84" i="33"/>
  <c r="I87" i="33"/>
  <c r="I84" i="33"/>
  <c r="H87" i="33"/>
  <c r="H84" i="33"/>
  <c r="AB89" i="33"/>
  <c r="V83" i="33"/>
  <c r="U83" i="33"/>
  <c r="T83" i="33"/>
  <c r="T73" i="33"/>
  <c r="S83" i="33"/>
  <c r="R83" i="33"/>
  <c r="Q83" i="33"/>
  <c r="P83" i="33"/>
  <c r="O83" i="33"/>
  <c r="N83" i="33"/>
  <c r="M83" i="33"/>
  <c r="M73" i="33"/>
  <c r="L83" i="33"/>
  <c r="K83" i="33"/>
  <c r="K73" i="33"/>
  <c r="J83" i="33"/>
  <c r="J73" i="33"/>
  <c r="I83" i="33"/>
  <c r="H83" i="33"/>
  <c r="AB86" i="33"/>
  <c r="V86" i="33"/>
  <c r="AB85" i="33"/>
  <c r="V85" i="33"/>
  <c r="V72" i="33"/>
  <c r="U72" i="33"/>
  <c r="T72" i="33"/>
  <c r="S72" i="33"/>
  <c r="R72" i="33"/>
  <c r="Q72" i="33"/>
  <c r="P72" i="33"/>
  <c r="O72" i="33"/>
  <c r="N72" i="33"/>
  <c r="M72" i="33"/>
  <c r="L72" i="33"/>
  <c r="K72" i="33"/>
  <c r="J72" i="33"/>
  <c r="I72" i="33"/>
  <c r="H72" i="33"/>
  <c r="AB82" i="33"/>
  <c r="V82" i="33"/>
  <c r="AB81" i="33"/>
  <c r="R81" i="33"/>
  <c r="H81" i="33"/>
  <c r="AB80" i="33"/>
  <c r="R80" i="33"/>
  <c r="H80" i="33"/>
  <c r="AB79" i="33"/>
  <c r="R79" i="33"/>
  <c r="H79" i="33"/>
  <c r="AB78" i="33"/>
  <c r="R78" i="33"/>
  <c r="H78" i="33"/>
  <c r="AB77" i="33"/>
  <c r="R77" i="33"/>
  <c r="H77" i="33"/>
  <c r="AB76" i="33"/>
  <c r="R76" i="33"/>
  <c r="H76" i="33"/>
  <c r="AB75" i="33"/>
  <c r="R75" i="33"/>
  <c r="H75" i="33"/>
  <c r="A75" i="33"/>
  <c r="A76" i="33"/>
  <c r="A77" i="33"/>
  <c r="A78" i="33"/>
  <c r="A79" i="33"/>
  <c r="A80" i="33"/>
  <c r="A81" i="33"/>
  <c r="A82" i="33"/>
  <c r="AB74" i="33"/>
  <c r="R74" i="33"/>
  <c r="H74" i="33"/>
  <c r="V14" i="33"/>
  <c r="U14" i="33"/>
  <c r="T14" i="33"/>
  <c r="S14" i="33"/>
  <c r="R14" i="33"/>
  <c r="Q14" i="33"/>
  <c r="P14" i="33"/>
  <c r="O14" i="33"/>
  <c r="N14" i="33"/>
  <c r="M14" i="33"/>
  <c r="L14" i="33"/>
  <c r="K14" i="33"/>
  <c r="J14" i="33"/>
  <c r="I14" i="33"/>
  <c r="H14" i="33"/>
  <c r="AB16" i="33"/>
  <c r="V9" i="33"/>
  <c r="U9" i="33"/>
  <c r="T9" i="33"/>
  <c r="S9" i="33"/>
  <c r="R9" i="33"/>
  <c r="Q9" i="33"/>
  <c r="P9" i="33"/>
  <c r="O9" i="33"/>
  <c r="N9" i="33"/>
  <c r="M9" i="33"/>
  <c r="L9" i="33"/>
  <c r="K9" i="33"/>
  <c r="J9" i="33"/>
  <c r="I9" i="33"/>
  <c r="H9" i="33"/>
  <c r="AB11" i="33"/>
  <c r="W68" i="33"/>
  <c r="V68" i="33"/>
  <c r="U68" i="33"/>
  <c r="T68" i="33"/>
  <c r="S68" i="33"/>
  <c r="R68" i="33"/>
  <c r="Q68" i="33"/>
  <c r="P68" i="33"/>
  <c r="O68" i="33"/>
  <c r="N68" i="33"/>
  <c r="M68" i="33"/>
  <c r="L68" i="33"/>
  <c r="K68" i="33"/>
  <c r="J68" i="33"/>
  <c r="I68" i="33"/>
  <c r="H68" i="33"/>
  <c r="AB71" i="33"/>
  <c r="AB67" i="33"/>
  <c r="H67" i="33"/>
  <c r="H66" i="33"/>
  <c r="W66" i="33"/>
  <c r="W65" i="33"/>
  <c r="U66" i="33"/>
  <c r="T66" i="33"/>
  <c r="S66" i="33"/>
  <c r="R66" i="33"/>
  <c r="Q66" i="33"/>
  <c r="P66" i="33"/>
  <c r="O66" i="33"/>
  <c r="N66" i="33"/>
  <c r="M66" i="33"/>
  <c r="L66" i="33"/>
  <c r="K66" i="33"/>
  <c r="J66" i="33"/>
  <c r="I66" i="33"/>
  <c r="V65" i="33"/>
  <c r="U65" i="33"/>
  <c r="T65" i="33"/>
  <c r="S65" i="33"/>
  <c r="R65" i="33"/>
  <c r="Q65" i="33"/>
  <c r="P65" i="33"/>
  <c r="O65" i="33"/>
  <c r="N65" i="33"/>
  <c r="M65" i="33"/>
  <c r="L65" i="33"/>
  <c r="K65" i="33"/>
  <c r="J65" i="33"/>
  <c r="I65" i="33"/>
  <c r="H65" i="33"/>
  <c r="W27" i="33"/>
  <c r="W44" i="33"/>
  <c r="W8" i="33"/>
  <c r="V77" i="34"/>
  <c r="V73" i="34"/>
  <c r="V81" i="34"/>
  <c r="V84" i="34"/>
  <c r="AV7" i="34"/>
  <c r="H66" i="34"/>
  <c r="V80" i="34"/>
  <c r="V75" i="34"/>
  <c r="V79" i="34"/>
  <c r="V76" i="34"/>
  <c r="H73" i="34"/>
  <c r="R73" i="34"/>
  <c r="V78" i="34"/>
  <c r="V74" i="34"/>
  <c r="V84" i="33"/>
  <c r="P73" i="33"/>
  <c r="Q73" i="33"/>
  <c r="S73" i="33"/>
  <c r="I73" i="33"/>
  <c r="U73" i="33"/>
  <c r="O73" i="33"/>
  <c r="V76" i="33"/>
  <c r="V80" i="33"/>
  <c r="L73" i="33"/>
  <c r="N73" i="33"/>
  <c r="R73" i="33"/>
  <c r="V79" i="33"/>
  <c r="V74" i="33"/>
  <c r="V77" i="33"/>
  <c r="V81" i="33"/>
  <c r="V78" i="33"/>
  <c r="V75" i="33"/>
  <c r="H73" i="33"/>
  <c r="V67" i="33"/>
  <c r="V66" i="33"/>
  <c r="V73" i="33"/>
  <c r="AS7" i="33"/>
  <c r="AU7" i="33"/>
  <c r="AT7" i="33"/>
  <c r="AR7" i="33"/>
  <c r="AQ7" i="33"/>
  <c r="AP7" i="33"/>
  <c r="AO7" i="33"/>
  <c r="AN7" i="33"/>
  <c r="AM7" i="33"/>
  <c r="AL7" i="33"/>
  <c r="AK7" i="33"/>
  <c r="AJ7" i="33"/>
  <c r="AI7" i="33"/>
  <c r="AG7" i="33"/>
  <c r="AE7" i="33"/>
  <c r="AD7" i="33"/>
  <c r="AC7" i="33"/>
  <c r="AU6" i="33"/>
  <c r="AT6" i="33"/>
  <c r="AS6" i="33"/>
  <c r="AR6" i="33"/>
  <c r="AQ6" i="33"/>
  <c r="AP6" i="33"/>
  <c r="AO6" i="33"/>
  <c r="AN6" i="33"/>
  <c r="AM6" i="33"/>
  <c r="AL6" i="33"/>
  <c r="AK6" i="33"/>
  <c r="AJ6" i="33"/>
  <c r="AI6" i="33"/>
  <c r="AH6" i="33"/>
  <c r="AG6" i="33"/>
  <c r="A3" i="33"/>
  <c r="D84" i="31"/>
  <c r="H84" i="31" s="1"/>
  <c r="D53" i="31"/>
  <c r="H53" i="31" s="1"/>
  <c r="D42" i="31"/>
  <c r="W76" i="32"/>
  <c r="W74" i="32"/>
  <c r="W66" i="32"/>
  <c r="W64" i="32"/>
  <c r="W36" i="32"/>
  <c r="W29" i="32"/>
  <c r="W28" i="32"/>
  <c r="X128" i="11"/>
  <c r="W128" i="11"/>
  <c r="V128" i="11"/>
  <c r="U128" i="11"/>
  <c r="T128" i="11"/>
  <c r="S128" i="11"/>
  <c r="R128" i="11"/>
  <c r="Q128" i="11"/>
  <c r="P128" i="11"/>
  <c r="O128" i="11"/>
  <c r="N128" i="11"/>
  <c r="M128" i="11"/>
  <c r="L128" i="11"/>
  <c r="K128" i="11"/>
  <c r="J128" i="11"/>
  <c r="AH7" i="33"/>
  <c r="AV6" i="33"/>
  <c r="AV7" i="33"/>
  <c r="AE111" i="7"/>
  <c r="AD111" i="7"/>
  <c r="D15" i="31"/>
  <c r="H15" i="31" s="1"/>
  <c r="U69" i="2"/>
  <c r="Q69" i="2"/>
  <c r="W69" i="2"/>
  <c r="V69" i="2"/>
  <c r="L69" i="2"/>
  <c r="R69" i="2"/>
  <c r="N69" i="2"/>
  <c r="P69" i="2"/>
  <c r="S69" i="2"/>
  <c r="K69" i="2"/>
  <c r="O69" i="2"/>
  <c r="M69" i="2"/>
  <c r="T69" i="2"/>
  <c r="X69" i="2"/>
  <c r="J69" i="2"/>
  <c r="W79" i="32"/>
  <c r="W78" i="32"/>
  <c r="W16" i="32"/>
  <c r="C71" i="31"/>
  <c r="C68" i="31"/>
  <c r="C64" i="31"/>
  <c r="C61" i="31"/>
  <c r="C58" i="31"/>
  <c r="C38" i="31"/>
  <c r="C33" i="31"/>
  <c r="C29" i="31"/>
  <c r="C26" i="31"/>
  <c r="C23" i="31"/>
  <c r="C21" i="31"/>
  <c r="C20" i="31"/>
  <c r="C16" i="31"/>
  <c r="AB8" i="8"/>
  <c r="AB9" i="8"/>
  <c r="AT7" i="10"/>
  <c r="AT6" i="10"/>
  <c r="AW7" i="6"/>
  <c r="AL9" i="11"/>
  <c r="AL10" i="11"/>
  <c r="AE8" i="10"/>
  <c r="AE9" i="10"/>
  <c r="AH8" i="6"/>
  <c r="AL8" i="1"/>
  <c r="AL9" i="1"/>
  <c r="AS9" i="7"/>
  <c r="A38" i="32"/>
  <c r="A39" i="32"/>
  <c r="A40" i="32"/>
  <c r="A41" i="32"/>
  <c r="A42" i="32"/>
  <c r="A43" i="32"/>
  <c r="A44" i="32"/>
  <c r="A45" i="32"/>
  <c r="W91" i="32"/>
  <c r="W90" i="32"/>
  <c r="W94" i="32"/>
  <c r="W96" i="32"/>
  <c r="W98" i="32"/>
  <c r="W14" i="32"/>
  <c r="W9" i="32"/>
  <c r="A68" i="32"/>
  <c r="A69" i="32"/>
  <c r="A70" i="32"/>
  <c r="A71" i="32"/>
  <c r="A72" i="32"/>
  <c r="A73" i="32"/>
  <c r="A31" i="32"/>
  <c r="A32" i="32"/>
  <c r="A33" i="32"/>
  <c r="A34" i="32"/>
  <c r="A35" i="32"/>
  <c r="A18" i="32"/>
  <c r="A19" i="32"/>
  <c r="A20" i="32"/>
  <c r="A21" i="32"/>
  <c r="A22" i="32"/>
  <c r="A23" i="32"/>
  <c r="A24" i="32"/>
  <c r="A25" i="32"/>
  <c r="A26" i="32"/>
  <c r="A27" i="32"/>
  <c r="V27" i="32"/>
  <c r="V26" i="32"/>
  <c r="V25" i="32"/>
  <c r="H24" i="32"/>
  <c r="R24" i="32"/>
  <c r="H23" i="32"/>
  <c r="R23" i="32"/>
  <c r="H22" i="32"/>
  <c r="R22" i="32"/>
  <c r="H21" i="32"/>
  <c r="R21" i="32"/>
  <c r="H20" i="32"/>
  <c r="R20" i="32"/>
  <c r="H19" i="32"/>
  <c r="R19" i="32"/>
  <c r="H18" i="32"/>
  <c r="R18" i="32"/>
  <c r="H17" i="32"/>
  <c r="R17" i="32"/>
  <c r="U16" i="32"/>
  <c r="T16" i="32"/>
  <c r="S16" i="32"/>
  <c r="Q16" i="32"/>
  <c r="P16" i="32"/>
  <c r="O16" i="32"/>
  <c r="N16" i="32"/>
  <c r="M16" i="32"/>
  <c r="L16" i="32"/>
  <c r="K16" i="32"/>
  <c r="J16" i="32"/>
  <c r="I16" i="32"/>
  <c r="H15" i="32"/>
  <c r="H14" i="32"/>
  <c r="U14" i="32"/>
  <c r="T14" i="32"/>
  <c r="S14" i="32"/>
  <c r="R14" i="32"/>
  <c r="Q14" i="32"/>
  <c r="P14" i="32"/>
  <c r="O14" i="32"/>
  <c r="N14" i="32"/>
  <c r="M14" i="32"/>
  <c r="L14" i="32"/>
  <c r="K14" i="32"/>
  <c r="J14" i="32"/>
  <c r="I14" i="32"/>
  <c r="V13" i="32"/>
  <c r="A13" i="32"/>
  <c r="V12" i="32"/>
  <c r="U10" i="32"/>
  <c r="T10" i="32"/>
  <c r="S10" i="32"/>
  <c r="R10" i="32"/>
  <c r="Q10" i="32"/>
  <c r="P10" i="32"/>
  <c r="O10" i="32"/>
  <c r="N10" i="32"/>
  <c r="M10" i="32"/>
  <c r="L10" i="32"/>
  <c r="K10" i="32"/>
  <c r="J10" i="32"/>
  <c r="I10" i="32"/>
  <c r="H10" i="32"/>
  <c r="V9" i="32"/>
  <c r="U9" i="32"/>
  <c r="T9" i="32"/>
  <c r="S9" i="32"/>
  <c r="R9" i="32"/>
  <c r="Q9" i="32"/>
  <c r="P9" i="32"/>
  <c r="O9" i="32"/>
  <c r="N9" i="32"/>
  <c r="M9" i="32"/>
  <c r="L9" i="32"/>
  <c r="K9" i="32"/>
  <c r="J9" i="32"/>
  <c r="I9" i="32"/>
  <c r="H9" i="32"/>
  <c r="AE7" i="32"/>
  <c r="AD7" i="32"/>
  <c r="AC7" i="32"/>
  <c r="A3" i="32"/>
  <c r="C82" i="31"/>
  <c r="C79" i="31"/>
  <c r="D77" i="31"/>
  <c r="D75" i="31"/>
  <c r="H75" i="31" s="1"/>
  <c r="D55" i="31"/>
  <c r="H55" i="31" s="1"/>
  <c r="D37" i="31"/>
  <c r="D27" i="31"/>
  <c r="D11" i="31"/>
  <c r="D9" i="31"/>
  <c r="H9" i="31" s="1"/>
  <c r="C50" i="31"/>
  <c r="C47" i="31"/>
  <c r="H18" i="1"/>
  <c r="C43" i="31"/>
  <c r="C12" i="31"/>
  <c r="C10" i="31"/>
  <c r="C7" i="31"/>
  <c r="X48" i="2"/>
  <c r="X47" i="2"/>
  <c r="K26" i="3"/>
  <c r="I18" i="1"/>
  <c r="K18" i="1"/>
  <c r="L18" i="1"/>
  <c r="M18" i="1"/>
  <c r="N18" i="1"/>
  <c r="O18" i="1"/>
  <c r="P18" i="1"/>
  <c r="Q18" i="1"/>
  <c r="R18" i="1"/>
  <c r="S18" i="1"/>
  <c r="U18" i="1"/>
  <c r="V18" i="1"/>
  <c r="W18" i="1"/>
  <c r="T19" i="1"/>
  <c r="T22" i="1"/>
  <c r="T18" i="1"/>
  <c r="T11" i="1"/>
  <c r="T12" i="1"/>
  <c r="T13" i="1"/>
  <c r="T16" i="1"/>
  <c r="T10" i="1"/>
  <c r="T9" i="1"/>
  <c r="T24" i="1"/>
  <c r="T23" i="1"/>
  <c r="T8" i="1"/>
  <c r="J19" i="1"/>
  <c r="J22" i="1"/>
  <c r="J18" i="1"/>
  <c r="A20" i="1"/>
  <c r="I19" i="30"/>
  <c r="I12" i="30"/>
  <c r="D41" i="31"/>
  <c r="H41" i="31" s="1"/>
  <c r="D25" i="31"/>
  <c r="H25" i="31" s="1"/>
  <c r="K27" i="11"/>
  <c r="L27" i="11"/>
  <c r="M27" i="11"/>
  <c r="N27" i="11"/>
  <c r="O27" i="11"/>
  <c r="P27" i="11"/>
  <c r="Q27" i="11"/>
  <c r="R27" i="11"/>
  <c r="S27" i="11"/>
  <c r="U27" i="11"/>
  <c r="V27" i="11"/>
  <c r="W27" i="11"/>
  <c r="H27" i="11"/>
  <c r="J47" i="2"/>
  <c r="K47" i="2"/>
  <c r="L47" i="2"/>
  <c r="M47" i="2"/>
  <c r="N47" i="2"/>
  <c r="O47" i="2"/>
  <c r="P47" i="2"/>
  <c r="Q47" i="2"/>
  <c r="R47" i="2"/>
  <c r="S47" i="2"/>
  <c r="T47" i="2"/>
  <c r="U47" i="2"/>
  <c r="V47" i="2"/>
  <c r="W47" i="2"/>
  <c r="H47" i="2"/>
  <c r="I48" i="2"/>
  <c r="I47" i="2"/>
  <c r="T17" i="11"/>
  <c r="K17" i="11"/>
  <c r="J17" i="11"/>
  <c r="T16" i="11"/>
  <c r="K16" i="11"/>
  <c r="J16" i="11"/>
  <c r="T15" i="11"/>
  <c r="K15" i="11"/>
  <c r="J15" i="11"/>
  <c r="T14" i="11"/>
  <c r="K14" i="11"/>
  <c r="J14" i="11"/>
  <c r="T13" i="11"/>
  <c r="K13" i="11"/>
  <c r="J13" i="11"/>
  <c r="X13" i="11"/>
  <c r="T12" i="11"/>
  <c r="K12" i="11"/>
  <c r="J12" i="11"/>
  <c r="T11" i="11"/>
  <c r="K11" i="11"/>
  <c r="J11" i="11"/>
  <c r="T10" i="11"/>
  <c r="K10" i="11"/>
  <c r="J10" i="11"/>
  <c r="X10" i="11"/>
  <c r="W9" i="11"/>
  <c r="V9" i="11"/>
  <c r="U9" i="11"/>
  <c r="S9" i="11"/>
  <c r="R9" i="11"/>
  <c r="Q9" i="11"/>
  <c r="P9" i="11"/>
  <c r="O9" i="11"/>
  <c r="N9" i="11"/>
  <c r="M9" i="11"/>
  <c r="L9" i="11"/>
  <c r="I9" i="11"/>
  <c r="H9" i="11"/>
  <c r="K20" i="25"/>
  <c r="M20" i="25"/>
  <c r="M19" i="25"/>
  <c r="M18" i="25"/>
  <c r="D76" i="31"/>
  <c r="L19" i="25"/>
  <c r="L18" i="25"/>
  <c r="J19" i="25"/>
  <c r="I19" i="25"/>
  <c r="I18" i="25"/>
  <c r="J18" i="25"/>
  <c r="H123" i="7"/>
  <c r="I58" i="11"/>
  <c r="K58" i="11"/>
  <c r="L58" i="11"/>
  <c r="M58" i="11"/>
  <c r="N58" i="11"/>
  <c r="O58" i="11"/>
  <c r="P58" i="11"/>
  <c r="Q58" i="11"/>
  <c r="R58" i="11"/>
  <c r="S58" i="11"/>
  <c r="U58" i="11"/>
  <c r="V58" i="11"/>
  <c r="W58" i="11"/>
  <c r="H58" i="11"/>
  <c r="T9" i="29"/>
  <c r="T8" i="29"/>
  <c r="I11" i="20"/>
  <c r="I48" i="11"/>
  <c r="I47" i="11"/>
  <c r="I46" i="11"/>
  <c r="I45" i="11"/>
  <c r="I41" i="11"/>
  <c r="I32" i="11"/>
  <c r="I29" i="11"/>
  <c r="I10" i="1"/>
  <c r="I9" i="1"/>
  <c r="L10" i="1"/>
  <c r="M10" i="1"/>
  <c r="M9" i="1"/>
  <c r="M24" i="1"/>
  <c r="M23" i="1"/>
  <c r="M8" i="1"/>
  <c r="N10" i="1"/>
  <c r="O10" i="1"/>
  <c r="P10" i="1"/>
  <c r="Q10" i="1"/>
  <c r="Q9" i="1"/>
  <c r="R10" i="1"/>
  <c r="S10" i="1"/>
  <c r="U10" i="1"/>
  <c r="U9" i="1"/>
  <c r="V10" i="1"/>
  <c r="W10" i="1"/>
  <c r="H10" i="1"/>
  <c r="H9" i="1"/>
  <c r="I24" i="1"/>
  <c r="I23" i="1"/>
  <c r="L24" i="1"/>
  <c r="L23" i="1"/>
  <c r="N24" i="1"/>
  <c r="N23" i="1"/>
  <c r="O24" i="1"/>
  <c r="O23" i="1"/>
  <c r="P24" i="1"/>
  <c r="P23" i="1"/>
  <c r="Q24" i="1"/>
  <c r="Q23" i="1"/>
  <c r="R24" i="1"/>
  <c r="R23" i="1"/>
  <c r="S24" i="1"/>
  <c r="S23" i="1"/>
  <c r="U24" i="1"/>
  <c r="U23" i="1"/>
  <c r="V24" i="1"/>
  <c r="V23" i="1"/>
  <c r="W24" i="1"/>
  <c r="W23" i="1"/>
  <c r="H24" i="1"/>
  <c r="H23" i="1"/>
  <c r="A26" i="1"/>
  <c r="A21" i="1"/>
  <c r="A22" i="1"/>
  <c r="A12" i="1"/>
  <c r="A13" i="1"/>
  <c r="A14" i="1"/>
  <c r="A15" i="1"/>
  <c r="A16" i="1"/>
  <c r="A17" i="1"/>
  <c r="A56" i="2"/>
  <c r="A57" i="2"/>
  <c r="A32" i="2"/>
  <c r="A33" i="2"/>
  <c r="P9" i="1"/>
  <c r="L9" i="1"/>
  <c r="S9" i="1"/>
  <c r="O9" i="1"/>
  <c r="W9" i="1"/>
  <c r="R9" i="1"/>
  <c r="N9" i="1"/>
  <c r="V9" i="1"/>
  <c r="J28" i="11"/>
  <c r="A111" i="11"/>
  <c r="H64" i="7"/>
  <c r="AH50" i="7"/>
  <c r="AJ50" i="7"/>
  <c r="AF50" i="7"/>
  <c r="AF49" i="7"/>
  <c r="AE49" i="7"/>
  <c r="AD49" i="7"/>
  <c r="AF48" i="7"/>
  <c r="AE48" i="7"/>
  <c r="AD48" i="7"/>
  <c r="AH47" i="7"/>
  <c r="AI47" i="7"/>
  <c r="AF47" i="7"/>
  <c r="AF46" i="7"/>
  <c r="AE46" i="7"/>
  <c r="AD46" i="7"/>
  <c r="AF45" i="7"/>
  <c r="AF44" i="7"/>
  <c r="AE45" i="7"/>
  <c r="AE44" i="7"/>
  <c r="AD45" i="7"/>
  <c r="AD44" i="7"/>
  <c r="AH43" i="7"/>
  <c r="AF43" i="7"/>
  <c r="AH42" i="7"/>
  <c r="AI42" i="7"/>
  <c r="AJ42" i="7"/>
  <c r="AF42" i="7"/>
  <c r="AF41" i="7"/>
  <c r="AE41" i="7"/>
  <c r="AD41" i="7"/>
  <c r="AF40" i="7"/>
  <c r="AE40" i="7"/>
  <c r="AD40" i="7"/>
  <c r="AF39" i="7"/>
  <c r="AE39" i="7"/>
  <c r="AD39" i="7"/>
  <c r="AH38" i="7"/>
  <c r="AI38" i="7"/>
  <c r="AJ38" i="7"/>
  <c r="AF38" i="7"/>
  <c r="A38" i="7"/>
  <c r="AH37" i="7"/>
  <c r="AI37" i="7"/>
  <c r="AJ37" i="7"/>
  <c r="AF37" i="7"/>
  <c r="AE36" i="7"/>
  <c r="AD36" i="7"/>
  <c r="AF35" i="7"/>
  <c r="AE35" i="7"/>
  <c r="AD35" i="7"/>
  <c r="AH34" i="7"/>
  <c r="AJ34" i="7"/>
  <c r="AF34" i="7"/>
  <c r="AF33" i="7"/>
  <c r="AE33" i="7"/>
  <c r="AD33" i="7"/>
  <c r="AH32" i="7"/>
  <c r="AI32" i="7"/>
  <c r="AJ32" i="7"/>
  <c r="AF32" i="7"/>
  <c r="AF31" i="7"/>
  <c r="AE31" i="7"/>
  <c r="AD31" i="7"/>
  <c r="AF30" i="7"/>
  <c r="AF29" i="7"/>
  <c r="AE30" i="7"/>
  <c r="AE29" i="7"/>
  <c r="AD30" i="7"/>
  <c r="AD29" i="7"/>
  <c r="AH24" i="7"/>
  <c r="AJ24" i="7"/>
  <c r="AF24" i="7"/>
  <c r="A24" i="7"/>
  <c r="AH23" i="7"/>
  <c r="AJ23" i="7"/>
  <c r="AF23" i="7"/>
  <c r="AE22" i="7"/>
  <c r="AD22" i="7"/>
  <c r="AF21" i="7"/>
  <c r="AE21" i="7"/>
  <c r="AD21" i="7"/>
  <c r="AH18" i="7"/>
  <c r="AI18" i="7"/>
  <c r="AF18" i="7"/>
  <c r="AF17" i="7"/>
  <c r="AE17" i="7"/>
  <c r="AD17" i="7"/>
  <c r="AF16" i="7"/>
  <c r="AE16" i="7"/>
  <c r="AD16" i="7"/>
  <c r="AH15" i="7"/>
  <c r="AI15" i="7"/>
  <c r="AF15" i="7"/>
  <c r="AH14" i="7"/>
  <c r="AF14" i="7"/>
  <c r="AF13" i="7"/>
  <c r="A15" i="7"/>
  <c r="AE13" i="7"/>
  <c r="AD13" i="7"/>
  <c r="AF12" i="7"/>
  <c r="AF11" i="7"/>
  <c r="AE12" i="7"/>
  <c r="AE11" i="7"/>
  <c r="AD12" i="7"/>
  <c r="AD11" i="7"/>
  <c r="AF22" i="7"/>
  <c r="AF36" i="7"/>
  <c r="AI43" i="7"/>
  <c r="AJ43" i="7"/>
  <c r="AI14" i="7"/>
  <c r="AJ14" i="7"/>
  <c r="K34" i="11"/>
  <c r="L34" i="11"/>
  <c r="M34" i="11"/>
  <c r="N34" i="11"/>
  <c r="O34" i="11"/>
  <c r="P34" i="11"/>
  <c r="Q34" i="11"/>
  <c r="R34" i="11"/>
  <c r="S34" i="11"/>
  <c r="U34" i="11"/>
  <c r="V34" i="11"/>
  <c r="W34" i="11"/>
  <c r="H34" i="11"/>
  <c r="H70" i="11"/>
  <c r="H68" i="11"/>
  <c r="A72" i="11"/>
  <c r="I109" i="11"/>
  <c r="I108" i="11"/>
  <c r="K109" i="11"/>
  <c r="L109" i="11"/>
  <c r="L108" i="11"/>
  <c r="M109" i="11"/>
  <c r="M108" i="11"/>
  <c r="N109" i="11"/>
  <c r="N108" i="11"/>
  <c r="O109" i="11"/>
  <c r="O108" i="11"/>
  <c r="P109" i="11"/>
  <c r="P108" i="11"/>
  <c r="Q109" i="11"/>
  <c r="Q108" i="11"/>
  <c r="R109" i="11"/>
  <c r="R108" i="11"/>
  <c r="S109" i="11"/>
  <c r="S108" i="11"/>
  <c r="U109" i="11"/>
  <c r="U108" i="11"/>
  <c r="V109" i="11"/>
  <c r="V108" i="11"/>
  <c r="W109" i="11"/>
  <c r="W108" i="11"/>
  <c r="H109" i="11"/>
  <c r="H108" i="11"/>
  <c r="T111" i="11"/>
  <c r="J111" i="11"/>
  <c r="T110" i="11"/>
  <c r="J110" i="11"/>
  <c r="K70" i="11"/>
  <c r="L70" i="11"/>
  <c r="M70" i="11"/>
  <c r="N70" i="11"/>
  <c r="O70" i="11"/>
  <c r="P70" i="11"/>
  <c r="Q70" i="11"/>
  <c r="R70" i="11"/>
  <c r="S70" i="11"/>
  <c r="U70" i="11"/>
  <c r="V70" i="11"/>
  <c r="W70" i="11"/>
  <c r="I68" i="11"/>
  <c r="K68" i="11"/>
  <c r="L68" i="11"/>
  <c r="M68" i="11"/>
  <c r="N68" i="11"/>
  <c r="O68" i="11"/>
  <c r="P68" i="11"/>
  <c r="Q68" i="11"/>
  <c r="R68" i="11"/>
  <c r="S68" i="11"/>
  <c r="U68" i="11"/>
  <c r="V68" i="11"/>
  <c r="W68" i="11"/>
  <c r="T68" i="11"/>
  <c r="J68" i="11"/>
  <c r="I65" i="11"/>
  <c r="K65" i="11"/>
  <c r="L65" i="11"/>
  <c r="M65" i="11"/>
  <c r="N65" i="11"/>
  <c r="O65" i="11"/>
  <c r="P65" i="11"/>
  <c r="Q65" i="11"/>
  <c r="R65" i="11"/>
  <c r="S65" i="11"/>
  <c r="U65" i="11"/>
  <c r="V65" i="11"/>
  <c r="W65" i="11"/>
  <c r="H65" i="11"/>
  <c r="A67" i="11"/>
  <c r="T67" i="11"/>
  <c r="J67" i="11"/>
  <c r="T66" i="11"/>
  <c r="J66" i="11"/>
  <c r="I62" i="11"/>
  <c r="L62" i="11"/>
  <c r="M62" i="11"/>
  <c r="N62" i="11"/>
  <c r="O62" i="11"/>
  <c r="P62" i="11"/>
  <c r="Q62" i="11"/>
  <c r="R62" i="11"/>
  <c r="S62" i="11"/>
  <c r="U62" i="11"/>
  <c r="V62" i="11"/>
  <c r="W62" i="11"/>
  <c r="H62" i="11"/>
  <c r="A64" i="11"/>
  <c r="T63" i="11"/>
  <c r="K63" i="11"/>
  <c r="J63" i="11"/>
  <c r="A60" i="11"/>
  <c r="A61" i="11"/>
  <c r="I49" i="11"/>
  <c r="K49" i="11"/>
  <c r="L49" i="11"/>
  <c r="M49" i="11"/>
  <c r="N49" i="11"/>
  <c r="O49" i="11"/>
  <c r="P49" i="11"/>
  <c r="Q49" i="11"/>
  <c r="R49" i="11"/>
  <c r="S49" i="11"/>
  <c r="U49" i="11"/>
  <c r="V49" i="11"/>
  <c r="W49" i="11"/>
  <c r="H49" i="11"/>
  <c r="A51" i="11"/>
  <c r="A52" i="11"/>
  <c r="A53" i="11"/>
  <c r="A54" i="11"/>
  <c r="A55" i="11"/>
  <c r="A56" i="11"/>
  <c r="T56" i="11"/>
  <c r="J56" i="11"/>
  <c r="T55" i="11"/>
  <c r="J55" i="11"/>
  <c r="T54" i="11"/>
  <c r="J54" i="11"/>
  <c r="T53" i="11"/>
  <c r="J53" i="11"/>
  <c r="K62" i="11"/>
  <c r="A29" i="11"/>
  <c r="A30" i="11"/>
  <c r="A31" i="11"/>
  <c r="A32" i="11"/>
  <c r="A77" i="11"/>
  <c r="A78" i="11"/>
  <c r="O9" i="8"/>
  <c r="O8" i="8"/>
  <c r="H39" i="2"/>
  <c r="K39" i="2"/>
  <c r="L39" i="2"/>
  <c r="M39" i="2"/>
  <c r="O39" i="2"/>
  <c r="P39" i="2"/>
  <c r="R39" i="2"/>
  <c r="V39" i="2"/>
  <c r="W39" i="2"/>
  <c r="A51" i="2"/>
  <c r="A52" i="2"/>
  <c r="A25" i="2"/>
  <c r="A26" i="2"/>
  <c r="A38" i="2"/>
  <c r="H34" i="2"/>
  <c r="I30" i="2"/>
  <c r="K30" i="2"/>
  <c r="L30" i="2"/>
  <c r="M30" i="2"/>
  <c r="N30" i="2"/>
  <c r="O30" i="2"/>
  <c r="P30" i="2"/>
  <c r="Q30" i="2"/>
  <c r="R30" i="2"/>
  <c r="S30" i="2"/>
  <c r="U30" i="2"/>
  <c r="V30" i="2"/>
  <c r="W30" i="2"/>
  <c r="H30" i="2"/>
  <c r="D36" i="31"/>
  <c r="H36" i="31" s="1"/>
  <c r="D32" i="31"/>
  <c r="H32" i="31" s="1"/>
  <c r="W20" i="2"/>
  <c r="T20" i="2"/>
  <c r="L10" i="27"/>
  <c r="L9" i="27"/>
  <c r="L8" i="27"/>
  <c r="U8" i="27"/>
  <c r="M10" i="27"/>
  <c r="M9" i="27"/>
  <c r="M8" i="27"/>
  <c r="J106" i="11"/>
  <c r="X106" i="11"/>
  <c r="J105" i="11"/>
  <c r="I70" i="11"/>
  <c r="J61" i="11"/>
  <c r="J60" i="11"/>
  <c r="J52" i="11"/>
  <c r="J51" i="11"/>
  <c r="J50" i="11"/>
  <c r="J42" i="11"/>
  <c r="J40" i="11"/>
  <c r="J36" i="11"/>
  <c r="J24" i="11"/>
  <c r="J20" i="11"/>
  <c r="J68" i="7"/>
  <c r="S123" i="7"/>
  <c r="S122" i="7"/>
  <c r="S118" i="7"/>
  <c r="S116" i="7"/>
  <c r="S115" i="7"/>
  <c r="S107" i="7"/>
  <c r="S95" i="7"/>
  <c r="S68" i="7"/>
  <c r="S64" i="7"/>
  <c r="S23" i="11"/>
  <c r="R23" i="11"/>
  <c r="J35" i="2"/>
  <c r="J55" i="2"/>
  <c r="X55" i="2"/>
  <c r="J57" i="2"/>
  <c r="X57" i="2"/>
  <c r="J20" i="2"/>
  <c r="S36" i="2"/>
  <c r="S34" i="2"/>
  <c r="S22" i="2"/>
  <c r="S9" i="2"/>
  <c r="L9" i="2"/>
  <c r="M9" i="2"/>
  <c r="N9" i="2"/>
  <c r="O9" i="2"/>
  <c r="P9" i="2"/>
  <c r="Q9" i="2"/>
  <c r="R9" i="2"/>
  <c r="S8" i="1"/>
  <c r="J16" i="1"/>
  <c r="J13" i="1"/>
  <c r="J11" i="1"/>
  <c r="N23" i="8"/>
  <c r="N22" i="8"/>
  <c r="N21" i="8"/>
  <c r="N20" i="8"/>
  <c r="N19" i="8"/>
  <c r="N18" i="8"/>
  <c r="N17" i="8"/>
  <c r="N16" i="8"/>
  <c r="N15" i="8"/>
  <c r="N14" i="8"/>
  <c r="N13" i="8"/>
  <c r="N12" i="8"/>
  <c r="N11" i="8"/>
  <c r="J9" i="8"/>
  <c r="J8" i="8"/>
  <c r="L9" i="8"/>
  <c r="L8" i="8"/>
  <c r="I9" i="8"/>
  <c r="I8" i="8"/>
  <c r="M9" i="8"/>
  <c r="M8" i="8"/>
  <c r="P9" i="8"/>
  <c r="P8" i="8"/>
  <c r="Q9" i="8"/>
  <c r="Q8" i="8"/>
  <c r="O10" i="27"/>
  <c r="O9" i="27"/>
  <c r="O8" i="27"/>
  <c r="L17" i="25"/>
  <c r="M24" i="25"/>
  <c r="M16" i="25"/>
  <c r="M15" i="25"/>
  <c r="M14" i="25"/>
  <c r="J10" i="27"/>
  <c r="J9" i="27"/>
  <c r="J8" i="27"/>
  <c r="K24" i="25"/>
  <c r="K16" i="25"/>
  <c r="K15" i="25"/>
  <c r="K14" i="25"/>
  <c r="J16" i="25"/>
  <c r="J15" i="25"/>
  <c r="J14" i="25"/>
  <c r="I16" i="25"/>
  <c r="I15" i="25"/>
  <c r="I14" i="25"/>
  <c r="J10" i="24"/>
  <c r="J9" i="24"/>
  <c r="J8" i="24"/>
  <c r="I10" i="24"/>
  <c r="I9" i="24"/>
  <c r="I8" i="24"/>
  <c r="H10" i="24"/>
  <c r="H9" i="24"/>
  <c r="H8" i="24"/>
  <c r="L16" i="25"/>
  <c r="L15" i="25"/>
  <c r="L14" i="25"/>
  <c r="D78" i="31"/>
  <c r="K9" i="8"/>
  <c r="K8" i="8"/>
  <c r="N9" i="8"/>
  <c r="N8" i="8"/>
  <c r="L24" i="25"/>
  <c r="D73" i="31"/>
  <c r="AJ6" i="1"/>
  <c r="AO7" i="7"/>
  <c r="L8" i="16"/>
  <c r="S11" i="10"/>
  <c r="T10" i="10"/>
  <c r="T9" i="10"/>
  <c r="T8" i="10"/>
  <c r="R10" i="10"/>
  <c r="R9" i="10"/>
  <c r="R8" i="10"/>
  <c r="Q10" i="10"/>
  <c r="Q9" i="10"/>
  <c r="Q8" i="10"/>
  <c r="P10" i="10"/>
  <c r="P9" i="10"/>
  <c r="P8" i="10"/>
  <c r="O10" i="10"/>
  <c r="O9" i="10"/>
  <c r="O8" i="10"/>
  <c r="S11" i="6"/>
  <c r="S10" i="6"/>
  <c r="S9" i="6"/>
  <c r="S8" i="6"/>
  <c r="V11" i="6"/>
  <c r="V10" i="6"/>
  <c r="V9" i="6"/>
  <c r="V8" i="6"/>
  <c r="U11" i="6"/>
  <c r="U10" i="6"/>
  <c r="U9" i="6"/>
  <c r="U8" i="6"/>
  <c r="T11" i="6"/>
  <c r="T10" i="6"/>
  <c r="T9" i="6"/>
  <c r="T8" i="6"/>
  <c r="X22" i="1"/>
  <c r="X13" i="1"/>
  <c r="X16" i="1"/>
  <c r="AI6" i="1"/>
  <c r="W104" i="11"/>
  <c r="V104" i="11"/>
  <c r="K9" i="3"/>
  <c r="X18" i="1"/>
  <c r="X11" i="1"/>
  <c r="K8" i="16"/>
  <c r="S10" i="10"/>
  <c r="S9" i="10"/>
  <c r="S8" i="10"/>
  <c r="W112" i="11"/>
  <c r="W107" i="11"/>
  <c r="D66" i="31"/>
  <c r="K65" i="31" s="1"/>
  <c r="C3" i="28"/>
  <c r="W8" i="1"/>
  <c r="N24" i="3"/>
  <c r="N23" i="3"/>
  <c r="N22" i="3"/>
  <c r="N8" i="3"/>
  <c r="O26" i="3"/>
  <c r="T38" i="2"/>
  <c r="T37" i="2"/>
  <c r="W34" i="2"/>
  <c r="T17" i="2"/>
  <c r="T16" i="2"/>
  <c r="T15" i="2"/>
  <c r="T14" i="2"/>
  <c r="T13" i="2"/>
  <c r="T12" i="2"/>
  <c r="T11" i="2"/>
  <c r="T10" i="2"/>
  <c r="P36" i="2"/>
  <c r="Q36" i="2"/>
  <c r="R36" i="2"/>
  <c r="U36" i="2"/>
  <c r="V36" i="2"/>
  <c r="P34" i="2"/>
  <c r="Q34" i="2"/>
  <c r="R34" i="2"/>
  <c r="U34" i="2"/>
  <c r="V34" i="2"/>
  <c r="U9" i="2"/>
  <c r="V9" i="2"/>
  <c r="W9" i="2"/>
  <c r="P22" i="2"/>
  <c r="T36" i="2"/>
  <c r="W36" i="2"/>
  <c r="T35" i="2"/>
  <c r="T116" i="7"/>
  <c r="T115" i="7"/>
  <c r="U123" i="7"/>
  <c r="U122" i="7"/>
  <c r="V123" i="7"/>
  <c r="V122" i="7"/>
  <c r="W123" i="7"/>
  <c r="W122" i="7"/>
  <c r="U118" i="7"/>
  <c r="V118" i="7"/>
  <c r="W118" i="7"/>
  <c r="U116" i="7"/>
  <c r="U115" i="7"/>
  <c r="V116" i="7"/>
  <c r="V115" i="7"/>
  <c r="W116" i="7"/>
  <c r="W115" i="7"/>
  <c r="U107" i="7"/>
  <c r="V107" i="7"/>
  <c r="W107" i="7"/>
  <c r="U95" i="7"/>
  <c r="V95" i="7"/>
  <c r="W95" i="7"/>
  <c r="U68" i="7"/>
  <c r="V68" i="7"/>
  <c r="W68" i="7"/>
  <c r="U64" i="7"/>
  <c r="V64" i="7"/>
  <c r="W64" i="7"/>
  <c r="T105" i="11"/>
  <c r="X105" i="11"/>
  <c r="X104" i="11"/>
  <c r="T61" i="11"/>
  <c r="T60" i="11"/>
  <c r="X60" i="11"/>
  <c r="T52" i="11"/>
  <c r="X52" i="11"/>
  <c r="T51" i="11"/>
  <c r="X51" i="11"/>
  <c r="T50" i="11"/>
  <c r="T36" i="11"/>
  <c r="X36" i="11"/>
  <c r="T39" i="11"/>
  <c r="X39" i="11"/>
  <c r="T40" i="11"/>
  <c r="T42" i="11"/>
  <c r="X42" i="11"/>
  <c r="T28" i="11"/>
  <c r="T24" i="11"/>
  <c r="X24" i="11"/>
  <c r="X23" i="11"/>
  <c r="P23" i="11"/>
  <c r="Q23" i="11"/>
  <c r="W23" i="11"/>
  <c r="T20" i="11"/>
  <c r="T123" i="7"/>
  <c r="T122" i="7"/>
  <c r="X123" i="7"/>
  <c r="X122" i="7"/>
  <c r="X61" i="11"/>
  <c r="T34" i="2"/>
  <c r="X35" i="2"/>
  <c r="X34" i="2"/>
  <c r="T104" i="11"/>
  <c r="P68" i="7"/>
  <c r="Q68" i="7"/>
  <c r="R68" i="7"/>
  <c r="P64" i="7"/>
  <c r="Q64" i="7"/>
  <c r="R64" i="7"/>
  <c r="I112" i="11"/>
  <c r="V112" i="11"/>
  <c r="V107" i="11"/>
  <c r="L112" i="11"/>
  <c r="M112" i="11"/>
  <c r="N112" i="11"/>
  <c r="P112" i="11"/>
  <c r="P107" i="11"/>
  <c r="AJ7" i="11"/>
  <c r="J38" i="2"/>
  <c r="X38" i="2"/>
  <c r="J37" i="2"/>
  <c r="X37" i="2"/>
  <c r="AJ7" i="2"/>
  <c r="J10" i="20"/>
  <c r="J9" i="20"/>
  <c r="I10" i="20"/>
  <c r="I9" i="20"/>
  <c r="H10" i="20"/>
  <c r="H9" i="20"/>
  <c r="L11" i="6"/>
  <c r="L10" i="6"/>
  <c r="M11" i="6"/>
  <c r="M10" i="6"/>
  <c r="M9" i="6"/>
  <c r="M8" i="6"/>
  <c r="N11" i="6"/>
  <c r="N10" i="6"/>
  <c r="O11" i="6"/>
  <c r="O10" i="6"/>
  <c r="O9" i="6"/>
  <c r="O8" i="6"/>
  <c r="P11" i="6"/>
  <c r="P10" i="6"/>
  <c r="Q11" i="6"/>
  <c r="Q10" i="6"/>
  <c r="Q9" i="6"/>
  <c r="Q8" i="6"/>
  <c r="R11" i="6"/>
  <c r="R10" i="6"/>
  <c r="K11" i="6"/>
  <c r="K10" i="6"/>
  <c r="K9" i="6"/>
  <c r="K8" i="6"/>
  <c r="AC8" i="6"/>
  <c r="P9" i="6"/>
  <c r="P8" i="6"/>
  <c r="N9" i="6"/>
  <c r="N8" i="6"/>
  <c r="R9" i="6"/>
  <c r="R8" i="6"/>
  <c r="P8" i="1"/>
  <c r="J11" i="6"/>
  <c r="J10" i="6"/>
  <c r="J9" i="6"/>
  <c r="J8" i="6"/>
  <c r="L9" i="6"/>
  <c r="L8" i="6"/>
  <c r="R8" i="1"/>
  <c r="J118" i="7"/>
  <c r="L95" i="7"/>
  <c r="M95" i="7"/>
  <c r="N95" i="7"/>
  <c r="O95" i="7"/>
  <c r="P95" i="7"/>
  <c r="Q95" i="7"/>
  <c r="R95" i="7"/>
  <c r="L107" i="7"/>
  <c r="M107" i="7"/>
  <c r="N107" i="7"/>
  <c r="O107" i="7"/>
  <c r="P107" i="7"/>
  <c r="Q107" i="7"/>
  <c r="R107" i="7"/>
  <c r="I107" i="7"/>
  <c r="L116" i="7"/>
  <c r="L115" i="7"/>
  <c r="M116" i="7"/>
  <c r="M115" i="7"/>
  <c r="N116" i="7"/>
  <c r="N115" i="7"/>
  <c r="O116" i="7"/>
  <c r="O115" i="7"/>
  <c r="P116" i="7"/>
  <c r="P115" i="7"/>
  <c r="Q116" i="7"/>
  <c r="Q115" i="7"/>
  <c r="R116" i="7"/>
  <c r="R115" i="7"/>
  <c r="L118" i="7"/>
  <c r="M118" i="7"/>
  <c r="N118" i="7"/>
  <c r="O118" i="7"/>
  <c r="P118" i="7"/>
  <c r="Q118" i="7"/>
  <c r="R118" i="7"/>
  <c r="L123" i="7"/>
  <c r="L122" i="7"/>
  <c r="M123" i="7"/>
  <c r="M122" i="7"/>
  <c r="N123" i="7"/>
  <c r="N122" i="7"/>
  <c r="O123" i="7"/>
  <c r="O122" i="7"/>
  <c r="P123" i="7"/>
  <c r="P122" i="7"/>
  <c r="Q123" i="7"/>
  <c r="Q122" i="7"/>
  <c r="R123" i="7"/>
  <c r="R122" i="7"/>
  <c r="J123" i="7"/>
  <c r="J122" i="7"/>
  <c r="Q8" i="1"/>
  <c r="U8" i="1"/>
  <c r="W11" i="6"/>
  <c r="L8" i="1"/>
  <c r="AQ7" i="7"/>
  <c r="N8" i="1"/>
  <c r="J116" i="7"/>
  <c r="J115" i="7"/>
  <c r="O8" i="1"/>
  <c r="W10" i="6"/>
  <c r="W9" i="6"/>
  <c r="W8" i="6"/>
  <c r="P56" i="7"/>
  <c r="L68" i="7"/>
  <c r="M68" i="7"/>
  <c r="N68" i="7"/>
  <c r="O68" i="7"/>
  <c r="L64" i="7"/>
  <c r="M64" i="7"/>
  <c r="N64" i="7"/>
  <c r="O64" i="7"/>
  <c r="J64" i="7"/>
  <c r="J104" i="11"/>
  <c r="U23" i="11"/>
  <c r="L23" i="11"/>
  <c r="M23" i="11"/>
  <c r="N23" i="11"/>
  <c r="O23" i="11"/>
  <c r="J23" i="11"/>
  <c r="I10" i="10"/>
  <c r="K10" i="10"/>
  <c r="L10" i="10"/>
  <c r="M10" i="10"/>
  <c r="M9" i="10"/>
  <c r="M8" i="10"/>
  <c r="N10" i="10"/>
  <c r="H10" i="10"/>
  <c r="J11" i="10"/>
  <c r="N9" i="10"/>
  <c r="N8" i="10"/>
  <c r="L9" i="10"/>
  <c r="L8" i="10"/>
  <c r="J10" i="10"/>
  <c r="J9" i="10"/>
  <c r="J8" i="10"/>
  <c r="J34" i="2"/>
  <c r="O36" i="2"/>
  <c r="O34" i="2"/>
  <c r="O22" i="2"/>
  <c r="N36" i="2"/>
  <c r="M36" i="2"/>
  <c r="L36" i="2"/>
  <c r="L34" i="2"/>
  <c r="L22" i="2"/>
  <c r="N34" i="2"/>
  <c r="M34" i="2"/>
  <c r="J36" i="2"/>
  <c r="J8" i="16"/>
  <c r="I8" i="16"/>
  <c r="H8" i="16"/>
  <c r="AZ22" i="11"/>
  <c r="AY22" i="11"/>
  <c r="AX22" i="11"/>
  <c r="AW22" i="11"/>
  <c r="AV22" i="11"/>
  <c r="AU22" i="11"/>
  <c r="AT22" i="11"/>
  <c r="AS22" i="11"/>
  <c r="AR22" i="11"/>
  <c r="AQ22" i="11"/>
  <c r="AP22" i="11"/>
  <c r="AO22" i="11"/>
  <c r="AN22" i="11"/>
  <c r="AZ21" i="11"/>
  <c r="AY21" i="11"/>
  <c r="AX21" i="11"/>
  <c r="AW21" i="11"/>
  <c r="AV21" i="11"/>
  <c r="AU21" i="11"/>
  <c r="AT21" i="11"/>
  <c r="AS21" i="11"/>
  <c r="AR21" i="11"/>
  <c r="AQ21" i="11"/>
  <c r="AP21" i="11"/>
  <c r="AO21" i="11"/>
  <c r="AN21" i="11"/>
  <c r="K36" i="2"/>
  <c r="I36" i="2"/>
  <c r="K123" i="7"/>
  <c r="K122" i="7"/>
  <c r="K118" i="7"/>
  <c r="K116" i="7"/>
  <c r="K115" i="7"/>
  <c r="K107" i="7"/>
  <c r="K95" i="7"/>
  <c r="K68" i="7"/>
  <c r="K64" i="7"/>
  <c r="AH7" i="11"/>
  <c r="K12" i="1"/>
  <c r="J12" i="1"/>
  <c r="X12" i="1"/>
  <c r="X10" i="1"/>
  <c r="X9" i="1"/>
  <c r="K10" i="1"/>
  <c r="K9" i="1"/>
  <c r="K24" i="1"/>
  <c r="K23" i="1"/>
  <c r="K8" i="1"/>
  <c r="AH124" i="7"/>
  <c r="AJ124" i="7"/>
  <c r="AH52" i="7"/>
  <c r="AI52" i="7"/>
  <c r="AJ52" i="7"/>
  <c r="AH120" i="7"/>
  <c r="AI120" i="7"/>
  <c r="AH117" i="7"/>
  <c r="AI117" i="7"/>
  <c r="AJ117" i="7"/>
  <c r="AH112" i="7"/>
  <c r="AJ112" i="7"/>
  <c r="AH109" i="7"/>
  <c r="AI109" i="7"/>
  <c r="AJ109" i="7"/>
  <c r="AH97" i="7"/>
  <c r="AI97" i="7"/>
  <c r="AJ97" i="7"/>
  <c r="AH90" i="7"/>
  <c r="AJ90" i="7"/>
  <c r="AH89" i="7"/>
  <c r="AJ89" i="7"/>
  <c r="AH75" i="7"/>
  <c r="AI75" i="7"/>
  <c r="AH70" i="7"/>
  <c r="AJ70" i="7"/>
  <c r="AH66" i="7"/>
  <c r="AI66" i="7"/>
  <c r="AH60" i="7"/>
  <c r="AI60" i="7"/>
  <c r="AH59" i="7"/>
  <c r="AI59" i="7"/>
  <c r="AJ59" i="7"/>
  <c r="J10" i="1"/>
  <c r="J9" i="1"/>
  <c r="J24" i="3"/>
  <c r="J23" i="3"/>
  <c r="J22" i="3"/>
  <c r="J8" i="3"/>
  <c r="L24" i="3"/>
  <c r="L23" i="3"/>
  <c r="L22" i="3"/>
  <c r="L8" i="3"/>
  <c r="H24" i="3"/>
  <c r="H23" i="3"/>
  <c r="H22" i="3"/>
  <c r="H8" i="3"/>
  <c r="I26" i="3"/>
  <c r="I24" i="3"/>
  <c r="I23" i="3"/>
  <c r="I22" i="3"/>
  <c r="I8" i="3"/>
  <c r="I9" i="10"/>
  <c r="I8" i="10"/>
  <c r="K9" i="10"/>
  <c r="K8" i="10"/>
  <c r="Z8" i="10"/>
  <c r="H9" i="10"/>
  <c r="H8" i="10"/>
  <c r="U104" i="11"/>
  <c r="K104" i="11"/>
  <c r="I35" i="11"/>
  <c r="I23" i="11"/>
  <c r="K23" i="11"/>
  <c r="H23" i="11"/>
  <c r="A36" i="11"/>
  <c r="A37" i="11"/>
  <c r="A38" i="11"/>
  <c r="A39" i="11"/>
  <c r="A40" i="11"/>
  <c r="A41" i="11"/>
  <c r="A42" i="11"/>
  <c r="A43" i="11"/>
  <c r="A44" i="11"/>
  <c r="A45" i="11"/>
  <c r="A46" i="11"/>
  <c r="A47" i="11"/>
  <c r="A48" i="11"/>
  <c r="V23" i="11"/>
  <c r="AF124" i="7"/>
  <c r="AF123" i="7"/>
  <c r="AE123" i="7"/>
  <c r="AD123" i="7"/>
  <c r="I123" i="7"/>
  <c r="I122" i="7"/>
  <c r="H122" i="7"/>
  <c r="AF52" i="7"/>
  <c r="AF120" i="7"/>
  <c r="AE119" i="7"/>
  <c r="AD119" i="7"/>
  <c r="I118" i="7"/>
  <c r="H118" i="7"/>
  <c r="AF117" i="7"/>
  <c r="AF116" i="7"/>
  <c r="AE116" i="7"/>
  <c r="AD116" i="7"/>
  <c r="I116" i="7"/>
  <c r="I115" i="7"/>
  <c r="H116" i="7"/>
  <c r="H115" i="7"/>
  <c r="AF112" i="7"/>
  <c r="AF111" i="7"/>
  <c r="AF109" i="7"/>
  <c r="AE108" i="7"/>
  <c r="AD108" i="7"/>
  <c r="H107" i="7"/>
  <c r="AF97" i="7"/>
  <c r="AE96" i="7"/>
  <c r="AD96" i="7"/>
  <c r="I95" i="7"/>
  <c r="H95" i="7"/>
  <c r="AF90" i="7"/>
  <c r="A90" i="7"/>
  <c r="AF89" i="7"/>
  <c r="AE88" i="7"/>
  <c r="AD88" i="7"/>
  <c r="AF75" i="7"/>
  <c r="AE74" i="7"/>
  <c r="AD74" i="7"/>
  <c r="AF70" i="7"/>
  <c r="AE69" i="7"/>
  <c r="AD69" i="7"/>
  <c r="I68" i="7"/>
  <c r="H68" i="7"/>
  <c r="AF66" i="7"/>
  <c r="AF65" i="7"/>
  <c r="AE65" i="7"/>
  <c r="AD65" i="7"/>
  <c r="I64" i="7"/>
  <c r="AF60" i="7"/>
  <c r="AF59" i="7"/>
  <c r="AE58" i="7"/>
  <c r="AD58" i="7"/>
  <c r="T23" i="11"/>
  <c r="AF122" i="7"/>
  <c r="AE87" i="7"/>
  <c r="AD95" i="7"/>
  <c r="AD94" i="7"/>
  <c r="AE95" i="7"/>
  <c r="AE94" i="7"/>
  <c r="AE10" i="7"/>
  <c r="AE107" i="7"/>
  <c r="AE122" i="7"/>
  <c r="AE64" i="7"/>
  <c r="AE68" i="7"/>
  <c r="AF10" i="7"/>
  <c r="AD87" i="7"/>
  <c r="AE99" i="7"/>
  <c r="AD107" i="7"/>
  <c r="AE115" i="7"/>
  <c r="AE114" i="7"/>
  <c r="AE118" i="7"/>
  <c r="AD118" i="7"/>
  <c r="AD10" i="7"/>
  <c r="AD57" i="7"/>
  <c r="AD56" i="7"/>
  <c r="AD68" i="7"/>
  <c r="AE73" i="7"/>
  <c r="AE72" i="7"/>
  <c r="AD73" i="7"/>
  <c r="AD72" i="7"/>
  <c r="AD99" i="7"/>
  <c r="AD122" i="7"/>
  <c r="AE57" i="7"/>
  <c r="AE56" i="7"/>
  <c r="AD64" i="7"/>
  <c r="AD115" i="7"/>
  <c r="AD114" i="7"/>
  <c r="H11" i="6"/>
  <c r="H10" i="6"/>
  <c r="I11" i="6"/>
  <c r="I10" i="6"/>
  <c r="I9" i="6"/>
  <c r="I8" i="6"/>
  <c r="M24" i="3"/>
  <c r="M23" i="3"/>
  <c r="M22" i="3"/>
  <c r="M8" i="3"/>
  <c r="I9" i="2"/>
  <c r="H9" i="2"/>
  <c r="K34" i="2"/>
  <c r="I34" i="2"/>
  <c r="AF64" i="7"/>
  <c r="AF99" i="7"/>
  <c r="AF68" i="7"/>
  <c r="AF87" i="7"/>
  <c r="AF73" i="7"/>
  <c r="AF72" i="7"/>
  <c r="AF107" i="7"/>
  <c r="AF57" i="7"/>
  <c r="AF56" i="7"/>
  <c r="AF95" i="7"/>
  <c r="AF94" i="7"/>
  <c r="AF115" i="7"/>
  <c r="AF114" i="7"/>
  <c r="AF118" i="7"/>
  <c r="H9" i="6"/>
  <c r="H8" i="6"/>
  <c r="AE55" i="7"/>
  <c r="AD55" i="7"/>
  <c r="K11" i="2"/>
  <c r="J11" i="2"/>
  <c r="X11" i="2"/>
  <c r="K12" i="2"/>
  <c r="J12" i="2"/>
  <c r="X12" i="2"/>
  <c r="K13" i="2"/>
  <c r="J13" i="2"/>
  <c r="X13" i="2"/>
  <c r="K14" i="2"/>
  <c r="J14" i="2"/>
  <c r="X14" i="2"/>
  <c r="K15" i="2"/>
  <c r="J15" i="2"/>
  <c r="X15" i="2"/>
  <c r="K16" i="2"/>
  <c r="J16" i="2"/>
  <c r="X16" i="2"/>
  <c r="K17" i="2"/>
  <c r="J17" i="2"/>
  <c r="X17" i="2"/>
  <c r="K10" i="2"/>
  <c r="J10" i="2"/>
  <c r="AF55" i="7"/>
  <c r="V8" i="1"/>
  <c r="J24" i="1"/>
  <c r="J23" i="1"/>
  <c r="H8" i="1"/>
  <c r="I8" i="1"/>
  <c r="X24" i="1"/>
  <c r="X23" i="1"/>
  <c r="D60" i="31"/>
  <c r="J8" i="1"/>
  <c r="X8" i="1"/>
  <c r="N56" i="7"/>
  <c r="M22" i="2"/>
  <c r="M56" i="7"/>
  <c r="D70" i="31"/>
  <c r="K69" i="31" s="1"/>
  <c r="V10" i="32"/>
  <c r="I56" i="7"/>
  <c r="AW6" i="6"/>
  <c r="T70" i="11"/>
  <c r="N39" i="2"/>
  <c r="T9" i="2"/>
  <c r="D81" i="31"/>
  <c r="D80" i="31"/>
  <c r="D74" i="31"/>
  <c r="K19" i="25"/>
  <c r="K18" i="25"/>
  <c r="D72" i="31"/>
  <c r="X66" i="11"/>
  <c r="T62" i="11"/>
  <c r="X20" i="11"/>
  <c r="T109" i="11"/>
  <c r="T108" i="11"/>
  <c r="U112" i="11"/>
  <c r="R112" i="11"/>
  <c r="S112" i="11"/>
  <c r="J109" i="11"/>
  <c r="J108" i="11"/>
  <c r="K56" i="7"/>
  <c r="X50" i="11"/>
  <c r="Q26" i="11"/>
  <c r="Q25" i="11"/>
  <c r="Q112" i="11"/>
  <c r="Q107" i="11"/>
  <c r="P26" i="11"/>
  <c r="P25" i="11"/>
  <c r="M107" i="11"/>
  <c r="U56" i="7"/>
  <c r="O56" i="7"/>
  <c r="V94" i="7"/>
  <c r="U94" i="7"/>
  <c r="AF88" i="7"/>
  <c r="J107" i="7"/>
  <c r="T118" i="7"/>
  <c r="T114" i="7"/>
  <c r="T68" i="7"/>
  <c r="H94" i="7"/>
  <c r="S114" i="7"/>
  <c r="S94" i="7"/>
  <c r="AF69" i="7"/>
  <c r="O94" i="7"/>
  <c r="AF119" i="7"/>
  <c r="R94" i="7"/>
  <c r="N94" i="7"/>
  <c r="L56" i="7"/>
  <c r="V114" i="7"/>
  <c r="AF96" i="7"/>
  <c r="J114" i="7"/>
  <c r="AF74" i="7"/>
  <c r="W114" i="7"/>
  <c r="H114" i="7"/>
  <c r="S56" i="7"/>
  <c r="V56" i="7"/>
  <c r="AJ18" i="7"/>
  <c r="AF58" i="7"/>
  <c r="AF108" i="7"/>
  <c r="Q114" i="7"/>
  <c r="M94" i="7"/>
  <c r="AJ120" i="7"/>
  <c r="P114" i="7"/>
  <c r="T64" i="7"/>
  <c r="J95" i="7"/>
  <c r="AJ60" i="7"/>
  <c r="AJ75" i="7"/>
  <c r="U114" i="7"/>
  <c r="X64" i="7"/>
  <c r="AJ66" i="7"/>
  <c r="X116" i="7"/>
  <c r="X115" i="7"/>
  <c r="K114" i="7"/>
  <c r="X53" i="11"/>
  <c r="J58" i="11"/>
  <c r="T65" i="11"/>
  <c r="X28" i="11"/>
  <c r="X14" i="11"/>
  <c r="X110" i="11"/>
  <c r="J27" i="11"/>
  <c r="X56" i="11"/>
  <c r="L26" i="11"/>
  <c r="L25" i="11"/>
  <c r="S26" i="11"/>
  <c r="X55" i="11"/>
  <c r="R26" i="11"/>
  <c r="M26" i="11"/>
  <c r="X40" i="11"/>
  <c r="X111" i="11"/>
  <c r="V26" i="11"/>
  <c r="X11" i="11"/>
  <c r="K112" i="11"/>
  <c r="U26" i="11"/>
  <c r="J49" i="11"/>
  <c r="H26" i="11"/>
  <c r="J65" i="11"/>
  <c r="I27" i="11"/>
  <c r="O26" i="11"/>
  <c r="O25" i="11"/>
  <c r="O112" i="11"/>
  <c r="O107" i="11"/>
  <c r="K26" i="11"/>
  <c r="K25" i="11"/>
  <c r="K108" i="11"/>
  <c r="N26" i="11"/>
  <c r="N25" i="11"/>
  <c r="I34" i="11"/>
  <c r="J34" i="11"/>
  <c r="T49" i="11"/>
  <c r="R22" i="2"/>
  <c r="R21" i="2"/>
  <c r="R19" i="2"/>
  <c r="R8" i="2"/>
  <c r="P21" i="2"/>
  <c r="P19" i="2"/>
  <c r="P8" i="2"/>
  <c r="W22" i="2"/>
  <c r="W21" i="2"/>
  <c r="W19" i="2"/>
  <c r="W8" i="2"/>
  <c r="U22" i="2"/>
  <c r="N22" i="2"/>
  <c r="N21" i="2"/>
  <c r="N19" i="2"/>
  <c r="N8" i="2"/>
  <c r="U39" i="2"/>
  <c r="U21" i="2"/>
  <c r="U19" i="2"/>
  <c r="U8" i="2"/>
  <c r="S39" i="2"/>
  <c r="S21" i="2"/>
  <c r="S19" i="2"/>
  <c r="S8" i="2"/>
  <c r="H22" i="2"/>
  <c r="H21" i="2"/>
  <c r="H19" i="2"/>
  <c r="H8" i="2"/>
  <c r="I39" i="2"/>
  <c r="T30" i="2"/>
  <c r="T22" i="2"/>
  <c r="O21" i="2"/>
  <c r="O19" i="2"/>
  <c r="O8" i="2"/>
  <c r="L21" i="2"/>
  <c r="L19" i="2"/>
  <c r="L8" i="2"/>
  <c r="Q39" i="2"/>
  <c r="J39" i="2"/>
  <c r="J30" i="2"/>
  <c r="Q22" i="2"/>
  <c r="Q21" i="2"/>
  <c r="Q19" i="2"/>
  <c r="Q8" i="2"/>
  <c r="X36" i="2"/>
  <c r="K22" i="2"/>
  <c r="K21" i="2"/>
  <c r="K19" i="2"/>
  <c r="X20" i="2"/>
  <c r="M21" i="2"/>
  <c r="M19" i="2"/>
  <c r="M8" i="2"/>
  <c r="V22" i="2"/>
  <c r="V21" i="2"/>
  <c r="V19" i="2"/>
  <c r="V8" i="2"/>
  <c r="AI7" i="2"/>
  <c r="I22" i="2"/>
  <c r="D8" i="31"/>
  <c r="H8" i="31" s="1"/>
  <c r="J9" i="2"/>
  <c r="X10" i="2"/>
  <c r="X9" i="2"/>
  <c r="K9" i="2"/>
  <c r="V20" i="32"/>
  <c r="A46" i="32"/>
  <c r="A47" i="32"/>
  <c r="A48" i="32"/>
  <c r="A49" i="32"/>
  <c r="A50" i="32"/>
  <c r="A51" i="32"/>
  <c r="A52" i="32"/>
  <c r="A53" i="32"/>
  <c r="A54" i="32"/>
  <c r="A55" i="32"/>
  <c r="A56" i="32"/>
  <c r="A57" i="32"/>
  <c r="A58" i="32"/>
  <c r="A59" i="32"/>
  <c r="A60" i="32"/>
  <c r="A61" i="32"/>
  <c r="A62" i="32"/>
  <c r="A63" i="32"/>
  <c r="V22" i="32"/>
  <c r="V23" i="32"/>
  <c r="W93" i="32"/>
  <c r="R16" i="32"/>
  <c r="X63" i="11"/>
  <c r="X62" i="11"/>
  <c r="J62" i="11"/>
  <c r="T58" i="11"/>
  <c r="J70" i="11"/>
  <c r="X67" i="11"/>
  <c r="X65" i="11"/>
  <c r="I107" i="11"/>
  <c r="T27" i="11"/>
  <c r="X16" i="11"/>
  <c r="X54" i="11"/>
  <c r="X12" i="11"/>
  <c r="X17" i="11"/>
  <c r="D24" i="31"/>
  <c r="H24" i="31" s="1"/>
  <c r="S107" i="11"/>
  <c r="J112" i="11"/>
  <c r="L107" i="11"/>
  <c r="T112" i="11"/>
  <c r="T107" i="11"/>
  <c r="H112" i="11"/>
  <c r="H107" i="11"/>
  <c r="K9" i="11"/>
  <c r="T9" i="11"/>
  <c r="X15" i="11"/>
  <c r="D17" i="31"/>
  <c r="V19" i="32"/>
  <c r="V15" i="32"/>
  <c r="V14" i="32"/>
  <c r="V17" i="32"/>
  <c r="V24" i="32"/>
  <c r="V21" i="32"/>
  <c r="AV6" i="32"/>
  <c r="V18" i="32"/>
  <c r="AV7" i="32"/>
  <c r="H16" i="32"/>
  <c r="N107" i="11"/>
  <c r="U107" i="11"/>
  <c r="R107" i="11"/>
  <c r="T34" i="11"/>
  <c r="J9" i="11"/>
  <c r="W26" i="11"/>
  <c r="W25" i="11"/>
  <c r="D63" i="31"/>
  <c r="K62" i="31" s="1"/>
  <c r="O114" i="7"/>
  <c r="N114" i="7"/>
  <c r="R56" i="7"/>
  <c r="M114" i="7"/>
  <c r="W56" i="7"/>
  <c r="W94" i="7"/>
  <c r="W55" i="7"/>
  <c r="H56" i="7"/>
  <c r="Q56" i="7"/>
  <c r="X118" i="7"/>
  <c r="J56" i="7"/>
  <c r="L114" i="7"/>
  <c r="X68" i="7"/>
  <c r="R114" i="7"/>
  <c r="I114" i="7"/>
  <c r="T95" i="7"/>
  <c r="AJ47" i="7"/>
  <c r="AJ15" i="7"/>
  <c r="AL22" i="11"/>
  <c r="AL21" i="11"/>
  <c r="AL8" i="2"/>
  <c r="AL9" i="2"/>
  <c r="AO8" i="3"/>
  <c r="Z9" i="3"/>
  <c r="Z10" i="3"/>
  <c r="O55" i="7"/>
  <c r="D49" i="31"/>
  <c r="K48" i="31" s="1"/>
  <c r="D52" i="31"/>
  <c r="M55" i="7"/>
  <c r="S55" i="7"/>
  <c r="U55" i="7"/>
  <c r="D46" i="31"/>
  <c r="T107" i="7"/>
  <c r="AH9" i="6"/>
  <c r="BA6" i="1"/>
  <c r="AH6" i="1"/>
  <c r="K24" i="3"/>
  <c r="K23" i="3"/>
  <c r="K22" i="3"/>
  <c r="K8" i="3"/>
  <c r="J22" i="2"/>
  <c r="J21" i="2"/>
  <c r="J19" i="2"/>
  <c r="R25" i="11"/>
  <c r="V25" i="11"/>
  <c r="S25" i="11"/>
  <c r="U25" i="11"/>
  <c r="D28" i="31"/>
  <c r="M25" i="11"/>
  <c r="C4" i="28"/>
  <c r="X58" i="11"/>
  <c r="N55" i="7"/>
  <c r="T56" i="7"/>
  <c r="X107" i="7"/>
  <c r="X109" i="11"/>
  <c r="X108" i="11"/>
  <c r="V55" i="7"/>
  <c r="K94" i="7"/>
  <c r="K55" i="7"/>
  <c r="J94" i="7"/>
  <c r="J55" i="7"/>
  <c r="X95" i="7"/>
  <c r="L94" i="7"/>
  <c r="L55" i="7"/>
  <c r="Q94" i="7"/>
  <c r="Q55" i="7"/>
  <c r="I94" i="7"/>
  <c r="I55" i="7"/>
  <c r="P94" i="7"/>
  <c r="P55" i="7"/>
  <c r="X112" i="11"/>
  <c r="X107" i="11"/>
  <c r="X9" i="11"/>
  <c r="I26" i="11"/>
  <c r="I25" i="11"/>
  <c r="I19" i="11"/>
  <c r="J26" i="11"/>
  <c r="J25" i="11"/>
  <c r="X49" i="11"/>
  <c r="K107" i="11"/>
  <c r="X68" i="11"/>
  <c r="T26" i="11"/>
  <c r="X27" i="11"/>
  <c r="X34" i="11"/>
  <c r="W8" i="32"/>
  <c r="X39" i="2"/>
  <c r="T39" i="2"/>
  <c r="T21" i="2"/>
  <c r="T19" i="2"/>
  <c r="T8" i="2"/>
  <c r="I21" i="2"/>
  <c r="I19" i="2"/>
  <c r="I8" i="2"/>
  <c r="K8" i="2"/>
  <c r="X30" i="2"/>
  <c r="X22" i="2"/>
  <c r="D14" i="31"/>
  <c r="J8" i="2"/>
  <c r="AH7" i="2"/>
  <c r="V16" i="32"/>
  <c r="AI7" i="11"/>
  <c r="X70" i="11"/>
  <c r="J107" i="11"/>
  <c r="U21" i="3"/>
  <c r="D18" i="31"/>
  <c r="D39" i="31"/>
  <c r="H39" i="31" s="1"/>
  <c r="X56" i="7"/>
  <c r="T94" i="7"/>
  <c r="X114" i="7"/>
  <c r="R55" i="7"/>
  <c r="H55" i="7"/>
  <c r="T25" i="11"/>
  <c r="X21" i="2"/>
  <c r="X19" i="2"/>
  <c r="X8" i="2"/>
  <c r="BA7" i="1"/>
  <c r="D45" i="31"/>
  <c r="K44" i="31" s="1"/>
  <c r="O24" i="3"/>
  <c r="O23" i="3"/>
  <c r="O22" i="3"/>
  <c r="O8" i="3"/>
  <c r="D38" i="31"/>
  <c r="I8" i="11"/>
  <c r="T55" i="7"/>
  <c r="X94" i="7"/>
  <c r="X26" i="11"/>
  <c r="X25" i="11"/>
  <c r="D35" i="31"/>
  <c r="H35" i="31" s="1"/>
  <c r="BA6" i="2"/>
  <c r="D13" i="31"/>
  <c r="C2" i="28"/>
  <c r="D19" i="31"/>
  <c r="H19" i="31" s="1"/>
  <c r="X55" i="7"/>
  <c r="D40" i="31"/>
  <c r="H40" i="31" s="1"/>
  <c r="D34" i="31"/>
  <c r="D12" i="31"/>
  <c r="H12" i="31" s="1"/>
  <c r="BA7" i="2"/>
  <c r="BA8" i="11"/>
  <c r="BA7" i="11"/>
  <c r="D21" i="31"/>
  <c r="D22" i="31"/>
  <c r="D33" i="31"/>
  <c r="D10" i="31"/>
  <c r="H10" i="31" s="1"/>
  <c r="AC19" i="2"/>
  <c r="D31" i="31"/>
  <c r="H31" i="31" s="1"/>
  <c r="AO7" i="3"/>
  <c r="D20" i="31"/>
  <c r="H20" i="31" s="1"/>
  <c r="U8" i="3"/>
  <c r="AQ6" i="8"/>
  <c r="AQ7" i="8"/>
  <c r="AL6" i="16"/>
  <c r="AL7" i="16"/>
  <c r="W8" i="16"/>
  <c r="W9" i="16"/>
  <c r="U9" i="20"/>
  <c r="AJ6" i="24"/>
  <c r="AJ7" i="24"/>
  <c r="U9" i="24"/>
  <c r="U8" i="24"/>
  <c r="AM6" i="25"/>
  <c r="AM7" i="25"/>
  <c r="X9" i="25"/>
  <c r="X8" i="25"/>
  <c r="AO7" i="27"/>
  <c r="Z9" i="27"/>
  <c r="L10" i="7"/>
  <c r="L9" i="7"/>
  <c r="L22" i="11"/>
  <c r="L19" i="11"/>
  <c r="L8" i="11"/>
  <c r="H10" i="7"/>
  <c r="H9" i="7"/>
  <c r="Q7" i="31"/>
  <c r="Q15" i="31" s="1"/>
  <c r="M10" i="7"/>
  <c r="M9" i="7"/>
  <c r="M22" i="11"/>
  <c r="M19" i="11"/>
  <c r="M8" i="11"/>
  <c r="Q10" i="7"/>
  <c r="Q9" i="7"/>
  <c r="Q22" i="11"/>
  <c r="Q19" i="11"/>
  <c r="Q8" i="11"/>
  <c r="V10" i="7"/>
  <c r="V9" i="7"/>
  <c r="V22" i="11"/>
  <c r="V19" i="11"/>
  <c r="V8" i="11"/>
  <c r="W10" i="7"/>
  <c r="W9" i="7"/>
  <c r="W22" i="11"/>
  <c r="W19" i="11"/>
  <c r="W8" i="11"/>
  <c r="K10" i="7"/>
  <c r="K9" i="7"/>
  <c r="K22" i="11"/>
  <c r="K19" i="11"/>
  <c r="K8" i="11"/>
  <c r="BH8" i="7"/>
  <c r="Z10" i="7"/>
  <c r="E30" i="31"/>
  <c r="I10" i="7"/>
  <c r="I9" i="7"/>
  <c r="N10" i="7"/>
  <c r="N9" i="7"/>
  <c r="N22" i="11"/>
  <c r="N19" i="11"/>
  <c r="N8" i="11"/>
  <c r="AA10" i="7"/>
  <c r="AA9" i="7" s="1"/>
  <c r="AA22" i="11" s="1"/>
  <c r="R10" i="7"/>
  <c r="R9" i="7"/>
  <c r="R22" i="11"/>
  <c r="R19" i="11"/>
  <c r="R8" i="11"/>
  <c r="U10" i="7"/>
  <c r="U9" i="7"/>
  <c r="U22" i="11"/>
  <c r="U19" i="11"/>
  <c r="U8" i="11"/>
  <c r="AD20" i="11"/>
  <c r="S10" i="7"/>
  <c r="S9" i="7"/>
  <c r="S22" i="11"/>
  <c r="S19" i="11"/>
  <c r="S8" i="11"/>
  <c r="O10" i="7"/>
  <c r="O9" i="7"/>
  <c r="O22" i="11"/>
  <c r="O19" i="11"/>
  <c r="O8" i="11"/>
  <c r="Y14" i="7"/>
  <c r="X13" i="7"/>
  <c r="X12" i="7"/>
  <c r="AB15" i="7"/>
  <c r="AN15" i="7"/>
  <c r="AN24" i="7"/>
  <c r="AB24" i="7"/>
  <c r="Y37" i="7"/>
  <c r="X36" i="7"/>
  <c r="X35" i="7"/>
  <c r="X29" i="7"/>
  <c r="J11" i="7"/>
  <c r="J10" i="7"/>
  <c r="J9" i="7"/>
  <c r="J22" i="11"/>
  <c r="J19" i="11"/>
  <c r="J8" i="11"/>
  <c r="Y23" i="7"/>
  <c r="X22" i="7"/>
  <c r="X21" i="7"/>
  <c r="AB38" i="7"/>
  <c r="AN38" i="7"/>
  <c r="X41" i="7"/>
  <c r="X40" i="7"/>
  <c r="X39" i="7"/>
  <c r="Y42" i="7"/>
  <c r="P10" i="7"/>
  <c r="P9" i="7"/>
  <c r="P22" i="11"/>
  <c r="P19" i="11"/>
  <c r="P8" i="11"/>
  <c r="AB43" i="7"/>
  <c r="AN43" i="7"/>
  <c r="T10" i="7"/>
  <c r="T9" i="7"/>
  <c r="T22" i="11"/>
  <c r="T19" i="11"/>
  <c r="T8" i="11"/>
  <c r="J22" i="7"/>
  <c r="J21" i="7"/>
  <c r="F83" i="31"/>
  <c r="F82" i="31"/>
  <c r="K8" i="27"/>
  <c r="E82" i="31"/>
  <c r="E83" i="31"/>
  <c r="D83" i="31"/>
  <c r="D82" i="31"/>
  <c r="S21" i="27"/>
  <c r="S17" i="27"/>
  <c r="I9" i="27"/>
  <c r="I8" i="27"/>
  <c r="Q8" i="27"/>
  <c r="E79" i="31"/>
  <c r="C5" i="28"/>
  <c r="C6" i="28"/>
  <c r="D79" i="31"/>
  <c r="G80" i="31"/>
  <c r="G81" i="31"/>
  <c r="S9" i="27"/>
  <c r="N8" i="27"/>
  <c r="AB5" i="31"/>
  <c r="AB13" i="31" s="1"/>
  <c r="Y5" i="31"/>
  <c r="Y13" i="31" s="1"/>
  <c r="V5" i="31"/>
  <c r="V13" i="31" s="1"/>
  <c r="S5" i="31"/>
  <c r="S13" i="31" s="1"/>
  <c r="P7" i="31"/>
  <c r="P15" i="31" s="1"/>
  <c r="W7" i="31"/>
  <c r="W15" i="31" s="1"/>
  <c r="N6" i="31"/>
  <c r="N14" i="31" s="1"/>
  <c r="AA6" i="31"/>
  <c r="AA14" i="31" s="1"/>
  <c r="X6" i="31"/>
  <c r="X14" i="31" s="1"/>
  <c r="U6" i="31"/>
  <c r="U14" i="31" s="1"/>
  <c r="R6" i="31"/>
  <c r="R14" i="31" s="1"/>
  <c r="AB8" i="31"/>
  <c r="AB16" i="31" s="1"/>
  <c r="Y8" i="31"/>
  <c r="Y16" i="31" s="1"/>
  <c r="V8" i="31"/>
  <c r="V16" i="31" s="1"/>
  <c r="S8" i="31"/>
  <c r="S16" i="31" s="1"/>
  <c r="N5" i="31"/>
  <c r="N13" i="31" s="1"/>
  <c r="AA5" i="31"/>
  <c r="AA13" i="31" s="1"/>
  <c r="X5" i="31"/>
  <c r="X13" i="31" s="1"/>
  <c r="U5" i="31"/>
  <c r="U13" i="31" s="1"/>
  <c r="Y7" i="31"/>
  <c r="Y15" i="31" s="1"/>
  <c r="S7" i="31"/>
  <c r="S15" i="31" s="1"/>
  <c r="P6" i="31"/>
  <c r="P14" i="31" s="1"/>
  <c r="Z6" i="31"/>
  <c r="Z14" i="31" s="1"/>
  <c r="W6" i="31"/>
  <c r="W14" i="31" s="1"/>
  <c r="T6" i="31"/>
  <c r="T14" i="31" s="1"/>
  <c r="Q6" i="31"/>
  <c r="Q14" i="31" s="1"/>
  <c r="AA8" i="31"/>
  <c r="AA16" i="31" s="1"/>
  <c r="X8" i="31"/>
  <c r="X16" i="31" s="1"/>
  <c r="U8" i="31"/>
  <c r="U16" i="31" s="1"/>
  <c r="R8" i="31"/>
  <c r="R16" i="31" s="1"/>
  <c r="F80" i="31"/>
  <c r="F81" i="31"/>
  <c r="Z5" i="31"/>
  <c r="Z13" i="31" s="1"/>
  <c r="W5" i="31"/>
  <c r="W13" i="31" s="1"/>
  <c r="Q5" i="31"/>
  <c r="Q13" i="31" s="1"/>
  <c r="AA7" i="31"/>
  <c r="AA15" i="31" s="1"/>
  <c r="U7" i="31"/>
  <c r="U15" i="31" s="1"/>
  <c r="E80" i="31"/>
  <c r="E81" i="31"/>
  <c r="AB6" i="31"/>
  <c r="AB14" i="31" s="1"/>
  <c r="Y6" i="31"/>
  <c r="Y14" i="31" s="1"/>
  <c r="V6" i="31"/>
  <c r="V14" i="31" s="1"/>
  <c r="S6" i="31"/>
  <c r="S14" i="31" s="1"/>
  <c r="Z8" i="31"/>
  <c r="Z16" i="31" s="1"/>
  <c r="W8" i="31"/>
  <c r="W16" i="31" s="1"/>
  <c r="T8" i="31"/>
  <c r="T16" i="31" s="1"/>
  <c r="Q8" i="31"/>
  <c r="Q16" i="31" s="1"/>
  <c r="AJ8" i="20"/>
  <c r="P8" i="31"/>
  <c r="P16" i="31" s="1"/>
  <c r="AI13" i="20"/>
  <c r="AI12" i="20"/>
  <c r="AE12" i="20"/>
  <c r="AE13" i="20"/>
  <c r="AC13" i="20"/>
  <c r="AC12" i="20"/>
  <c r="AA12" i="20"/>
  <c r="AA13" i="20"/>
  <c r="Y13" i="20"/>
  <c r="Y12" i="20"/>
  <c r="AG12" i="20"/>
  <c r="AG13" i="20"/>
  <c r="AH12" i="20"/>
  <c r="AH13" i="20"/>
  <c r="AD12" i="20"/>
  <c r="AD13" i="20"/>
  <c r="AB12" i="20"/>
  <c r="AB13" i="20"/>
  <c r="Z13" i="20"/>
  <c r="Z12" i="20"/>
  <c r="X12" i="20"/>
  <c r="X13" i="20"/>
  <c r="AF12" i="20"/>
  <c r="AF13" i="20"/>
  <c r="W13" i="20"/>
  <c r="W12" i="20"/>
  <c r="AB7" i="31"/>
  <c r="AB15" i="31" s="1"/>
  <c r="AB18" i="31" s="1"/>
  <c r="Z7" i="31"/>
  <c r="Z15" i="31" s="1"/>
  <c r="X7" i="31"/>
  <c r="X15" i="31" s="1"/>
  <c r="V7" i="31"/>
  <c r="V15" i="31" s="1"/>
  <c r="V18" i="31" s="1"/>
  <c r="T7" i="31"/>
  <c r="T15" i="31" s="1"/>
  <c r="R7" i="31"/>
  <c r="R15" i="31" s="1"/>
  <c r="Y8" i="34"/>
  <c r="AA9" i="6"/>
  <c r="AA8" i="6"/>
  <c r="G47" i="31"/>
  <c r="H47" i="31" s="1"/>
  <c r="G49" i="31"/>
  <c r="Z9" i="6"/>
  <c r="Z8" i="6"/>
  <c r="F47" i="31"/>
  <c r="F49" i="31"/>
  <c r="N8" i="16"/>
  <c r="E61" i="31"/>
  <c r="E63" i="31"/>
  <c r="C6" i="31"/>
  <c r="S18" i="3"/>
  <c r="G18" i="31" s="1"/>
  <c r="S9" i="3"/>
  <c r="S8" i="3" s="1"/>
  <c r="G16" i="31" s="1"/>
  <c r="P10" i="16"/>
  <c r="P9" i="16"/>
  <c r="AB34" i="11"/>
  <c r="Z26" i="11"/>
  <c r="Z25" i="11"/>
  <c r="AB26" i="11"/>
  <c r="AB25" i="11"/>
  <c r="AA25" i="11"/>
  <c r="Z9" i="7"/>
  <c r="Z22" i="11"/>
  <c r="E29" i="31"/>
  <c r="Z19" i="11"/>
  <c r="Y41" i="7"/>
  <c r="Y40" i="7"/>
  <c r="Y39" i="7"/>
  <c r="AB42" i="7"/>
  <c r="AB41" i="7"/>
  <c r="AB40" i="7"/>
  <c r="AB39" i="7"/>
  <c r="AN42" i="7"/>
  <c r="AB37" i="7"/>
  <c r="AB36" i="7"/>
  <c r="AB35" i="7"/>
  <c r="AB29" i="7"/>
  <c r="Y36" i="7"/>
  <c r="Y35" i="7"/>
  <c r="Y29" i="7"/>
  <c r="AN37" i="7"/>
  <c r="AW7" i="7"/>
  <c r="R5" i="31"/>
  <c r="R13" i="31" s="1"/>
  <c r="Z8" i="11"/>
  <c r="E23" i="31"/>
  <c r="E26" i="31"/>
  <c r="X11" i="7"/>
  <c r="X10" i="7"/>
  <c r="X9" i="7"/>
  <c r="X22" i="11"/>
  <c r="X19" i="11"/>
  <c r="X8" i="11"/>
  <c r="Y22" i="7"/>
  <c r="Y21" i="7"/>
  <c r="AN23" i="7"/>
  <c r="AY7" i="7"/>
  <c r="T5" i="31"/>
  <c r="T13" i="31" s="1"/>
  <c r="AB23" i="7"/>
  <c r="AB22" i="7"/>
  <c r="AB21" i="7"/>
  <c r="Y13" i="7"/>
  <c r="Y12" i="7"/>
  <c r="Y11" i="7"/>
  <c r="Y10" i="7"/>
  <c r="AN14" i="7"/>
  <c r="AB14" i="7"/>
  <c r="AB13" i="7"/>
  <c r="AB12" i="7"/>
  <c r="AB11" i="7"/>
  <c r="AB10" i="7"/>
  <c r="G82" i="31"/>
  <c r="G83" i="31"/>
  <c r="S8" i="27"/>
  <c r="G79" i="31"/>
  <c r="U12" i="20"/>
  <c r="U13" i="20"/>
  <c r="P8" i="16"/>
  <c r="G61" i="31"/>
  <c r="G63" i="31"/>
  <c r="I20" i="43"/>
  <c r="I8" i="43"/>
  <c r="AU7" i="7"/>
  <c r="AT7" i="7"/>
  <c r="O5" i="31"/>
  <c r="O13" i="31" s="1"/>
  <c r="AP7" i="7"/>
  <c r="D30" i="31"/>
  <c r="Y9" i="7"/>
  <c r="Y22" i="11"/>
  <c r="G30" i="31"/>
  <c r="AB9" i="7"/>
  <c r="AB22" i="11"/>
  <c r="G29" i="31"/>
  <c r="AB19" i="11"/>
  <c r="Y19" i="11"/>
  <c r="D29" i="31"/>
  <c r="BH7" i="7"/>
  <c r="P5" i="31"/>
  <c r="P13" i="31" s="1"/>
  <c r="D26" i="31"/>
  <c r="Y8" i="11"/>
  <c r="D23" i="31"/>
  <c r="AB8" i="11"/>
  <c r="G26" i="31"/>
  <c r="AC8" i="11"/>
  <c r="G23" i="31"/>
  <c r="A3" i="38" l="1"/>
  <c r="A3" i="39" s="1"/>
  <c r="A3" i="40" s="1"/>
  <c r="A3" i="41" s="1"/>
  <c r="A3" i="42" s="1"/>
  <c r="A3" i="43" s="1"/>
  <c r="A3" i="1"/>
  <c r="E44" i="42"/>
  <c r="E43" i="42" s="1"/>
  <c r="G44" i="42"/>
  <c r="G43" i="42" s="1"/>
  <c r="E9" i="42"/>
  <c r="E8" i="42" s="1"/>
  <c r="F29" i="42"/>
  <c r="F9" i="42"/>
  <c r="F8" i="42" s="1"/>
  <c r="F44" i="42"/>
  <c r="F43" i="42" s="1"/>
  <c r="F7" i="42" s="1"/>
  <c r="G9" i="42"/>
  <c r="G8" i="42" s="1"/>
  <c r="G7" i="42" s="1"/>
  <c r="H91" i="31"/>
  <c r="H80" i="31"/>
  <c r="H60" i="31"/>
  <c r="K59" i="31"/>
  <c r="H82" i="31"/>
  <c r="H73" i="31"/>
  <c r="H83" i="31"/>
  <c r="AA17" i="31"/>
  <c r="H52" i="31"/>
  <c r="K51" i="31"/>
  <c r="H99" i="31"/>
  <c r="H102" i="31"/>
  <c r="H79" i="31"/>
  <c r="H93" i="31"/>
  <c r="H61" i="31"/>
  <c r="H49" i="31"/>
  <c r="H77" i="31"/>
  <c r="H100" i="31"/>
  <c r="H45" i="31"/>
  <c r="H68" i="31"/>
  <c r="H7" i="31"/>
  <c r="D6" i="31"/>
  <c r="H14" i="31"/>
  <c r="AA19" i="11"/>
  <c r="F29" i="31"/>
  <c r="F30" i="31"/>
  <c r="X18" i="31"/>
  <c r="H103" i="31"/>
  <c r="H63" i="31"/>
  <c r="T17" i="31"/>
  <c r="A3" i="11"/>
  <c r="A3" i="8"/>
  <c r="A3" i="29" s="1"/>
  <c r="K29" i="31"/>
  <c r="H30" i="31"/>
  <c r="H94" i="31"/>
  <c r="H38" i="31"/>
  <c r="X17" i="31"/>
  <c r="T18" i="31"/>
  <c r="H13" i="31"/>
  <c r="H22" i="31"/>
  <c r="H29" i="31"/>
  <c r="A3" i="3"/>
  <c r="H42" i="31"/>
  <c r="H28" i="31"/>
  <c r="A3" i="24"/>
  <c r="H72" i="31"/>
  <c r="H66" i="31"/>
  <c r="A3" i="10"/>
  <c r="A3" i="20"/>
  <c r="A3" i="6"/>
  <c r="U18" i="31"/>
  <c r="A4" i="7"/>
  <c r="H105" i="31"/>
  <c r="K21" i="31"/>
  <c r="Q17" i="31"/>
  <c r="H34" i="31"/>
  <c r="O9" i="31"/>
  <c r="H23" i="31"/>
  <c r="K82" i="31"/>
  <c r="K10" i="31"/>
  <c r="H76" i="31"/>
  <c r="H21" i="31"/>
  <c r="H27" i="31"/>
  <c r="H26" i="31"/>
  <c r="K12" i="31"/>
  <c r="R18" i="31"/>
  <c r="AA18" i="31"/>
  <c r="H57" i="31"/>
  <c r="H81" i="31"/>
  <c r="AB17" i="31"/>
  <c r="H88" i="31"/>
  <c r="H97" i="31"/>
  <c r="K7" i="31"/>
  <c r="S18" i="31"/>
  <c r="Y18" i="31"/>
  <c r="H37" i="31"/>
  <c r="H96" i="31"/>
  <c r="Z18" i="31"/>
  <c r="H90" i="31"/>
  <c r="U17" i="31"/>
  <c r="V17" i="31"/>
  <c r="S17" i="31"/>
  <c r="J33" i="31"/>
  <c r="H11" i="31"/>
  <c r="H46" i="31"/>
  <c r="H78" i="31"/>
  <c r="H74" i="31"/>
  <c r="H70" i="31"/>
  <c r="H85" i="31"/>
  <c r="N16" i="31"/>
  <c r="W17" i="31"/>
  <c r="Z17" i="31"/>
  <c r="W18" i="31"/>
  <c r="P17" i="31"/>
  <c r="Q18" i="31"/>
  <c r="K16" i="31"/>
  <c r="N15" i="31"/>
  <c r="P18" i="31"/>
  <c r="Y17" i="31"/>
  <c r="R17" i="31"/>
  <c r="N7" i="31"/>
  <c r="H18" i="31"/>
  <c r="J26" i="31"/>
  <c r="H33" i="31"/>
  <c r="N8" i="31"/>
  <c r="G17" i="31"/>
  <c r="H17" i="31" s="1"/>
  <c r="Q8" i="3"/>
  <c r="E16" i="31" s="1"/>
  <c r="E6" i="31" s="1"/>
  <c r="H16" i="31"/>
  <c r="G6" i="31"/>
  <c r="R8" i="3"/>
  <c r="F16" i="31" s="1"/>
  <c r="E7" i="42" l="1"/>
  <c r="F26" i="31"/>
  <c r="AA8" i="11"/>
  <c r="F23" i="31" s="1"/>
  <c r="F6" i="31" s="1"/>
  <c r="O10" i="31"/>
  <c r="O11" i="31" s="1"/>
  <c r="A3" i="25"/>
  <c r="A3" i="27"/>
  <c r="A3" i="30" s="1"/>
  <c r="H6" i="31"/>
</calcChain>
</file>

<file path=xl/comments1.xml><?xml version="1.0" encoding="utf-8"?>
<comments xmlns="http://schemas.openxmlformats.org/spreadsheetml/2006/main">
  <authors>
    <author>th5</author>
  </authors>
  <commentList>
    <comment ref="U19" authorId="0">
      <text>
        <r>
          <rPr>
            <b/>
            <sz val="9"/>
            <color rgb="FF000000"/>
            <rFont val="Tahoma"/>
            <family val="2"/>
            <charset val="163"/>
          </rPr>
          <t>th5:</t>
        </r>
        <r>
          <rPr>
            <sz val="9"/>
            <color rgb="FF000000"/>
            <rFont val="Tahoma"/>
            <family val="2"/>
            <charset val="163"/>
          </rPr>
          <t xml:space="preserve">
</t>
        </r>
        <r>
          <rPr>
            <sz val="14"/>
            <color rgb="FF000000"/>
            <rFont val="Tahoma"/>
            <family val="2"/>
            <charset val="163"/>
          </rPr>
          <t>Điều chỉnh KH năm 2021</t>
        </r>
      </text>
    </comment>
    <comment ref="I21" authorId="0">
      <text>
        <r>
          <rPr>
            <b/>
            <sz val="9"/>
            <color indexed="8"/>
            <rFont val="Tahoma"/>
            <family val="2"/>
            <charset val="163"/>
          </rPr>
          <t>th5:</t>
        </r>
        <r>
          <rPr>
            <sz val="9"/>
            <color indexed="8"/>
            <rFont val="Tahoma"/>
            <family val="2"/>
            <charset val="163"/>
          </rPr>
          <t xml:space="preserve">
</t>
        </r>
        <r>
          <rPr>
            <sz val="14"/>
            <color indexed="8"/>
            <rFont val="Tahoma"/>
            <family val="2"/>
            <charset val="163"/>
          </rPr>
          <t>Điều chỉnh CTĐT</t>
        </r>
      </text>
    </comment>
    <comment ref="I25" authorId="0">
      <text>
        <r>
          <rPr>
            <b/>
            <sz val="9"/>
            <color indexed="81"/>
            <rFont val="Tahoma"/>
            <family val="2"/>
            <charset val="163"/>
          </rPr>
          <t>th5:</t>
        </r>
        <r>
          <rPr>
            <sz val="9"/>
            <color indexed="81"/>
            <rFont val="Tahoma"/>
            <family val="2"/>
            <charset val="163"/>
          </rPr>
          <t xml:space="preserve">
</t>
        </r>
        <r>
          <rPr>
            <sz val="14"/>
            <color indexed="81"/>
            <rFont val="Tahoma"/>
            <family val="2"/>
            <charset val="163"/>
          </rPr>
          <t>Điều chỉnh CTĐT</t>
        </r>
      </text>
    </comment>
    <comment ref="I26" authorId="0">
      <text>
        <r>
          <rPr>
            <b/>
            <sz val="9"/>
            <color indexed="8"/>
            <rFont val="Tahoma"/>
            <family val="2"/>
            <charset val="163"/>
          </rPr>
          <t>th5:</t>
        </r>
        <r>
          <rPr>
            <sz val="9"/>
            <color indexed="8"/>
            <rFont val="Tahoma"/>
            <family val="2"/>
            <charset val="163"/>
          </rPr>
          <t xml:space="preserve">
</t>
        </r>
        <r>
          <rPr>
            <sz val="14"/>
            <color indexed="8"/>
            <rFont val="Tahoma"/>
            <family val="2"/>
            <charset val="163"/>
          </rPr>
          <t>Điều chỉnh CTĐT</t>
        </r>
      </text>
    </comment>
  </commentList>
</comments>
</file>

<file path=xl/sharedStrings.xml><?xml version="1.0" encoding="utf-8"?>
<sst xmlns="http://schemas.openxmlformats.org/spreadsheetml/2006/main" count="5688" uniqueCount="1489">
  <si>
    <t>ĐVT: Triệu đồng</t>
  </si>
  <si>
    <t>STT</t>
  </si>
  <si>
    <t>Địa điểm XD</t>
  </si>
  <si>
    <t>Nhóm dự án</t>
  </si>
  <si>
    <t>Năng lực thiết kế hoặc quy mô dự án</t>
  </si>
  <si>
    <t>GĐ thực hiện DA</t>
  </si>
  <si>
    <t>Ghi chú</t>
  </si>
  <si>
    <t>Số quyết định; ngày tháng, năm ban hành</t>
  </si>
  <si>
    <t>Tổng mức đầu tư</t>
  </si>
  <si>
    <t>Tổng số</t>
  </si>
  <si>
    <t>Trong đó:</t>
  </si>
  <si>
    <t xml:space="preserve">Tổng số </t>
  </si>
  <si>
    <t>Trong đó: Vốn Đài PTTH</t>
  </si>
  <si>
    <t>Năm 2021</t>
  </si>
  <si>
    <t>Giai đoạn 2022-2025</t>
  </si>
  <si>
    <t>I</t>
  </si>
  <si>
    <t>Dự án chuyển tiếp</t>
  </si>
  <si>
    <t>a</t>
  </si>
  <si>
    <t>Thành phố Vĩnh Long</t>
  </si>
  <si>
    <t>C</t>
  </si>
  <si>
    <t>B</t>
  </si>
  <si>
    <t>Dự án cầu Lộ 2 trên tuyến đường Võ Văn Kiệt (đoạn từ cầu Mậu Thân đến đường Nguyễn Huệ) thành phố Vĩnh Long</t>
  </si>
  <si>
    <t>78m</t>
  </si>
  <si>
    <t>2018-2023</t>
  </si>
  <si>
    <t>2767/QĐ-UBND ngày 31/10/2019</t>
  </si>
  <si>
    <t>b</t>
  </si>
  <si>
    <t>Thị trấn Vũng Liêm</t>
  </si>
  <si>
    <t>2020-2022</t>
  </si>
  <si>
    <t>Công viên phường 9, thành phố Vĩnh Long</t>
  </si>
  <si>
    <t>19.046 m2</t>
  </si>
  <si>
    <t>c</t>
  </si>
  <si>
    <t>II</t>
  </si>
  <si>
    <t>Dự án khởi công mới</t>
  </si>
  <si>
    <t>Dự án Đường liên xã Phú Quới - Thạnh Quới</t>
  </si>
  <si>
    <t>Xã Phú Quới và Thạnh Quới, huyện Long Hồ</t>
  </si>
  <si>
    <t>5,88km</t>
  </si>
  <si>
    <t>2021-2025</t>
  </si>
  <si>
    <t>Dự án Đường Rạch Ngay - Bờ Sao, huyện Vũng Liêm</t>
  </si>
  <si>
    <t>Xã Trung Hiệp và xã Tân An Luông, huyện Vũng Liêm</t>
  </si>
  <si>
    <t>1,4km</t>
  </si>
  <si>
    <t>2121/QĐ-UBND ngày 03/10/2017; 
1119/QĐ-UBND ngày 17/5/2021</t>
  </si>
  <si>
    <t>Xã Long Phước, huyện Long Hồ</t>
  </si>
  <si>
    <t>Xã Trung Thành - Trung Thành Đông</t>
  </si>
  <si>
    <t>4.280m</t>
  </si>
  <si>
    <t>Đường Thế Hanh, thị trấn Vũng Liêm</t>
  </si>
  <si>
    <t>1,64km</t>
  </si>
  <si>
    <t>2021 - 2025</t>
  </si>
  <si>
    <t>Nâng cấp Hương lộ Cái Ngang (đoạn từ tỉnh lộ 904 đến chợ Cái Ngang)</t>
  </si>
  <si>
    <t>5.200m</t>
  </si>
  <si>
    <t>Nâng cấp Hương lộ Cái Ngang (đoạn từ Quốc lộ 1A đến Cầu Cái Ngang nhỏ)</t>
  </si>
  <si>
    <t>7.000m</t>
  </si>
  <si>
    <t>Công viên truyền hình thị xã Bình Minh</t>
  </si>
  <si>
    <t>Xã Mỹ Hòa, thị xã Bình Minh</t>
  </si>
  <si>
    <t>2947/QĐ-UBND ngày 30/10/2020;
1912/QĐ-UBND ngày 20/7/2021</t>
  </si>
  <si>
    <t>Thị trấn Tân Quới, huyện Bình Tân</t>
  </si>
  <si>
    <t>Thị trấn Trà Ôn, huyện Trà Ôn</t>
  </si>
  <si>
    <t>Công viên truyền hình huyện Tam Bình</t>
  </si>
  <si>
    <t>Thị trấn Tam Bình, huyện Tam Bình</t>
  </si>
  <si>
    <t>Trung tâm thể thao truyền hình huyện Tam Bình</t>
  </si>
  <si>
    <t>Thị trấn Vũng Liêm, huyện Vũng Liêm</t>
  </si>
  <si>
    <t>Sân vận động huyện Vũng Liêm (giai đoạn 1)</t>
  </si>
  <si>
    <r>
      <t>33.740 m</t>
    </r>
    <r>
      <rPr>
        <vertAlign val="superscript"/>
        <sz val="13"/>
        <rFont val="Times New Roman"/>
        <family val="1"/>
        <charset val="163"/>
      </rPr>
      <t>2</t>
    </r>
  </si>
  <si>
    <r>
      <t>26.300 m</t>
    </r>
    <r>
      <rPr>
        <vertAlign val="superscript"/>
        <sz val="13"/>
        <rFont val="Times New Roman"/>
        <family val="1"/>
        <charset val="163"/>
      </rPr>
      <t>2</t>
    </r>
  </si>
  <si>
    <r>
      <t>34.000 m</t>
    </r>
    <r>
      <rPr>
        <vertAlign val="superscript"/>
        <sz val="13"/>
        <rFont val="Times New Roman"/>
        <family val="1"/>
        <charset val="163"/>
      </rPr>
      <t>2</t>
    </r>
  </si>
  <si>
    <t>Lĩnh vực Giao thông</t>
  </si>
  <si>
    <t>Lĩnh vực Văn hóa</t>
  </si>
  <si>
    <t>Tổng số (tất cả các nguồn vốn)</t>
  </si>
  <si>
    <t>Trong đó: NST</t>
  </si>
  <si>
    <t>NSTW</t>
  </si>
  <si>
    <t>NST</t>
  </si>
  <si>
    <t>Công trình chuyển tiếp</t>
  </si>
  <si>
    <t>Lĩnh vực Nông nghiệp - Thủy lợi</t>
  </si>
  <si>
    <t>Huyện Vũng Liêm</t>
  </si>
  <si>
    <t>Thị xã Bình Minh</t>
  </si>
  <si>
    <t>Công trình khởi công mới</t>
  </si>
  <si>
    <t>Xã Nhơn Bình, huyện Trà Ôn</t>
  </si>
  <si>
    <t>Phụ lục 1</t>
  </si>
  <si>
    <t xml:space="preserve"> - Thành phố Vĩnh Long</t>
  </si>
  <si>
    <t xml:space="preserve"> - Thị xã Bình Minh</t>
  </si>
  <si>
    <t xml:space="preserve"> - Huyện Long Hồ</t>
  </si>
  <si>
    <t xml:space="preserve"> - Huyện Mang Thít</t>
  </si>
  <si>
    <t xml:space="preserve"> - Huyện Vũng Liêm</t>
  </si>
  <si>
    <t xml:space="preserve"> - Huyện Trà Ôn</t>
  </si>
  <si>
    <t xml:space="preserve"> - Huyện Tam Bình</t>
  </si>
  <si>
    <t xml:space="preserve"> - Huyện Bình Tân</t>
  </si>
  <si>
    <t>PHÂN CẤP THEO TIÊU CHÍ ĐỊNH MỨC CHO HUYỆN, THỊ XÃ VÀ THÀNH PHỐ</t>
  </si>
  <si>
    <t>A</t>
  </si>
  <si>
    <t>PHÂN BỔ THỰC HIỆN CÁC NHIỆM VỤ CHI ĐẦU TƯ THEO QUY ĐỊNH</t>
  </si>
  <si>
    <t>Chuẩn bị đầu tư - Chuẩn bị dự án (bao gồm khảo sát, thiết kế thi công - dự toán); thanh toán, quyết toán, tất toán dự án hoàn thành</t>
  </si>
  <si>
    <t>Đối ứng ODA</t>
  </si>
  <si>
    <t>III</t>
  </si>
  <si>
    <t>VI</t>
  </si>
  <si>
    <t>VI.1</t>
  </si>
  <si>
    <t>Bố trí thực hiện dự án chuyển tiếp và khởi công mới</t>
  </si>
  <si>
    <t>d</t>
  </si>
  <si>
    <t>Huyện Mang Thít</t>
  </si>
  <si>
    <t>Lĩnh vực Quản lý nhà nước</t>
  </si>
  <si>
    <t>đ</t>
  </si>
  <si>
    <t>Lĩnh vực An ninh - Quốc phòng</t>
  </si>
  <si>
    <t>28 CCVC</t>
  </si>
  <si>
    <t>32 CCVC</t>
  </si>
  <si>
    <t>Trụ sở làm việc Đảng bộ khối cơ quan và Doanh nghiệp tỉnh và Ban Tuyên giáo Tỉnh ủy</t>
  </si>
  <si>
    <t>1.887,5m2</t>
  </si>
  <si>
    <t>1115/QĐ-UBND ngày 14/5/2021</t>
  </si>
  <si>
    <t>Xã Phú Quới, huyện Long Hồ</t>
  </si>
  <si>
    <t>xã Tân Long, huyện Mang Thít</t>
  </si>
  <si>
    <t>1686/QĐ-UBND ngày 03/7/2020</t>
  </si>
  <si>
    <t>Trung tâm hành chính xã Phú Quới, huyện Long Hồ</t>
  </si>
  <si>
    <t>Trung tâm hành chính xã Tân Long, huyện Mang Thít</t>
  </si>
  <si>
    <t>Trung tâm hành chính xã Tân An Luông, huyện Vũng Liêm</t>
  </si>
  <si>
    <t>Xã Tân An Luông, huyện Vũng Liêm</t>
  </si>
  <si>
    <t>Xã Thới Hòa, huyện Trà Ôn</t>
  </si>
  <si>
    <t>Xã Tân Long Hội, huyện Mang Thít</t>
  </si>
  <si>
    <t>Xã Trung Chánh, huyện Vũng Liêm</t>
  </si>
  <si>
    <t>Xã Hòa Phú, huyện Long Hồ</t>
  </si>
  <si>
    <t>28 CBCS (06 thường trực)</t>
  </si>
  <si>
    <t>2022-2025</t>
  </si>
  <si>
    <t>Xã Tường Lộc, huyện Tam Bình</t>
  </si>
  <si>
    <t>Trụ sở làm việc Ban CHQS thị trấn Cái Nhum, huyện Mang Thít</t>
  </si>
  <si>
    <t>Trụ sở làm việc Ban CHQS xã Mỹ An, huyện Mang Thít</t>
  </si>
  <si>
    <t>Trụ sở làm việc Ban CHQS xã Tân Long Hội, huyện Mang Thít</t>
  </si>
  <si>
    <t>Trụ sở làm việc Ban CHQS xã Nhơn Phú, huyện Mang Thít</t>
  </si>
  <si>
    <t>Trụ sở làm việc Ban CHQS xã Lục Sĩ Thành, huyện Trà Ôn</t>
  </si>
  <si>
    <t>Trụ sở làm việc Ban CHQS xã Vĩnh Xuân, huyện Trà Ôn</t>
  </si>
  <si>
    <t>Trụ sở làm việc Ban CHQS phường 2, thành phố Vĩnh Long</t>
  </si>
  <si>
    <t>Trụ sở làm việc Ban CHQS phường 4, thành phố Vĩnh Long</t>
  </si>
  <si>
    <t>Thị trấn Cái Nhum, huyện Mang Thít</t>
  </si>
  <si>
    <t>Xã Mỹ An, huyện Mang Thít</t>
  </si>
  <si>
    <t xml:space="preserve"> Xã Thuận Thới, huyện Trà Ôn</t>
  </si>
  <si>
    <t>Xã Lục Sĩ Thành, huyện Trà Ôn</t>
  </si>
  <si>
    <t>Xã Vĩnh Xuân, huyện Trà Ôn</t>
  </si>
  <si>
    <t>Phường 2, thành phố Vĩnh Long</t>
  </si>
  <si>
    <t>Phường 4, thành phố Vĩnh Long</t>
  </si>
  <si>
    <t>Xã An Bình, huyện Long Hồ</t>
  </si>
  <si>
    <t>Lĩnh vực Thương mại - Dịch vụ</t>
  </si>
  <si>
    <t>Nâng cấp, mở rộng Nhà khách Văn phòng UBND tỉnh Vĩnh Long</t>
  </si>
  <si>
    <t>Phường 2, Thành phố Vĩnh Long</t>
  </si>
  <si>
    <t>24 phòng</t>
  </si>
  <si>
    <t>PHÂN BỔ THỰC HIỆN CÁC NHIỆM VỤ CHI ĐẦU TƯ CẤP TỈNH THEO QUY ĐỊNH</t>
  </si>
  <si>
    <t>I.1</t>
  </si>
  <si>
    <t>Đường D1, thị trấn Long Hồ, huyện Long Hồ</t>
  </si>
  <si>
    <t>Thị trấn Long Hồ, huyện Long Hồ</t>
  </si>
  <si>
    <t>2,83km</t>
  </si>
  <si>
    <t>Thực hiện dự án</t>
  </si>
  <si>
    <t>HUYỆN LONG HỒ</t>
  </si>
  <si>
    <t>Trung tâm văn hóa, thông tin và thể thao thành phố Vĩnh Long</t>
  </si>
  <si>
    <t>Phường 9, thành phố Vĩnh Long</t>
  </si>
  <si>
    <t>Khối nhà làm việc, nhà đa năng…</t>
  </si>
  <si>
    <t>Quyết định đầu tư</t>
  </si>
  <si>
    <t>Kế hoạch trung hạn giai đoạn 2021-2025</t>
  </si>
  <si>
    <t>Số quyết định; ngày tháng, năm</t>
  </si>
  <si>
    <t>Trong đó NST:</t>
  </si>
  <si>
    <t>Xã Thanh Đức</t>
  </si>
  <si>
    <t>xã Thanh Đức</t>
  </si>
  <si>
    <t>Đường từ đường tỉnh 902 đến giáp Mỹ An, xã Thanh Đức, huyện Long Hồ</t>
  </si>
  <si>
    <t>3,0 km</t>
  </si>
  <si>
    <t>Đường từ cầu Bùng Binh Quốc lộ 57 (ấp Long Hưng) – Đường tỉnh 902 (ấp Thanh Mỹ 2), xã Thanh Đức, huyện Long Hồ</t>
  </si>
  <si>
    <t>5,25 km</t>
  </si>
  <si>
    <t>Xã An Bình</t>
  </si>
  <si>
    <t>Đường từ cầu Ủy ban xã An Bình - Giáp Hòa Ninh, xã An Bình, huyện Long Hồ</t>
  </si>
  <si>
    <t>2,775 km</t>
  </si>
  <si>
    <t>Xã Đồng Phú</t>
  </si>
  <si>
    <t>Đường từ cầu Đồng Phú đến giáp đường Vành Đai (cầu Bà Cò), xã Đồng Phú, huyện Long Hồ</t>
  </si>
  <si>
    <t>3,35km</t>
  </si>
  <si>
    <t>Đường từ Ủy ban nhân dân xã Đồng Phú đến giáp đường Vành Đai, xã Đồng Phú, huyện Long Hồ</t>
  </si>
  <si>
    <t>0,83 km</t>
  </si>
  <si>
    <t>Đường từ chợ Bà Cò đến trường tiểu học Trương Văn Ba, xã Đồng Phú, huyện Long Hồ</t>
  </si>
  <si>
    <t>xã Đồng Phú</t>
  </si>
  <si>
    <t>3km</t>
  </si>
  <si>
    <t>Lĩnh vực Giáo dục - Đào tạo</t>
  </si>
  <si>
    <t>Trường tiểu học Thanh Đức C, huyện Long Hồ</t>
  </si>
  <si>
    <t>328 học sinh</t>
  </si>
  <si>
    <t>2942/QĐ-UBND ngày 30/10/2020</t>
  </si>
  <si>
    <t>Trường mầm non An Bình, huyện Long Hồ</t>
  </si>
  <si>
    <t>353 trẻ</t>
  </si>
  <si>
    <t>Trường THCS An Bình, huyện Long Hồ</t>
  </si>
  <si>
    <t>600 học sinh</t>
  </si>
  <si>
    <t>Hội trường 100 chỗ, phòng chức năng</t>
  </si>
  <si>
    <t>Trung tâm Văn hóa - Thể thao xã Thanh Đức, huyện Long Hồ</t>
  </si>
  <si>
    <t>Cải tạo hội trường 200 chổ, phòng chức năng</t>
  </si>
  <si>
    <t>Trung tâm Văn hóa - Thể thao xã An Bình, huyện Long Hồ</t>
  </si>
  <si>
    <t>Cải tạo trường, phòng chức năng</t>
  </si>
  <si>
    <t>HUYỆN MANG THÍT</t>
  </si>
  <si>
    <t>3,7km</t>
  </si>
  <si>
    <t>3,0km</t>
  </si>
  <si>
    <t>Xã Nhơn Phú</t>
  </si>
  <si>
    <t>Đường liên ấp Phú Thạnh C, xã Nhơn Phú (tuyến đường huyện 31B - cầu Sáu Tâm - giáp xã Hòa Tịnh), huyện Mang Thít.</t>
  </si>
  <si>
    <t>xã Nhơn Phú</t>
  </si>
  <si>
    <t>Đường liên ấp Phú Quới - ấp Chợ, xã Nhơn Phú, huyện Mang Thít.</t>
  </si>
  <si>
    <t>Xã Bình Phước</t>
  </si>
  <si>
    <t>xã Bình Phước</t>
  </si>
  <si>
    <t>2,4km</t>
  </si>
  <si>
    <t>Đường liên ấp Phước Thới B - giáp xã Nhơn Phú (Cái Sao Chánh Thuận - đường huyện 31B), xã Bình Phước, huyện Mang Thít.</t>
  </si>
  <si>
    <t>420 học sinh</t>
  </si>
  <si>
    <t>Trường Tiểu học Nhơn Phú A, huyện Mang Thít</t>
  </si>
  <si>
    <t>496 học sinh</t>
  </si>
  <si>
    <t>Trường THCS Nhơn Phú, huyện Mang Thít</t>
  </si>
  <si>
    <t>560 học sinh</t>
  </si>
  <si>
    <t>Trường THCS Bình Phước, huyện Mang Thít</t>
  </si>
  <si>
    <t>349 học sinh</t>
  </si>
  <si>
    <t>Trường tiểu học Bình Phước C, huyện Mang Thít</t>
  </si>
  <si>
    <t>310 học sinh</t>
  </si>
  <si>
    <t>Cải tạo</t>
  </si>
  <si>
    <t>Hội trường 200 chỗ, phòng chức năng</t>
  </si>
  <si>
    <t>Trung tâm Văn hóa - Thể thao xã Nhơn Phú, huyện Mang Thít</t>
  </si>
  <si>
    <t>Nhà văn hóa thể thao cụm ấp Phú Thuận A - Phú Thuận B - Phú Quới - Phú Hòa, xã Nhơn Phú, huyện Mang Thít</t>
  </si>
  <si>
    <t>Hội truòng 100 chỗ, phòng chức năng</t>
  </si>
  <si>
    <t>Trung tâm Văn hóa - Thể thao xã Bình Phước, huyện Mang Thít</t>
  </si>
  <si>
    <t>Hội truòng 200 chỗ, phòng chức năng</t>
  </si>
  <si>
    <t>Nhà văn hóa thể thao cụm ấp Phước Thới - Phước Chí, xã Bình Phước, huyện Mang Thít</t>
  </si>
  <si>
    <t>HUYỆN VŨNG LIÊM</t>
  </si>
  <si>
    <t>Xã Hiếu Thành</t>
  </si>
  <si>
    <t>Xã Hiếu Thuận</t>
  </si>
  <si>
    <t>1,85km</t>
  </si>
  <si>
    <t>1994/QĐ-UBND ngày 27/7/2021</t>
  </si>
  <si>
    <t>Xã Trung Chánh</t>
  </si>
  <si>
    <t>Xã Trung Thành Tây</t>
  </si>
  <si>
    <t>Đường liên ấp Hòa Nghĩa – Quới Hiệp, xã Trung Thành Tây, huyện Vũng Liêm.</t>
  </si>
  <si>
    <t>3,9km</t>
  </si>
  <si>
    <t>Đường liên ấp Trung Hậu – Trường Thọ (cặp sông Rạch Lá), xã Trung Thành Tây, huyện Vũng Liêm.</t>
  </si>
  <si>
    <t>3,36km</t>
  </si>
  <si>
    <t>280 trẻ</t>
  </si>
  <si>
    <t>Trường trung học cơ sở Hiếu Thành, huyện Vũng Liêm</t>
  </si>
  <si>
    <t>444 học sinh</t>
  </si>
  <si>
    <t>Trường mẫu giáo Hiếu Thuận, huyện Vũng Liêm</t>
  </si>
  <si>
    <t>255 trẻ</t>
  </si>
  <si>
    <t>370 học sinh</t>
  </si>
  <si>
    <t>Trường mẫu giáo Trung Thành Tây, huyện Vũng Liêm</t>
  </si>
  <si>
    <t>258 trẻ</t>
  </si>
  <si>
    <t>CT: 1991/QĐ-UBND ngày 04/8/2020</t>
  </si>
  <si>
    <t>Trường THCS Nguyễn Việt Hùng, xã Trung Thành Tây, huyện Vũng Liêm</t>
  </si>
  <si>
    <t>430 học sinh</t>
  </si>
  <si>
    <t>CT: 3411/QĐ-UBND ngày 21/12/2020</t>
  </si>
  <si>
    <t>Cải tạo HT, phòng chức năng</t>
  </si>
  <si>
    <t>Trung tâm Văn hoá - Thể thao xã Trung Chánh, huyện Vũng Liêm</t>
  </si>
  <si>
    <t>Trung tâm Văn hoá - Thể thao xã Trung Thành Tây, huyện Vũng Liêm</t>
  </si>
  <si>
    <t>Nhà văn hoá thể thao cụm ấp An Hoà - Trường Thọ, xã Trung Thành Tây, huyện Vũng Liêm</t>
  </si>
  <si>
    <t>HUYỆN TAM BÌNH</t>
  </si>
  <si>
    <t>3,5km</t>
  </si>
  <si>
    <t>Xã Mỹ Thạnh Trung</t>
  </si>
  <si>
    <t>2,3km</t>
  </si>
  <si>
    <t>2,8km</t>
  </si>
  <si>
    <t>HUYỆN TRÀ ÔN</t>
  </si>
  <si>
    <t>Xã Nhơn Bình</t>
  </si>
  <si>
    <t>Đường liên ấp Sa Co - Nhơn Trí - Tường Ngãi – đường huyện 74, xã Nhơn Bình, huyện Trà Ôn</t>
  </si>
  <si>
    <t xml:space="preserve">Xã Nhơn Bình </t>
  </si>
  <si>
    <t>5,9km</t>
  </si>
  <si>
    <t>Đường liên ấp Ngãi Lộ B - kênh Sài Gòn Mới - giáp xã Nhơn Bình, huyện Trà Ôn</t>
  </si>
  <si>
    <t>Xã Nhơn Bình và xã Trà Côn</t>
  </si>
  <si>
    <t>Trường mầm non Nhơn Bình, huyện Trà Ôn</t>
  </si>
  <si>
    <t>Xã Trà Côn</t>
  </si>
  <si>
    <t>Trường mầm non Trà Côn, huyện Trà Ôn</t>
  </si>
  <si>
    <t>550 trẻ</t>
  </si>
  <si>
    <t>Trường tiểu học Trà Côn C, huyện Trà Ôn</t>
  </si>
  <si>
    <t>320 học sinh</t>
  </si>
  <si>
    <t>Trường THCS Trà Côn, huyện Trà Ôn</t>
  </si>
  <si>
    <t>Trung tâm Văn hóa - Thể thao xã Trà Côn, huyện Trà Ôn</t>
  </si>
  <si>
    <t>Hệ thống cấp nước tập trung liên xã Mỹ Hòa 2, thị xã Bình Minh</t>
  </si>
  <si>
    <t>13.660m</t>
  </si>
  <si>
    <t>Nâng cấp công suất trạm cấp nước xã Thuận An, thị xã Bình Minh</t>
  </si>
  <si>
    <t>Xã Thuận An, thị xã Bình Minh</t>
  </si>
  <si>
    <t>6.500m</t>
  </si>
  <si>
    <t>Nâng cấp công suất trạm cấp nước xã Lộc Hòa, huyện Long Hồ</t>
  </si>
  <si>
    <t>Xã Lộc Hòa, huyện Long Hồ</t>
  </si>
  <si>
    <t>3.500m</t>
  </si>
  <si>
    <t>Nâng cấp công suất trạm cấp nước xã Long Mỹ, huyện Mang Thít</t>
  </si>
  <si>
    <t>Xã Long Mỹ, huyện Mang Thít</t>
  </si>
  <si>
    <t>4.500m</t>
  </si>
  <si>
    <t>Nâng cấp công suất trạm cấp nước xã Thanh Bình, huyện Vũng Liêm</t>
  </si>
  <si>
    <t>Xã Thanh Bình, huyện Vũng Liêm</t>
  </si>
  <si>
    <t>11.000m</t>
  </si>
  <si>
    <t>Nâng cấp công suất trạm cấp nước Lục Sỹ Thành 1 xã Lục Sỹ Thành, huyện Trà Ôn</t>
  </si>
  <si>
    <t>Xã Lục Sỹ Thành, huyện Trà Ôn</t>
  </si>
  <si>
    <t>5.500m</t>
  </si>
  <si>
    <t>Hệ thống cấp nước tập trung liên xã Tân Bình 2, huyện Bình Tân</t>
  </si>
  <si>
    <t>Xã Tân Bình, huyện Bình Tân</t>
  </si>
  <si>
    <t>15.100m</t>
  </si>
  <si>
    <r>
      <t>Hội trường 200 c</t>
    </r>
    <r>
      <rPr>
        <i/>
        <sz val="13"/>
        <rFont val="Times New Roman"/>
        <family val="1"/>
        <charset val="163"/>
      </rPr>
      <t>h</t>
    </r>
    <r>
      <rPr>
        <sz val="13"/>
        <rFont val="Times New Roman"/>
        <family val="1"/>
        <charset val="163"/>
      </rPr>
      <t>ỗ, phòng chức năng</t>
    </r>
  </si>
  <si>
    <t>Lĩnh vực Nước sạch</t>
  </si>
  <si>
    <t>Xã Quới An</t>
  </si>
  <si>
    <t>TỔNG SỐ</t>
  </si>
  <si>
    <t>Lĩnh vực Xã hội - Công cộng</t>
  </si>
  <si>
    <t>Thiết bị</t>
  </si>
  <si>
    <t>Dự án Phát triển đô thị và tăng cường khả năng thích ứng biến đổi khí hậu thành phố Vĩnh Long, tỉnh Vĩnh Long</t>
  </si>
  <si>
    <t>IV</t>
  </si>
  <si>
    <t>Các dự án do các cá nhân, doanh nghiệp, tổ chức phi Chính phủ,... tài trợ (đối ứng)</t>
  </si>
  <si>
    <t>V</t>
  </si>
  <si>
    <t>Huyện Long Hồ</t>
  </si>
  <si>
    <t>2379/QĐ-UBND ngày 18/9/2019; 870/QĐ-UBND ngày 06/4/2020; 2139/QĐ-UBND ngày 11/8/2021</t>
  </si>
  <si>
    <t>Phường 9, Trường An, Tân Ngãi</t>
  </si>
  <si>
    <t>2,83km và 02 cầu</t>
  </si>
  <si>
    <t>Đê bao sông Măng Thít, tỉnh Vĩnh Long (giai đoạn 2)</t>
  </si>
  <si>
    <t>Hệ thống thủy lợi ngăn mặn, tiếp ngọt khu vực huyện Vũng Liêm.</t>
  </si>
  <si>
    <t>HTTL ngăn mặn, giữ ngọt xã Thanh Bình và xã Quới Thiện, huyện Vũng Liêm</t>
  </si>
  <si>
    <t xml:space="preserve">Đê bao chống ngập thành phố Vĩnh Long - khu vực sông Cái Cá </t>
  </si>
  <si>
    <t>Huyện Vũng Liêm, Tam Bình, Mang Thít, Trà Ôn</t>
  </si>
  <si>
    <t>2016-2025</t>
  </si>
  <si>
    <t>2018-2024</t>
  </si>
  <si>
    <t>2018-2025</t>
  </si>
  <si>
    <t>2017-2025</t>
  </si>
  <si>
    <t>Tuyến đê bao dài 47,3 km; 18 cống hở; 22 cống ngầm, 6 tuyến kè sạt lở bờ sông dài 3.150m.</t>
  </si>
  <si>
    <t>Cung cấp nước ngọt 32.251 hộ dân và 15.000 ha đất nông nghiệp</t>
  </si>
  <si>
    <t>Kè dài 1.314m</t>
  </si>
  <si>
    <t>Đê bao: 14,7km; 10cống hở; 12 cống đập kiên cố</t>
  </si>
  <si>
    <t>2323/QĐ-UBND ngày 31/10/2017; 2868/QĐ-UBND ngày 26/10/2020; 2133/QĐ-UBND ngày 11/8/2021</t>
  </si>
  <si>
    <t>4.834m</t>
  </si>
  <si>
    <t>1230/QĐ-UBND ngày 07/6/2017; 964/QĐ-UBND ngày 29/4/2021</t>
  </si>
  <si>
    <t>Đê bao dọc sông Hậu tỉnh Vĩnh Long</t>
  </si>
  <si>
    <t>Huyện Trà Ôn, Bình Tân, thị xã Bình Minh</t>
  </si>
  <si>
    <t>1.500ha, Đê bao 26,6km. Kè chống sạt lở bờ sông: 1,566km; 08 cống hở</t>
  </si>
  <si>
    <t>Đầu tư Hạ tầng phục vụ sản xuất nông nghiệp khu vực thị xã Bình Minh - huyện Tam Bình</t>
  </si>
  <si>
    <t>Thị xã Bình Minh, huyện Tam Bình</t>
  </si>
  <si>
    <t>3.000ha. Đường trục nội đồng 12,9km. Cống hở: 02 cống. Kiên cố đập: 04 đập.Trạm bơm: 01 trạm. Bến trung chuyển hàng hóa: 01 bến.</t>
  </si>
  <si>
    <t>Kè chống sạt lở bờ sông Mang Thít - Khu vực 10B, thị trấn Trà Ôn, huyện Trà Ôn (đoạn từ bến phà An Thới đến chân cầu Trà Ôn)</t>
  </si>
  <si>
    <t>Huyện Tam Bình</t>
  </si>
  <si>
    <t>Huyện Trà Ôn</t>
  </si>
  <si>
    <t>2020-2024</t>
  </si>
  <si>
    <t>Kè dài 530m</t>
  </si>
  <si>
    <t>2901/QĐ-UBND ngày 29/10/2020; 1469/QĐ-UBND ngày 15/6/2021; 2096/QĐ-UBND ngày 05/8/2021</t>
  </si>
  <si>
    <t>Đầu tư cải tạo, nâng cấp đường tỉnh 902 (đoạn từ cầu Mỹ An - Cầu Vũng Liêm) huyện Mang Thít và huyện Vũng Liêm, tỉnh Vĩnh Long</t>
  </si>
  <si>
    <t>Huyện Mang Thít và Vũng Liêm</t>
  </si>
  <si>
    <t>20,605 km</t>
  </si>
  <si>
    <t>Bến xe Vĩnh Long (giai đoạn 1)</t>
  </si>
  <si>
    <t>22.193m2</t>
  </si>
  <si>
    <t>e</t>
  </si>
  <si>
    <t>Kè chống sạt lở bờ sông Cổ Chiên (đoạn từ đầu cù lao An Bình đến phà An Bình), xã An Bình, huyện Long Hồ, tỉnh Vĩnh Long</t>
  </si>
  <si>
    <t>Hệ thống thủy lợi Cồn Lục Sỹ, huyện Trà Ôn, tỉnh Vĩnh Long (giai đoạn 2)</t>
  </si>
  <si>
    <t>Hệ thống thủy lợi Thanh Đức - Long Mỹ, huyện Long Hồ và huyện Mang Thít</t>
  </si>
  <si>
    <t xml:space="preserve">Kè dài 4.300m </t>
  </si>
  <si>
    <t>2020-2025</t>
  </si>
  <si>
    <t xml:space="preserve">Kè dài 2.000m </t>
  </si>
  <si>
    <t>Phục vụ tưới tiêu 2.000ha, gồm: Đê bao dài 35km, cống hở: 05 cống, kè chống sạt lở bờ sông 700m</t>
  </si>
  <si>
    <t>Phục vụ tưới tiêu 10.000ha; bao gồm: nạo vét kết hợp đắp đê bao: 67km, cống hở: 08 cống</t>
  </si>
  <si>
    <t>Đê bao 12,8km, đê bao kết hợp đường trục nội đồng 15km, cống hở: 05 cống, bến trung chuyển hàng hóa: 02 bến</t>
  </si>
  <si>
    <t>Phường Tân Hòa, thành phố Vĩnh Long</t>
  </si>
  <si>
    <t>Xã Lục Sĩ Thành và xã  Phú Thành, huyện Trà Ôn</t>
  </si>
  <si>
    <t>Xã Mỹ Lộc - Mỹ Thạnh Trung - Long Phú - Song Phú, huyện Tam Bình</t>
  </si>
  <si>
    <t>Dự án Đường từ Quốc lộ 53 - Khu công nghiệp Hòa Phú (ĐT.909B) - Đường Phú Lộc Bầu Gốc - Quốc lộ 1 tỉnh Vĩnh Long</t>
  </si>
  <si>
    <t>Dự án Cầu và đường đến trung tâm xã Nhơn Bình, huyện Trà Ôn, tỉnh Vĩnh Long</t>
  </si>
  <si>
    <t>Dự án Cầu và đường đến trung tâm xã Thành Trung, huyện Bình Tân, tỉnh Vĩnh Long</t>
  </si>
  <si>
    <t>Đường từ Quốc lộ 54 đến Khu công nghiệp Bình Minh, thị xã Bình Minh, tỉnh Vĩnh Long</t>
  </si>
  <si>
    <t>Cải tạo, nâng cấp ĐT.910B tỉnh Vĩnh Long</t>
  </si>
  <si>
    <t>Thành phố Vĩnh Long, huyện Long Hồ và Tam Bình</t>
  </si>
  <si>
    <t>Xã Thành Trung, huyện Bình Tân</t>
  </si>
  <si>
    <t>Huyện Tam Bình và Trà Ôn</t>
  </si>
  <si>
    <t>Thị xã Bình Minh, huyện Bình Tân</t>
  </si>
  <si>
    <t>Huyện Vũng Liêm và Mang Thít</t>
  </si>
  <si>
    <t>14,76km và 11 cầu</t>
  </si>
  <si>
    <t>6,772 km và 3 cầu</t>
  </si>
  <si>
    <t>6,103 km và 3 cầu</t>
  </si>
  <si>
    <t>2,120km</t>
  </si>
  <si>
    <t xml:space="preserve">Giai đoạn 1 : 01 cầu dài 0,342km và đường vào cầu dài 0,2km; Giai đoạn 2: Đường dài 6,250km và 03 cầu </t>
  </si>
  <si>
    <t>2781/QĐ-UBND ngày 15/10/2020; 1429/QĐ-UBND ngày 10/6/2021</t>
  </si>
  <si>
    <t>Đường dài 9,6km  mở rộng mặt cầu 08 cầu</t>
  </si>
  <si>
    <t>37,4km và 16 cầu</t>
  </si>
  <si>
    <t>Lĩnh vực Y tế</t>
  </si>
  <si>
    <t>Bệnh viện y học cổ truyền tỉnh Vĩnh Long</t>
  </si>
  <si>
    <t>200 giường</t>
  </si>
  <si>
    <t>Lĩnh vực Giáo dục - Đào tạo và dạy nghề</t>
  </si>
  <si>
    <t>Đường từ cầu Ngã Tư đến đường tỉnh 910, xã Thuận An, thị xã Bình Minh</t>
  </si>
  <si>
    <t>Cầu xã Đông Thạnh, thị xã Bình Minh</t>
  </si>
  <si>
    <t>Xã Đông Thạnh, thị xã Bình Minh</t>
  </si>
  <si>
    <t>1,98km</t>
  </si>
  <si>
    <t>45,9m</t>
  </si>
  <si>
    <t>Đường nội ô số 1, thị trấn Vũng Liêm, huyện Vũng Liêm.</t>
  </si>
  <si>
    <t>Thị trấn Vũng Liêm, huyện Vũng Liêm.</t>
  </si>
  <si>
    <t>893m</t>
  </si>
  <si>
    <t>Đường Kinh Mới</t>
  </si>
  <si>
    <t>Cầu Phước Mỹ, xã Phú Thành, huyện Trà Ôn</t>
  </si>
  <si>
    <t>Xã Phú Thành, huyên Trà Ôn</t>
  </si>
  <si>
    <t>xã Hòa Bình và xã Hiếu Nhơn, huyên Trà Ôn</t>
  </si>
  <si>
    <t>1068m</t>
  </si>
  <si>
    <t>18m</t>
  </si>
  <si>
    <t>Đường vào làng nghề ấp Nhà Thờ, xã Tường Lộc, huyện Tam Bình</t>
  </si>
  <si>
    <t>2,5km</t>
  </si>
  <si>
    <t>19,8 ha</t>
  </si>
  <si>
    <t>Phủ đỉnh bãi chôn lấp hợp vệ sinh số 2, xã Hòa Phú, huyện Long Hồ</t>
  </si>
  <si>
    <t>1,76 ha</t>
  </si>
  <si>
    <t>2969/QĐ-UBND ngày 30/10/2020</t>
  </si>
  <si>
    <t>Bãi chôn lấp rác hợp vệ sinh số 4, xã Hoà Phú, huyên Long Hồ</t>
  </si>
  <si>
    <t>2ha</t>
  </si>
  <si>
    <t>Lĩnh vực Thông tin - Truyền thông</t>
  </si>
  <si>
    <t>Tỉnh Vĩnh Long</t>
  </si>
  <si>
    <t>Nâng cấp Hệ thống an toàn thông tin mạng WAN tỉnh Vĩnh Long.</t>
  </si>
  <si>
    <t>Phần mềm, phần cứng</t>
  </si>
  <si>
    <t>Nâng cấp công nghệ thông tin trong hoạt động của các cơ quan Đảng tỉnh Vĩnh Long</t>
  </si>
  <si>
    <t>Đảm bảo an toàn, an ninh thông tin phục vụ công tác chỉ đạo điều hành UBND tỉnh</t>
  </si>
  <si>
    <t>Đầu tư thiết bị thực hiện chương trình đổi mới giáo dục phổ thông lớp 4 và lớp 8 trên địa bàn thành phố Vĩnh Long</t>
  </si>
  <si>
    <t>Đầu tư thiết bị thực hiện chương trình đổi mới giáo dục phổ thông lớp 5 và lớp 9 trên địa bàn thành phố Vĩnh Long</t>
  </si>
  <si>
    <t>trên địa bàn thành phố Vĩnh Long</t>
  </si>
  <si>
    <t>2022-2024</t>
  </si>
  <si>
    <t>2023-2025</t>
  </si>
  <si>
    <t>trên địa bàn  thị xã Bình Minh</t>
  </si>
  <si>
    <t>CT: 1474/QĐ-UBND ngày 15/6/2021</t>
  </si>
  <si>
    <t>Đầu tư thiết bị thực hiện chương trình đổi mới giáo dục phổ thông lớp 4 và lớp 8 trên địa bàn thị xã Bình Minh</t>
  </si>
  <si>
    <t>Đầu tư thiết bị thực hiện chương trình đổi mới giáo dục phổ thông lớp 5 và lớp 9 trên địa bàn thị xã Bình Minh</t>
  </si>
  <si>
    <t>CT: 1488/QĐ-UBND ngày 15/6/2021</t>
  </si>
  <si>
    <t>Đầu tư thiết bị thực hiện chương trình đổi mới giáo dục phổ thông lớp 5 và lớp 9 trên địa bàn huyện Long Hồ</t>
  </si>
  <si>
    <t>Trên địa bàn  huyện Long Hồ</t>
  </si>
  <si>
    <t>CT: 1482/QĐ-UBND ngày 15/6/2021</t>
  </si>
  <si>
    <t>Đầu tư thiết bị thực hiện chương trình đổi mới giáo dục phổ thông lớp 4 và lớp 8 trên địa bàn huyện Mang Thít</t>
  </si>
  <si>
    <t>Đầu tư thiết bị thực hiện chương trình đổi mới giáo dục phổ thông lớp 5 và lớp 9 trên địa bàn huyện Mang Thít</t>
  </si>
  <si>
    <t>CT: 1479/QĐ-UBND ngày 15/6/2021</t>
  </si>
  <si>
    <t>Trường tiểu học thị trấn Cái Nhum, huyện Mang Thít</t>
  </si>
  <si>
    <t>875 học sinh</t>
  </si>
  <si>
    <t>Đầu tư thiết bị thực hiện chương trình đổi mới giáo dục phổ thông lớp 4 và lớp 8 trên địa bàn huyện Vũng Liêm</t>
  </si>
  <si>
    <t>Đầu tư thiết bị thực hiện chương trình đổi mới giáo dục phổ thông lớp 5 và lớp 9 trên địa bàn huyện Vũng Liêm</t>
  </si>
  <si>
    <t>CT: 1538/QĐ-UBND ngày 16/6/2021</t>
  </si>
  <si>
    <t>Đầu tư thiết bị thực hiện chương trình đổi mới giáo dục phổ thông lớp 4 và lớp 8 trên địa bàn huyện Trà Ôn</t>
  </si>
  <si>
    <t>Đầu tư thiết bị thực hiện chương trình đổi mới giáo dục phổ thông lớp 5 và lớp 9 trên địa bàn huyện Trà Ôn</t>
  </si>
  <si>
    <t>CT: 1499/QĐ-UBND ngày 15/6/2021</t>
  </si>
  <si>
    <t>Đầu tư thiết bị thực hiện chương trình đổi mới giáo dục phổ thông lớp 5 và lớp 9 trên địa bàn huyện Tam Bình</t>
  </si>
  <si>
    <t>CT: 1502/QĐ-UBND ngày 15/6/2021</t>
  </si>
  <si>
    <t>Đầu tư thiết bị thực hiện chương trình đổi mới giáo dục phổ thông lớp 5 và lớp 9 trên địa bàn huyện Bình Tân</t>
  </si>
  <si>
    <t>CT: 1535/QĐ-UBND ngày 16/6/2021</t>
  </si>
  <si>
    <t>Nâng cấp, mở rộng</t>
  </si>
  <si>
    <t>Cải tạo, nâng cấp Bệnh viện đa khoa tỉnh Vĩnh Long (giai đoạn 2)</t>
  </si>
  <si>
    <t>Từ 600 giường lên 830 giường</t>
  </si>
  <si>
    <t>Tại các trường THCS-THPT công lập trên địa bàn tỉnh Vĩnh Long</t>
  </si>
  <si>
    <t>Đầu tư thiết bị phòng học bộ môn khoa học tự nhiên cho các Trường Trung học cơ sở trên địa bàn tỉnh Vĩnh Long</t>
  </si>
  <si>
    <t>Tại các trường THCS công lập trên địa bàn tỉnh Vĩnh Long</t>
  </si>
  <si>
    <t>Đầu tư mới</t>
  </si>
  <si>
    <t>Cải tạo, nâng cấp</t>
  </si>
  <si>
    <t>13km</t>
  </si>
  <si>
    <t>Hệ thống chiếu sáng công cộng quốc lộ 1A (đoạn từ cầu Mù U đến cầu Rạch Múc), huyện Tam Bình</t>
  </si>
  <si>
    <t>5,422km</t>
  </si>
  <si>
    <t>Đầu tư trang thiết bị cho Bệnh viện đa khoa Vĩnh Long (giai đoạn 2)</t>
  </si>
  <si>
    <t>CT: 1963/QĐ-UBND ngày 03/8/2020</t>
  </si>
  <si>
    <t>V.1</t>
  </si>
  <si>
    <t>V.2</t>
  </si>
  <si>
    <t>Chi đầu tư phát triển khác</t>
  </si>
  <si>
    <t>Tặng thưởng công trình phúc lợi xã hội cho xã đạt NTM, NTM nâng cao, ấp kiểu mẫu,... theo quyết định của UBND tỉnh</t>
  </si>
  <si>
    <t>Giao UBND tỉnh phân khai theo quyết định công nhận</t>
  </si>
  <si>
    <t>Nhà thi đấu đa năng tỉnh Vĩnh Long</t>
  </si>
  <si>
    <t>2945/QĐ-UBND ngày 30/10/2020</t>
  </si>
  <si>
    <t>g</t>
  </si>
  <si>
    <t>Lĩnh vực Giáo dục - Đào tạo và Dạy nghề</t>
  </si>
  <si>
    <t>h</t>
  </si>
  <si>
    <t>Phụ lục 2</t>
  </si>
  <si>
    <t>Phụ lục 4</t>
  </si>
  <si>
    <t>Phụ lục 3</t>
  </si>
  <si>
    <t>Phụ lục 5</t>
  </si>
  <si>
    <t>Phụ lục 7</t>
  </si>
  <si>
    <t>Phụ lục 8</t>
  </si>
  <si>
    <t>Phụ lục 9</t>
  </si>
  <si>
    <t>Phụ lục 10</t>
  </si>
  <si>
    <t>Phường 1, thành phố Vĩnh Long</t>
  </si>
  <si>
    <t>xã Hòa Lộc, Mỹ Lộc, huyện Tam Bình</t>
  </si>
  <si>
    <t>Xã Song Phú, Phú Lộc, huyện Tam Bình</t>
  </si>
  <si>
    <t>Xã Nhơn Phú, huyện Mang Thít</t>
  </si>
  <si>
    <t>Các xã Mỹ Phước, An Phước, Chánh An, huyện Mang Thít</t>
  </si>
  <si>
    <t>Xã Tân Phú, huyện Tam Bình</t>
  </si>
  <si>
    <t>Phân loại dự án</t>
  </si>
  <si>
    <t>Lĩnh vực</t>
  </si>
  <si>
    <t>KHV</t>
  </si>
  <si>
    <t>Số dự án</t>
  </si>
  <si>
    <t>Số vốn</t>
  </si>
  <si>
    <t>Giao thông</t>
  </si>
  <si>
    <t>NN-TL</t>
  </si>
  <si>
    <t>GDĐT</t>
  </si>
  <si>
    <t>YT</t>
  </si>
  <si>
    <t>VH</t>
  </si>
  <si>
    <t>TTTT</t>
  </si>
  <si>
    <t>XH-CC</t>
  </si>
  <si>
    <t>NS</t>
  </si>
  <si>
    <t>TNMT</t>
  </si>
  <si>
    <t>QLNN</t>
  </si>
  <si>
    <t>QPAN</t>
  </si>
  <si>
    <t>PTĐT</t>
  </si>
  <si>
    <t>TMDV</t>
  </si>
  <si>
    <t>Chuyển tiếp</t>
  </si>
  <si>
    <t>Khởi công mới</t>
  </si>
  <si>
    <t>CT</t>
  </si>
  <si>
    <t>KCM</t>
  </si>
  <si>
    <t>GT</t>
  </si>
  <si>
    <t>(ĐẦU TƯ CÁC CÔNG TRÌNH THUỘC CHƯƠNG TRÌNH MỤC TIÊU QUỐC GIA XÂY DỰNG NÔNG THÔN MỚI, NÂNG THÔN MỚI NÂNG CAO,… GIAI ĐOẠN 2021-2025)</t>
  </si>
  <si>
    <t>Chi tiết tại phụ lục số 04</t>
  </si>
  <si>
    <t>Đầu tư các công trình thuộc Chương trình mục tiêu quốc gia giai đoạn 2021-2025</t>
  </si>
  <si>
    <t>Nguồn NSNN thực hiện CTMTQGXD NTM</t>
  </si>
  <si>
    <t>II.1</t>
  </si>
  <si>
    <t>II.2</t>
  </si>
  <si>
    <t>II.3</t>
  </si>
  <si>
    <t>II.4</t>
  </si>
  <si>
    <t>Xã nông thôn mới nâng cao</t>
  </si>
  <si>
    <t>Xã nông thôn mới nâng cao.</t>
  </si>
  <si>
    <t xml:space="preserve"> - Xã nông thôn mới nâng cao.
 - Hỗ trợ hạ tầng Hợp tác xã</t>
  </si>
  <si>
    <t>Xã Thanh Đức, huyện Long Hồ và xã Long Mỹ, huyện Mang Thít</t>
  </si>
  <si>
    <t>Trên địa bàn huyện Mang Thít</t>
  </si>
  <si>
    <t>Trên địa bàn huyện Vũng Liêm</t>
  </si>
  <si>
    <t>Trên địa bàn huyện Tam Bình</t>
  </si>
  <si>
    <t>Trên địa bàn huyện Trà Ôn</t>
  </si>
  <si>
    <t>Trên địa bàn huyện Bình Tân</t>
  </si>
  <si>
    <t>Cải tạo, sửa chữa</t>
  </si>
  <si>
    <t>xã Hòa Bình, huyện Trà Ôn</t>
  </si>
  <si>
    <t>3,6km</t>
  </si>
  <si>
    <t>Nội dung</t>
  </si>
  <si>
    <t>NGUỒN CÂN ĐỐI NGÂN SÁCH TỈNH</t>
  </si>
  <si>
    <t>Phân cấp theo tiêu chí định mức cho huyện, thị xã và thành phố</t>
  </si>
  <si>
    <t>Phân bổ thực hiện các nhiệm vụ chi đầu tư theo quy định</t>
  </si>
  <si>
    <t>Bố trí thực hiện công trình chuyển tiếp và khởi công mới</t>
  </si>
  <si>
    <t>NGUỒN THU TIỀN SỬ DỤNG ĐẤT</t>
  </si>
  <si>
    <t>NGUỒN XỔ SỐ KIẾN THIẾT</t>
  </si>
  <si>
    <t>D</t>
  </si>
  <si>
    <t>NGUỒN ĐÀI PHÁT PHÁT THANH VÀ TRUYỀN HÌNH VĨNH LONG NỘP VÀO NGÂN SÁCH TỈNH</t>
  </si>
  <si>
    <t>Đ</t>
  </si>
  <si>
    <t>E</t>
  </si>
  <si>
    <t>G</t>
  </si>
  <si>
    <t>NGUỒN XỔ SỐ KIẾN THIẾT CÁC NĂM TRƯỚC</t>
  </si>
  <si>
    <t>H</t>
  </si>
  <si>
    <t>K</t>
  </si>
  <si>
    <t>L</t>
  </si>
  <si>
    <t>NGUỒN KẾT DƯ TIỀN SỬ DỤNG ĐẤT NĂM 2020</t>
  </si>
  <si>
    <t>Kế hoạch trung hạn vốn NST giai đoạn 2021-2025</t>
  </si>
  <si>
    <t>Danh mục dự án/công trình</t>
  </si>
  <si>
    <t>Dự án nhóm (A, B, C)</t>
  </si>
  <si>
    <t>Năng lực thiết kế (quy mô đầu tư)</t>
  </si>
  <si>
    <t>Thời gian KC - HT</t>
  </si>
  <si>
    <t>Trong đó NST (vốn vay lại):</t>
  </si>
  <si>
    <t>Lĩnh vực công trình công cộng tại các đô thị</t>
  </si>
  <si>
    <t>Phụ lục 13</t>
  </si>
  <si>
    <t>M</t>
  </si>
  <si>
    <t>Xã nông thôn mới</t>
  </si>
  <si>
    <t>Huyện nông thôn mới.</t>
  </si>
  <si>
    <t>Trung tâm hành chính xã Thới Hòa, huyện Trà Ôn</t>
  </si>
  <si>
    <t>C.1</t>
  </si>
  <si>
    <t>C.2</t>
  </si>
  <si>
    <t>Dự kiến đối ứng Trung ương thực hiện dự án do Thủ tướng Chính phủ quyết định chủ trương đầu tư. Khi Thủ tướng Chính phủ quyết định chủ trương đầu tư, thông báo vốn hỗ trợ, tỉnh sẽ dối ứng cụ thể để thực hiện theo thực tế</t>
  </si>
  <si>
    <t>NGUỒN KẾT DƯ XỔ SỐ KIẾN THIẾT</t>
  </si>
  <si>
    <t>Chi tiết tại phụ lục 1</t>
  </si>
  <si>
    <t>Chi tiết tại phụ lục 2</t>
  </si>
  <si>
    <t>Chi tiết tại phụ lục 3</t>
  </si>
  <si>
    <t>Chi tiết tại phụ lục 4</t>
  </si>
  <si>
    <t>Chi tiết tại phụ lục 5</t>
  </si>
  <si>
    <t>Chi tiết tại phụ lục 6</t>
  </si>
  <si>
    <t>Chi tiết tại phụ lục 7</t>
  </si>
  <si>
    <t>Chi tiết tại phụ lục 8</t>
  </si>
  <si>
    <t>Chi tiết tại phụ lục 9</t>
  </si>
  <si>
    <t>Chi tiết tại phụ lục 10</t>
  </si>
  <si>
    <t>Chi tiết tại phụ lục 11</t>
  </si>
  <si>
    <t>Chi tiết tại phụ lục 12</t>
  </si>
  <si>
    <t>Chi tiết tại phụ lục 13</t>
  </si>
  <si>
    <t>CT: 3166/QĐ-UBND ngày 17/11/2021</t>
  </si>
  <si>
    <t>CT: 3167/QĐ-UBND ngày 17/11/2021</t>
  </si>
  <si>
    <t>CT: 3168/QĐ-UBND ngày 17/11/2021</t>
  </si>
  <si>
    <t>CT: 3165/QĐ-UBND ngày 17/11/2021</t>
  </si>
  <si>
    <t>CT: 3164/QĐ-UBND ngày 17/11/2021</t>
  </si>
  <si>
    <t>CT: 3161/QĐ-UBND ngày 17/11/2021</t>
  </si>
  <si>
    <t>CT: 3160/QĐ-UBND ngày 17/11/2021</t>
  </si>
  <si>
    <t>Đường tỉnh 907 tỉnh Vĩnh Long (giai đoạn 2)</t>
  </si>
  <si>
    <t>CT: 3178/QĐ-UBND ngày 18/11/2021</t>
  </si>
  <si>
    <t>04 hợp phần</t>
  </si>
  <si>
    <t>Nâng cấp hệ thống thủy lợi Mỹ Lộc - Mỹ Thạnh Trung - Long Phú - Song Phú, huyện Tam Bình</t>
  </si>
  <si>
    <t>Xã nông thôn mới, nông thôn mới nâng cao.</t>
  </si>
  <si>
    <t>Phục vụ các xã nông thôn mới, nông thôn mới nâng cao</t>
  </si>
  <si>
    <t>NGUỒN NGÂN SÁCH THÀNH PHỐ VĨNH LONG HOÀN TRẢ NGÂN SÁCH TỈNH (NGUỒN VỐN THỰC HIỆN DỰ ÁN KHU TÁI ĐỊNH CƯ KHÓM 3, PHƯỜNG 9, THÀNH PHỐ VĨNH LONG)</t>
  </si>
  <si>
    <r>
      <t>31.000 m</t>
    </r>
    <r>
      <rPr>
        <vertAlign val="superscript"/>
        <sz val="13"/>
        <rFont val="Times New Roman"/>
        <family val="1"/>
        <charset val="163"/>
      </rPr>
      <t>2</t>
    </r>
  </si>
  <si>
    <r>
      <t>47.529 m</t>
    </r>
    <r>
      <rPr>
        <vertAlign val="superscript"/>
        <sz val="13"/>
        <rFont val="Times New Roman"/>
        <family val="1"/>
        <charset val="163"/>
      </rPr>
      <t>2</t>
    </r>
  </si>
  <si>
    <t>Bố trí thực hiện dự án khởi công mới</t>
  </si>
  <si>
    <t>NQ số 37</t>
  </si>
  <si>
    <t>Trong đó, tăng/giảm:</t>
  </si>
  <si>
    <t>NQ số 51</t>
  </si>
  <si>
    <t>Cầu Tam Bình và đường kết nối từ Đường tỉnh 905 đến Đường tỉnh 901 (đường tỉnh 905 nối dài, đoạn km15+300 - km22+261)</t>
  </si>
  <si>
    <t>NQ số 60</t>
  </si>
  <si>
    <t>628/QĐ-UBND ngày 31/3/2022</t>
  </si>
  <si>
    <t>Năm 2022</t>
  </si>
  <si>
    <t>NQ số 72</t>
  </si>
  <si>
    <t>Đường từ Trạm Y tế - Giòng Dài, thị trấn Cái Nhum, huyện Mang Thít</t>
  </si>
  <si>
    <t>Kè chống sạt lở bờ sông Cái Vồn Lớn và sông Cái Vồn Nhỏ (Đoạn từ giáp với sông Hậu đến cầu Đông Thành), xã Mỹ Hòa, thị xã Bình Minh</t>
  </si>
  <si>
    <t>Ấp Mỹ Khánh 1 – Mỹ Khánh 2, xã Mỹ Hòa, thị xã Bình Minh</t>
  </si>
  <si>
    <t>1.500m</t>
  </si>
  <si>
    <t>Đầu tư 43 danh mục thiết bị cho các Trung tâm Y tế tuyến huyện</t>
  </si>
  <si>
    <t>3.000 chỗ</t>
  </si>
  <si>
    <t>20,605km</t>
  </si>
  <si>
    <t>NQ số 80</t>
  </si>
  <si>
    <t>Cải tạo, nâng cấp Trường trung học phổ thông Trần Đại Nghĩa, huyện Tam Bình</t>
  </si>
  <si>
    <t>Cải tạo, nâng cấp Trường trung học phổ thông Vĩnh Long</t>
  </si>
  <si>
    <t>Cải tạo, nâng cấp Trường trung học phổ thông Song Phú, huyện Tam Bình</t>
  </si>
  <si>
    <t>Cải tạo, nâng cấp Trường trung học phổ thông Mang Thít</t>
  </si>
  <si>
    <t>Cải tạo, nâng cấp Trường trung học phổ thông Bình Minh</t>
  </si>
  <si>
    <t>Cải tạo, sửa chữa Trường trung học phổ thông Hòa Ninh</t>
  </si>
  <si>
    <t>Cải tạo, sửa chữa Trường trung học phổ thông Hoàng Thái Hiếu, thị xã Bình Minh</t>
  </si>
  <si>
    <t>Cải tạo, sửa chữa Trường trung học phổ thông Lê Thanh Mừng, huyện Trà Ôn</t>
  </si>
  <si>
    <t>Cải tạo, sửa chữa Trường trung học phổ thông chuyên Nguyễn Bỉnh Khiêm</t>
  </si>
  <si>
    <t>Cải tạo, sửa chữa Trường Cao đẳng nghề Vĩnh Long</t>
  </si>
  <si>
    <t>Sửa chữa</t>
  </si>
  <si>
    <t>Cải tạo, sửa chữa Đình Tân Hoa</t>
  </si>
  <si>
    <t>NQ số 93</t>
  </si>
  <si>
    <t>Trường Trung học cơ sở Nguyễn Thị Thu, xã Quới An, huyện Vũng Liêm</t>
  </si>
  <si>
    <t>355 học sinh</t>
  </si>
  <si>
    <t>NQ số 94</t>
  </si>
  <si>
    <t>Cải tạo, sửa chữa Trung tâm y tế Nguyễn Văn Thủ</t>
  </si>
  <si>
    <t>Thị trấn Vũng Liêm, Huyện Vũng Liêm</t>
  </si>
  <si>
    <t>Cải tạo, sửa chữa Trạm Y tế xã Trung Thành Tây, huyện Vũng Liêm</t>
  </si>
  <si>
    <t>Ấp Trung Hậu, xã Trung Thành Tây, huyện Vũng Liêm, tỉnh Vĩnh Long</t>
  </si>
  <si>
    <t>Ấp Hiếu Văn, xã Hiếu Nghĩa, huyện Vũng Liêm</t>
  </si>
  <si>
    <t>Cải tạo, sửa chữa Trạm Y tế xã Tân An Luông, huyện Vũng Liêm</t>
  </si>
  <si>
    <t>Ấp Gò Ân, xã Tân An Luông, huyện Vũng Liêm</t>
  </si>
  <si>
    <t>Cải tạo, sửa chữa Trạm Y tế xã Hòa Phú, huyện Long Hồ</t>
  </si>
  <si>
    <t>Ấp Lộc Hưng, xã Hòa Phú, huyện Long Hồ</t>
  </si>
  <si>
    <t>148/QĐ-UBND ngày 03/02/2023</t>
  </si>
  <si>
    <t>Cải tạo, sửa chữa Trạm Y tế xã Hòa Bình, huyện Trà Ôn</t>
  </si>
  <si>
    <t>Ấp Tân Thạnh, xã Hòa Bình, huyện Trà Ôn</t>
  </si>
  <si>
    <t>Cải tạo, sửa chữa Trạm Y tế xã Vĩnh Xuân, huyện Trà Ôn</t>
  </si>
  <si>
    <t>Ấp Vĩnh Thành, xã Vĩnh Xuân, huyện Trà Ôn</t>
  </si>
  <si>
    <t>Cải tạo, sửa chữa Trạm Y tế thị trấn Trà Ôn, huyện Trà Ôn</t>
  </si>
  <si>
    <t>Khóm 4, thị trấn Trà Ôn, huyện Trà Ôn</t>
  </si>
  <si>
    <t>Cải tạo, sửa chữa Trạm Y tế xã Trà Côn, huyện Trà Ôn</t>
  </si>
  <si>
    <t>Ấp Ngãi Lộ, xã Trà Côn, huyện Trà Ôn</t>
  </si>
  <si>
    <t>Cải tạo, sửa chữa Trạm Y tế xã Tân Mỹ, huyện Trà Ôn</t>
  </si>
  <si>
    <t>Ấp Mỹ An, xã Tân Mỹ, huyện Trà Ôn</t>
  </si>
  <si>
    <t>Cải tạo, sửa chữa Trạm Y tế xã Phú Thành, huyện Trà Ôn</t>
  </si>
  <si>
    <t>Ấp Phú Thạnh, xã Phú Thành, huyện Trà Ôn</t>
  </si>
  <si>
    <t>Cải tạo, sửa chữa Trạm Y tế xã An Phước, huyện Mang Thít</t>
  </si>
  <si>
    <t>Ấp Thanh Thủy, xã An Phước, huyện Mang Thít</t>
  </si>
  <si>
    <t>Ấp Phước Chí A, xã Bình Phước, huyện Mang Thít</t>
  </si>
  <si>
    <t>Cải tạo, sửa chữa Trạm Y tế xã Hòa Tịnh, huyện Mang Thít</t>
  </si>
  <si>
    <t>Ấp Thiềng Long 1, xã Hòa Tịnh, huyện Mang Thít</t>
  </si>
  <si>
    <t>Cải tạo, sửa chữa Trạm Y tế xã Mỹ Phước, huyện Mang Thít</t>
  </si>
  <si>
    <t>Ấp Cái Kè, xã Mỹ Phước, huyện Mang Thít</t>
  </si>
  <si>
    <t>Cải tạo, sửa chữa Trạm Y tế xã Mỹ An, huyện Mang Thít</t>
  </si>
  <si>
    <t>Ấp Hòa Long, xã Mỹ An, huyện Mang Thít</t>
  </si>
  <si>
    <t>Cải tạo, sửa chữa Trạm Y tế xã Tân Lược, huyện Bình Tân</t>
  </si>
  <si>
    <t>Ấp Tân Lộc, xã Tân Lược, huyện Bình Tân</t>
  </si>
  <si>
    <t>Cải tạo, sửa chữa Trạm Y tế xã Tân Hưng, huyện Bình Tân</t>
  </si>
  <si>
    <t>Ấp Hưng Thuận, xã Tân Hưng, huyện Bình Tân</t>
  </si>
  <si>
    <t>Cải tạo, sửa chữa Trạm Y tế xã Tân An Thạnh, huyện Bình Tân</t>
  </si>
  <si>
    <t>Ấp An Khánh, xã Tân An Thạnh, huyện Bình Tân</t>
  </si>
  <si>
    <t>ĐT</t>
  </si>
  <si>
    <t>DL</t>
  </si>
  <si>
    <t>NN</t>
  </si>
  <si>
    <t>Kế hoạch phân bổ hàng năm</t>
  </si>
  <si>
    <t>Dự án Đầu tư xây dựng công trình cải tạo, nâng cấp đường tỉnh 902 (đoạn từ cầu Mỹ An - Cầu Vũng Liêm) huyện Mang Thít và huyện Vũng Liêm, tỉnh Vĩnh Long</t>
  </si>
  <si>
    <t>Hệ thống chiếu sáng công cộng đường tỉnh 902 (tuyến từ xã Mỹ An đến phà Chánh An), huyện Mang Thít</t>
  </si>
  <si>
    <t>Đường liên ấp Quang Trường, xã Hiếu Thuận, huyện Vũng Liêm</t>
  </si>
  <si>
    <t>Đường liên ấp Rạch Dung – Quang Đức, xã Trung Chánh, huyện Vũng Liêm</t>
  </si>
  <si>
    <t>Đường liên ấp Mỹ Trung 1 - ấp Mỹ Hưng, xã Mỹ Thạnh Trung, huyện Tam Bình</t>
  </si>
  <si>
    <t>Đường liên ấp Mỹ Thành - ấp Mỹ Trung 2 - ấp Mỹ Hưng - ấp Cây Bàng, xã Mỹ Thạnh Trung, huyện Tam Bình</t>
  </si>
  <si>
    <t>Trường Tiểu học Huỳnh Văn Lời , xã Hiếu Thuận, huyện Vũng Liêm</t>
  </si>
  <si>
    <t>Nhà văn hóa, thể thao cụm ấp Long Hưng - Thanh Hưng - Hưng Quới - Long Quới, xã Thanh Đức, huyện Long Hồ</t>
  </si>
  <si>
    <t>Đường Võ Văn Kiệt, thành phố Vĩnh Long</t>
  </si>
  <si>
    <t>Kè chống sạt lở bờ sông Long Hồ, khu vực Phường 1, Phường 5</t>
  </si>
  <si>
    <t>Đầu tư thiết bị thực hiện chương trình đổi mới giáo dục phổ thông lớp 7, lớp 8 và lớp 9 tại các Trường Trung học cơ sở - Trung học phổ thông công lập trên địa bàn tỉnh Vĩnh Long</t>
  </si>
  <si>
    <t>Đầu tư thiết bị thực hiện chương trình đổi mới giáo dục phổ thông lớp 10, lớp 11 và lớp 12 tại các Trường Trung học cơ sở - Trung học phổ thông và Trường Trung học phổ thông công lập trên địa bàn tỉnh Vĩnh Long</t>
  </si>
  <si>
    <t>Đầu tư trang thiết bị 08 Trung tâm y tế tuyến huyện tỉnh Vĩnh Long</t>
  </si>
  <si>
    <t>Đường vào bia chiến thắng Mương Khai - Hiệp Hòa, xã Hòa Bình, huyện Trà Ôn</t>
  </si>
  <si>
    <t>Kè chống sạt lở bờ sông Tiền (đoạn từ sông Cái Đôi đến bến phà Mỹ Thuận cũ), phường Tân Hòa, thành phố Vĩnh Long, tỉnh Vĩnh Long</t>
  </si>
  <si>
    <t>Trung tâm văn hoá, thể thao truyền hình huyện Vũng Liêm</t>
  </si>
  <si>
    <t>Năm 2023
(Bố trí phân cấp năm 2023</t>
  </si>
  <si>
    <t>NQ số 106</t>
  </si>
  <si>
    <t>Nâng cấp, cải tạo Trung tâm hành chính huyện Bình Tân</t>
  </si>
  <si>
    <t>Nâng cấp, cải tạo</t>
  </si>
  <si>
    <t>Trụ sở làm việc các đơn vị: Trạm Chăn nuôi thú y và Thủy sản, Trạm Trồng trọt và Bảo vệ thực vật, Trạm Khuyến nông, huyện Vũng Liêm</t>
  </si>
  <si>
    <t>Xã Trung Hiếu, huyện Vũng Liêm</t>
  </si>
  <si>
    <t>Xây dựng mới</t>
  </si>
  <si>
    <t>1301/QĐ-UBND ngày 01/6/2023</t>
  </si>
  <si>
    <t>Trụ sở làm việc Công an xã Phú Quới, huyện Long Hồ</t>
  </si>
  <si>
    <t>Trụ sở làm việc Ban CHQS xã  Trung Thành Đông, huyện Vũng Liêm</t>
  </si>
  <si>
    <t>Sửa chữa, cải tạo Ban Chỉ huy Quân sự huyện Bình Tân</t>
  </si>
  <si>
    <t>Theo văn bản số 1276/STC-QLNS ngày 30/5/2023, số vốn kết dư cân đối ngân sách được xác nhận là 914 triệu đồng</t>
  </si>
  <si>
    <t>Bố trí thực hiện dự án</t>
  </si>
  <si>
    <t>Đối ứng Chương trình mục tiêu quốc gia xây dựng nông thôn mới</t>
  </si>
  <si>
    <t>Đường liên ấp Phước Trường - Quang Hòa, xã Quới An, huyện Vũng Liêm</t>
  </si>
  <si>
    <t>Xã Quới An, huyện Vũng Liêm</t>
  </si>
  <si>
    <t>1,48km</t>
  </si>
  <si>
    <t>Đường liên ấp Quang Trạch - Quang Đức (miểu Ông Tà), xã Trung Chánh, huyện Vũng Liêm</t>
  </si>
  <si>
    <t>998m</t>
  </si>
  <si>
    <t>Lĩnh vực Giáo dục và Đào tạo</t>
  </si>
  <si>
    <t xml:space="preserve">Phát triển giáo dục nghề nghiệp, việc làm bền vững </t>
  </si>
  <si>
    <t xml:space="preserve">Hỗ trợ việc làm bền vững </t>
  </si>
  <si>
    <t>Đầu tư cơ sở hạ tầng, trang thiết bị công nghệ thông tin để hiện đại hóa hệ thống thông tin thị trường lao động, hình thành sàn giao dịch việc làm trực tuyến và xây dựng các cơ sở dữ liệu</t>
  </si>
  <si>
    <t>Xã Phú Quới huyện Long Hồ và Phường 3, thành phố Vĩnh Long</t>
  </si>
  <si>
    <t>Đầu tư cơ sở hạ tầng, trang thiết bị công nghệ thông tin</t>
  </si>
  <si>
    <t>Cải tạo, nâng cấp Đình Vĩnh Thuận</t>
  </si>
  <si>
    <t>Trường mẫu giáo Phú Quới, huyện Long Hồ</t>
  </si>
  <si>
    <t>Xã  Phú Quới, huyện Long Hồ</t>
  </si>
  <si>
    <t>520 trẻ</t>
  </si>
  <si>
    <t>Trường tiểu học Long Mỹ, huyện Mang Thít</t>
  </si>
  <si>
    <t>Mở rộng Trường tiểu học Thoại Ngọc Hầu, xã Thuận An, thị xã Bình Minh</t>
  </si>
  <si>
    <t>800 học sinh</t>
  </si>
  <si>
    <t>1192/QĐ-UBND ngày 19/5/2020;
1276/QĐ-UBND ngày 30/5/2023</t>
  </si>
  <si>
    <t>Nâng cấp, mở rộng đường tỉnh 903 (đoạn từ vòng xoay ngã 5 thị trấn Cái Nhum đến đường tỉnh 902), huyện Mang Thít</t>
  </si>
  <si>
    <t>Thị trấn Cái Nhum và xã An Phước, huyện Mang Thít</t>
  </si>
  <si>
    <t>3,78km</t>
  </si>
  <si>
    <t>Sửa chữa Kè sông Cổ Chiên – thuộc đoạn phường 1, thành phố Vĩnh Long, tỉnh Vĩnh Long</t>
  </si>
  <si>
    <t>Năm 2023
(Bố trí lại năm 2021, 2022)</t>
  </si>
  <si>
    <t>Trong đó</t>
  </si>
  <si>
    <t>NQ số 127</t>
  </si>
  <si>
    <t>Trạm Y tế phường 2, thành phố Vĩnh Long</t>
  </si>
  <si>
    <t>Các khối nhà trạm chính và các hạng mục phụ trợ</t>
  </si>
  <si>
    <t>Kế hoạch trung hạn còn lại</t>
  </si>
  <si>
    <t>Kế hoạch năm 2024</t>
  </si>
  <si>
    <t>Cải tạo, sửa chữa Trạm Y tế xã Hiếu Nghĩa, huyện Vũng Liêm</t>
  </si>
  <si>
    <t>DỰ PHÒNG</t>
  </si>
  <si>
    <t>Còn bố trí 10,687 tỷ đồng từ nguồn vượt thu xổ số kiến thiết.</t>
  </si>
  <si>
    <t>268/QĐ-SKHĐT ngày 07/11/2023</t>
  </si>
  <si>
    <t>1316/QĐ-UBND ngày 03/7/2023</t>
  </si>
  <si>
    <t>Kế hoạch trung hạn vốn giai đoạn 2021-2025</t>
  </si>
  <si>
    <t>Xã NTM</t>
  </si>
  <si>
    <t>Xã NTM nâng cao</t>
  </si>
  <si>
    <r>
      <rPr>
        <b/>
        <i/>
        <u/>
        <sz val="16"/>
        <rFont val="Times New Roman"/>
        <family val="1"/>
        <charset val="163"/>
      </rPr>
      <t>Ghi chú</t>
    </r>
    <r>
      <rPr>
        <sz val="16"/>
        <rFont val="Times New Roman"/>
        <family val="1"/>
        <charset val="163"/>
      </rPr>
      <t>: 
Nguồn vốn được xác định tại văn bản số 8542/BKHĐT-TH ngày 13/10/2023 của Bộ Kế hoạch và Đầu tư là 555,197 tỷ đồng. Thực hiện các nhiệm vụ như sau:
 - Số phân cấp cho huyện là 145,2 tỷ đồng, số vốn còn lại chi cấp tỉnh là 410,297 tỷ đồng.
 - Dự phòng là 28,7 tỷ đồng, việc sử dụng theo quy định của Luật Đầu tư công, 
 - Số phân bổ chi tiết thực hiện các dự án là 381,297 tỷ đồng.</t>
    </r>
  </si>
  <si>
    <t>Phát triển đô thị và tăng cường khả năng thích ứng biến đổi khí hậu thành phố Vĩnh Long, tỉnh Vĩnh Long</t>
  </si>
  <si>
    <t>330/QĐ-SKHĐT ngày 26/10/2021</t>
  </si>
  <si>
    <t>306/QĐ-SKHĐT ngày 30/10/2022</t>
  </si>
  <si>
    <t xml:space="preserve"> 245 /QĐ-SKHĐT ngày 05/10/2023</t>
  </si>
  <si>
    <t>3943/QĐ-UBND ngày 09/11/2022</t>
  </si>
  <si>
    <t>4222/QĐ-UBND ngày 28/8/2023</t>
  </si>
  <si>
    <t>3564/QĐ-UBND ngày 14/7/2023</t>
  </si>
  <si>
    <t>4519/QĐ-UBND ngày 08/11/2022</t>
  </si>
  <si>
    <t>1548/QĐ-UBND ngày 04/7/2023</t>
  </si>
  <si>
    <t>2323/QĐ-UBND ngày 29/5/2023</t>
  </si>
  <si>
    <t>2322/QĐ-UBND ngày 29/5/2023</t>
  </si>
  <si>
    <t>11910/QĐ-UBND ngày 25/10/2021</t>
  </si>
  <si>
    <t>6650/QĐ-UBND ngày 0711/2023</t>
  </si>
  <si>
    <t>Còn Vốn TW CTMTQG NTM 2024 dự kiến 2 tỷ đồng.</t>
  </si>
  <si>
    <t>90/QĐ-SKHĐT ngày 17/5/2023</t>
  </si>
  <si>
    <t>Cải tạo, nâng cấp Đình Tân Quới</t>
  </si>
  <si>
    <t>332/QĐ-SKHĐT ngày 01/12/2022</t>
  </si>
  <si>
    <t>333/QĐ-SKHĐT ngày 01/12/2022</t>
  </si>
  <si>
    <t>Cải tạo, nâng cấp Trường Chính trị Phạm Hùng đạt chuẩn mức 1</t>
  </si>
  <si>
    <t>CT: 2398/QĐ-UBND ngày 23/10/2023</t>
  </si>
  <si>
    <t>Đối ứng TW</t>
  </si>
  <si>
    <t>Nâng cấp, mở rộng cơ sở huấn luyện dự bị động viên thuộc Trung đoàn 890 - Bộ Chỉ huy Quân sự tỉnh Vĩnh Long</t>
  </si>
  <si>
    <t>Ấp Tổng Hưng B, xã Loan Mỹ, huyện Tam Bình, tỉnh Vĩnh Long</t>
  </si>
  <si>
    <t>CT: 1683/QĐ-UBND ngày 18/7/2023</t>
  </si>
  <si>
    <t>1675/QĐ-UBND ngày 30/10/2020</t>
  </si>
  <si>
    <t>4775/QĐ-UBND ngày 12/9/2023</t>
  </si>
  <si>
    <t>253/QĐ-SKHĐT ngày 12/10/2023</t>
  </si>
  <si>
    <t>Dự phòng 7% của 410,297 tỷ là 28,7 tỷ (làm tròn)</t>
  </si>
  <si>
    <t>5169/QĐ-UBND ngày 27/10/2023</t>
  </si>
  <si>
    <t>5292/QĐ-UBND ngày 08/11/2023</t>
  </si>
  <si>
    <t xml:space="preserve">3180/QĐ-UBND ngày 25/11/2020;
1274/QĐ-UBND ngày 30/5/2023;
1564/QĐ-UBND, ngày 04/07/2023 </t>
  </si>
  <si>
    <t>1409/QĐ-UBND ngày 13/04/2023</t>
  </si>
  <si>
    <t>3451/QĐ-UBND ngày 14/12/2021</t>
  </si>
  <si>
    <t>2531/QĐ-UBND ngày 05/12/2022</t>
  </si>
  <si>
    <t>4246/QĐ-UBND ngày 31/8/ 2023</t>
  </si>
  <si>
    <t>Nhà văn hóa thể thao cụm ấp Bình Lương - An Thạnh - An Thuận, xã An Bình, huyện Long Hồ</t>
  </si>
  <si>
    <t>Đường huyện 32B (đường 30/4), thị trấn Cái Nhum, huyện Mang Thít</t>
  </si>
  <si>
    <t>Đường D7 và đường trục chính đô thị, thị trấn Cái Nhum, huyện Mang Thít</t>
  </si>
  <si>
    <t>Trụ sở làm việc Công an xã Song Phú, huyện Tam Bình</t>
  </si>
  <si>
    <t>CT: 2361/QĐ-UBND ngày 18/10/2023</t>
  </si>
  <si>
    <t>xã Song Phú, huyện Tam Bình</t>
  </si>
  <si>
    <t>6 CB, CS</t>
  </si>
  <si>
    <t>Trụ sở làm việc Công an xã Hiếu Phụng, huyện Vũng Liêm</t>
  </si>
  <si>
    <t>Xã Trung Thành Đông, huyện Vũng Liêm</t>
  </si>
  <si>
    <t>Xã Thành lợi, huyện Bình Tân</t>
  </si>
  <si>
    <t>Xã Hiếu Phụng, huyện Vũng Liêm</t>
  </si>
  <si>
    <t>CT: 2364/QĐ-UBND ngày 18/10/2023</t>
  </si>
  <si>
    <t>Khóm Tân Thuận, thị trấn Tân Quới, huyện Bình Tân</t>
  </si>
  <si>
    <t>Khóm 1, khóm 2, thị trấn Cái Nhum, huyện Mang Thít</t>
  </si>
  <si>
    <t>2024-2026</t>
  </si>
  <si>
    <t>Cải tạo, xây dựng mới</t>
  </si>
  <si>
    <t>Phụ lục 12</t>
  </si>
  <si>
    <t>Phụ lục 11</t>
  </si>
  <si>
    <t>Năm 2023</t>
  </si>
  <si>
    <t>Phụ lục 6</t>
  </si>
  <si>
    <t>2654/QĐ-UBND ngày 31/10/2016; 
976/QĐ-UBND ngày 29/4/2021; 
2036/QĐ-UBND ngày 30/7/2021</t>
  </si>
  <si>
    <t>2918/QĐ-UBND ngày 29/10/2021</t>
  </si>
  <si>
    <t>3512/QĐ-UBND ngày 22/12/2021; 
577/QĐ-UBND ngày 23/3/2022; 
1064/QĐ-UBND ngày 31/5/2022</t>
  </si>
  <si>
    <t>1214/QĐ-UBND ngày 21/5/2021;
1731/QĐ-UBND ngày 25/8/2022</t>
  </si>
  <si>
    <t>2593/QĐ-UBND ngày 29/9/2020</t>
  </si>
  <si>
    <t>3108/QĐUBND ngày 16/11/2020</t>
  </si>
  <si>
    <t>785/QĐ-TTg ngày 08/6/2020; 
2304/QĐ-UBND ngày 09/11/2022</t>
  </si>
  <si>
    <t>2798/QĐ-UBND ngày 17/11/2016; 
120/QĐ-UBND ngày 18/01/2017; 
2046/QĐ-UBND ngày 20/9/2017; 
2094/QĐ-UBND ngày 05/8/2021; 
1065/QĐ-UBND ngày 31/5/2022</t>
  </si>
  <si>
    <t>5739/QĐ-UBND ngày 08/11/2022</t>
  </si>
  <si>
    <t>2184/QĐ-UBND ngày 24/10/2022</t>
  </si>
  <si>
    <t>2797/QĐ-UBND ngày 17/11/2016; 121/QĐ-UBND ngày 18/01/2017; 
2129/QĐ-UBND ngày 04/10/2017; 2095/QĐ-UBND ngày 05/8/2021; 47/QĐ-UBND ngày 11/01/2022; 
1086/QĐ-UBND ngày 02/6/2022</t>
  </si>
  <si>
    <t>1838/QĐ-UBND ngày 18/8/2017; 
965/QĐ-UBND ngày 29/4/2021; 
19/NQ-HĐND ngày 02/7/2021; 
2136/QĐ-UBND ngày 11/8/2021</t>
  </si>
  <si>
    <t>2332/QĐ-UBND ngày 29/10/2018; 
2627/QĐ-UBND ngày 30/9/2020;
 2135/QĐ-UBND ngày 11/8/2021</t>
  </si>
  <si>
    <t>2802/QĐ-UBND ngày
18/11/2016; 
2811/QĐ-UBND ngày 29/12/2017; 
22/NQ-HĐND ngày 02/7/2021; 
2132/QĐ-UBND ngày 11/8/2021</t>
  </si>
  <si>
    <t>1190/QĐ-UBND ngày 17/6/2022; 2004/QĐ-UBND ngày 29/9/2022; 2142/QĐ-UBND ngày 18/10/2022</t>
  </si>
  <si>
    <t>2902/QĐ-UBND ngày 29/10/2020; 2650/QĐ-UBND ngày 04/10/2021; 702/QĐ-UBND ngày 08/04/2022</t>
  </si>
  <si>
    <t>1943/QĐ-UBND ngày 31/07/2020
1079/QĐ-UBND ngày 01/06/2022; 136/QĐ-UBND ngày 02/02/2023</t>
  </si>
  <si>
    <t>1751/QĐ-UBND ngày 15/07/2020; 46/QĐ-UBND ngày 11/01/2022; 
705/QĐ-UBND ngày 08/04/2022; 
1650/QĐ-UBND ngày 15/8/2022</t>
  </si>
  <si>
    <t>1752/QĐ-UBND ngày 15/07/2020
706/QĐ-UBND ngày 08/04/2022; 
1911/QĐ-UBND ngày 15/9/2022; 
137/QĐ-UBND ngày 02/02/2023</t>
  </si>
  <si>
    <t>2902/QĐ-UBND ngày 29/10/2020; 
1495/QĐ-UBND ngày 15/6/2021; 
701/QĐ-UBND ngày 08/4/2022</t>
  </si>
  <si>
    <t>2526/QĐ-UBND ngày 05/12/2022</t>
  </si>
  <si>
    <t>34/QĐ-SKHĐT ngày 23/02/2023</t>
  </si>
  <si>
    <t>2522/QĐ-UBND ngày 05/12/2022</t>
  </si>
  <si>
    <t>2525/QĐ-UBND ngày 05/12/2022</t>
  </si>
  <si>
    <t>2524/QĐ-UBND ngày 05/12/2022</t>
  </si>
  <si>
    <t>2932/QĐ-UBND  ngày 29/10/2021</t>
  </si>
  <si>
    <t>3527/QĐ-UBND ngày 23/12/2021</t>
  </si>
  <si>
    <t>1653/QĐ-UBND ngày 16/8/2022</t>
  </si>
  <si>
    <t>2425/QĐ-UBND ngày 24/11/2022</t>
  </si>
  <si>
    <t>572/QĐ-UBND ngày 23/3/2022</t>
  </si>
  <si>
    <t>16/QĐ-UBND ngày 07/01/2022</t>
  </si>
  <si>
    <t>1138/QĐ-UBND ngày 10/6/2022</t>
  </si>
  <si>
    <t>1385/QĐ-UBND ngày 20/7/2022</t>
  </si>
  <si>
    <t>Khu liên hợp xử lý chất thải rắn Hòa Phú. Hạng mục: Đắp bờ bao và trồng cây xanh xung quanh khu đất</t>
  </si>
  <si>
    <t>10979/QĐ-UBND ngày 4/10/2021;
4335/QĐ-UBND ngày 24/10/2022</t>
  </si>
  <si>
    <t>4334/QĐ-UBND ngày 24/10/2022;
1779/QĐ-UBND ngày 29/8/2022</t>
  </si>
  <si>
    <t>2929/QĐ-UBND ngày 29/10/2021</t>
  </si>
  <si>
    <t>3245/QĐ-UBND ngày 25/11/2021</t>
  </si>
  <si>
    <t>2478/QĐ-UBND ngày 28/11/2022</t>
  </si>
  <si>
    <t>2505/QĐ-UBND ngày 01/12/2022</t>
  </si>
  <si>
    <t>2310/QĐ-UBND ngày 10/11/2022</t>
  </si>
  <si>
    <t>2482/QĐ-UBND ngày 29/11/2022</t>
  </si>
  <si>
    <t>2909/QĐ-UBND ngày 30/10/2020; 
3329/QĐ-UBND ngày 01/12/2021</t>
  </si>
  <si>
    <t>Đường Vành đai 1, huyện Vũng Liêm</t>
  </si>
  <si>
    <t>2507/QĐ-UBND ngày 02/12/2022</t>
  </si>
  <si>
    <t>2506/QĐ-UBND ngày 02/12/2022</t>
  </si>
  <si>
    <t>3024/QĐ-UBND ngày 05/11/2021</t>
  </si>
  <si>
    <t>2508/QĐ-UBND ngày 02/12/2022</t>
  </si>
  <si>
    <t>1640/QĐ-UBND ngày 29/6/2021;
1817/QĐ-UBND ngày 05/9/2022</t>
  </si>
  <si>
    <t>2386/QĐ-UBND ngày 17/11/2022</t>
  </si>
  <si>
    <t>367/QĐ-SKHĐT ngày 28/12/2022</t>
  </si>
  <si>
    <t>4428/QĐ-UBND ngày 07/9/2023</t>
  </si>
  <si>
    <t>2424/QĐ-UBND ngày 24/11/2022</t>
  </si>
  <si>
    <t>Kế hoạch phân bổ 2021-2023</t>
  </si>
  <si>
    <t>Kế hoạch phân bổ2021-2023</t>
  </si>
  <si>
    <t>NGUỒN VƯỢT THU XỔ SỐ KIẾN THIẾT</t>
  </si>
  <si>
    <t>NGUỒN KẾT DƯ XỔ SỐ KIẾN THIẾT NĂM 2022</t>
  </si>
  <si>
    <t>NGUỒN VƯỢT THU XỔ SỐ KIẾN THIẾT NĂM 2022</t>
  </si>
  <si>
    <t>Năm 2023 (đến 30/6/2023)</t>
  </si>
  <si>
    <t>Bố trí thanh toán hoàn tạm ứng Kho bạc Nhà nước theo kết luận của Kiểm toán Nhà nước</t>
  </si>
  <si>
    <t>104/QĐ-SKHĐT, ngày 09/6/2023</t>
  </si>
  <si>
    <t>154/QĐ-SKHĐT, ngày 27/7/2023</t>
  </si>
  <si>
    <t>155/QĐ-SKHĐT, ngày 27/7/2023</t>
  </si>
  <si>
    <t>158/QĐ-SKHĐT, ngày 27/7/2023</t>
  </si>
  <si>
    <t>156/QĐ-SKHĐT, ngày 27/7/2023</t>
  </si>
  <si>
    <t>157/QĐ-SKHĐT, ngày 27/7/2023</t>
  </si>
  <si>
    <t>159/QĐ-SKHĐT, ngày 27/7/2023</t>
  </si>
  <si>
    <t>137/QĐ-SKHĐT, ngày 11/7/2023</t>
  </si>
  <si>
    <t>138/QĐ-SKHĐT, ngày 11/7/2023</t>
  </si>
  <si>
    <t>139/QĐ-SKHĐT, ngày 11/7/2023</t>
  </si>
  <si>
    <t>178/QĐ-SKHĐT, ngày 11/8/2023</t>
  </si>
  <si>
    <t>177/QĐ-SKHĐT, ngày 11/8/2023</t>
  </si>
  <si>
    <t>176/QĐ-SKHĐT, ngày 11/8/2023</t>
  </si>
  <si>
    <t>Kết nối đồng bộ mạng lưới giao thông trong khu vực và liên huyện</t>
  </si>
  <si>
    <t>Bố trí đủ trung hạn</t>
  </si>
  <si>
    <t>1005/QĐ-UBND ngày 25/5/2022</t>
  </si>
  <si>
    <t>1004/QĐ-UBND ngày 25/5/2022</t>
  </si>
  <si>
    <t>689/QĐ-UBND  ngày 07/4/2022</t>
  </si>
  <si>
    <t>2528/QĐ-UBND ngày 05/12/2022</t>
  </si>
  <si>
    <t>1197/QĐ-UBND ngày 20/6/2022</t>
  </si>
  <si>
    <t>73/QĐ-SKHĐT ngày 20/4/2023</t>
  </si>
  <si>
    <t>4749/QĐ-UBND ngày 08/11/2023</t>
  </si>
  <si>
    <t>2446/QĐ-UBND ngày 25/11/2022</t>
  </si>
  <si>
    <t>5678/QĐ-UBND ngày 31/10/2022</t>
  </si>
  <si>
    <t>Phụ lục 14</t>
  </si>
  <si>
    <t>CT: 1300/QĐ-UBND ngày 31/5/2023</t>
  </si>
  <si>
    <t>CT: 996/QĐ-UBND ngày 04/5/2023</t>
  </si>
  <si>
    <t>CT :2547/QĐ-UBND ngày 24/9/2021</t>
  </si>
  <si>
    <t>Còn bố trí vốn XSKT</t>
  </si>
  <si>
    <t>Nhà văn hoá thể thao cụm ấp Chợ mới - Bà Đông - Rạch Chim, xã Trung Chánh, huyện Vũng Liêm</t>
  </si>
  <si>
    <t>Đối ứng Chương trình mục tiêu quốc gia Chương trình mục tiêu quốc gia phát triển kinh tế - xã hội vùng đồng bào dân tộc thiểu số và miền núi giai đoạn 2021-2030, giai đoạn I: từ năm 2021 đến năm 2025</t>
  </si>
  <si>
    <t>III.1</t>
  </si>
  <si>
    <t>Dự án 10. Truyền thông, tuyên truyền, vận động trong vùng đồng bào dân tộc thiểu số và miền núi. Kiểm tra, giám sát đánh giá việc tổ chức thực hiện Chương trình</t>
  </si>
  <si>
    <t>Tiểu dự án 2: Ứng dụng công nghệ thông tin hỗ trợ phát triển kinh tế - xã hội và đảm bảo an ninh trật tự vùng đồng bào dân tộc thiểu số</t>
  </si>
  <si>
    <t>5293/QĐ-UBND ngày 08/11/2023</t>
  </si>
  <si>
    <t>766/QĐ-UBND ngày 10/4/2023</t>
  </si>
  <si>
    <t>Tên nguồn</t>
  </si>
  <si>
    <t>Cải tạo, sửa chữa các công trình y tế, giáo dục, dạy nghề, văn hóa, thể dục - thể thao</t>
  </si>
  <si>
    <t>Đầu tư hoàn chỉnh trạm quan trắc khí tượng thủy văn nội đồng trên địa bàn tỉnh Vĩnh Long</t>
  </si>
  <si>
    <t>Trên địa bàn tỉnh</t>
  </si>
  <si>
    <t>11 trạm</t>
  </si>
  <si>
    <t>965/QĐ-UBND ngày 19/5/2023</t>
  </si>
  <si>
    <t>265/QĐ-SKHĐT ngày 01/11/2023</t>
  </si>
  <si>
    <t>Mua sắm thiết bị học tập tin học, ngoại ngữ</t>
  </si>
  <si>
    <t>Duy tu và gia cố đoạn sạt lỡ Đường ĐH.27B, xã Tân Hạnh, huyện Long Hồ, hạng mục: Duy tu và gia cố sạt lỡ</t>
  </si>
  <si>
    <t>Duy tu Đường ĐH.22B, xã Phú Quới (đoạn từ cầu Ba Dung đến cầu Hai Voi), huyện Long Hồ, hạng mục: Duy tu chống thấm mặt đường</t>
  </si>
  <si>
    <t>Duy tu sửa chữa mặt đường và lắp đặt cống thoát nước Đường ĐH.20 (đoạn trại tạm giam), xã Thanh Đức, huyện Long Hồ, hạng mục: Duy tu chống thấm mặt đường</t>
  </si>
  <si>
    <t>Thay cửa cống Bà cai xã Ngãi Tứ, huyện Tam Bình</t>
  </si>
  <si>
    <t>Đường từ Quốc lộ 53 - Khu công nghiệp Hòa Phú (ĐT.909B) - Đường Phú Lộc Bầu Gốc - Quốc lộ 1 tỉnh Vĩnh Long</t>
  </si>
  <si>
    <t>Đầu tư các dự án trên địa bản xã đạt NTM năm 2024 là An Bình, Nhơn Phú, Trung Thành Tây, Trà Côn</t>
  </si>
  <si>
    <t>Phụ lục 15</t>
  </si>
  <si>
    <t>Thời gian bố trí vốn</t>
  </si>
  <si>
    <t>Quyết định đầu tư hoặc Quyết định đầu tư điều chỉnh</t>
  </si>
  <si>
    <t>Kế hoạch vốn năm 2021</t>
  </si>
  <si>
    <t>Lĩnh vực Thủy lợi</t>
  </si>
  <si>
    <t>Từ năm 2018</t>
  </si>
  <si>
    <t>4,83km</t>
  </si>
  <si>
    <t>Từ năm 2017</t>
  </si>
  <si>
    <t>1230/QĐ-UBND ngày 07/6/2017; 266/NQ-HĐND ngày 15/9/2020; 964/QĐ-UBND ngày 29/4/2021</t>
  </si>
  <si>
    <t>1026/QĐ-UBND ngày 07/5/2019; 
1402/QĐ-UBND ngày 10/6/2020;
1608/QĐ-UBND ngày 23/6/2020; 
2134/QĐ-UBND ngày 11/8/2021</t>
  </si>
  <si>
    <t>Xã Thanh Bình và xã Quới Thiện, huyện Vũng Liêm</t>
  </si>
  <si>
    <t>Từ năm 2019</t>
  </si>
  <si>
    <t>Từ năm 2020</t>
  </si>
  <si>
    <t>Còn bố trí vốn TW</t>
  </si>
  <si>
    <t>Lĩnh vực Nông nghiệp - Thủy lợi - Thích ứng biến đổi khí hậu</t>
  </si>
  <si>
    <t xml:space="preserve"> - Chi phí GPMB: 50 tỷ đồng.
 -  Huyện đạt chuẩn đô thị loại IV.
 - Còn bố trí vốn Đài PTTH.</t>
  </si>
  <si>
    <t xml:space="preserve"> - Chi phí GPMB: 50 tỷ đồng.
 - Còn bố trí vốn XSKT</t>
  </si>
  <si>
    <t>Trung tâm Văn hóa, Thông tin và Thể thao huyện Mang Thít</t>
  </si>
  <si>
    <t xml:space="preserve"> - Huyện nông thôn mới.
 - Còn bố trí vốn Đài PTTH.</t>
  </si>
  <si>
    <t>Thực hiện theo kết luận số 259/TB-KTNN ngày 07/7/2023 của Kiểm toán Nhà nước</t>
  </si>
  <si>
    <t>Cải tạo, sửa chữa Trường trung học cơ sở và trung học phổ thông Mỹ Phước, huyện Mang Thít</t>
  </si>
  <si>
    <t>Cải tạo, sửa chữa Trường trung học cơ sở và trung học phổ thông Trưng Vương, thành phố Vĩnh Long</t>
  </si>
  <si>
    <t>I.2</t>
  </si>
  <si>
    <t>I.3</t>
  </si>
  <si>
    <t>I.4</t>
  </si>
  <si>
    <t>Nhà thắp hương Cố Thủ tướng Chính phủ Võ Văn Kiệt</t>
  </si>
  <si>
    <t>1.400 m2</t>
  </si>
  <si>
    <t>2759/QĐ-UBND ngày 31/10/2019</t>
  </si>
  <si>
    <t>Quyết toán dự án hoàn thành</t>
  </si>
  <si>
    <t>Đường liên ấp Phước Lộc - Phước Thọ (ĐT 903 – Cái Sao Chánh Thuận), xã Bình Phước, huyện Mang Thít.</t>
  </si>
  <si>
    <t>Chi phí xây lắp 55 tỷ</t>
  </si>
  <si>
    <t>Còn bố trí vốn TW.</t>
  </si>
  <si>
    <t xml:space="preserve"> - Thi công đoạn huyện Mang Thít
GPMB: 80 tỷ đồng
 - Còn bố trí vốn XSKT.</t>
  </si>
  <si>
    <t>Ưu tiên đầu tư xã đạt chuẩn NTM  trước kế hoạch</t>
  </si>
  <si>
    <t>Còn bố trí tại nguồn cân đối ngân sách tỉnh.</t>
  </si>
  <si>
    <t>Đơn vị tính: Triệu đồng</t>
  </si>
  <si>
    <t>Chuẩn bị đầu tư - Chuẩn bị thực hiện dự án; Quyết toán, tất toán dự án hoàn thành</t>
  </si>
  <si>
    <t>Các dự án do các tổ chức phi Chính phủ tài trợ (đối ứng)</t>
  </si>
  <si>
    <t>Dự phòng</t>
  </si>
  <si>
    <t>A.1</t>
  </si>
  <si>
    <t>A.2</t>
  </si>
  <si>
    <t>B.1</t>
  </si>
  <si>
    <t>B.2</t>
  </si>
  <si>
    <t>B.3</t>
  </si>
  <si>
    <t>B.4</t>
  </si>
  <si>
    <t>Bố trí cho công tác chỉnh lý đất đai</t>
  </si>
  <si>
    <t>Bố trí thực hiện dự án chuyển tiếp</t>
  </si>
  <si>
    <t>Bố trí thực hiện công trình chuyển tiếp</t>
  </si>
  <si>
    <t>A.3</t>
  </si>
  <si>
    <t>C.3</t>
  </si>
  <si>
    <t>Bố trí vốn thực hiện đối ứng trung ương thực hiện dự án thích ứng biến đổi khí hậu (DPO) do Thủ tướng Chính phủ quyết định chủ trương đầu tư</t>
  </si>
  <si>
    <t>NGUỒN KẾT DƯ CÂN ĐỐI NGÂN SÁCH NĂM 2022</t>
  </si>
  <si>
    <t>N</t>
  </si>
  <si>
    <t>Đầu tư các công trình thuộc Chương trình mục tiêu quốc gia nông thôn mới năm 2024</t>
  </si>
  <si>
    <t>271/QĐ-SKHĐT ngày 13/11/20023</t>
  </si>
  <si>
    <t>Chi tiết tại phụ lục 14</t>
  </si>
  <si>
    <t>Đối ứng Chương trình mục tiêu quốc gia giảm nghèo bền vững</t>
  </si>
  <si>
    <t>2547/QĐ-UBND ngày 10/11/2023</t>
  </si>
  <si>
    <r>
      <rPr>
        <b/>
        <u/>
        <sz val="13"/>
        <rFont val="Times New Roman"/>
        <family val="1"/>
        <charset val="163"/>
      </rPr>
      <t>Ghi chú</t>
    </r>
    <r>
      <rPr>
        <b/>
        <sz val="13"/>
        <rFont val="Times New Roman"/>
        <family val="1"/>
        <charset val="163"/>
      </rPr>
      <t xml:space="preserve">: </t>
    </r>
    <r>
      <rPr>
        <sz val="13"/>
        <rFont val="Times New Roman"/>
        <family val="1"/>
        <charset val="163"/>
      </rPr>
      <t>Số vốn chi tiết của từng dự án được nêu tại các phụ lục 3, 5</t>
    </r>
  </si>
  <si>
    <t>Dự kiến kế hoạch năm 2024</t>
  </si>
  <si>
    <t>Phụ lục 16</t>
  </si>
  <si>
    <t>Danh mục dự án được trích từ phụ lục 14</t>
  </si>
  <si>
    <t>Danh mục dự án được trích từ phụ lục 13</t>
  </si>
  <si>
    <t>Danh mục dự án được trích từ phụ lục 7</t>
  </si>
  <si>
    <t>Danh mục dự án được trích từ phụ lục 1</t>
  </si>
  <si>
    <t>thị trấn Cái Nhum, huyện Mang Thít</t>
  </si>
  <si>
    <t>3.670m</t>
  </si>
  <si>
    <t>2023-2026</t>
  </si>
  <si>
    <t>740m</t>
  </si>
  <si>
    <t>Phường 8, thành phố Vĩnh Long</t>
  </si>
  <si>
    <t>Nhà đa năng và cải tạo các hạng mục</t>
  </si>
  <si>
    <t>DANH MỤC DỰ ÁN DỰ KIẾN BỐ TRÍ KẾ HOẠCH VỐN NĂM 2024 NHƯNG CHƯA CÓ QUYẾT ĐỊNH PHÊ DUYỆT DỰ ÁN</t>
  </si>
  <si>
    <t>Cầu Lộ 2 trên tuyến đường Võ Văn Kiệt (Đoạn từ đường Mậu Thân đến đường Nguyễn Huệ), thành phố Vĩnh Long</t>
  </si>
  <si>
    <t>Phường 2 và phường 3, thành phố Vĩnh Long, 
tỉnh Vĩnh Long</t>
  </si>
  <si>
    <t>HL93</t>
  </si>
  <si>
    <t>2019-2025</t>
  </si>
  <si>
    <t>Đường Võ Văn Kiệt, thành phố Vĩnh Long, tỉnh Vĩnh Long</t>
  </si>
  <si>
    <t>3609m</t>
  </si>
  <si>
    <t>2767/QĐ-UBND ngày 31/10/2019</t>
  </si>
  <si>
    <t>2379/QĐ-UBND ngày 18/9/2019;
 870/QĐ-UBND, ngày 06/4/2020</t>
  </si>
  <si>
    <t>Đây là dự án lớn, liên kết vùng thực hiện trong thời gian dài. Dư án được Trung ương hỗ trợ vốn thực hiện, ngân sách tỉnh còn nhiều khó khăn để đối ứng thực hiện.</t>
  </si>
  <si>
    <t>Dự án có quy mô đầu tư lớn, qua nhiều địa bàn, công tác GPMB kéo dài.</t>
  </si>
  <si>
    <t>Trong quá trình thực hiện, dự án phải điều chỉnh thiết kế, số hộ dân bị ảnh hưởng lớn; ngoài ra, công tác giải phóng mặt bằng bị vướng do khu đất của Chi cục Đăng kiểm và Quản lý thị trường giải quyết chậm.</t>
  </si>
  <si>
    <t>Dự án thực hiện theo tuyến, khối lượng giải phóng mặt bằng lớn; một số hạng mục vướng GPMB kéo dài (phần để bao thực hiện theo phương châm nhà nước và người dân cùng làm, hỗ trợ một phần giá đất nên gặp khó khăn trong GPMB và kéo dài); điều chỉnh thiết kế nên kéo dài thời gian thực hiện</t>
  </si>
  <si>
    <t>Khó khăn trong công tác thẩm định giá thiết bị</t>
  </si>
  <si>
    <t>Hạng mục vườn tượng bằng đá phải thực hiện trại sáng tác mỹ thuật, lấy ý kiến nhân dân, thời gian kéo dài.</t>
  </si>
  <si>
    <t>Đây là dự án lớn, Trung ương hỗ trợ vốn còn hạn chế só với tổng nhu cầu; do đó, ngân sách tỉnh vốn đối ứng hàng năm; ngoài ra, dự án còn vướng GPMB nhiều năm, nhất là chỉnh lý lại hồ sơ đất đai do chương trình Hoàn thiện và Hiện đại hóa hệ thống quản lý đất đai Việt Nam (dự án VLAP) thực hiện sai sót làm kéo dài thời gian GPMB.</t>
  </si>
  <si>
    <t xml:space="preserve"> - Dự án sử dụng vốn Đài PTTH. 
 - Đài bổ sung trung hạn cuối năm 2023 để tiếp tục thực hiện đơn nguyên 2.</t>
  </si>
  <si>
    <t>Do vướng mặt bằng, chậm bố trí tái định cư cho người dân. Trong quá trình thực hiện có rà soát lại quy mô đầu tư đầu nên phải thiết kế lại dựa án (giảm quy mô đầu tư) nên ảnh hưởng đến thời gian và tiến độ thực hiện dự án.</t>
  </si>
  <si>
    <t>x</t>
  </si>
  <si>
    <t>Danh mục dự án được trích từ phụ lục 3, 4</t>
  </si>
  <si>
    <t>Huyện đạt chuẩn đô thị loại IV.</t>
  </si>
  <si>
    <t>_ Thi công đoạn huyện Mang Thít
GPMB: 80 tỷ đồng
_ Còn bố trí vốn CĐNS</t>
  </si>
  <si>
    <t>Huyện Long Hồ, Tam Bình, thành phố Vĩnh Long</t>
  </si>
  <si>
    <t>GPMB: 75 tỷ đồng</t>
  </si>
  <si>
    <t>VII</t>
  </si>
  <si>
    <t>VIII</t>
  </si>
  <si>
    <t>IX</t>
  </si>
  <si>
    <t>Hoàn nguồn các dự án sử dụng vốn sự nghiệp từ NSTW thực hiện CTMTQG theo kết luận của Kiểm toán nhà nước</t>
  </si>
  <si>
    <t>Cân đối cải tạo, sửa chữa các công trình y tế, giáo dục, dạy nghề, văn hóa, thể dục – thể thao</t>
  </si>
  <si>
    <t>NGUỒN BỘI CHI NGÂN SÁCH ĐỊA PHƯƠNG NĂM 2024</t>
  </si>
  <si>
    <r>
      <rPr>
        <b/>
        <i/>
        <u/>
        <sz val="16"/>
        <rFont val="Times New Roman"/>
        <family val="1"/>
        <charset val="163"/>
      </rPr>
      <t>Ghi chú</t>
    </r>
    <r>
      <rPr>
        <sz val="16"/>
        <rFont val="Times New Roman"/>
        <family val="1"/>
        <charset val="163"/>
      </rPr>
      <t>:  Nguồn vốn được xác định tại văn bản số 8542/BKHĐT-TH ngày 13/10/2023 của Bộ Kế hoạch và Đầu tư là 1.831 tỷ đồng. Thực hiện các nhiệm vụ như sau:
 - Chuyển sang chi đầu tư phát triển khác do Sở Tài chính quản lý (thực hiện Đề án giải quyết việc làm): 60 tỷ đồng. 
 - Số phân cấp cho huyện là 65 tỷ đồng. Số vốn còn lại để chi cấp tỉnh là 1.706 tỷ đồng.
 - Dự phòng là 119,42 tỷ đồng (7% x 1.706 tỷ đồng), việc sử dụng theo quy định của Luật Đầu tư công, 
 - Số phân bổ chi tiết thực hiện các nhiệm vụ/chi đầu tư theo quy định là 1.586,58 tỷ đồng.</t>
    </r>
  </si>
  <si>
    <t>2948/QĐ-UBND ngày 18/7/2023</t>
  </si>
  <si>
    <t>BỐ TRÍ CHO CÔNG TÁC CHỈNH LÝ ĐẤT ĐAI</t>
  </si>
  <si>
    <t>Cấp tỉnh</t>
  </si>
  <si>
    <t>Cấp huyện</t>
  </si>
  <si>
    <t>Trích 10% cho công tác chỉnh lý đất đai (Sở Tài chính quản lý, phân bổ)</t>
  </si>
  <si>
    <t>2610/QĐ-UBND ngày 20/11/2023</t>
  </si>
  <si>
    <t>480m</t>
  </si>
  <si>
    <t>7107/QĐ-UBND ngày 21/11/2023</t>
  </si>
  <si>
    <t>Công trình khởi công mới cần phải thực hiện trong năm 2024 nhưng chưa đủ điều kiện giao vốn</t>
  </si>
  <si>
    <t>4844/QĐ-UBND ngày 21/11/2023</t>
  </si>
  <si>
    <t>VIII.1</t>
  </si>
  <si>
    <t>VIII.2</t>
  </si>
  <si>
    <t>X</t>
  </si>
  <si>
    <t>DANH MỤC DỰ ÁN KHỞI CÔNG MỚI CẦN PHẢI THỰC HIỆN TRONG NĂM 2024 NHƯNG CHƯA ĐỦ ĐIỀU KIỆN GIAO VỐN</t>
  </si>
  <si>
    <t>Giao Ủy ban nhân dân tỉnh giao chi tiết kế hoạch vốn khi đảm bảo đủ điều kiện theo quy định của Luật Đầu tư công.</t>
  </si>
  <si>
    <t>BQLNN</t>
  </si>
  <si>
    <t>BCHQS</t>
  </si>
  <si>
    <t>CAT</t>
  </si>
  <si>
    <t>TPVL</t>
  </si>
  <si>
    <t>TXBM</t>
  </si>
  <si>
    <t>TCT</t>
  </si>
  <si>
    <t>THPTSP</t>
  </si>
  <si>
    <t>THPTMT</t>
  </si>
  <si>
    <t>THPTBM</t>
  </si>
  <si>
    <t>THPTHN</t>
  </si>
  <si>
    <t>THPTHTH</t>
  </si>
  <si>
    <t>THPTMP</t>
  </si>
  <si>
    <t>THPTLTM</t>
  </si>
  <si>
    <t>THPTNBK</t>
  </si>
  <si>
    <t>THCSTV</t>
  </si>
  <si>
    <t>BVĐK</t>
  </si>
  <si>
    <t>SVH</t>
  </si>
  <si>
    <t>VPUBT</t>
  </si>
  <si>
    <t>TTNS</t>
  </si>
  <si>
    <t>BQLGT</t>
  </si>
  <si>
    <t>Ban Quản lý dự án đầu tư xây dựng các công trình Nông nghiệp và Phát triển nông thôn</t>
  </si>
  <si>
    <t>Ban Quản lý dự án đầu tư xây dựng các công trình Giao thông</t>
  </si>
  <si>
    <t>Ủy ban nhân dân thành phố Vĩnh Long</t>
  </si>
  <si>
    <t>Ủy ban nhân dân thị xã Bình Minh</t>
  </si>
  <si>
    <t>Công an tỉnh</t>
  </si>
  <si>
    <t>Sở Văn hóa - Thể thao và Du lịch</t>
  </si>
  <si>
    <t>Bệnh viện đa khoa Vĩnh Long</t>
  </si>
  <si>
    <t>Trường Chính chị Phạm Hùng</t>
  </si>
  <si>
    <t>Văn phòng UBND tỉnh</t>
  </si>
  <si>
    <t>Trung tâm Nước sạch và Vệ sinh môi trường nông thôn</t>
  </si>
  <si>
    <t>Trường trung học phổ thông Song Phú, huyện Tam Bình</t>
  </si>
  <si>
    <t>Trường trung học phổ thông Mang Thít</t>
  </si>
  <si>
    <t>Trường trung học phổ thông Bình Minh</t>
  </si>
  <si>
    <t>Trường trung học phổ thông Hòa Ninh</t>
  </si>
  <si>
    <t>Trường trung học phổ thông Hoàng Thái Hiếu, thị xã Bình Minh</t>
  </si>
  <si>
    <t>Trường trung học cơ sở và trung học phổ thông Mỹ Phước, huyện Mang Thít</t>
  </si>
  <si>
    <t>Trường trung học phổ thông Lê Thanh Mừng, huyện Trà Ôn</t>
  </si>
  <si>
    <t xml:space="preserve"> Trường trung học phổ thông chuyên Nguyễn Bỉnh Khiêm</t>
  </si>
  <si>
    <t>Trường trung học cơ sở và trung học phổ thông Trưng Vương, thành phố Vĩnh Long</t>
  </si>
  <si>
    <t>Ủy ban nhân dân huyện Vũng Liêm</t>
  </si>
  <si>
    <t>Ủy ban nhân dân huyện Tam Bình</t>
  </si>
  <si>
    <t>Ủy ban nhân dân huyện Trà Ôn</t>
  </si>
  <si>
    <t>Ủy ban nhân dân huyện Bình Tân</t>
  </si>
  <si>
    <t>Ủy ban nhân dân huyện Mang Thít</t>
  </si>
  <si>
    <t>Ủy ban nhân dân huyện Long Hồ</t>
  </si>
  <si>
    <t>XI</t>
  </si>
  <si>
    <t>XII</t>
  </si>
  <si>
    <t>XIII</t>
  </si>
  <si>
    <t>XIV</t>
  </si>
  <si>
    <t>XV</t>
  </si>
  <si>
    <t>XVI</t>
  </si>
  <si>
    <t>XVII</t>
  </si>
  <si>
    <t>XVIII</t>
  </si>
  <si>
    <t>XIX</t>
  </si>
  <si>
    <t>XX</t>
  </si>
  <si>
    <t>XXI</t>
  </si>
  <si>
    <t>XXII</t>
  </si>
  <si>
    <t>XXIII</t>
  </si>
  <si>
    <t>XXIV</t>
  </si>
  <si>
    <t>XXV</t>
  </si>
  <si>
    <t>XXVI</t>
  </si>
  <si>
    <t>Trung tâm Y tế Nguyễn Văn Thủ, huyện Vũng Liêm</t>
  </si>
  <si>
    <t>Trung tâm Y tế huyện Mang Thít</t>
  </si>
  <si>
    <t>XXVII</t>
  </si>
  <si>
    <t>Bộ Chỉ huy Quân sự tỉnh</t>
  </si>
  <si>
    <t>Các công trình Cải tạo, nâng cấp Trường trung học phổ thông trên địa bàn các huyện</t>
  </si>
  <si>
    <t>Các công trình Cải tạo, nâng cấp Tạm y tế xã</t>
  </si>
  <si>
    <t>Cải tạo, sửa chữa Trạm Y tế xã Bình Phước, huyện Mang Thít</t>
  </si>
  <si>
    <t xml:space="preserve">1564/QĐ-UBND, ngày 04/07/2023 </t>
  </si>
  <si>
    <t>1663/QĐ-UBND ngày 14/7/2023</t>
  </si>
  <si>
    <t>1740/QĐ-UBND ngày 21/7/2023</t>
  </si>
  <si>
    <t>DANH MỤC DỰ ÁN KHỞI CÔNG MỚI CẦN PHẢI THỰC HIỆN TRONG NĂM 2024 
NHƯNG CHƯA ĐỦ ĐIỀU KIỆN GIAO VỐN</t>
  </si>
  <si>
    <t>Cải tạo, sửa chữa Bệnh viện đa khoa khu vực Hòa Phú</t>
  </si>
  <si>
    <t>Cải tạo, sửa chữa Trạm Y tế xã Bình Hòa Phước, huyện Long Hồ</t>
  </si>
  <si>
    <t>Ấp Bình Hòa, xã Bình Hòa Phước, huyện Long Hồ</t>
  </si>
  <si>
    <t>Cải tạo, sửa chữa Trạm Y tế xã Đồng Phú, huyện Long Hồ</t>
  </si>
  <si>
    <t>Ấp Phú Mỹ 2, xã Đồng Phú, huyện Long Hồ</t>
  </si>
  <si>
    <t>Cải tạo, sửa chữa Trạm Y tế xã Hòa Ninh, huyện Long Hồ</t>
  </si>
  <si>
    <t>Ấp Bình Thuận 1, xã Hòa Ninh, huyện Long Hồ</t>
  </si>
  <si>
    <t>XXVIII</t>
  </si>
  <si>
    <t>Bệnh viện đa khoa khu vực Hòa Phú</t>
  </si>
  <si>
    <t>XXIX</t>
  </si>
  <si>
    <t>2,6km</t>
  </si>
  <si>
    <t>Đường liên ấp Phước Lộc - Phước Thọ (đường tỉnh 903 – Cái Sao Chánh Thuận), xã Bình Phước, huyện Mang Thít.</t>
  </si>
  <si>
    <t>TỔNG HỢP KẾ HOẠCH ĐẦU TƯ CÔNG NĂM 2024</t>
  </si>
  <si>
    <t>DANH MỤC MỘT SỐ DỰ ÁN CHO PHÉP BỐ TRÍ VỐN THỰC HIỆN DỰ ÁN 
DO QUÁ THỜI GIAN BỐ TRÍ VỐN THEO QUY ĐỊNH 
(Theo quy định tại khoản 2 Điều 52 Luật Đầu tư công)</t>
  </si>
  <si>
    <t>2761/QĐ-UBND ngày 31/10/2019;
2672/QĐ-UBND ngày 27/11/2023</t>
  </si>
  <si>
    <t>1677/QĐ-UBND ngày 06/8/2018;
2770/QĐ-UBND ngày 06/12/2023</t>
  </si>
  <si>
    <t>Hoàn nguồn các dự án sử dụng vốn sự nghiệp từ NSTW thực hiện CTMTQG xây dựng Nông thôn mới theo kết luận của Kiểm toán nhà nước</t>
  </si>
  <si>
    <t>Kế hoạch điều chỉnh</t>
  </si>
  <si>
    <t>Số Tăng
(+)</t>
  </si>
  <si>
    <t>Số giảm
(-)</t>
  </si>
  <si>
    <t>I.5</t>
  </si>
  <si>
    <t>Đường liên ấp Phú Thuận A - Phú Thuận B - Phú Thạnh A, xã Nhơn Phú, huyện Mang Thít</t>
  </si>
  <si>
    <t>6,8km</t>
  </si>
  <si>
    <t>2504/QĐ-UBND ngày 01/12/2022; 
1285/QĐ-UBND ngày 31/5/2023</t>
  </si>
  <si>
    <t>Hội đồng nhân dân tỉnh thông qua tại Nghị quyết số 160/NQ-HĐND ngày 22/4/2022</t>
  </si>
  <si>
    <t>Xã Lục Sĩ Thành</t>
  </si>
  <si>
    <t>Trường tiểu học Lục Sĩ Thành, huyện Trà Ôn</t>
  </si>
  <si>
    <t>830 học sinh</t>
  </si>
  <si>
    <t>3169/QĐ-UBND ngày 17/11/2021; 
1635/QĐ-UBND ngày 12/8/2022;
343/QĐ-UBND ngày 27/02/2024</t>
  </si>
  <si>
    <t>Các dự án đầu tư xây dựng cơ bản từ năm 2004 trở về trước (thu hồi tạm ứng)</t>
  </si>
  <si>
    <t>Cải tạo, mở rộng Nhà truyền thống Bộ chỉ huy Quân sự tỉnh</t>
  </si>
  <si>
    <t>Ấp Tân An, xã Tân Hạnh, huyện Long Hồ</t>
  </si>
  <si>
    <t>431,92 m2</t>
  </si>
  <si>
    <t>65/QĐ-SKHĐT ngày 24/3/2024</t>
  </si>
  <si>
    <t>Đầu tư trang thiết bị Bệnh viện đa khoa tỉnh Vĩnh Long sử dụng vốn vay ODA của Chính phủ Áo</t>
  </si>
  <si>
    <t>2019-2024</t>
  </si>
  <si>
    <t>1773/QĐ-UBND ngày 10/8/2017;
3595/QĐ-UBND ngày 31/12/2020;
1471/QĐ-UBND ngày 23/6/2023</t>
  </si>
  <si>
    <t>Danh mục dự án</t>
  </si>
  <si>
    <t>Quyết định đầu tư hoặc chủ trương đầu tư</t>
  </si>
  <si>
    <t>Kế hoạch  vốn năm 2024</t>
  </si>
  <si>
    <t>Trong đó: NST + NSTW</t>
  </si>
  <si>
    <t>Đầu tư các công trình thuộc Chương trình mục tiêu quốc gia xây dựng thông thôn mới</t>
  </si>
  <si>
    <t>Trường tiểu học Mỹ Thạnh Trung, huyện Tam Bình</t>
  </si>
  <si>
    <t>947 học sinh</t>
  </si>
  <si>
    <t>3117/QĐ-UBND ngày 15/11/2021;
1853/QĐ-UBND ngày 09/9/2022;
342/QĐ-UBND ngày 27/02/2024</t>
  </si>
  <si>
    <t>Bổ sung vốn để đẩy nhanh tiến độ</t>
  </si>
  <si>
    <t>Quyết định chủ trương đầu tư</t>
  </si>
  <si>
    <t>Trong đó: Đài PTTH hỗ trợ</t>
  </si>
  <si>
    <t>Lĩnh vực Công trình công cộng tại các đô thị</t>
  </si>
  <si>
    <t>Quyết định phê duyệt dự toán chuẩn bị dự án</t>
  </si>
  <si>
    <t>Gia cố chống sạt lở bờ sông Cái Cao (đoạn từ cầu Kinh Mới đến cầu Cả Nguyên; đoạn từ hộ ông Bùi Văn Phước đến hộ ông Nguyễn Văn Nho), xã Phú Đức, huyện Long Hồ, tỉnh Vĩnh Long</t>
  </si>
  <si>
    <t>Xã Phú Đức, huyện Long Hồ</t>
  </si>
  <si>
    <t>2024-2025</t>
  </si>
  <si>
    <t>2123/QĐ-UBND ngày 19/9/2023;
323/QĐ-BQLDANN&amp;PTNT ngày 11/10/2023</t>
  </si>
  <si>
    <t>Các dự án khẩn cấp, sạt lở bờ sông theo Quyết định công bố tình huống khẩn cấp: số 1387/QĐ-UBND ngày 12/6/2023 và số 1945/QĐ-UBND ngày 18/8/2023 của Ủy ban nhân dân tỉnh Vĩnh Long; sử dụng nguồn dự phòng ngân sách cấp tỉnh năm 2024.</t>
  </si>
  <si>
    <t>Gia cố chống sạt lở bờ sông Trà Ôn (đoạn từ trước chợ Tích Thiện đến trường Trung học cơ sở Tích Thiện), xã Tích Thiện, huyện Trà Ôn</t>
  </si>
  <si>
    <t>xã Tích Thiện, huyện Trà Ôn</t>
  </si>
  <si>
    <t>2125/QĐ-UBND ngày 19/9/2023;
380/QĐ-BQLDANN&amp;PTNT ngày 11/10/2023</t>
  </si>
  <si>
    <t>Trong đó, NST:</t>
  </si>
  <si>
    <t>Bia truyền thống cách mạng, ấp Hiếu Tín, xã Hiếu Nghĩa, huyện Vũng Liêm</t>
  </si>
  <si>
    <t>Xã Hiếu Nghĩa, huyện Vũng Liêm</t>
  </si>
  <si>
    <t>Bia, hàng rào…</t>
  </si>
  <si>
    <t>94/QĐ-SKHĐT ngày 29/5/2023;
33/QĐ-UBND ngày 06/02/2024</t>
  </si>
  <si>
    <t>Phân bổ theo văn bản số 5057/UBND-KGVX ngày 08/11/2023 và văn bản số số 5655/UBND-CNXD ngày 14/12/2023 của Ủy ban nhân dân tỉnh Trà Vinh</t>
  </si>
  <si>
    <t>Cải tạo, sửa chữa Khu lưu niệm Giáo sư, Viện sĩ Trần Đại Nghĩa</t>
  </si>
  <si>
    <t>326/QĐ-SKHĐT ngày 25/11/2022;
147/QĐ-SKHĐT ngày 19/7/2023</t>
  </si>
  <si>
    <t>Phân bổ theo công văn số 2066/CNQP-QLCN ngày 10/3/2023 của Tổng Cục công nghiệp Quốc phòng</t>
  </si>
  <si>
    <t>Phụ lục 21</t>
  </si>
  <si>
    <t>Phụ lục 20</t>
  </si>
  <si>
    <t>Phụ lục 19</t>
  </si>
  <si>
    <t>Phụ lục 18</t>
  </si>
  <si>
    <t>Phụ lục 17</t>
  </si>
  <si>
    <t>Trường THCS Đồng Phú, huyện Long Hồ</t>
  </si>
  <si>
    <t>Xã Đồng Phú, huyện Long Hồ</t>
  </si>
  <si>
    <t>700 học sinh</t>
  </si>
  <si>
    <t>2097/QĐ-UBND ngày 13/8/2020;
1819/QĐ-UBND ngày 05/9/2022</t>
  </si>
  <si>
    <t>Đường liên ấp Thành Quý – Thành Giang, xã Thành Trung, huyện Bình Tân</t>
  </si>
  <si>
    <t>338/QĐ-UBND ngày 27/02/2024</t>
  </si>
  <si>
    <t>Kết nối giao thông trong khu vực và phát triển khu, cụm công nghiệp trên địa bàn huyện</t>
  </si>
  <si>
    <t>Trong đó, nguồn hỗ trợ</t>
  </si>
  <si>
    <t>Đầu tư nâng cấp, xây dựng mới các hạng mục phụ trợ, chỉnh trang Khu lưu niệm đồng chí Phạm Hùng</t>
  </si>
  <si>
    <t>Nâng cấp, chỉnh trang và xây dựng mới các hạng mục</t>
  </si>
  <si>
    <t>Trong đó, nguồn viện trợ</t>
  </si>
  <si>
    <t>Viện trợ của tổ chức phi chính phủ nước ngoài</t>
  </si>
  <si>
    <t>Mở rộng hệ thống tuyến ống cấp nước xã An Bình, huyện Long Hồ và xã Bình Phước, huyện Mang Thít, tỉnh Vĩnh Long</t>
  </si>
  <si>
    <t>Xã An Bình, huyện Long Hồ và xã Bình Phước, huyện Mang Thít</t>
  </si>
  <si>
    <t>876 hộ</t>
  </si>
  <si>
    <t>07/QĐ-SKHĐT ngày 08/01/2024</t>
  </si>
  <si>
    <t>Phụ lục 23</t>
  </si>
  <si>
    <t>Phụ lục 22</t>
  </si>
  <si>
    <t xml:space="preserve"> Theo văn bản số 158/PTTH ngày 21/02/2024 của Đài Phát thanh và Truyền hình Vĩnh Long</t>
  </si>
  <si>
    <t>UBND tỉnh chấp thuận tại công văn số 6342/UBND-KTNV ngày 27/9/2024</t>
  </si>
  <si>
    <t>KH năm 2021 bố trí CBĐT: 390 tr đồng</t>
  </si>
  <si>
    <t>Dự án không thực hiện trong năm 2024</t>
  </si>
  <si>
    <t>04/QĐ-SKHĐT ngày 05/01/2024</t>
  </si>
  <si>
    <t>xã Hiếu Phụng, huyện Vũng Liêm</t>
  </si>
  <si>
    <t>05/QĐ-SKHĐT ngày 05/01/2024</t>
  </si>
  <si>
    <t>305/QĐ-SKHĐT ngày 15/12/2023</t>
  </si>
  <si>
    <t>310/QĐ-SKHĐT ngày 19/12/2023</t>
  </si>
  <si>
    <t>2710a/QĐ-UBND ngày 29/11/2023</t>
  </si>
  <si>
    <t>06/QĐ-SKHĐT ngày 08/01/2024</t>
  </si>
  <si>
    <t>03/QĐ-SKHĐT ngày 05/01/2024</t>
  </si>
  <si>
    <t>01/QĐ-SKHĐT ngày 05/01/2024</t>
  </si>
  <si>
    <t>02/QĐ-SKHĐT ngày 05/01/2024</t>
  </si>
  <si>
    <t>293/QĐ-SKHĐT ngày 07/12/2023</t>
  </si>
  <si>
    <t>2831/QĐ-UBND ngày 12/12/2023</t>
  </si>
  <si>
    <t>2784/QĐ-UBND ngày 07/12/2023</t>
  </si>
  <si>
    <t>2782/QĐ-UBND ngày 07/12/2023</t>
  </si>
  <si>
    <t>2783/QĐ-UBND ngày 07/12/2023</t>
  </si>
  <si>
    <t>2570/QĐ-UBND ngày 13/11/2023</t>
  </si>
  <si>
    <t>5220/QĐ-UBND ngày 06/12/2023</t>
  </si>
  <si>
    <t>5162/QĐ-UBND ngày 28/11/2023</t>
  </si>
  <si>
    <t>2780/QĐ-UBND ngày 07/12/2023</t>
  </si>
  <si>
    <t xml:space="preserve">5191/QĐ-UBND ngày 04/12/2023 </t>
  </si>
  <si>
    <t>5203/QĐ-UBND ngày 04/12/2023</t>
  </si>
  <si>
    <t>5742/QĐ-UBND ngày 08/12/2023</t>
  </si>
  <si>
    <t>5741/QĐ-UBND ngày 08/12/2023</t>
  </si>
  <si>
    <t>6958/QĐ-UBND ngày 29/12/2023</t>
  </si>
  <si>
    <t>46/QĐ-SKHĐT ngày 23/02/2024</t>
  </si>
  <si>
    <t>47/QĐ-SKHĐT ngày 23/02/2024</t>
  </si>
  <si>
    <t>48/QĐ-SKHĐT ngày 23/02/2024</t>
  </si>
  <si>
    <t>49/QĐ-SKHĐT ngày 23/02/2024</t>
  </si>
  <si>
    <t>50/QĐ-SKHĐT ngày 23/02/2024</t>
  </si>
  <si>
    <t>82/QĐ-UBND ngày 17/01/2024</t>
  </si>
  <si>
    <t>3074/QĐ-UBND ngày 29/12/2023</t>
  </si>
  <si>
    <t>3075/QĐ-UBND ngày 29/12/2023</t>
  </si>
  <si>
    <t>3076/QĐ-UBND ngày 29/12/2023</t>
  </si>
  <si>
    <t>30/QĐ-SKHĐT ngày 06/02/2024</t>
  </si>
  <si>
    <t>26/QĐ-SKHĐT ngày 31/01/2024</t>
  </si>
  <si>
    <t>19/QĐ-SKHĐT ngày 19/01/2024</t>
  </si>
  <si>
    <t>11/QĐ-SKHĐT ngày 11/01/2024</t>
  </si>
  <si>
    <t>28/QĐ-SKHĐT ngày 02/02/2024</t>
  </si>
  <si>
    <t>29/QĐ-SKHĐT ngày 02/02/2024</t>
  </si>
  <si>
    <t>664/QĐ-UBND ngày 03/4/2024</t>
  </si>
  <si>
    <t>3.534m</t>
  </si>
  <si>
    <t>483m2</t>
  </si>
  <si>
    <t>87/QĐ-SKHĐT ngày 10/4/2024</t>
  </si>
  <si>
    <t>2652/QĐ-UBND ngày 24/11/2023</t>
  </si>
  <si>
    <t>474/QĐ-UBND ngày 14/3/2024</t>
  </si>
  <si>
    <t>663/QĐ-UBND ngày 03/4/2024</t>
  </si>
  <si>
    <t>39/QĐ-UBND ngày 11/01/2024</t>
  </si>
  <si>
    <t>496/QĐ-UBND ngày 19/3/2024</t>
  </si>
  <si>
    <t>475/QĐ-UBND ngày 14/3/2024</t>
  </si>
  <si>
    <t>62/QĐ-SKHĐT ngày 07/3/2024</t>
  </si>
  <si>
    <t>77/QĐ-SKHĐT ngày 03/4/2024</t>
  </si>
  <si>
    <t>80/QĐ-SKHĐT ngày 04/4/2024</t>
  </si>
  <si>
    <t>81/QĐ-SKHĐT ngày 04/4/2024</t>
  </si>
  <si>
    <t>89/QĐ-SKHĐT ngày 15/4/2024</t>
  </si>
  <si>
    <t>90/QĐ-SKHĐT ngày 15/4/2024</t>
  </si>
  <si>
    <t>91/QĐ-SKHĐT ngày 15/4/2024</t>
  </si>
  <si>
    <t>756/QĐ-UBND ngày 17/4/2024</t>
  </si>
  <si>
    <t>755/QĐ-UBND ngày 17/4/2024</t>
  </si>
  <si>
    <t>92/QĐ-SKHĐT ngày 17/4/2024</t>
  </si>
  <si>
    <t>1668/QĐ-UBND ngày 25/4/2024</t>
  </si>
  <si>
    <t>1640/QĐ-UBND ngày 24/4/2024</t>
  </si>
  <si>
    <t>667/QĐ-UBND ngày 25/4/2024</t>
  </si>
  <si>
    <t>1786/QĐ-UBND ngày 30/5/2024</t>
  </si>
  <si>
    <t>1897/QĐ-UBND ngày 19/6/2024</t>
  </si>
  <si>
    <t>1101/QĐ-UBND ngày 10/6/2024</t>
  </si>
  <si>
    <t>1292/QĐ-UBND ngày 03/7/2024</t>
  </si>
  <si>
    <t>1102/QĐ-UBND ngày 10/6/2024</t>
  </si>
  <si>
    <t>Kế hoạch sau điều chỉnh</t>
  </si>
  <si>
    <t>Mở rộng nâng cấp đô thị Việt Nam - Tiểu dự án thành phố Vĩnh Long, tỉnh Vĩnh Long</t>
  </si>
  <si>
    <t>2016-2022</t>
  </si>
  <si>
    <t>580/QĐ-UBND ngày 28/3/2017</t>
  </si>
  <si>
    <t>Dự án tập trung sử dụng vốn TW</t>
  </si>
  <si>
    <t>Trong đó, NST</t>
  </si>
  <si>
    <t>Lũy kế thanh toán theo QĐ phê duyệt QT và vốn CBĐT-CBTHDA</t>
  </si>
  <si>
    <t>Số, ngày, tháng, năm</t>
  </si>
  <si>
    <t>Dự toán</t>
  </si>
  <si>
    <t>NGUỒN CÂN ĐỐI NGÂN SÁCH</t>
  </si>
  <si>
    <t>Chuẩn bị đầu tư - chuẩn bị dự án (bao gồm khảo sát, thiết kế thi công - dự toán)</t>
  </si>
  <si>
    <t>Cầu Quới An trên đường tỉnh 902 tỉnh Vĩnh Long</t>
  </si>
  <si>
    <t>Xã Chánh An, huyện Mang Thít và xã Quới An, huyện Vũng Liêm</t>
  </si>
  <si>
    <t>511/QĐ-BQLDAGT ngày 26/12/2023</t>
  </si>
  <si>
    <t>Quyết định phê duyệt dự toán chuẩn bị đầu tư dự án/ phê duyệt quyết toán dự án hoàn thành</t>
  </si>
  <si>
    <t>NGUỒN XỔ SỐ KIỂN THIẾT</t>
  </si>
  <si>
    <t>Thanh toán, quyết toán, tất toán khối lượng hoàn thành</t>
  </si>
  <si>
    <t>Đầu tư thiết bị thực hiện chương trình đổi mới giáo dục phổ thông lớp 2 và lớp 6 trên địa bàn huyện Tam Bình</t>
  </si>
  <si>
    <t>huyện Tam Bình</t>
  </si>
  <si>
    <t>603/QĐ-UBND ngày 28/3/2024</t>
  </si>
  <si>
    <t>Đầu tư thiết bị thực hiện chương trình đổi mới giáo dục phổ thông lớp 2 và lớp 6 trên địa bàn huyện Trà Ôn</t>
  </si>
  <si>
    <t>huyện Trà Ôn</t>
  </si>
  <si>
    <t>199/QĐ-UBND ngày 31/01/2024</t>
  </si>
  <si>
    <t>Đầu tư thiết bị thực hiện chương trình đổi mới giáo dục phổ thông lớp 3 và lớp 7 trên địa bàn thành phố Vĩnh Long</t>
  </si>
  <si>
    <t>thành phố Vĩnh Long</t>
  </si>
  <si>
    <t>808/QĐ-UBND ngày 25/4/2024</t>
  </si>
  <si>
    <t>Cải tạo, nâng cấp Trung tâm Giáo dục nghề nghiệp - Giáo dục thường xuyên huyện Long Hồ</t>
  </si>
  <si>
    <t>huyện Long Hồ</t>
  </si>
  <si>
    <t>105/QĐ-STC ngày 11/04/2024</t>
  </si>
  <si>
    <t>Cải tạo, nâng cấp khu 4 tầng của Bệnh viện đa khoa Vĩnh Long thành Trung tâm Hồi sức tích cực (ICU) người bệnh Covid-19</t>
  </si>
  <si>
    <t>601/QĐ-UBND ngày 28/3/2024</t>
  </si>
  <si>
    <t>Đầu tư xây dựng cải tạo, nâng cấp Bệnh viện đa khoa Vĩnh Long (phần xây dựng mới)</t>
  </si>
  <si>
    <t>842/QĐ-UBND ngày 04/5/2024</t>
  </si>
  <si>
    <t>Cải tạo, sửa chữa Trung tâm Y tế Nguyễn Văn Thủ - huyện Vũng Liêm</t>
  </si>
  <si>
    <t>huyện Vũng Liêm</t>
  </si>
  <si>
    <t xml:space="preserve">427/QĐ-STC ngày 30/11/2023 </t>
  </si>
  <si>
    <t>Sửa chữa các Trạm y tế xã: Trung Ngãi, Trung Thành, Quới An, Trung Hiệp, Trung Thành Đông, Hiếu Thành, Trung An thuộc Trung tâm Y tế Nguyễn Văn Thủ, huyện Vũng Liêm</t>
  </si>
  <si>
    <t>40/QĐ-STC ngày 23/01/2024</t>
  </si>
  <si>
    <t>Bia Nam Kỳ Khởi Nghĩa, Tượng đài Lê Cẩn - Nguyễn Giao. Hạng mục: Sơn hàng rào mặt trước, sơn trụ điện chiếu sáng, lát nền sân sụp lún; nhuộm phủ hóa chất chống ôxy hóa tượng đài Lê Cẩn -Nguyễn Giao, sơn toàn bộ tường thành bồn hoa</t>
  </si>
  <si>
    <t>103/QĐ-STC ngày 11/4/2024</t>
  </si>
  <si>
    <t>Trụ sở làm việc Công an huyện Vũng Liêm</t>
  </si>
  <si>
    <t>1033/QĐ-UBND ngày 29/5/2024</t>
  </si>
  <si>
    <t>Cải tạo, nâng cấp hệ thống chiếu sáng công cộng huyện Bình Tân</t>
  </si>
  <si>
    <t>huyện Bình Tân</t>
  </si>
  <si>
    <t>818/QĐ-UBND ngày 20/5/2024</t>
  </si>
  <si>
    <t>Đầu tư thiết bị thực hiện chương trình đổi mới giáo dục phổ thông lớp 3 và lớp 7 trên địa bàn huyện Bình Tân</t>
  </si>
  <si>
    <t>Trang thiết bị phục vụ công tác chuyên môn cho Bệnh viện Đa khoa Vĩnh Long</t>
  </si>
  <si>
    <t>1084/QĐ-UBND ngày 06/6/2024</t>
  </si>
  <si>
    <t>Lĩnh vực Xã hội</t>
  </si>
  <si>
    <t>Cải tạo, nâng cấp Nghĩa trang Liệt sĩ huyện Vũng Liêm</t>
  </si>
  <si>
    <t>976/QĐ-UBND ngày 23/05/2024</t>
  </si>
  <si>
    <t>Cải tạo, nâng cấp Trung tâm dịch vụ việc làm tỉnh Vĩnh Long</t>
  </si>
  <si>
    <t>118/QĐ-STC ngày 03/5/2024</t>
  </si>
  <si>
    <t>Trung tâm công tác xã hội tỉnh Vĩnh Long (các khối phụ trợ cho cơ sở chăm sóc người bệnh tâm thần)</t>
  </si>
  <si>
    <t xml:space="preserve">151/QĐ-STC ngày 30/5/2024 </t>
  </si>
  <si>
    <t>Hệ thống thủy lợi Cái Sao - Chánh Thuận, xã Bình Phước, huyện Mang Thít</t>
  </si>
  <si>
    <t>huyện Mang Thít</t>
  </si>
  <si>
    <t>1032/QĐ-UBND ngày 29/5/2024</t>
  </si>
  <si>
    <t>Đường vào cụm công nghiệp Tân Bình, huyện Bình Tân, tỉnh Vĩnh Long</t>
  </si>
  <si>
    <t>161/QĐ-BQLDA ngày 28/6/2024</t>
  </si>
  <si>
    <t>Chuẩn bị đầu tư - Chuẩn bị dự án (bao gồm khảo sát, thiết kế thi công - dự toán)</t>
  </si>
  <si>
    <t>Trung tâm Giáo dục nghề nghiệp - Giáo dục thường xuyên huyện Trà Ôn. Hạng mục: Xây dựng mới 04 phòng học bộ môn và trang thiết bị</t>
  </si>
  <si>
    <t>859/QĐ-SLĐTBXH-XDCB ngày 11/7/2024</t>
  </si>
  <si>
    <t>Tuyến tránh Quốc lộ 57 (Đường dẫn Cầu Đình Khao)</t>
  </si>
  <si>
    <t>Huyện Mang Thít và huyện Long Hồ, tỉnh Vĩnh Long</t>
  </si>
  <si>
    <t>264/QĐ-BQLDAGT ngày 05/7/2024</t>
  </si>
  <si>
    <t>Đường dẫn vào Cầu Cồn Chim, thành phố Vĩnh Long</t>
  </si>
  <si>
    <t>1719/QĐ-UBND ngày 13/4/2022</t>
  </si>
  <si>
    <t>Cải tạo, nâng cấp trường trung học phổ thông Song Phú, huyện Tam Bình</t>
  </si>
  <si>
    <t>1889/QĐ-SGDĐT ngày 29/11/2023</t>
  </si>
  <si>
    <t>Cải tạo, sửa chữa trường trung học cơ sở và trung học phổ thông Mỹ Phước</t>
  </si>
  <si>
    <t>165/QĐ-THCS-THPT.MP ngày 26/10/2023</t>
  </si>
  <si>
    <t>Cải tạo, sửa chữa trường trung học phổ thông Hoàng Thái Hiếu</t>
  </si>
  <si>
    <t>thị xã Bình Minh</t>
  </si>
  <si>
    <t>267/QĐ-THPT.HTH 26/10/2023</t>
  </si>
  <si>
    <t>Cải tạo, sửa chữa trường trung học phổ thông Hòa Ninh</t>
  </si>
  <si>
    <t>108B/QĐ-THPT.HN ngày 26/10/2023</t>
  </si>
  <si>
    <t>Phủ bạc hồ chứa rác rỉ rác, xã Hòa Phú</t>
  </si>
  <si>
    <t>09/QĐ-XDCB ngày 28/9/2024</t>
  </si>
  <si>
    <t>Kè bê tông hồ chứa nước rỉ rác, xã Hòa Phú</t>
  </si>
  <si>
    <t>10/QĐ-XDCB ngày 30/9/2024</t>
  </si>
  <si>
    <t>Nâng cấp, mở rộng hệ thống quản lý văn bản và điều hành với chức năng quản lý tài liệu lưu trữ điện tử</t>
  </si>
  <si>
    <t>170/QĐ-STC ngày 24/6/2024</t>
  </si>
  <si>
    <t>Trụ sở làm việc Ban Chỉ huy Quân sự xã Bình Phước, huyện Mang Thít</t>
  </si>
  <si>
    <t>2801/QĐ-BCH ngày 21/8/2024</t>
  </si>
  <si>
    <t>Trụ sở làm việc Ban Chỉ huy Quân sự xã Hiếu Nghĩa, huyện Vũng Liêm</t>
  </si>
  <si>
    <t>2802/QĐ-BCH ngày 21/8/2024</t>
  </si>
  <si>
    <t>Trụ sở làm việc Ban Chỉ huy Quân sự xã Thanh Đức, huyện Long Hồ</t>
  </si>
  <si>
    <t>2803/QĐ-BCH ngày 21/8/2024</t>
  </si>
  <si>
    <t>Trụ sở làm việc Ban Chỉ huy Quân sự xã An Bình, huyện Long Hồ</t>
  </si>
  <si>
    <t>2804/QĐ-BCH ngày 21/8/2024</t>
  </si>
  <si>
    <t>Dự án đầu tư xây dựng cầu Đình Khao nối hai tỉnh Vĩnh Long và Bến Tre theo phương thức đối tác công tư</t>
  </si>
  <si>
    <t>Huyện Mang Thít, tỉnh Vĩnh Long và huyện Chợ Lách,
tỉnh Bến Tre</t>
  </si>
  <si>
    <t>644/QĐ-SGTVT ngày 18/10/2024</t>
  </si>
  <si>
    <t>Các dự án lĩnh vực An ninh và trật tự, an toàn xã hội</t>
  </si>
  <si>
    <t>Huyện Bình Tân</t>
  </si>
  <si>
    <t>Lĩnh vực Văn hóa - Thể thao</t>
  </si>
  <si>
    <t>Hoàn thiện đê bao sông Mang Thít (Giai đoạn 2) - Kè sông Hậu đoạn qua thị xã Bình Minh, tỉnh Vĩnh Long</t>
  </si>
  <si>
    <t>Các huyện: Mang Thít, Tam Bình, Trà Ôn và thị xã Bình Minh, tỉnh Vĩnh Long</t>
  </si>
  <si>
    <t>05/QĐ-SNN&amp;PTNT.DTCBDA ngày 18/01/2021</t>
  </si>
  <si>
    <t>Dự án Đường nối từ đường Phạm Hùng đến đường Võ Văn Kiệt, thành phố Vĩnh Long</t>
  </si>
  <si>
    <t>49/QĐ-UBND ngày 11/01/2024</t>
  </si>
  <si>
    <t>Đường Rạch Trúc, thị trấn Vũng Liêm, huyện Vũng Liêm</t>
  </si>
  <si>
    <t>180/QĐ-UBND ngày 30/01/2024</t>
  </si>
  <si>
    <t>Đầu tư thảm cỏ khuôn viên khu hành chính tỉnh Vĩnh Long (Khối 2)</t>
  </si>
  <si>
    <t>366/QĐ-STC ngày 20/11/2023</t>
  </si>
  <si>
    <t>Xây dựng Khu chức năng riêng biệt các đơn vị trực thuộc Sở Nông nghiệp và phát triển nông thôn</t>
  </si>
  <si>
    <t>54/QĐ-STC, ngày 07/02/2024</t>
  </si>
  <si>
    <t>Nâng cấp công suất trạm cấp nước xã Phú Thành, huyện Trà Ôn, tỉnh Vĩnh Long</t>
  </si>
  <si>
    <t xml:space="preserve"> huyện Trà Ôn</t>
  </si>
  <si>
    <t>47/QĐ-NS&amp;VSMTNT ngày 15/2/2024</t>
  </si>
  <si>
    <t>Nâng cấp công suất trạm cấp nước xã Quới Thiện, huyện Vũng Liêm, tỉnh Vĩnh Long</t>
  </si>
  <si>
    <t>48/QĐ-NS&amp;VSMTNT ngày 15/2/2024</t>
  </si>
  <si>
    <t>Nâng cấp công suất trạm cấp nước xã Nguyễn Văn Thảnh, huyện Bình Tân, tỉnh Vĩnh Long</t>
  </si>
  <si>
    <t>46/QĐ-NS&amp;VSMTNT ngày 15/2/2024</t>
  </si>
  <si>
    <t>Đầu tư thiết bị phòng học bộ môn Lý-Hóa-Sinh cho các trường Trung học cơ sở, Trung học cơ sở và Trung học phổ thông, Trung học phổ thông trên địa bàn tỉnh Vĩnh Long</t>
  </si>
  <si>
    <t>tỉnh Vĩnh Long</t>
  </si>
  <si>
    <t>2946/QĐ-UBND ngày 22/12/2023</t>
  </si>
  <si>
    <t>Đầu tư thiết bị thực hiện chương trình đổi mới giáo dục phổ thông lớp 2 và lớp 6 trên địa bàn thị xã Bình Minh</t>
  </si>
  <si>
    <t>200/QĐ-UBND ngày 31/01/2024</t>
  </si>
  <si>
    <t>Đầu tư thiết bị thực hiện chương trình đổi mới giáo dục phổ thông lớp 2 và lớp 6 trên địa bàn huyện Vũng Liêm</t>
  </si>
  <si>
    <t>2945/QĐ-UBND, ngày 22/12/2023</t>
  </si>
  <si>
    <t>Cải tạo, nâng cấp Trường Trung học cơ sở - Trung học phổ thông Mỹ Thuận, huyện Bình Tân</t>
  </si>
  <si>
    <t xml:space="preserve">291/QĐ-STC ngày 6/10/2023 </t>
  </si>
  <si>
    <t>Cải tạo, nâng cấp Trường Trung học phổ thông Tân Quới, huyện Bình Tân</t>
  </si>
  <si>
    <t xml:space="preserve">115/QĐ-STC ngày 17/4/2023 </t>
  </si>
  <si>
    <t>Trung tâm Giáo dục thường xuyên huyện Long Hồ</t>
  </si>
  <si>
    <t>57/QĐ-UBND ngày 11/01/2024</t>
  </si>
  <si>
    <t>Ký túc xá sinh viên Trường Cao đẳng nghề Vĩnh Long</t>
  </si>
  <si>
    <t>181/QĐ-UBND ngày 30/01/2024</t>
  </si>
  <si>
    <t>Cải tạo, sửa chữa khối phòng học Trường Cao đẳng Vĩnh Long (tại cơ sở 3) thành khu cách ly tập trung</t>
  </si>
  <si>
    <t>thành phố Vĩnh long</t>
  </si>
  <si>
    <t xml:space="preserve">200/QĐ-STC ngày 30/9/2022 </t>
  </si>
  <si>
    <t>Cải tạo, sửa chữa khối phòng học và phòng thực hành Trường Cao đẳng Vĩnh Long (tại xã Long Phước, huyện Long Hồ) thành khu cách ly tập trung quy mô 200 giường</t>
  </si>
  <si>
    <t>202/QĐ-STC ngày 30/9/2022</t>
  </si>
  <si>
    <t>Cải tạo, sửa chữa, mở rộng Bệnh viện Phổi Vĩnh
Long</t>
  </si>
  <si>
    <t xml:space="preserve">174/QĐ-STC ngày 30/6/2023 </t>
  </si>
  <si>
    <t>Sửa chữa Hệ thống xử lý nước thải - Bệnh viện Tâm thần</t>
  </si>
  <si>
    <t>287/QĐ-STC ngày 06/10/2023</t>
  </si>
  <si>
    <t>Sửa chữa khối nhà làm việc, hàng rào bảo vệ Bệnh viện Tâm thần Vĩnh Long</t>
  </si>
  <si>
    <t>288/QĐ-STC ngày 06/10/2023</t>
  </si>
  <si>
    <t>Cải tạo, sửa chữa Công viên tượng đài tiểu đoàn 857</t>
  </si>
  <si>
    <t>26/QĐ-STC ngày 12/01/2024</t>
  </si>
  <si>
    <t>Cải tạo, sửa chữa Bia chiến thắng ngã ba Bà Nữ</t>
  </si>
  <si>
    <t>39/QĐ-STC ngày 23/01/2024</t>
  </si>
  <si>
    <t>Cải tạo, sửa chữa Trường năng khiếu nghệ thuật và Thể dục thể thao</t>
  </si>
  <si>
    <t>362/QĐ-STC ngày 20/11/2023</t>
  </si>
  <si>
    <t xml:space="preserve">Cải tạo, sửa chữa Đình Tân Ngãi </t>
  </si>
  <si>
    <t>38/QĐ-STC ngày 23/01/2024</t>
  </si>
  <si>
    <t>Lĩnh vực Tài nguyên và Môi trường</t>
  </si>
  <si>
    <t>Nâng cao năng lực quan trắc chất lượng môi trường tỉnh Vĩnh Long</t>
  </si>
  <si>
    <t>2879/QĐ-UBND ngày 30/12/2022</t>
  </si>
  <si>
    <t>Nâng cấp công suất trạm cấp nước Tân Hạnh 1, xã Tân Hạnh, huyện Long Hồ, tỉnh Vĩnh Long</t>
  </si>
  <si>
    <t>248/QĐ-STC ngày 23/8/2023</t>
  </si>
  <si>
    <t>Nâng cấp công suất trạm cấp nước Hòa Phú 2, xã Hòa Phú, huyện Long Hồ, tỉnh Vĩnh Long</t>
  </si>
  <si>
    <t>294/QĐ-STC ngày 06/10/2023</t>
  </si>
  <si>
    <t>Nâng cấp công suất trạm cấp nước xã Phú Quới, huyện Long Hồ</t>
  </si>
  <si>
    <t>53/QĐ-STC ngày 07/02/2024</t>
  </si>
  <si>
    <t>Trụ sở làm việc Công an xã Tân Mỹ, huyện Trà Ôn</t>
  </si>
  <si>
    <t>50/QĐ-STC
ngày 05/02/2024</t>
  </si>
  <si>
    <t>Trụ sở làm việc Công an xã Tân Lược, huyện Bình Tân</t>
  </si>
  <si>
    <t>49/QĐ-STC
ngày 05/02/2024</t>
  </si>
  <si>
    <t>Đường vào Nhà thi hành án tử hình - Trại giam Công an tỉnh Vĩnh Long</t>
  </si>
  <si>
    <t>25/QĐ-STC
ngày 12/01/2024</t>
  </si>
  <si>
    <t>Trụ sở làm việc Ban Chỉ huy Quân sự xã Trung Hiệp, huyện Vũng Liêm</t>
  </si>
  <si>
    <t>364/QĐ-STC
ngày 20/11/2023</t>
  </si>
  <si>
    <t>Trụ sở làm việc Ban Chỉ huy Quân sự xã Phú Quới, huyện Long Hồ</t>
  </si>
  <si>
    <t>361/QĐ-STC
ngày 20/11/2023</t>
  </si>
  <si>
    <t>Trụ sở làm việc Ban Chỉ huy Quân sự xã Tường Lộc, huyện Tam Bình</t>
  </si>
  <si>
    <t>367/QĐ-STC
ngày 20/11/2023</t>
  </si>
  <si>
    <t>Trụ sở làm việc Ban Chỉ huy Quân sự xã Bình Ninh, huyện Tam Bình</t>
  </si>
  <si>
    <t>459/QĐ-STC
ngày 19/ 12/2023</t>
  </si>
  <si>
    <t>UBND tỉnh giao vốn chi tiết theo quy định mật</t>
  </si>
  <si>
    <t>CẬP NHẬT KẾ HOẠCH VỐN CHUẨN BỊ ĐẦU TƯ - CHUẨN BỊ DỰ ÁN (BAO GỒM KHẢO SÁT, THIẾT KẾ THI CÔNG - DỰ TOÁN); THANH TOÁN, QUYẾT TOÁN, TẤT TOÁN DỰ ÁN HOÀN THÀNH NĂM 2024</t>
  </si>
  <si>
    <t>Quyết định phê duyệt: dự án, BCKTKT, dự toán CP CBĐT, quyết toán dự án hoàn thành</t>
  </si>
  <si>
    <t>Lũy kế thanh toán theo QĐ phê duyệt Dự án, BCKTKT, dự toán CBĐT, QTDAHT</t>
  </si>
  <si>
    <t>Đường giao thông nông thôn ấp Phú Bình, xã An Phước, huyện Mang Thít</t>
  </si>
  <si>
    <t>279/QĐ-SKHĐT ngày 23/11/2023</t>
  </si>
  <si>
    <t>Đường từ đập Bảy Ngàn - Sáu Nhuần, xã An Phước, huyện Mang Thít</t>
  </si>
  <si>
    <t>223/QĐ-SKHĐT ngày 30/9/2022</t>
  </si>
  <si>
    <t>Đường từ Mười Đậm đến cầu Bảy Đủ xã Chánh An, huyện Mang Thít</t>
  </si>
  <si>
    <t>122/QĐ-SKHĐT ngày 08/6/2022</t>
  </si>
  <si>
    <t>CẬP NHẬT KẾ HOẠCH PHÂN BỔ VỐN ĐẦU TƯ CÔNG NĂM 2024 ĐỂ THỰC HIỆN DỰ ÁN DO CÁC CÁ NHÂN, DOANH NGHIỆP, TỔ CHỨC PHI CHÍNH PHỦ,... TÀI TRỢ (ĐỐI ỨNG)</t>
  </si>
  <si>
    <t>Đường đan ấp Bình Hòa 2, xã Bình Hòa Phước (đoạn từ nhà ông Trần Lập Thành đến giáp đường vành đai phát triển hạ tầng du lịch 4 xã cù lao)</t>
  </si>
  <si>
    <t>121/QĐ-SKHĐT ngày 29/5/2024</t>
  </si>
  <si>
    <t>Chuẩn bị đầu tư</t>
  </si>
  <si>
    <t>Đường đan Ngã Tắt, ấp Tân Phước, xã Tân Bình, huyện Bình Tân</t>
  </si>
  <si>
    <t>Huyện Long Hồ, huyện Mang Thít</t>
  </si>
  <si>
    <t>SỐ VỐN ĐÃ PHÂN BỔ</t>
  </si>
  <si>
    <t>SỐ VỐN CHƯA PHÂN BỔ</t>
  </si>
  <si>
    <t>Phụ lục 24</t>
  </si>
  <si>
    <t>Kế hoạch vốn năm 2024</t>
  </si>
  <si>
    <t>Phụ lục 25</t>
  </si>
  <si>
    <t>238/QĐ-SKHĐT ngày 24/10/2024</t>
  </si>
  <si>
    <t>26/QĐ-LHCTCHN ngày 14/10/2024</t>
  </si>
  <si>
    <t>Hỗ trợ đầu tư trang thiết bị hệ thống xay xát gạo cho Hợp tác xã sản xuất dịch vụ nông nghiệp Tấn Đạt xã Trung Ngãi, huyện Vũng Liêm</t>
  </si>
  <si>
    <t>Xã Trung Ngãi, huyện Vũng Liêm</t>
  </si>
  <si>
    <t>Đợt 1</t>
  </si>
  <si>
    <t>Đợt 2</t>
  </si>
  <si>
    <t>1937/QĐ-UBND ngày 21/9/2022</t>
  </si>
  <si>
    <t>Dự án có quy mô đầu tư lớn, phạm vi thực hiện rộng thuộc nhiều địa bàn; đồng thời doTrung ương hỗ trợ vốn còn hạn chế só với tổng nhu cầu; do đó, ngân sách tỉnh vốn đối ứng hàng năm; ngoài ra, hiện dự án vẫn còn vướng GPMB.</t>
  </si>
  <si>
    <t>O</t>
  </si>
  <si>
    <t>NGUỒN KẾT DƯ XỔ SỐ KIẾN THIẾT NĂM 2020 VÀ CÁC NĂM TRƯỚC</t>
  </si>
  <si>
    <t>Chi tiết tại phụ lục 17</t>
  </si>
  <si>
    <t>P</t>
  </si>
  <si>
    <t>NGUỒN MƯỢN CỦA ĐÀI PHÁT THANH VÀ TRUYỀN HÌNH VĨNH LONG</t>
  </si>
  <si>
    <t>Chi tiết tại phụ lục 18</t>
  </si>
  <si>
    <t>Q</t>
  </si>
  <si>
    <t>NGUỒN DỰ PHÒNG NGÂN SÁCH TỈNH NĂM 2024</t>
  </si>
  <si>
    <t>Chi tiết tại phụ lục 19</t>
  </si>
  <si>
    <t>R</t>
  </si>
  <si>
    <t xml:space="preserve">NGUỒN VỐN VẬN ĐỘNG CỦA TỈNH TRÀ VINH HỖ TRỢ </t>
  </si>
  <si>
    <t>Chi tiết tại phụ lục 20</t>
  </si>
  <si>
    <t>S</t>
  </si>
  <si>
    <t>NGUỒN VỐN TỔNG CỤC CÔNG NGHIỆP QUỐC PHÒNG HỖ TRỢ</t>
  </si>
  <si>
    <t>T</t>
  </si>
  <si>
    <t>NGUỒN VỐN CÔNG ĐOÀN NGÀNH NGÂN HÀNG TÀI TRỢ</t>
  </si>
  <si>
    <t>U</t>
  </si>
  <si>
    <t>NGUỒN VỐN VIỆN TRỢ KHÔNG HOÀN LẠI CỦA NƯỚC NGOÀI</t>
  </si>
  <si>
    <t>Chi tiết tại phụ lục 21</t>
  </si>
  <si>
    <t>Chi tiết tại phụ lục 22</t>
  </si>
  <si>
    <t>Chi tiết tại phụ lục 23</t>
  </si>
  <si>
    <t xml:space="preserve"> 573/QĐ-UBND ngày 26/3/2024;
2107/QĐ-UBND ngày 22/10/2024</t>
  </si>
  <si>
    <t>558/QĐ-UBND ngày 22/03/2022;
3009/QĐ-UBND ngày 04/11/2021</t>
  </si>
  <si>
    <t>1026/QĐ-UBND ngày 07/5/2019; 1402/QĐ-UBND ngày 10/6/2020; 1608/QĐ-UBND ngày 23/6/2020; 2134/QĐ-UBND ngày 11/8/2021;
2795/QĐ-UBND ngày 29/12/2022</t>
  </si>
  <si>
    <t>2634/QĐ-UBND ngày 28/10/2016; 
2959/QĐ-UBND ngày 08/12/2016; 
2623/QĐ-UBND ngày 30/9/2020; 
20/NQ-HĐND ngày 02/7/2021;
2140/QĐ-UBND ngày 11/8/2021;
1866/QĐ-UBND ngày 09/9/2022;
2624/QĐ-UBND ngày 21/11/2023</t>
  </si>
  <si>
    <t>304/QĐ-SKHĐT ngày 28/10/2022;
135/QĐ-SKHĐT ngày 17/6/2024</t>
  </si>
  <si>
    <t>298/QĐ-SKHĐT ngày 07/10/2021;
139/QĐ-SKHĐT ngày 19/6/2024</t>
  </si>
  <si>
    <t>2917/QĐ-UBND ngày 29/10/2021;
914/QĐ-UBND ngày 13/5/2024</t>
  </si>
  <si>
    <t>Đối ứng Chương trình mục tiêu quốc gia phát triển kinh tế - xã hội vùng đồng bào dân tộc thiểu số và miền núi giai đoạn 2021-2030, giai đoạn I: từ năm 2021 đến năm 2025</t>
  </si>
  <si>
    <t>Ủy ban nhân dân tỉnh đã giao chi tiết kế hoạch vốn khi các dự án đảm bảo đủ điều kiện, thủ tục theo quy định của Luật Đầu tư công tại các phụ lục 1, 3, 4, 7, 13, 14</t>
  </si>
  <si>
    <t>Tăng/Giảm
(+)/(-)</t>
  </si>
  <si>
    <t>CHI TIẾT KẾ HOẠCH ĐẦU TƯ CÔNG NĂM 2024: 
NGUỒN KẾT DƯ XỔ SỐ KIẾN THIẾT NĂM 2020 VÀ CÁC NĂM TRƯỚC</t>
  </si>
  <si>
    <t>CHI TIẾT KẾ HOẠCH ĐẦU TƯ CÔNG NĂM 2024:
NGUỒN MƯỢN CỦA ĐÀI PHÁT THANH VÀ TRUYỀN HÌNH VĨNH LONG</t>
  </si>
  <si>
    <t>CHI TIẾT KẾ HOẠCH ĐẦU TƯ CÔNG NĂM 2024: 
NGUỒN DỰ PHÒNG NGÂN SÁCH TỈNH NĂM 2024</t>
  </si>
  <si>
    <t xml:space="preserve">CHI TIẾT KẾ HOẠCH ĐẦU TƯ CÔNG NĂM 2024:
NGUỒN VỐN VẬN ĐỘNG CỦA TỈNH TRÀ VINH HỖ TRỢ </t>
  </si>
  <si>
    <t>CHI TIẾT KẾ HOẠCH ĐẦU TƯ CÔNG NĂM 2024:
NGUỒN VỐN TỔNG CỤC CÔNG NGHIỆP QUỐC PHÒNG HỖ TRỢ</t>
  </si>
  <si>
    <t>CHI TIẾT BKẾ HOẠCH ĐẦU TƯ CÔNG NĂM 2024
NGUỒN VỐN CÔNG ĐOÀN NGÀNH NGÂN HÀNG TÀI TRỢ</t>
  </si>
  <si>
    <t>CHI TIẾT KẾ HOẠCH ĐẦU TƯ CÔNG NĂM 2024
NGUỒN VỐN VIỆN TRỢ KHÔNG HOÀN LẠI CỦA NƯỚC NGOÀI</t>
  </si>
  <si>
    <t>CHI TIẾT KẾ HOẠCH ĐẦU TƯ CÔNG NĂM 2024: 
NGUỒN CÂN ĐỐI NGÂN SÁCH TỈNH</t>
  </si>
  <si>
    <t>CHI TIẾT KẾ HOẠCH ĐẦU TƯ CÔNG NĂM 2024: 
NGUỒN THU TIỀN SỬ DỤNG ĐẤT</t>
  </si>
  <si>
    <t>CHI TIẾT KẾ HOẠCH ĐẦU TƯ CÔNG NĂM 2024: 
NGUỒN XỔ SỐ KIẾN THIẾT</t>
  </si>
  <si>
    <t>CHI TIẾT KẾ HOẠCH ĐẦU TƯ CÔNG NĂM 2024: 
NGUỒN XỔ SỐ KIẾN THIẾT THỰC HIỆN CÁC CHƯƠNG TRÌNH MỤC TIÊU QUỐC GIA</t>
  </si>
  <si>
    <t>CHI TIẾT KẾ HOẠCH ĐẦU TƯ CÔNG NĂM 2024:
NGUỒN ĐÀI PHÁT THANH VÀ TRUYỀN HÌNH VĨNH LONG NỘP VÀO NGÂN SÁCH TỈNH</t>
  </si>
  <si>
    <t>CHI TIẾT KẾ HOẠCH ĐẦU TƯ CÔNG NĂM 2024:
NGUỒN XỔ SỐ KIẾN THIẾT CÁC NĂM TRƯỚC</t>
  </si>
  <si>
    <t>CHI TIẾT KẾ HOẠCH ĐẦU TƯ CÔNG NĂM 2024:
NGUỒN KẾT DƯ XỔ SỐ KIẾN THIẾT</t>
  </si>
  <si>
    <t>CHI TIẾT KẾ HOẠCH ĐẦU TƯ CÔNG NĂM 2024:
NGUỒN KẾT DƯ TIỀN SỬ DỤNG ĐẤT NĂM 2020</t>
  </si>
  <si>
    <t>CHI TIẾT KẾ HOẠCH ĐẦU TƯ CÔNG NĂM 2024:
NGUỒN BỘI CHI NGÂN SÁCH ĐỊA PHƯƠNG NĂM 2024</t>
  </si>
  <si>
    <t>CHI TIẾT KẾ HOẠCH ĐẦU TƯ CÔNG NĂM 2024: 
NGUỒN VƯỢT THU XỔ SỐ KIẾN THIẾT</t>
  </si>
  <si>
    <t>CHI TIẾT KẾ HOẠCH ĐẦU TƯ CÔNG NĂM 2024: 
NGUỒN KẾT DƯ CÂN ĐỐI NGÂN SÁCH NĂM 2022</t>
  </si>
  <si>
    <t>CHI TIẾT KẾ HOẠCH ĐẦU TƯ CÔNG NĂM 2024: 
NGUỒN KẾT DƯ XỔ SỐ KIẾN THIẾT NĂM 2022</t>
  </si>
  <si>
    <t>CHI TIẾT KẾ HOẠCH ĐẦU TƯ CÔNG NĂM 2024: 
NGUỒN VƯỢT THU XỔ SỐ KIẾN THIẾT NĂM 2022</t>
  </si>
  <si>
    <t>Điều chỉnh giảm do hụt thu theo thực tế (theo văn bản số 3139/STC-QLNS ngày 11/10/2024 của Sở Tài chỉnh)</t>
  </si>
  <si>
    <t>Bố trí hoàn trả cho huyện thực hiện dự án nhưng thu không đạt dự toán nên điều chỉnh giảm (theo văn bản số 3139/STC-QLNS ngày 11/10/2024 của Sở Tài chỉnh)</t>
  </si>
  <si>
    <t>Dự án tập trung sử dụng vốn trung ương thông báo bổ sung (tháng 8/2024)</t>
  </si>
  <si>
    <t>Dự án tập trung sử dụng vốn trung ương</t>
  </si>
  <si>
    <t>Dự án thực hiện chậm</t>
  </si>
  <si>
    <t>Dự án tập trung sử dụng vốn trung ương để hoàn thành dự án</t>
  </si>
  <si>
    <t>Dự án đang thực hiện thủ tục chuyển mục đích sử dụng dụng đất lúa theo Luật Đất đai năm 2024</t>
  </si>
  <si>
    <t>Ủy ban nhân dân tỉnh đã giao chi tiết kế hoạch vốn khi các dự án đảm bảo đủ điều kiện, thủ tục theo quy định của Luật Đầu tư công tại mục V.2.</t>
  </si>
  <si>
    <t>Ủy ban nhân dân tỉnh đã giao chi tiết kế hoạch vốn khi các dự án đảm bảo đủ điều kiện, thủ tục theo quy định của Luật Đầu tư công tại mục II.2.</t>
  </si>
  <si>
    <t>Dự án đang được cập nhật lại giá bồi thường theo quy định mới</t>
  </si>
  <si>
    <t>CHI TIẾT KẾ HOẠCH ĐẦU TƯ CÔNG NĂM 2024:
NGUỒN NGÂN SÁCH THÀNH PHỐ VĨNH LONG HOÀN TRẢ NGÂN SÁCH TỈNH 
(THỰC HIỆN DỰ ÁN KHU TÁI ĐỊNH CƯ KHÓM 3, PHƯỜNG 9, THÀNH PHỐ VĨNH LONG)</t>
  </si>
  <si>
    <t>Ủy ban nhân dân tỉnh đã giao chi tiết kế hoạch vốn khi các dự án đảm bảo đủ điều kiện, thủ tục theo quy định của Luật Đầu tư công tại mục I.</t>
  </si>
  <si>
    <t>Ủy ban nhân dân tỉnh đã giao chi tiết kế hoạch vốn khi các dự án đảm bảo đủ điều kiện, thủ tục theo quy định của Luật Đầu tư công tại mục IV.</t>
  </si>
  <si>
    <t>Ủy ban nhân dân tỉnh đã giao chi tiết kế hoạch vốn khi các dự án đảm bảo đủ điều kiện, thủ tục theo quy định của Luật Đầu tư công tại mục I.2 và II.2</t>
  </si>
  <si>
    <t>Đủ vốn hoàn thành dự án</t>
  </si>
  <si>
    <t>Phân bổ cho cấp huyện, thị xã và thành phố</t>
  </si>
  <si>
    <t xml:space="preserve"> - Theo Quyết định số 1823/QĐ-UBND ngày 16/9/2024 của UBND tỉnh
 - Theo tờ trình số 697/TTr-CP ngày 23/10/2024 của Chính phủ thì số bổ sung là 142,286 tỷ đồng.</t>
  </si>
  <si>
    <t>26a/QĐ-CCPTNT ngày 30/10/2024</t>
  </si>
  <si>
    <t>PHÂN BỔ CHO HUYỆN, THỊ XÃ VÀ THÀNH PHỐ</t>
  </si>
  <si>
    <t>Tặng thưởng công trình phúc lợi xã hội cho xã đạt NTM, NTM nâng cao, ấp kiểu mẫu, đơn vị thi đua nhất cụm,... theo quyết định của UBND tỉnh, huyện đạt chuẩn nông thôn mới</t>
  </si>
  <si>
    <r>
      <rPr>
        <b/>
        <i/>
        <u/>
        <sz val="16"/>
        <rFont val="Times New Roman"/>
        <family val="1"/>
        <charset val="163"/>
      </rPr>
      <t>Ghi chú:</t>
    </r>
    <r>
      <rPr>
        <b/>
        <i/>
        <sz val="16"/>
        <rFont val="Times New Roman"/>
        <family val="1"/>
        <charset val="163"/>
      </rPr>
      <t xml:space="preserve"> </t>
    </r>
    <r>
      <rPr>
        <sz val="16"/>
        <rFont val="Times New Roman"/>
        <family val="1"/>
        <charset val="163"/>
      </rPr>
      <t>Nguồn vốn được xác định tại văn bản số 8542/BKHĐT-TH ngày 13/10/2023 và số 8678/BKHĐT-TH ngày 19/10/2023 của Bộ Kế hoạch và Đầu tư là 700 tỷ đồng. Kế hoạch sau điều chỉnh là 450 tỷ đồng. Thực hiện các nhiệm vụ như sau:
 - Số phân cấp cho huyện là 422,375 tỷ đồng.
 - Trích cho công tác chỉnh lý đất đai là 17,625 tỷ đồng (Sở Tài chính quản lý, phân bổ cho cấp huyện).
 - Số phân bổ chi tiết thực hiện các dự án là 10 tỷ đồng.</t>
    </r>
  </si>
  <si>
    <t>(Ban hành kèm theo Quyết định số: 2571/QĐ-UBND ngày 12/12/2024 của Ủy ban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</si>
</sst>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207">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0\ _€_-;\-* #,##0\ _€_-;_-* &quot;-&quot;??\ _€_-;_-@_-"/>
    <numFmt numFmtId="167" formatCode="_-* #,##0.00\ _€_-;\-* #,##0.00\ _€_-;_-* &quot;-&quot;??\ _€_-;_-@_-"/>
    <numFmt numFmtId="168" formatCode="_-* #,##0.00\ _V_N_D_-;\-* #,##0.00\ _V_N_D_-;_-* &quot;-&quot;??\ _V_N_D_-;_-@_-"/>
    <numFmt numFmtId="169" formatCode="_(* #,##0_);_(* \(#,##0\);_(* &quot;-&quot;??_);_(@_)"/>
    <numFmt numFmtId="170" formatCode="_(* #,##0_);_(* \(#,##0\);_(* \-??_);_(@_)"/>
    <numFmt numFmtId="171" formatCode="0.0%"/>
    <numFmt numFmtId="172" formatCode="_-&quot;$&quot;* #,##0_-;\-&quot;$&quot;* #,##0_-;_-&quot;$&quot;* &quot;-&quot;_-;_-@_-"/>
    <numFmt numFmtId="173" formatCode="&quot;\&quot;#,##0.00;[Red]&quot;\&quot;&quot;\&quot;&quot;\&quot;&quot;\&quot;&quot;\&quot;&quot;\&quot;\-#,##0.00"/>
    <numFmt numFmtId="174" formatCode="&quot;\&quot;#,##0;[Red]&quot;\&quot;&quot;\&quot;\-#,##0"/>
    <numFmt numFmtId="175" formatCode="_-* ###&quot;,&quot;0&quot;.&quot;00\ _$_-;\-* ###&quot;,&quot;0&quot;.&quot;00\ _$_-;_-* &quot;-&quot;??\ _$_-;_-@_-"/>
    <numFmt numFmtId="176" formatCode="&quot;.&quot;###&quot;,&quot;0&quot;.&quot;00_);\(&quot;.&quot;###&quot;,&quot;0&quot;.&quot;00\)"/>
    <numFmt numFmtId="177" formatCode="_-* #,##0_$_-;\-* #,##0_$_-;_-* &quot;-&quot;_$_-;_-@_-"/>
    <numFmt numFmtId="178" formatCode="_-* #,##0_-;\-* #,##0_-;_-* &quot;-&quot;_-;_-@_-"/>
    <numFmt numFmtId="179" formatCode="_-* #,##0.00_-;\-* #,##0.00_-;_-* &quot;-&quot;??_-;_-@_-"/>
    <numFmt numFmtId="180" formatCode="&quot;Rp&quot;#,##0_);[Red]\(&quot;Rp&quot;#,##0\)"/>
    <numFmt numFmtId="181" formatCode="_-* #,##0\ _F_-;\-* #,##0\ _F_-;_-* &quot;-&quot;\ _F_-;_-@_-"/>
    <numFmt numFmtId="182" formatCode="_-* #,##0.00\ _F_-;\-* #,##0.00\ _F_-;_-* &quot;-&quot;??\ _F_-;_-@_-"/>
    <numFmt numFmtId="183" formatCode="_(&quot;$&quot;\ * #,##0_);_(&quot;$&quot;\ * \(#,##0\);_(&quot;$&quot;\ * &quot;-&quot;_);_(@_)"/>
    <numFmt numFmtId="184" formatCode="_-* #,##0\ &quot;F&quot;_-;\-* #,##0\ &quot;F&quot;_-;_-* &quot;-&quot;\ &quot;F&quot;_-;_-@_-"/>
    <numFmt numFmtId="185" formatCode="_ &quot;\&quot;* #,##0_ ;_ &quot;\&quot;* \-#,##0_ ;_ &quot;\&quot;* &quot;-&quot;_ ;_ @_ "/>
    <numFmt numFmtId="186" formatCode="_-* #,##0&quot;$&quot;_-;\-* #,##0&quot;$&quot;_-;_-* &quot;-&quot;&quot;$&quot;_-;_-@_-"/>
    <numFmt numFmtId="187" formatCode="_-* #,##0.00&quot;$&quot;_-;\-* #,##0.00&quot;$&quot;_-;_-* &quot;-&quot;??&quot;$&quot;_-;_-@_-"/>
    <numFmt numFmtId="188" formatCode="&quot;SFr.&quot;\ #,##0.00;&quot;SFr.&quot;\ \-#,##0.00"/>
    <numFmt numFmtId="189" formatCode="_ &quot;SFr.&quot;\ * #,##0_ ;_ &quot;SFr.&quot;\ * \-#,##0_ ;_ &quot;SFr.&quot;\ * &quot;-&quot;_ ;_ @_ "/>
    <numFmt numFmtId="190" formatCode="_ * #,##0_ ;_ * \-#,##0_ ;_ * &quot;-&quot;_ ;_ @_ "/>
    <numFmt numFmtId="191" formatCode="_ * #,##0.00_ ;_ * \-#,##0.00_ ;_ * &quot;-&quot;??_ ;_ @_ "/>
    <numFmt numFmtId="192" formatCode="_-* #,##0.00_$_-;\-* #,##0.00_$_-;_-* &quot;-&quot;??_$_-;_-@_-"/>
    <numFmt numFmtId="193" formatCode=";;"/>
    <numFmt numFmtId="194" formatCode="#,##0.0_);\(#,##0.0\)"/>
    <numFmt numFmtId="195" formatCode="&quot;$&quot;#,##0.00"/>
    <numFmt numFmtId="196" formatCode="_ * #,##0.00_)&quot;£&quot;_ ;_ * \(#,##0.00\)&quot;£&quot;_ ;_ * &quot;-&quot;??_)&quot;£&quot;_ ;_ @_ "/>
    <numFmt numFmtId="197" formatCode="_-&quot;$&quot;* #,##0.00_-;\-&quot;$&quot;* #,##0.00_-;_-&quot;$&quot;* &quot;-&quot;??_-;_-@_-"/>
    <numFmt numFmtId="198" formatCode="0.0%;\(0.0%\)"/>
    <numFmt numFmtId="199" formatCode="_-* #,##0.00\ &quot;F&quot;_-;\-* #,##0.00\ &quot;F&quot;_-;_-* &quot;-&quot;??\ &quot;F&quot;_-;_-@_-"/>
    <numFmt numFmtId="200" formatCode="0.000_)"/>
    <numFmt numFmtId="201" formatCode="#\ ###\ ###"/>
    <numFmt numFmtId="202" formatCode="_ &quot;R&quot;\ * #,##0_ ;_ &quot;R&quot;\ * \-#,##0_ ;_ &quot;R&quot;\ * &quot;-&quot;_ ;_ @_ "/>
    <numFmt numFmtId="203" formatCode="\$#,##0\ ;\(\$#,##0\)"/>
    <numFmt numFmtId="204" formatCode="#\ ###\ ##0.0"/>
    <numFmt numFmtId="205" formatCode="#\ ###\ ###\ .00"/>
    <numFmt numFmtId="206" formatCode="_-[$€-2]* #,##0.00_-;\-[$€-2]* #,##0.00_-;_-[$€-2]* &quot;-&quot;??_-"/>
    <numFmt numFmtId="207" formatCode="_(* #,##0.000000_);_(* \(#,##0.000000\);_(* &quot;-&quot;??_);_(@_)"/>
    <numFmt numFmtId="208" formatCode="#."/>
    <numFmt numFmtId="209" formatCode="0.000"/>
    <numFmt numFmtId="210" formatCode="_-&quot;£&quot;* #,##0_-;\-&quot;£&quot;* #,##0_-;_-&quot;£&quot;* &quot;-&quot;_-;_-@_-"/>
    <numFmt numFmtId="211" formatCode="0.0000"/>
    <numFmt numFmtId="212" formatCode="#,##0\ &quot;$&quot;_);[Red]\(#,##0\ &quot;$&quot;\)"/>
    <numFmt numFmtId="213" formatCode="&quot;$&quot;###,0&quot;.&quot;00_);[Red]\(&quot;$&quot;###,0&quot;.&quot;00\)"/>
    <numFmt numFmtId="214" formatCode="&quot;\&quot;#,##0;[Red]\-&quot;\&quot;#,##0"/>
    <numFmt numFmtId="215" formatCode="&quot;\&quot;#,##0.00;\-&quot;\&quot;#,##0.00"/>
    <numFmt numFmtId="216" formatCode="&quot;VND&quot;#,##0_);[Red]\(&quot;VND&quot;#,##0\)"/>
    <numFmt numFmtId="217" formatCode="_-* #,##0.00\ _ã_ð_í_._-;\-* #,##0.00\ _ã_ð_í_._-;_-* &quot;-&quot;??\ _ã_ð_í_._-;_-@_-"/>
    <numFmt numFmtId="218" formatCode="#,##0.000_);\(#,##0.000\)"/>
    <numFmt numFmtId="219" formatCode="#"/>
    <numFmt numFmtId="220" formatCode="&quot;¡Ì&quot;#,##0;[Red]\-&quot;¡Ì&quot;#,##0"/>
    <numFmt numFmtId="221" formatCode="#,##0.00\ &quot;F&quot;;[Red]\-#,##0.00\ &quot;F&quot;"/>
    <numFmt numFmtId="222" formatCode="_(* #.##0.00_);_(* \(#.##0.00\);_(* &quot;-&quot;??_);_(@_)"/>
    <numFmt numFmtId="223" formatCode="#,##0.00\ \ \ \ "/>
    <numFmt numFmtId="224" formatCode="_ * #.##._ ;_ * \-#.##._ ;_ * &quot;-&quot;??_ ;_ @_ⴆ"/>
    <numFmt numFmtId="225" formatCode="#,##0\ &quot;F&quot;;[Red]\-#,##0\ &quot;F&quot;"/>
    <numFmt numFmtId="226" formatCode="_-* ###,0&quot;.&quot;00_-;\-* ###,0&quot;.&quot;00_-;_-* &quot;-&quot;??_-;_-@_-"/>
    <numFmt numFmtId="227" formatCode="_-* #,##0\ _F_-;\-* #,##0\ _F_-;_-* &quot;-&quot;??\ _F_-;_-@_-"/>
    <numFmt numFmtId="228" formatCode="0.000\ "/>
    <numFmt numFmtId="229" formatCode="#,##0\ &quot;Lt&quot;;[Red]\-#,##0\ &quot;Lt&quot;"/>
    <numFmt numFmtId="230" formatCode="#,##0.00\ &quot;F&quot;;\-#,##0.00\ &quot;F&quot;"/>
    <numFmt numFmtId="231" formatCode="#,##0&quot;$&quot;;[Red]\-#,##0&quot;$&quot;"/>
    <numFmt numFmtId="232" formatCode="#,##0_ ;\-#,##0\ "/>
    <numFmt numFmtId="233" formatCode="#.##00"/>
    <numFmt numFmtId="234" formatCode="_ * #,##0_)\ &quot;$&quot;_ ;_ * \(#,##0\)\ &quot;$&quot;_ ;_ * &quot;-&quot;_)\ &quot;$&quot;_ ;_ @_ "/>
    <numFmt numFmtId="235" formatCode="_-* #,##0\ &quot;€&quot;_-;\-* #,##0\ &quot;€&quot;_-;_-* &quot;-&quot;\ &quot;€&quot;_-;_-@_-"/>
    <numFmt numFmtId="236" formatCode="_-* #,##0\ &quot;$&quot;_-;\-* #,##0\ &quot;$&quot;_-;_-* &quot;-&quot;\ &quot;$&quot;_-;_-@_-"/>
    <numFmt numFmtId="237" formatCode="_ * #,##0_)&quot;$&quot;_ ;_ * \(#,##0\)&quot;$&quot;_ ;_ * &quot;-&quot;_)&quot;$&quot;_ ;_ @_ "/>
    <numFmt numFmtId="238" formatCode="_-&quot;€&quot;* #,##0_-;\-&quot;€&quot;* #,##0_-;_-&quot;€&quot;* &quot;-&quot;_-;_-@_-"/>
    <numFmt numFmtId="239" formatCode="_-&quot;ñ&quot;* #,##0_-;\-&quot;ñ&quot;* #,##0_-;_-&quot;ñ&quot;* &quot;-&quot;_-;_-@_-"/>
    <numFmt numFmtId="240" formatCode="_ * #,##0.00_)\ _$_ ;_ * \(#,##0.00\)\ _$_ ;_ * &quot;-&quot;??_)\ _$_ ;_ @_ "/>
    <numFmt numFmtId="241" formatCode="_ * #,##0.00_)_$_ ;_ * \(#,##0.00\)_$_ ;_ * &quot;-&quot;??_)_$_ ;_ @_ "/>
    <numFmt numFmtId="242" formatCode="_-* #,##0.00\ _ñ_-;\-* #,##0.00\ _ñ_-;_-* &quot;-&quot;??\ _ñ_-;_-@_-"/>
    <numFmt numFmtId="243" formatCode="_-* #,##0.00\ _ñ_-;_-* #,##0.00\ _ñ\-;_-* &quot;-&quot;??\ _ñ_-;_-@_-"/>
    <numFmt numFmtId="244" formatCode="_-* #,##0.00000000_-;\-* #,##0.00000000_-;_-* &quot;-&quot;??_-;_-@_-"/>
    <numFmt numFmtId="245" formatCode="_(&quot;€&quot;\ * #,##0_);_(&quot;€&quot;\ * \(#,##0\);_(&quot;€&quot;\ * &quot;-&quot;_);_(@_)"/>
    <numFmt numFmtId="246" formatCode="_-* #,##0\ &quot;ñ&quot;_-;\-* #,##0\ &quot;ñ&quot;_-;_-* &quot;-&quot;\ &quot;ñ&quot;_-;_-@_-"/>
    <numFmt numFmtId="247" formatCode="_-* #,##0\ _€_-;\-* #,##0\ _€_-;_-* &quot;-&quot;\ _€_-;_-@_-"/>
    <numFmt numFmtId="248" formatCode="_-* #,##0\ _V_N_D_-;\-* #,##0\ _V_N_D_-;_-* &quot;-&quot;\ _V_N_D_-;_-@_-"/>
    <numFmt numFmtId="249" formatCode="_ * #,##0_)\ _$_ ;_ * \(#,##0\)\ _$_ ;_ * &quot;-&quot;_)\ _$_ ;_ @_ "/>
    <numFmt numFmtId="250" formatCode="_ * #,##0_)_$_ ;_ * \(#,##0\)_$_ ;_ * &quot;-&quot;_)_$_ ;_ @_ "/>
    <numFmt numFmtId="251" formatCode="_-* #,##0\ _$_-;\-* #,##0\ _$_-;_-* &quot;-&quot;\ _$_-;_-@_-"/>
    <numFmt numFmtId="252" formatCode="_-* #,##0\ _ñ_-;\-* #,##0\ _ñ_-;_-* &quot;-&quot;\ _ñ_-;_-@_-"/>
    <numFmt numFmtId="253" formatCode="_-* #,##0\ _ñ_-;_-* #,##0\ _ñ\-;_-* &quot;-&quot;\ _ñ_-;_-@_-"/>
    <numFmt numFmtId="254" formatCode="&quot;\&quot;#,##0.00;[Red]&quot;\&quot;\-#,##0.00"/>
    <numFmt numFmtId="255" formatCode="&quot;\&quot;#,##0;[Red]&quot;\&quot;\-#,##0"/>
    <numFmt numFmtId="256" formatCode="_ &quot;\&quot;* #,##0.00_ ;_ &quot;\&quot;* &quot;\&quot;&quot;\&quot;&quot;\&quot;&quot;\&quot;&quot;\&quot;&quot;\&quot;&quot;\&quot;&quot;\&quot;&quot;\&quot;&quot;\&quot;&quot;\&quot;&quot;\&quot;\-#,##0.00_ ;_ &quot;\&quot;* &quot;-&quot;??_ ;_ @_ "/>
    <numFmt numFmtId="257" formatCode="_ * #,##0.00_ ;_ * &quot;\&quot;&quot;\&quot;&quot;\&quot;&quot;\&quot;&quot;\&quot;&quot;\&quot;&quot;\&quot;&quot;\&quot;&quot;\&quot;&quot;\&quot;&quot;\&quot;&quot;\&quot;\-#,##0.00_ ;_ * &quot;-&quot;??_ ;_ @_ "/>
    <numFmt numFmtId="258" formatCode="&quot;\&quot;#,##0;&quot;\&quot;&quot;\&quot;&quot;\&quot;&quot;\&quot;&quot;\&quot;&quot;\&quot;&quot;\&quot;&quot;\&quot;&quot;\&quot;&quot;\&quot;&quot;\&quot;&quot;\&quot;&quot;\&quot;&quot;\&quot;\-#,##0"/>
    <numFmt numFmtId="259" formatCode="&quot;\&quot;#,##0;[Red]&quot;\&quot;&quot;\&quot;&quot;\&quot;&quot;\&quot;&quot;\&quot;&quot;\&quot;&quot;\&quot;&quot;\&quot;&quot;\&quot;&quot;\&quot;&quot;\&quot;&quot;\&quot;&quot;\&quot;&quot;\&quot;\-#,##0"/>
    <numFmt numFmtId="260" formatCode="_ * #,##0_ ;_ * &quot;\&quot;&quot;\&quot;&quot;\&quot;&quot;\&quot;&quot;\&quot;&quot;\&quot;&quot;\&quot;&quot;\&quot;&quot;\&quot;&quot;\&quot;&quot;\&quot;&quot;\&quot;\-#,##0_ ;_ * &quot;-&quot;_ ;_ @_ "/>
    <numFmt numFmtId="261" formatCode="&quot;\&quot;#,##0.00;&quot;\&quot;&quot;\&quot;&quot;\&quot;&quot;\&quot;&quot;\&quot;&quot;\&quot;&quot;\&quot;&quot;\&quot;&quot;\&quot;&quot;\&quot;&quot;\&quot;&quot;\&quot;&quot;\&quot;&quot;\&quot;\-#,##0.00"/>
    <numFmt numFmtId="262" formatCode="#,##0_)_%;\(#,##0\)_%;"/>
    <numFmt numFmtId="263" formatCode="_(* #,##0.0_);_(* \(#,##0.0\);_(* &quot;-&quot;??_);_(@_)"/>
    <numFmt numFmtId="264" formatCode="_._.* #,##0.0_)_%;_._.* \(#,##0.0\)_%"/>
    <numFmt numFmtId="265" formatCode="#,##0.0_)_%;\(#,##0.0\)_%;\ \ .0_)_%"/>
    <numFmt numFmtId="266" formatCode="_._.* #,##0.00_)_%;_._.* \(#,##0.00\)_%"/>
    <numFmt numFmtId="267" formatCode="#,##0.00_)_%;\(#,##0.00\)_%;\ \ .00_)_%"/>
    <numFmt numFmtId="268" formatCode="_._.* #,##0.000_)_%;_._.* \(#,##0.000\)_%"/>
    <numFmt numFmtId="269" formatCode="#,##0.000_)_%;\(#,##0.000\)_%;\ \ .000_)_%"/>
    <numFmt numFmtId="270" formatCode="_-* #,##0_-;\-* #,##0_-;_-* &quot;-&quot;??_-;_-@_-"/>
    <numFmt numFmtId="271" formatCode="_(* #,##0.00_);_(* \(#,##0.00\);_(* &quot;-&quot;&quot;?&quot;&quot;?&quot;_);_(@_)"/>
    <numFmt numFmtId="272" formatCode="_-* #,##0\ &quot;þ&quot;_-;\-* #,##0\ &quot;þ&quot;_-;_-* &quot;-&quot;\ &quot;þ&quot;_-;_-@_-"/>
    <numFmt numFmtId="273" formatCode="_-* #,##0.00\ _þ_-;\-* #,##0.00\ _þ_-;_-* &quot;-&quot;??\ _þ_-;_-@_-"/>
    <numFmt numFmtId="274" formatCode="_-* #,##0\ _₫_-;\-* #,##0\ _₫_-;_-* &quot;-&quot;??\ _₫_-;_-@_-"/>
    <numFmt numFmtId="275" formatCode="\t#\ ??/??"/>
    <numFmt numFmtId="276" formatCode="_-* #,##0.00\ _$_-;\-* #,##0.00\ _$_-;_-* &quot;-&quot;??\ _$_-;_-@_-"/>
    <numFmt numFmtId="277" formatCode="_(* #,##0.0_);_(* \(#,##0.0\);_(* &quot;-&quot;?_);_(@_)"/>
    <numFmt numFmtId="278" formatCode="_._.* \(#,##0\)_%;_._.* #,##0_)_%;_._.* 0_)_%;_._.@_)_%"/>
    <numFmt numFmtId="279" formatCode="_._.&quot;€&quot;* \(#,##0\)_%;_._.&quot;€&quot;* #,##0_)_%;_._.&quot;€&quot;* 0_)_%;_._.@_)_%"/>
    <numFmt numFmtId="280" formatCode="* \(#,##0\);* #,##0_);&quot;-&quot;??_);@"/>
    <numFmt numFmtId="281" formatCode="_ * #,##0.00_ ;_ * &quot;\&quot;&quot;\&quot;&quot;\&quot;&quot;\&quot;&quot;\&quot;&quot;\&quot;\-#,##0.00_ ;_ * &quot;-&quot;??_ ;_ @_ "/>
    <numFmt numFmtId="282" formatCode="&quot;€&quot;* #,##0_)_%;&quot;€&quot;* \(#,##0\)_%;&quot;€&quot;* &quot;-&quot;??_)_%;@_)_%"/>
    <numFmt numFmtId="283" formatCode="&quot;$&quot;* #,##0_)_%;&quot;$&quot;* \(#,##0\)_%;&quot;$&quot;* &quot;-&quot;??_)_%;@_)_%"/>
    <numFmt numFmtId="284" formatCode="&quot;\&quot;#,##0.00;&quot;\&quot;&quot;\&quot;&quot;\&quot;&quot;\&quot;&quot;\&quot;&quot;\&quot;&quot;\&quot;&quot;\&quot;\-#,##0.00"/>
    <numFmt numFmtId="285" formatCode="_._.&quot;€&quot;* #,##0.0_)_%;_._.&quot;€&quot;* \(#,##0.0\)_%"/>
    <numFmt numFmtId="286" formatCode="&quot;€&quot;* #,##0.0_)_%;&quot;€&quot;* \(#,##0.0\)_%;&quot;€&quot;* \ .0_)_%"/>
    <numFmt numFmtId="287" formatCode="_._.&quot;€&quot;* #,##0.00_)_%;_._.&quot;€&quot;* \(#,##0.00\)_%"/>
    <numFmt numFmtId="288" formatCode="&quot;€&quot;* #,##0.00_)_%;&quot;€&quot;* \(#,##0.00\)_%;&quot;€&quot;* \ .00_)_%"/>
    <numFmt numFmtId="289" formatCode="_._.&quot;€&quot;* #,##0.000_)_%;_._.&quot;€&quot;* \(#,##0.000\)_%"/>
    <numFmt numFmtId="290" formatCode="&quot;€&quot;* #,##0.000_)_%;&quot;€&quot;* \(#,##0.000\)_%;&quot;€&quot;* \ .000_)_%"/>
    <numFmt numFmtId="291" formatCode="_-* #,##0.00\ &quot;€&quot;_-;\-* #,##0.00\ &quot;€&quot;_-;_-* &quot;-&quot;??\ &quot;€&quot;_-;_-@_-"/>
    <numFmt numFmtId="292" formatCode="_ * #,##0_ ;_ * &quot;\&quot;&quot;\&quot;&quot;\&quot;&quot;\&quot;&quot;\&quot;&quot;\&quot;\-#,##0_ ;_ * &quot;-&quot;_ ;_ @_ "/>
    <numFmt numFmtId="293" formatCode="&quot;$&quot;#,##0\ ;\(&quot;$&quot;#,##0\)"/>
    <numFmt numFmtId="294" formatCode="\t0.00%"/>
    <numFmt numFmtId="295" formatCode="* #,##0_);* \(#,##0\);&quot;-&quot;??_);@"/>
    <numFmt numFmtId="296" formatCode="\U\S\$#,##0.00;\(\U\S\$#,##0.00\)"/>
    <numFmt numFmtId="297" formatCode="_(\§\g\ #,##0_);_(\§\g\ \(#,##0\);_(\§\g\ &quot;-&quot;??_);_(@_)"/>
    <numFmt numFmtId="298" formatCode="_(\§\g\ #,##0_);_(\§\g\ \(#,##0\);_(\§\g\ &quot;-&quot;_);_(@_)"/>
    <numFmt numFmtId="299" formatCode="\§\g#,##0_);\(\§\g#,##0\)"/>
    <numFmt numFmtId="300" formatCode="_-&quot;VND&quot;* #,##0_-;\-&quot;VND&quot;* #,##0_-;_-&quot;VND&quot;* &quot;-&quot;_-;_-@_-"/>
    <numFmt numFmtId="301" formatCode="_(&quot;Rp&quot;* #,##0.00_);_(&quot;Rp&quot;* \(#,##0.00\);_(&quot;Rp&quot;* &quot;-&quot;??_);_(@_)"/>
    <numFmt numFmtId="302" formatCode="#,##0.00\ &quot;FB&quot;;[Red]\-#,##0.00\ &quot;FB&quot;"/>
    <numFmt numFmtId="303" formatCode="#,##0\ &quot;$&quot;;\-#,##0\ &quot;$&quot;"/>
    <numFmt numFmtId="304" formatCode="&quot;$&quot;#,##0;\-&quot;$&quot;#,##0"/>
    <numFmt numFmtId="305" formatCode="_-* #,##0\ _F_B_-;\-* #,##0\ _F_B_-;_-* &quot;-&quot;\ _F_B_-;_-@_-"/>
    <numFmt numFmtId="306" formatCode="_-[$€]* #,##0.00_-;\-[$€]* #,##0.00_-;_-[$€]* &quot;-&quot;??_-;_-@_-"/>
    <numFmt numFmtId="307" formatCode="_ * #,##0.00_)_d_ ;_ * \(#,##0.00\)_d_ ;_ * &quot;-&quot;??_)_d_ ;_ @_ "/>
    <numFmt numFmtId="308" formatCode="#,##0_);\-#,##0_)"/>
    <numFmt numFmtId="309" formatCode="#,###;\-#,###;&quot;&quot;;_(@_)"/>
    <numFmt numFmtId="310" formatCode="&quot;€&quot;#,##0;\-&quot;€&quot;#,##0"/>
    <numFmt numFmtId="311" formatCode="#,##0\ &quot;$&quot;_);\(#,##0\ &quot;$&quot;\)"/>
    <numFmt numFmtId="312" formatCode="#,##0.00_);\-#,##0.00_)"/>
    <numFmt numFmtId="313" formatCode="0_)%;\(0\)%"/>
    <numFmt numFmtId="314" formatCode="_._._(* 0_)%;_._.* \(0\)%"/>
    <numFmt numFmtId="315" formatCode="_(0_)%;\(0\)%"/>
    <numFmt numFmtId="316" formatCode="0%_);\(0%\)"/>
    <numFmt numFmtId="317" formatCode="_ &quot;\&quot;* #,##0_ ;_ &quot;\&quot;* &quot;\&quot;&quot;\&quot;&quot;\&quot;&quot;\&quot;&quot;\&quot;&quot;\&quot;&quot;\&quot;&quot;\&quot;&quot;\&quot;&quot;\&quot;&quot;\&quot;&quot;\&quot;&quot;\&quot;&quot;\&quot;\-#,##0_ ;_ &quot;\&quot;* &quot;-&quot;_ ;_ @_ "/>
    <numFmt numFmtId="318" formatCode="_(0.0_)%;\(0.0\)%"/>
    <numFmt numFmtId="319" formatCode="_._._(* 0.0_)%;_._.* \(0.0\)%"/>
    <numFmt numFmtId="320" formatCode="_(0.00_)%;\(0.00\)%"/>
    <numFmt numFmtId="321" formatCode="_._._(* 0.00_)%;_._.* \(0.00\)%"/>
    <numFmt numFmtId="322" formatCode="_(0.000_)%;\(0.000\)%"/>
    <numFmt numFmtId="323" formatCode="_._._(* 0.000_)%;_._.* \(0.000\)%"/>
    <numFmt numFmtId="324" formatCode="&quot;£&quot;#,##0;[Red]\-&quot;£&quot;#,##0"/>
    <numFmt numFmtId="325" formatCode="#,##0.00\ \ "/>
    <numFmt numFmtId="326" formatCode="_-* ###,0&quot;.&quot;00\ _F_B_-;\-* ###,0&quot;.&quot;00\ _F_B_-;_-* &quot;-&quot;??\ _F_B_-;_-@_-"/>
    <numFmt numFmtId="327" formatCode="_ * #,##0_ ;_ * \-#,##0_ ;_ * &quot;-&quot;??_ ;_ @_ "/>
    <numFmt numFmtId="328" formatCode="0.00000"/>
    <numFmt numFmtId="329" formatCode="0.00000000000E+00;\?"/>
    <numFmt numFmtId="330" formatCode="&quot;$&quot;#,##0;[Red]\-&quot;$&quot;#,##0"/>
    <numFmt numFmtId="331" formatCode="&quot;\&quot;#,##0.00;[Red]&quot;\&quot;&quot;\&quot;&quot;\&quot;&quot;\&quot;&quot;\&quot;&quot;\&quot;&quot;\&quot;&quot;\&quot;&quot;\&quot;&quot;\&quot;&quot;\&quot;&quot;\&quot;&quot;\&quot;&quot;\&quot;\-#,##0.00"/>
    <numFmt numFmtId="332" formatCode="_ &quot;\&quot;* #,##0_ ;_ &quot;\&quot;* &quot;\&quot;&quot;\&quot;&quot;\&quot;&quot;\&quot;&quot;\&quot;&quot;\&quot;&quot;\&quot;&quot;\&quot;&quot;\&quot;&quot;\&quot;&quot;\&quot;&quot;\&quot;&quot;\&quot;\-#,##0_ ;_ &quot;\&quot;* &quot;-&quot;_ ;_ @_ "/>
    <numFmt numFmtId="333" formatCode="&quot;€&quot;#,##0;[Red]\-&quot;€&quot;#,##0"/>
    <numFmt numFmtId="334" formatCode="_-* #,##0\ &quot;DM&quot;_-;\-* #,##0\ &quot;DM&quot;_-;_-* &quot;-&quot;\ &quot;DM&quot;_-;_-@_-"/>
    <numFmt numFmtId="335" formatCode="_-* #,##0.00\ &quot;DM&quot;_-;\-* #,##0.00\ &quot;DM&quot;_-;_-* &quot;-&quot;??\ &quot;DM&quot;_-;_-@_-"/>
    <numFmt numFmtId="336" formatCode="_(* #,##0.00_);_(* \(#,##0.00\);_(* &quot;-&quot;_);_(@_)"/>
    <numFmt numFmtId="337" formatCode="##.##%"/>
    <numFmt numFmtId="338" formatCode="_-\$* #,##0.00_-;&quot;-$&quot;* #,##0.00_-;_-\$* \-??_-;_-@_-"/>
    <numFmt numFmtId="339" formatCode="_(* #,##0_);_(* \(#,##0\);_(* \-_);_(@_)"/>
    <numFmt numFmtId="340" formatCode="_-\$* #,##0_-;&quot;-$&quot;* #,##0_-;_-\$* \-_-;_-@_-"/>
    <numFmt numFmtId="341" formatCode="#,###\ ;\(#,###\)"/>
    <numFmt numFmtId="342" formatCode="#,###&quot;  &quot;;\(#,###&quot;) &quot;"/>
    <numFmt numFmtId="343" formatCode="_(\$* #,##0_);_(\$* \(#,##0\);_(\$* \-_);_(@_)"/>
    <numFmt numFmtId="344" formatCode="_-* #,##0\ _F_-;\-* #,##0\ _F_-;_-* &quot;- &quot;_F_-;_-@_-"/>
    <numFmt numFmtId="345" formatCode="_ * #,##0_)&quot; $&quot;_ ;_ * \(#,##0&quot;) $&quot;_ ;_ * \-_)&quot; $&quot;_ ;_ @_ "/>
    <numFmt numFmtId="346" formatCode="_-* #,##0\$_-;\-* #,##0\$_-;_-* &quot;-$&quot;_-;_-@_-"/>
    <numFmt numFmtId="347" formatCode="_-* #,##0.00_-;\-* #,##0.00_-;_-* \-??_-;_-@_-"/>
    <numFmt numFmtId="348" formatCode="_-* ###,0\.00_-;\-* ###,0\.00_-;_-* \-??_-;_-@_-"/>
    <numFmt numFmtId="349" formatCode="_ * #,##0.00_)\ _$_ ;_ * \(#,##0.00&quot;) &quot;_$_ ;_ * \-??_)\ _$_ ;_ @_ "/>
    <numFmt numFmtId="350" formatCode="_-* #,##0.00_$_-;\-* #,##0.00_$_-;_-* \-??_$_-;_-@_-"/>
    <numFmt numFmtId="351" formatCode="_-* #,##0.00\ _F_-;\-* #,##0.00\ _F_-;_-* \-??\ _F_-;_-@_-"/>
    <numFmt numFmtId="352" formatCode="_(* ###,0\.00_);_(* \(###,0\.00\);_(* \-??_);_(@_)"/>
    <numFmt numFmtId="353" formatCode="_-* #,##0_-;\-* #,##0_-;_-* \-_-;_-@_-"/>
    <numFmt numFmtId="354" formatCode="_-* #,##0&quot; F&quot;_-;\-* #,##0&quot; F&quot;_-;_-* &quot;- F&quot;_-;_-@_-"/>
    <numFmt numFmtId="355" formatCode="_(&quot;$ &quot;* #,##0_);_(&quot;$ &quot;* \(#,##0\);_(&quot;$ &quot;* \-_);_(@_)"/>
    <numFmt numFmtId="356" formatCode="_ * #,##0_)\ _$_ ;_ * \(#,##0&quot;) &quot;_$_ ;_ * \-_)\ _$_ ;_ @_ "/>
    <numFmt numFmtId="357" formatCode="_-* #,##0_$_-;\-* #,##0_$_-;_-* \-_$_-;_-@_-"/>
    <numFmt numFmtId="358" formatCode="_ \\* #,##0_ ;_ \\* \-#,##0_ ;_ \\* \-_ ;_ @_ "/>
    <numFmt numFmtId="359" formatCode="_ * #,##0_ ;_ * \-#,##0_ ;_ * \-_ ;_ @_ "/>
    <numFmt numFmtId="360" formatCode="_ * #,##0.00_ ;_ * \-#,##0.00_ ;_ * \-??_ ;_ @_ "/>
    <numFmt numFmtId="361" formatCode="##,###.##"/>
    <numFmt numFmtId="362" formatCode="##,##0%"/>
    <numFmt numFmtId="363" formatCode="#,###%"/>
    <numFmt numFmtId="364" formatCode="##.##"/>
  </numFmts>
  <fonts count="233">
    <font>
      <sz val="10"/>
      <name val="Arial"/>
      <family val="2"/>
    </font>
    <font>
      <sz val="10"/>
      <name val="Arial"/>
      <family val="2"/>
      <charset val="163"/>
    </font>
    <font>
      <sz val="10"/>
      <name val="Arial"/>
      <family val="2"/>
    </font>
    <font>
      <sz val="11"/>
      <color indexed="8"/>
      <name val="Calibri"/>
      <family val="2"/>
    </font>
    <font>
      <sz val="13"/>
      <name val="Times New Roman"/>
      <family val="1"/>
    </font>
    <font>
      <b/>
      <sz val="9"/>
      <color indexed="81"/>
      <name val="Tahoma"/>
      <family val="2"/>
      <charset val="163"/>
    </font>
    <font>
      <sz val="9"/>
      <color indexed="81"/>
      <name val="Tahoma"/>
      <family val="2"/>
      <charset val="163"/>
    </font>
    <font>
      <sz val="14"/>
      <color indexed="81"/>
      <name val="Tahoma"/>
      <family val="2"/>
      <charset val="163"/>
    </font>
    <font>
      <b/>
      <sz val="9"/>
      <color indexed="8"/>
      <name val="Tahoma"/>
      <family val="2"/>
      <charset val="163"/>
    </font>
    <font>
      <sz val="9"/>
      <color indexed="8"/>
      <name val="Tahoma"/>
      <family val="2"/>
      <charset val="163"/>
    </font>
    <font>
      <sz val="14"/>
      <color indexed="8"/>
      <name val="Tahoma"/>
      <family val="2"/>
      <charset val="163"/>
    </font>
    <font>
      <sz val="11"/>
      <color theme="1"/>
      <name val="Calibri"/>
      <family val="2"/>
      <scheme val="minor"/>
    </font>
    <font>
      <sz val="12"/>
      <name val=".VnTime"/>
      <family val="2"/>
    </font>
    <font>
      <sz val="13"/>
      <color rgb="FF006100"/>
      <name val="Times New Roman"/>
      <family val="2"/>
    </font>
    <font>
      <sz val="13"/>
      <color theme="1"/>
      <name val="Times New Roman"/>
      <family val="2"/>
    </font>
    <font>
      <sz val="12"/>
      <color theme="1"/>
      <name val="Times New Roman"/>
      <family val="2"/>
    </font>
    <font>
      <sz val="11"/>
      <color indexed="8"/>
      <name val="Helvetica Neue"/>
      <family val="2"/>
    </font>
    <font>
      <sz val="11"/>
      <color indexed="8"/>
      <name val="Helvetica Neue"/>
      <family val="2"/>
    </font>
    <font>
      <sz val="10"/>
      <name val="MS Sans Serif"/>
      <family val="2"/>
    </font>
    <font>
      <b/>
      <i/>
      <sz val="16"/>
      <name val="Times New Roman"/>
      <family val="1"/>
      <charset val="163"/>
    </font>
    <font>
      <sz val="13"/>
      <name val="Times New Roman"/>
      <family val="1"/>
      <charset val="163"/>
    </font>
    <font>
      <b/>
      <sz val="24"/>
      <name val="Times New Roman"/>
      <family val="1"/>
      <charset val="163"/>
    </font>
    <font>
      <i/>
      <sz val="16"/>
      <name val="Times New Roman"/>
      <family val="1"/>
      <charset val="163"/>
    </font>
    <font>
      <i/>
      <sz val="13"/>
      <name val="Times New Roman"/>
      <family val="1"/>
      <charset val="163"/>
    </font>
    <font>
      <b/>
      <sz val="13"/>
      <name val="Times New Roman"/>
      <family val="1"/>
      <charset val="163"/>
    </font>
    <font>
      <b/>
      <sz val="14"/>
      <name val="Times New Roman"/>
      <family val="1"/>
      <charset val="163"/>
    </font>
    <font>
      <sz val="15"/>
      <name val="Times New Roman"/>
      <family val="1"/>
      <charset val="163"/>
    </font>
    <font>
      <b/>
      <sz val="15"/>
      <name val="Times New Roman"/>
      <family val="1"/>
      <charset val="163"/>
    </font>
    <font>
      <b/>
      <i/>
      <sz val="13"/>
      <name val="Times New Roman"/>
      <family val="1"/>
      <charset val="163"/>
    </font>
    <font>
      <vertAlign val="superscript"/>
      <sz val="13"/>
      <name val="Times New Roman"/>
      <family val="1"/>
      <charset val="163"/>
    </font>
    <font>
      <sz val="10"/>
      <name val="Arial"/>
      <family val="2"/>
      <charset val="163"/>
    </font>
    <font>
      <sz val="8"/>
      <name val="Arial"/>
      <family val="2"/>
    </font>
    <font>
      <sz val="10"/>
      <name val="Times New Roman"/>
      <family val="1"/>
    </font>
    <font>
      <sz val="12"/>
      <name val="Times New Roman"/>
      <family val="1"/>
      <charset val="163"/>
    </font>
    <font>
      <b/>
      <i/>
      <sz val="14"/>
      <name val="Times New Roman"/>
      <family val="1"/>
      <charset val="163"/>
    </font>
    <font>
      <sz val="11"/>
      <color theme="1"/>
      <name val="Calibri"/>
      <family val="2"/>
      <charset val="163"/>
      <scheme val="minor"/>
    </font>
    <font>
      <b/>
      <sz val="11"/>
      <name val="Times New Roman"/>
      <family val="1"/>
    </font>
    <font>
      <sz val="12"/>
      <name val="Times New Roman"/>
      <family val="1"/>
    </font>
    <font>
      <sz val="11"/>
      <color indexed="8"/>
      <name val="Calibri"/>
      <family val="2"/>
      <charset val="1"/>
    </font>
    <font>
      <sz val="12"/>
      <name val="VNI-Times"/>
    </font>
    <font>
      <sz val="11"/>
      <name val="Calibri"/>
      <family val="2"/>
    </font>
    <font>
      <sz val="12"/>
      <name val="돋움체"/>
      <family val="3"/>
      <charset val="129"/>
    </font>
    <font>
      <sz val="10"/>
      <name val="VNI-Times"/>
    </font>
    <font>
      <sz val="10"/>
      <name val="Helv"/>
      <family val="2"/>
    </font>
    <font>
      <b/>
      <u/>
      <sz val="14"/>
      <color indexed="8"/>
      <name val=".VnBook-AntiquaH"/>
      <family val="2"/>
    </font>
    <font>
      <sz val="12"/>
      <color indexed="10"/>
      <name val=".VnArial Narrow"/>
      <family val="2"/>
    </font>
    <font>
      <i/>
      <sz val="12"/>
      <color indexed="8"/>
      <name val=".VnBook-AntiquaH"/>
      <family val="2"/>
    </font>
    <font>
      <b/>
      <sz val="12"/>
      <color indexed="8"/>
      <name val=".VnBook-Antiqua"/>
      <family val="2"/>
    </font>
    <font>
      <i/>
      <sz val="12"/>
      <color indexed="8"/>
      <name val=".VnBook-Antiqua"/>
      <family val="2"/>
    </font>
    <font>
      <sz val="10"/>
      <name val=".vntime"/>
      <family val="2"/>
    </font>
    <font>
      <sz val="8"/>
      <name val="Times New Roman"/>
      <family val="1"/>
    </font>
    <font>
      <sz val="11"/>
      <name val="돋움"/>
      <family val="2"/>
      <charset val="129"/>
    </font>
    <font>
      <b/>
      <sz val="10"/>
      <name val="Helv"/>
      <family val="2"/>
    </font>
    <font>
      <sz val="10"/>
      <color indexed="8"/>
      <name val="Arial"/>
      <family val="2"/>
    </font>
    <font>
      <b/>
      <sz val="12"/>
      <name val="Helv"/>
      <family val="2"/>
    </font>
    <font>
      <b/>
      <sz val="12"/>
      <name val="Arial"/>
      <family val="2"/>
    </font>
    <font>
      <b/>
      <sz val="1"/>
      <color indexed="8"/>
      <name val="Courier"/>
      <family val="3"/>
    </font>
    <font>
      <u/>
      <sz val="12"/>
      <color indexed="12"/>
      <name val="Arial"/>
      <family val="2"/>
    </font>
    <font>
      <sz val="12"/>
      <name val="Arial"/>
      <family val="2"/>
    </font>
    <font>
      <sz val="10"/>
      <name val="Helv"/>
    </font>
    <font>
      <b/>
      <sz val="11"/>
      <name val="Helv"/>
      <family val="2"/>
    </font>
    <font>
      <sz val="10"/>
      <name val="VNtimes new roman"/>
      <family val="2"/>
    </font>
    <font>
      <sz val="11"/>
      <color theme="1"/>
      <name val="Calibri"/>
      <family val="2"/>
    </font>
    <font>
      <sz val="10"/>
      <name val="Arial"/>
      <family val="2"/>
      <charset val="1"/>
    </font>
    <font>
      <sz val="9"/>
      <name val="Arial"/>
      <family val="2"/>
    </font>
    <font>
      <sz val="12"/>
      <color theme="1"/>
      <name val="Times New Roman"/>
      <family val="2"/>
      <charset val="163"/>
    </font>
    <font>
      <sz val="11"/>
      <name val="–¾’©"/>
      <family val="1"/>
      <charset val="128"/>
    </font>
    <font>
      <b/>
      <sz val="11"/>
      <name val="Arial"/>
      <family val="2"/>
    </font>
    <font>
      <sz val="13"/>
      <name val=".VnTime"/>
      <family val="2"/>
    </font>
    <font>
      <b/>
      <sz val="12"/>
      <color indexed="8"/>
      <name val="Arial"/>
      <family val="2"/>
    </font>
    <font>
      <sz val="12"/>
      <color indexed="8"/>
      <name val="Arial"/>
      <family val="2"/>
    </font>
    <font>
      <i/>
      <sz val="12"/>
      <color indexed="8"/>
      <name val="Arial"/>
      <family val="2"/>
    </font>
    <font>
      <sz val="12"/>
      <color indexed="14"/>
      <name val="Arial"/>
      <family val="2"/>
    </font>
    <font>
      <b/>
      <sz val="12"/>
      <name val="VNI-Times"/>
    </font>
    <font>
      <sz val="10"/>
      <name val=".VnAvant"/>
      <family val="2"/>
    </font>
    <font>
      <sz val="10"/>
      <name val=".VnArial"/>
      <family val="2"/>
    </font>
    <font>
      <sz val="14"/>
      <name val=".VnArial"/>
      <family val="2"/>
    </font>
    <font>
      <sz val="10"/>
      <name val="명조"/>
      <family val="3"/>
      <charset val="129"/>
    </font>
    <font>
      <sz val="11"/>
      <color rgb="FF000000"/>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indexed="8"/>
      <name val="Arial"/>
      <family val="2"/>
    </font>
    <font>
      <sz val="11"/>
      <color indexed="8"/>
      <name val="Arial"/>
      <family val="2"/>
      <charset val="163"/>
    </font>
    <font>
      <sz val="13"/>
      <color indexed="8"/>
      <name val="Times New Roman"/>
      <family val="1"/>
    </font>
    <font>
      <sz val="14"/>
      <name val="Times New Roman"/>
      <family val="1"/>
      <charset val="163"/>
    </font>
    <font>
      <b/>
      <sz val="18"/>
      <name val="Times New Roman"/>
      <family val="1"/>
      <charset val="163"/>
    </font>
    <font>
      <b/>
      <i/>
      <sz val="20"/>
      <name val="Times New Roman"/>
      <family val="1"/>
      <charset val="163"/>
    </font>
    <font>
      <sz val="14"/>
      <name val="Times New Roman"/>
      <family val="1"/>
    </font>
    <font>
      <sz val="13"/>
      <color indexed="10"/>
      <name val="Times New Roman"/>
      <family val="1"/>
    </font>
    <font>
      <b/>
      <sz val="13"/>
      <name val="Times New Roman"/>
      <family val="1"/>
    </font>
    <font>
      <b/>
      <i/>
      <sz val="13"/>
      <name val="Times New Roman"/>
      <family val="1"/>
    </font>
    <font>
      <sz val="13"/>
      <color rgb="FFFF0000"/>
      <name val="Times New Roman"/>
      <family val="1"/>
    </font>
    <font>
      <b/>
      <sz val="15"/>
      <name val="Times New Roman"/>
      <family val="1"/>
    </font>
    <font>
      <sz val="11"/>
      <color indexed="8"/>
      <name val="Helvetica Neue"/>
      <family val="2"/>
    </font>
    <font>
      <sz val="10"/>
      <name val="Arial"/>
      <family val="2"/>
      <charset val="163"/>
    </font>
    <font>
      <sz val="13"/>
      <color indexed="8"/>
      <name val="Times New Roman"/>
      <family val="1"/>
      <charset val="163"/>
    </font>
    <font>
      <i/>
      <sz val="13"/>
      <name val="Times New Roman"/>
      <family val="1"/>
    </font>
    <font>
      <b/>
      <sz val="14"/>
      <name val="Times New Roman"/>
      <family val="1"/>
    </font>
    <font>
      <b/>
      <sz val="20"/>
      <name val="Times New Roman"/>
      <family val="1"/>
    </font>
    <font>
      <sz val="15"/>
      <name val="Times New Roman"/>
      <family val="1"/>
    </font>
    <font>
      <sz val="11"/>
      <name val="Times New Roman"/>
      <family val="1"/>
    </font>
    <font>
      <b/>
      <i/>
      <sz val="16"/>
      <name val="Times New Roman"/>
      <family val="1"/>
    </font>
    <font>
      <sz val="16"/>
      <name val="Times New Roman"/>
      <family val="1"/>
    </font>
    <font>
      <i/>
      <sz val="16"/>
      <name val="Times New Roman"/>
      <family val="1"/>
    </font>
    <font>
      <u/>
      <sz val="12"/>
      <color indexed="12"/>
      <name val="Times New Roman"/>
      <family val="1"/>
    </font>
    <font>
      <sz val="10"/>
      <name val="Arial"/>
      <family val="2"/>
    </font>
    <font>
      <b/>
      <sz val="16"/>
      <name val="Times New Roman"/>
      <family val="1"/>
    </font>
    <font>
      <sz val="10"/>
      <color indexed="8"/>
      <name val="MS Sans Serif"/>
      <family val="2"/>
    </font>
    <font>
      <sz val="12"/>
      <name val="VNtimes new roman"/>
      <family val="2"/>
    </font>
    <font>
      <sz val="12"/>
      <name val=".VnArial"/>
      <family val="2"/>
    </font>
    <font>
      <sz val="10"/>
      <name val="AngsanaUPC"/>
      <family val="1"/>
    </font>
    <font>
      <sz val="10"/>
      <color indexed="8"/>
      <name val="Arial"/>
      <family val="2"/>
      <charset val="163"/>
    </font>
    <font>
      <sz val="12"/>
      <name val="VNI-Helve"/>
    </font>
    <font>
      <sz val="11"/>
      <name val="‚l‚r ‚oƒSƒVƒbƒN"/>
      <family val="3"/>
      <charset val="128"/>
    </font>
    <font>
      <sz val="10"/>
      <name val=".VnArial NarrowH"/>
      <family val="2"/>
    </font>
    <font>
      <sz val="12"/>
      <name val="???"/>
    </font>
    <font>
      <sz val="11"/>
      <name val=".VnTime"/>
      <family val="2"/>
    </font>
    <font>
      <b/>
      <u/>
      <sz val="10"/>
      <name val="VNI-Times"/>
    </font>
    <font>
      <b/>
      <sz val="10"/>
      <name val=".VnArial"/>
      <family val="2"/>
    </font>
    <font>
      <sz val="10"/>
      <name val="VnTimes"/>
    </font>
    <font>
      <sz val="14"/>
      <name val=".VnTimeH"/>
      <family val="2"/>
    </font>
    <font>
      <sz val="14"/>
      <name val=".VnTime"/>
      <family val="2"/>
    </font>
    <font>
      <sz val="12"/>
      <name val="¹ÙÅÁÃ¼"/>
      <family val="1"/>
      <charset val="129"/>
    </font>
    <font>
      <b/>
      <sz val="8"/>
      <name val="Arial"/>
      <family val="2"/>
    </font>
    <font>
      <sz val="12"/>
      <color theme="1"/>
      <name val="Calibri"/>
      <family val="2"/>
      <scheme val="minor"/>
    </font>
    <font>
      <u val="singleAccounting"/>
      <sz val="11"/>
      <name val="Times New Roman"/>
      <family val="1"/>
    </font>
    <font>
      <sz val="11"/>
      <name val="UVnTime"/>
    </font>
    <font>
      <sz val="11"/>
      <color indexed="8"/>
      <name val="Times New Roman"/>
      <family val="2"/>
    </font>
    <font>
      <sz val="14"/>
      <color indexed="8"/>
      <name val="Times New Roman"/>
      <family val="2"/>
    </font>
    <font>
      <b/>
      <sz val="12"/>
      <name val="VNTime"/>
      <family val="2"/>
    </font>
    <font>
      <sz val="11"/>
      <name val="VNtimes new roman"/>
      <family val="2"/>
    </font>
    <font>
      <sz val="11"/>
      <color indexed="12"/>
      <name val="Times New Roman"/>
      <family val="1"/>
    </font>
    <font>
      <sz val="12"/>
      <name val="???"/>
      <family val="3"/>
      <charset val="129"/>
    </font>
    <font>
      <b/>
      <sz val="12"/>
      <name val="VNTimeH"/>
      <family val="2"/>
    </font>
    <font>
      <sz val="10"/>
      <name val="Arial CE"/>
    </font>
    <font>
      <sz val="10"/>
      <name val="Arial CE"/>
      <charset val="238"/>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b/>
      <sz val="10"/>
      <name val="Arial"/>
      <family val="2"/>
    </font>
    <font>
      <b/>
      <sz val="10"/>
      <name val=".VnTime"/>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i/>
      <sz val="10"/>
      <name val=".VnTime"/>
      <family val="2"/>
    </font>
    <font>
      <sz val="7"/>
      <name val="Small Fonts"/>
      <family val="2"/>
    </font>
    <font>
      <b/>
      <i/>
      <sz val="16"/>
      <name val="Helv"/>
    </font>
    <font>
      <sz val="11"/>
      <color theme="1"/>
      <name val="Arial"/>
      <family val="2"/>
    </font>
    <font>
      <sz val="10"/>
      <color indexed="8"/>
      <name val="Times New Roman"/>
      <family val="2"/>
    </font>
    <font>
      <sz val="12"/>
      <color indexed="8"/>
      <name val="Times New Roman"/>
      <family val="2"/>
    </font>
    <font>
      <sz val="13"/>
      <color theme="1"/>
      <name val="Calibri"/>
      <family val="2"/>
      <scheme val="minor"/>
    </font>
    <font>
      <sz val="11"/>
      <name val="VNI-Aptima"/>
    </font>
    <font>
      <sz val="14"/>
      <name val="System"/>
      <family val="2"/>
    </font>
    <font>
      <sz val="14"/>
      <name val=".VnArial Narrow"/>
      <family val="2"/>
    </font>
    <font>
      <sz val="12"/>
      <color indexed="8"/>
      <name val="Times New Roman"/>
      <family val="1"/>
    </font>
    <font>
      <sz val="10"/>
      <name val="VNbook-Antiqua"/>
      <family val="2"/>
    </font>
    <font>
      <sz val="11"/>
      <color indexed="32"/>
      <name val="VNI-Times"/>
    </font>
    <font>
      <sz val="13"/>
      <name val=".VnArial"/>
      <family val="2"/>
    </font>
    <font>
      <b/>
      <sz val="10"/>
      <name val="VNI-Univer"/>
    </font>
    <font>
      <sz val="10"/>
      <name val=".VnBook-Antiqua"/>
      <family val="2"/>
    </font>
    <font>
      <b/>
      <sz val="10"/>
      <color indexed="10"/>
      <name val="Arial"/>
      <family val="2"/>
    </font>
    <font>
      <b/>
      <u val="double"/>
      <sz val="12"/>
      <color indexed="12"/>
      <name val=".VnBahamasB"/>
      <family val="2"/>
    </font>
    <font>
      <b/>
      <i/>
      <u/>
      <sz val="12"/>
      <name val=".VnTimeH"/>
      <family val="2"/>
    </font>
    <font>
      <b/>
      <sz val="10"/>
      <name val=".VnTimeH"/>
      <family val="2"/>
    </font>
    <font>
      <b/>
      <sz val="11"/>
      <name val=".VnTimeH"/>
      <family val="2"/>
    </font>
    <font>
      <sz val="10"/>
      <name val=".VnArial Narrow"/>
      <family val="2"/>
    </font>
    <font>
      <sz val="12"/>
      <name val="VnTime"/>
    </font>
    <font>
      <sz val="10"/>
      <name val="VNtimes new roman"/>
      <family val="1"/>
    </font>
    <font>
      <sz val="14"/>
      <name val="VnTime"/>
    </font>
    <font>
      <sz val="8"/>
      <name val=".VnTime"/>
      <family val="2"/>
    </font>
    <font>
      <b/>
      <sz val="8"/>
      <name val="VN Helvetica"/>
    </font>
    <font>
      <sz val="10"/>
      <name val="VN Helvetica"/>
    </font>
    <font>
      <b/>
      <sz val="10"/>
      <name val="VN AvantGBook"/>
    </font>
    <font>
      <b/>
      <sz val="10"/>
      <name val="VN Helvetica"/>
    </font>
    <font>
      <sz val="10"/>
      <name val="Geneva"/>
      <family val="2"/>
    </font>
    <font>
      <b/>
      <i/>
      <sz val="12"/>
      <name val=".VnTime"/>
      <family val="2"/>
    </font>
    <font>
      <sz val="16"/>
      <name val="AngsanaUPC"/>
      <family val="3"/>
    </font>
    <font>
      <sz val="12"/>
      <color indexed="8"/>
      <name val="바탕체"/>
      <family val="3"/>
    </font>
    <font>
      <sz val="12"/>
      <name val="바탕체"/>
      <family val="1"/>
      <charset val="129"/>
    </font>
    <font>
      <sz val="10"/>
      <name val="돋움체"/>
      <family val="3"/>
      <charset val="129"/>
    </font>
    <font>
      <b/>
      <sz val="13"/>
      <color theme="1"/>
      <name val="Times New Roman"/>
      <family val="1"/>
    </font>
    <font>
      <sz val="13"/>
      <color theme="1"/>
      <name val="Times New Roman"/>
      <family val="1"/>
    </font>
    <font>
      <b/>
      <sz val="20"/>
      <name val="Times New Roman"/>
      <family val="1"/>
      <charset val="163"/>
    </font>
    <font>
      <sz val="16"/>
      <name val="Times New Roman"/>
      <family val="1"/>
      <charset val="163"/>
    </font>
    <font>
      <b/>
      <i/>
      <u/>
      <sz val="16"/>
      <name val="Times New Roman"/>
      <family val="1"/>
      <charset val="163"/>
    </font>
    <font>
      <sz val="20"/>
      <name val="Times New Roman"/>
      <family val="1"/>
      <charset val="163"/>
    </font>
    <font>
      <sz val="13"/>
      <color theme="1"/>
      <name val="Times New Roman"/>
      <family val="1"/>
      <charset val="163"/>
    </font>
    <font>
      <b/>
      <sz val="13"/>
      <color rgb="FFFF0000"/>
      <name val="Times New Roman"/>
      <family val="1"/>
      <charset val="163"/>
    </font>
    <font>
      <sz val="13"/>
      <color rgb="FFFF0000"/>
      <name val="Times New Roman"/>
      <family val="1"/>
      <charset val="163"/>
    </font>
    <font>
      <b/>
      <i/>
      <sz val="13"/>
      <color rgb="FFFF0000"/>
      <name val="Times New Roman"/>
      <family val="1"/>
      <charset val="163"/>
    </font>
    <font>
      <sz val="18"/>
      <name val="Times New Roman"/>
      <family val="1"/>
      <charset val="163"/>
    </font>
    <font>
      <b/>
      <sz val="13"/>
      <color rgb="FFFF0000"/>
      <name val="Times New Roman"/>
      <family val="1"/>
    </font>
    <font>
      <b/>
      <u/>
      <sz val="13"/>
      <name val="Times New Roman"/>
      <family val="1"/>
      <charset val="163"/>
    </font>
    <font>
      <b/>
      <sz val="9"/>
      <color rgb="FF000000"/>
      <name val="Tahoma"/>
      <family val="2"/>
      <charset val="163"/>
    </font>
    <font>
      <sz val="9"/>
      <color rgb="FF000000"/>
      <name val="Tahoma"/>
      <family val="2"/>
      <charset val="163"/>
    </font>
    <font>
      <sz val="14"/>
      <color rgb="FF000000"/>
      <name val="Tahoma"/>
      <family val="2"/>
      <charset val="163"/>
    </font>
    <font>
      <i/>
      <sz val="15"/>
      <name val="Times New Roman"/>
      <family val="1"/>
      <charset val="163"/>
    </font>
    <font>
      <sz val="13"/>
      <color rgb="FF000000"/>
      <name val="Times New Roman"/>
      <family val="1"/>
    </font>
    <font>
      <b/>
      <sz val="10"/>
      <name val="SVNtimes new roman"/>
      <family val="2"/>
    </font>
    <font>
      <sz val="10"/>
      <name val="QBJ-??10pt"/>
      <family val="3"/>
      <charset val="129"/>
    </font>
    <font>
      <sz val="12"/>
      <color indexed="8"/>
      <name val="???"/>
      <family val="1"/>
      <charset val="129"/>
    </font>
    <font>
      <sz val="11"/>
      <color indexed="9"/>
      <name val="Arial"/>
      <family val="2"/>
    </font>
    <font>
      <sz val="9"/>
      <name val="Arial Narrow"/>
      <family val="2"/>
    </font>
    <font>
      <sz val="8.25"/>
      <name val="Microsoft Sans Serif"/>
      <family val="2"/>
    </font>
    <font>
      <sz val="11"/>
      <color indexed="10"/>
      <name val="Arial"/>
      <family val="2"/>
    </font>
    <font>
      <b/>
      <sz val="8"/>
      <color indexed="12"/>
      <name val="Arial"/>
      <family val="2"/>
    </font>
    <font>
      <sz val="8"/>
      <color indexed="8"/>
      <name val="Arial"/>
      <family val="2"/>
    </font>
    <font>
      <sz val="10"/>
      <name val="BERNHARD"/>
    </font>
    <font>
      <sz val="11"/>
      <name val="VNcentury Gothic"/>
      <family val="2"/>
    </font>
    <font>
      <b/>
      <sz val="15"/>
      <name val="VNcentury Gothic"/>
      <family val="2"/>
    </font>
    <font>
      <b/>
      <i/>
      <sz val="14"/>
      <name val="Times New Roman"/>
      <family val="1"/>
    </font>
    <font>
      <sz val="13"/>
      <color rgb="FF000000"/>
      <name val="TimesNewRomanPS-ItalicMT"/>
    </font>
  </fonts>
  <fills count="9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59999389629810485"/>
        <bgColor indexed="65"/>
      </patternFill>
    </fill>
    <fill>
      <patternFill patternType="solid">
        <fgColor theme="9"/>
      </patternFill>
    </fill>
    <fill>
      <patternFill patternType="solid">
        <fgColor theme="9" tint="0.59999389629810485"/>
        <bgColor indexed="65"/>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40"/>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4" tint="0.79995117038483843"/>
        <bgColor indexed="65"/>
      </patternFill>
    </fill>
    <fill>
      <patternFill patternType="solid">
        <fgColor theme="5" tint="0.79995117038483843"/>
        <bgColor indexed="65"/>
      </patternFill>
    </fill>
    <fill>
      <patternFill patternType="solid">
        <fgColor theme="6" tint="0.79995117038483843"/>
        <bgColor indexed="65"/>
      </patternFill>
    </fill>
    <fill>
      <patternFill patternType="solid">
        <fgColor theme="7" tint="0.79995117038483843"/>
        <bgColor indexed="65"/>
      </patternFill>
    </fill>
    <fill>
      <patternFill patternType="solid">
        <fgColor theme="8" tint="0.79995117038483843"/>
        <bgColor indexed="65"/>
      </patternFill>
    </fill>
    <fill>
      <patternFill patternType="solid">
        <fgColor theme="9" tint="0.79995117038483843"/>
        <bgColor indexed="65"/>
      </patternFill>
    </fill>
    <fill>
      <patternFill patternType="solid">
        <fgColor theme="4" tint="0.39994506668294322"/>
        <bgColor indexed="65"/>
      </patternFill>
    </fill>
    <fill>
      <patternFill patternType="solid">
        <fgColor theme="5" tint="0.39994506668294322"/>
        <bgColor indexed="65"/>
      </patternFill>
    </fill>
    <fill>
      <patternFill patternType="solid">
        <fgColor theme="6" tint="0.39994506668294322"/>
        <bgColor indexed="65"/>
      </patternFill>
    </fill>
    <fill>
      <patternFill patternType="solid">
        <fgColor theme="7" tint="0.39994506668294322"/>
        <bgColor indexed="65"/>
      </patternFill>
    </fill>
    <fill>
      <patternFill patternType="solid">
        <fgColor theme="8" tint="0.39994506668294322"/>
        <bgColor indexed="65"/>
      </patternFill>
    </fill>
    <fill>
      <patternFill patternType="solid">
        <fgColor theme="9" tint="0.39994506668294322"/>
        <bgColor indexed="65"/>
      </patternFill>
    </fill>
    <fill>
      <patternFill patternType="solid">
        <fgColor rgb="FFFFFF00"/>
        <bgColor indexed="64"/>
      </patternFill>
    </fill>
    <fill>
      <patternFill patternType="solid">
        <fgColor indexed="27"/>
        <bgColor indexed="64"/>
      </patternFill>
    </fill>
    <fill>
      <patternFill patternType="solid">
        <fgColor indexed="26"/>
        <bgColor indexed="64"/>
      </patternFill>
    </fill>
    <fill>
      <patternFill patternType="solid">
        <fgColor theme="0"/>
        <bgColor indexed="64"/>
      </patternFill>
    </fill>
    <fill>
      <patternFill patternType="solid">
        <fgColor indexed="22"/>
        <bgColor indexed="31"/>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5"/>
        <bgColor indexed="60"/>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s>
  <borders count="6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bottom style="medium">
        <color indexed="30"/>
      </bottom>
      <diagonal/>
    </border>
    <border>
      <left/>
      <right/>
      <top/>
      <bottom style="medium">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style="medium">
        <color indexed="0"/>
      </right>
      <top/>
      <bottom/>
      <diagonal/>
    </border>
    <border>
      <left/>
      <right/>
      <top/>
      <bottom style="medium">
        <color theme="4" tint="0.39994506668294322"/>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double">
        <color indexed="64"/>
      </bottom>
      <diagonal/>
    </border>
    <border>
      <left/>
      <right style="double">
        <color indexed="64"/>
      </right>
      <top/>
      <bottom/>
      <diagonal/>
    </border>
    <border>
      <left/>
      <right/>
      <top style="double">
        <color indexed="64"/>
      </top>
      <bottom style="double">
        <color indexed="64"/>
      </bottom>
      <diagonal/>
    </border>
    <border>
      <left style="thick">
        <color indexed="64"/>
      </left>
      <right/>
      <top style="thick">
        <color indexed="64"/>
      </top>
      <bottom/>
      <diagonal/>
    </border>
    <border>
      <left style="hair">
        <color indexed="64"/>
      </left>
      <right/>
      <top/>
      <bottom/>
      <diagonal/>
    </border>
    <border>
      <left/>
      <right style="medium">
        <color indexed="8"/>
      </right>
      <top/>
      <bottom/>
      <diagonal/>
    </border>
    <border>
      <left style="medium">
        <color indexed="9"/>
      </left>
      <right style="medium">
        <color indexed="9"/>
      </right>
      <top style="medium">
        <color indexed="9"/>
      </top>
      <bottom style="medium">
        <color indexed="9"/>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hair">
        <color indexed="8"/>
      </top>
      <bottom style="hair">
        <color indexed="8"/>
      </bottom>
      <diagonal/>
    </border>
    <border>
      <left style="thin">
        <color indexed="8"/>
      </left>
      <right/>
      <top/>
      <bottom/>
      <diagonal/>
    </border>
  </borders>
  <cellStyleXfs count="7004">
    <xf numFmtId="0" fontId="0" fillId="0" borderId="0"/>
    <xf numFmtId="43" fontId="1" fillId="0" borderId="0" applyFont="0" applyFill="0" applyBorder="0" applyAlignment="0" applyProtection="0"/>
    <xf numFmtId="0" fontId="1" fillId="0" borderId="0"/>
    <xf numFmtId="0" fontId="2"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1" fillId="0" borderId="0" applyFont="0" applyFill="0" applyBorder="0" applyAlignment="0" applyProtection="0"/>
    <xf numFmtId="43" fontId="2" fillId="0" borderId="0" applyFont="0" applyFill="0" applyBorder="0" applyAlignment="0" applyProtection="0"/>
    <xf numFmtId="167" fontId="1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0" fontId="13" fillId="2" borderId="0" applyNumberFormat="0" applyBorder="0" applyAlignment="0" applyProtection="0"/>
    <xf numFmtId="0" fontId="1" fillId="0" borderId="0"/>
    <xf numFmtId="0" fontId="2" fillId="0" borderId="0"/>
    <xf numFmtId="0" fontId="14" fillId="0" borderId="0"/>
    <xf numFmtId="0" fontId="2" fillId="0" borderId="0"/>
    <xf numFmtId="0" fontId="11" fillId="0" borderId="0"/>
    <xf numFmtId="0" fontId="1" fillId="0" borderId="0"/>
    <xf numFmtId="0" fontId="2" fillId="0" borderId="0"/>
    <xf numFmtId="0" fontId="2" fillId="0" borderId="0"/>
    <xf numFmtId="0" fontId="2" fillId="0" borderId="0"/>
    <xf numFmtId="0" fontId="11" fillId="0" borderId="0"/>
    <xf numFmtId="0" fontId="2" fillId="0" borderId="0"/>
    <xf numFmtId="0" fontId="3" fillId="0" borderId="0"/>
    <xf numFmtId="0" fontId="3" fillId="0" borderId="0"/>
    <xf numFmtId="0" fontId="3" fillId="0" borderId="0"/>
    <xf numFmtId="0" fontId="15" fillId="0" borderId="0"/>
    <xf numFmtId="0" fontId="11" fillId="0" borderId="0"/>
    <xf numFmtId="0" fontId="2" fillId="0" borderId="0"/>
    <xf numFmtId="0" fontId="2" fillId="0" borderId="0"/>
    <xf numFmtId="0" fontId="2" fillId="0" borderId="0"/>
    <xf numFmtId="0" fontId="2" fillId="0" borderId="0"/>
    <xf numFmtId="0" fontId="2" fillId="0" borderId="0"/>
    <xf numFmtId="0" fontId="16" fillId="0" borderId="0" applyNumberFormat="0" applyFill="0" applyBorder="0" applyProtection="0">
      <alignment vertical="top"/>
    </xf>
    <xf numFmtId="0" fontId="17" fillId="0" borderId="0" applyNumberFormat="0" applyFill="0" applyBorder="0" applyProtection="0">
      <alignment vertical="top"/>
    </xf>
    <xf numFmtId="0" fontId="16" fillId="0" borderId="0" applyNumberFormat="0" applyFill="0" applyBorder="0" applyProtection="0">
      <alignment vertical="top"/>
    </xf>
    <xf numFmtId="0" fontId="12" fillId="0" borderId="0"/>
    <xf numFmtId="0" fontId="11" fillId="0" borderId="0"/>
    <xf numFmtId="0" fontId="11" fillId="0" borderId="0"/>
    <xf numFmtId="0" fontId="3" fillId="0" borderId="0"/>
    <xf numFmtId="0" fontId="2" fillId="0" borderId="0"/>
    <xf numFmtId="0" fontId="2" fillId="0" borderId="0"/>
    <xf numFmtId="9" fontId="2" fillId="0" borderId="0" applyFont="0" applyFill="0" applyBorder="0" applyAlignment="0" applyProtection="0"/>
    <xf numFmtId="0" fontId="18" fillId="0" borderId="0"/>
    <xf numFmtId="0" fontId="30" fillId="0" borderId="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43" fontId="95" fillId="0" borderId="0" applyFont="0" applyFill="0" applyBorder="0" applyAlignment="0" applyProtection="0"/>
    <xf numFmtId="0" fontId="1" fillId="0" borderId="0"/>
    <xf numFmtId="0" fontId="1" fillId="0" borderId="0"/>
    <xf numFmtId="0" fontId="30" fillId="0" borderId="0"/>
    <xf numFmtId="0" fontId="1" fillId="0" borderId="0"/>
    <xf numFmtId="0" fontId="35" fillId="0" borderId="0"/>
    <xf numFmtId="165" fontId="35" fillId="0" borderId="0" applyFont="0" applyFill="0" applyBorder="0" applyAlignment="0" applyProtection="0"/>
    <xf numFmtId="9" fontId="1" fillId="0" borderId="0" applyFont="0" applyFill="0" applyBorder="0" applyAlignment="0" applyProtection="0"/>
    <xf numFmtId="0" fontId="35" fillId="0" borderId="0"/>
    <xf numFmtId="0" fontId="37" fillId="0" borderId="0"/>
    <xf numFmtId="0" fontId="38" fillId="0" borderId="0"/>
    <xf numFmtId="0" fontId="2" fillId="0" borderId="0" applyFill="0" applyBorder="0" applyAlignment="0" applyProtection="0"/>
    <xf numFmtId="0" fontId="11" fillId="0" borderId="0"/>
    <xf numFmtId="172" fontId="39" fillId="0" borderId="0" applyFont="0" applyFill="0" applyBorder="0" applyAlignment="0" applyProtection="0"/>
    <xf numFmtId="0" fontId="40" fillId="0" borderId="0" applyNumberFormat="0" applyFill="0" applyBorder="0" applyAlignment="0" applyProtection="0"/>
    <xf numFmtId="0" fontId="12" fillId="0" borderId="0" applyNumberFormat="0" applyFill="0" applyBorder="0" applyAlignment="0" applyProtection="0"/>
    <xf numFmtId="0" fontId="40" fillId="0" borderId="0" applyNumberFormat="0" applyFill="0" applyBorder="0" applyAlignment="0" applyProtection="0"/>
    <xf numFmtId="3" fontId="40" fillId="0" borderId="2"/>
    <xf numFmtId="3" fontId="41" fillId="0" borderId="2"/>
    <xf numFmtId="3" fontId="40" fillId="0" borderId="2"/>
    <xf numFmtId="3" fontId="40" fillId="0" borderId="2"/>
    <xf numFmtId="169" fontId="40" fillId="0" borderId="18" applyFont="0" applyBorder="0"/>
    <xf numFmtId="169" fontId="40" fillId="0" borderId="18" applyFont="0" applyBorder="0"/>
    <xf numFmtId="0" fontId="40" fillId="0" borderId="0"/>
    <xf numFmtId="0" fontId="40" fillId="0" borderId="0"/>
    <xf numFmtId="173" fontId="2" fillId="0" borderId="0" applyFont="0" applyFill="0" applyBorder="0" applyAlignment="0" applyProtection="0"/>
    <xf numFmtId="174" fontId="2" fillId="0" borderId="0" applyFont="0" applyFill="0" applyBorder="0" applyAlignment="0" applyProtection="0"/>
    <xf numFmtId="175" fontId="12" fillId="0" borderId="0" applyFont="0" applyFill="0" applyBorder="0" applyAlignment="0" applyProtection="0"/>
    <xf numFmtId="174" fontId="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3" fontId="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0" fontId="2" fillId="0" borderId="0" applyNumberFormat="0" applyFill="0" applyBorder="0" applyAlignment="0" applyProtection="0"/>
    <xf numFmtId="0" fontId="40" fillId="0" borderId="19"/>
    <xf numFmtId="0" fontId="40" fillId="0" borderId="19"/>
    <xf numFmtId="177" fontId="40" fillId="0" borderId="0" applyFont="0" applyFill="0" applyBorder="0" applyAlignment="0" applyProtection="0"/>
    <xf numFmtId="178" fontId="40" fillId="0" borderId="0" applyFont="0" applyFill="0" applyBorder="0" applyAlignment="0" applyProtection="0"/>
    <xf numFmtId="179" fontId="40" fillId="0" borderId="0" applyFont="0" applyFill="0" applyBorder="0" applyAlignment="0" applyProtection="0"/>
    <xf numFmtId="180" fontId="40"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40" fillId="0" borderId="0"/>
    <xf numFmtId="0" fontId="2" fillId="0" borderId="0" applyNumberFormat="0" applyFill="0" applyBorder="0" applyAlignment="0" applyProtection="0"/>
    <xf numFmtId="42" fontId="42" fillId="0" borderId="0" applyFont="0" applyFill="0" applyBorder="0" applyAlignment="0" applyProtection="0"/>
    <xf numFmtId="181" fontId="40" fillId="0" borderId="0" applyFont="0" applyFill="0" applyBorder="0" applyAlignment="0" applyProtection="0"/>
    <xf numFmtId="42" fontId="4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3" fillId="0" borderId="0"/>
    <xf numFmtId="0" fontId="43" fillId="0" borderId="0"/>
    <xf numFmtId="42" fontId="4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3" fillId="0" borderId="0"/>
    <xf numFmtId="0" fontId="43" fillId="0" borderId="0"/>
    <xf numFmtId="0" fontId="43" fillId="0" borderId="0"/>
    <xf numFmtId="0" fontId="40" fillId="0" borderId="0" applyFont="0" applyFill="0" applyBorder="0" applyAlignment="0" applyProtection="0"/>
    <xf numFmtId="0" fontId="40" fillId="0" borderId="0" applyFont="0" applyFill="0" applyBorder="0" applyAlignment="0" applyProtection="0"/>
    <xf numFmtId="0" fontId="40" fillId="0" borderId="0" applyFont="0" applyFill="0" applyBorder="0" applyAlignment="0" applyProtection="0"/>
    <xf numFmtId="0" fontId="40" fillId="0" borderId="0" applyFont="0" applyFill="0" applyBorder="0" applyAlignment="0" applyProtection="0"/>
    <xf numFmtId="0" fontId="43" fillId="0" borderId="0"/>
    <xf numFmtId="42" fontId="42" fillId="0" borderId="0" applyFont="0" applyFill="0" applyBorder="0" applyAlignment="0" applyProtection="0"/>
    <xf numFmtId="172" fontId="39" fillId="0" borderId="0" applyFont="0" applyFill="0" applyBorder="0" applyAlignment="0" applyProtection="0"/>
    <xf numFmtId="179" fontId="39" fillId="0" borderId="0" applyFont="0" applyFill="0" applyBorder="0" applyAlignment="0" applyProtection="0"/>
    <xf numFmtId="43"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82"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78" fontId="39" fillId="0" borderId="0" applyFont="0" applyFill="0" applyBorder="0" applyAlignment="0" applyProtection="0"/>
    <xf numFmtId="42" fontId="42" fillId="0" borderId="0" applyFont="0" applyFill="0" applyBorder="0" applyAlignment="0" applyProtection="0"/>
    <xf numFmtId="183" fontId="42" fillId="0" borderId="0" applyFont="0" applyFill="0" applyBorder="0" applyAlignment="0" applyProtection="0"/>
    <xf numFmtId="184" fontId="39" fillId="0" borderId="0" applyFont="0" applyFill="0" applyBorder="0" applyAlignment="0" applyProtection="0"/>
    <xf numFmtId="184" fontId="42" fillId="0" borderId="0" applyFont="0" applyFill="0" applyBorder="0" applyAlignment="0" applyProtection="0"/>
    <xf numFmtId="43"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82"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43" fontId="42" fillId="0" borderId="0" applyFont="0" applyFill="0" applyBorder="0" applyAlignment="0" applyProtection="0"/>
    <xf numFmtId="179" fontId="39" fillId="0" borderId="0" applyFont="0" applyFill="0" applyBorder="0" applyAlignment="0" applyProtection="0"/>
    <xf numFmtId="43" fontId="42" fillId="0" borderId="0" applyFont="0" applyFill="0" applyBorder="0" applyAlignment="0" applyProtection="0"/>
    <xf numFmtId="41"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81"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183" fontId="42" fillId="0" borderId="0" applyFont="0" applyFill="0" applyBorder="0" applyAlignment="0" applyProtection="0"/>
    <xf numFmtId="184" fontId="39" fillId="0" borderId="0" applyFont="0" applyFill="0" applyBorder="0" applyAlignment="0" applyProtection="0"/>
    <xf numFmtId="184" fontId="42" fillId="0" borderId="0" applyFont="0" applyFill="0" applyBorder="0" applyAlignment="0" applyProtection="0"/>
    <xf numFmtId="178" fontId="39" fillId="0" borderId="0" applyFont="0" applyFill="0" applyBorder="0" applyAlignment="0" applyProtection="0"/>
    <xf numFmtId="179" fontId="39" fillId="0" borderId="0" applyFont="0" applyFill="0" applyBorder="0" applyAlignment="0" applyProtection="0"/>
    <xf numFmtId="41"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81"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3"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82"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78" fontId="39" fillId="0" borderId="0" applyFont="0" applyFill="0" applyBorder="0" applyAlignment="0" applyProtection="0"/>
    <xf numFmtId="172" fontId="39" fillId="0" borderId="0" applyFont="0" applyFill="0" applyBorder="0" applyAlignment="0" applyProtection="0"/>
    <xf numFmtId="0" fontId="43" fillId="0" borderId="0"/>
    <xf numFmtId="0" fontId="18" fillId="0" borderId="0"/>
    <xf numFmtId="42" fontId="4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83" fontId="42" fillId="0" borderId="0" applyFont="0" applyFill="0" applyBorder="0" applyAlignment="0" applyProtection="0"/>
    <xf numFmtId="184" fontId="39" fillId="0" borderId="0" applyFont="0" applyFill="0" applyBorder="0" applyAlignment="0" applyProtection="0"/>
    <xf numFmtId="184"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0" fontId="43" fillId="0" borderId="0"/>
    <xf numFmtId="42" fontId="42" fillId="0" borderId="0" applyFont="0" applyFill="0" applyBorder="0" applyAlignment="0" applyProtection="0"/>
    <xf numFmtId="42" fontId="42" fillId="0" borderId="0" applyFont="0" applyFill="0" applyBorder="0" applyAlignment="0" applyProtection="0"/>
    <xf numFmtId="178" fontId="39" fillId="0" borderId="0" applyFont="0" applyFill="0" applyBorder="0" applyAlignment="0" applyProtection="0"/>
    <xf numFmtId="41"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81"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3"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82"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72" fontId="39" fillId="0" borderId="0" applyFont="0" applyFill="0" applyBorder="0" applyAlignment="0" applyProtection="0"/>
    <xf numFmtId="179" fontId="39" fillId="0" borderId="0" applyFont="0" applyFill="0" applyBorder="0" applyAlignment="0" applyProtection="0"/>
    <xf numFmtId="42" fontId="4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3" fillId="0" borderId="0"/>
    <xf numFmtId="185" fontId="40" fillId="0" borderId="0" applyFont="0" applyFill="0" applyBorder="0" applyAlignment="0" applyProtection="0"/>
    <xf numFmtId="185" fontId="40"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0" fontId="40" fillId="0" borderId="0"/>
    <xf numFmtId="0" fontId="40" fillId="0" borderId="0"/>
    <xf numFmtId="0" fontId="40" fillId="0" borderId="0"/>
    <xf numFmtId="0" fontId="32" fillId="0" borderId="0"/>
    <xf numFmtId="1" fontId="40" fillId="0" borderId="2" applyBorder="0" applyAlignment="0">
      <alignment horizontal="center"/>
    </xf>
    <xf numFmtId="1" fontId="40" fillId="0" borderId="2" applyBorder="0" applyAlignment="0">
      <alignment horizontal="center"/>
    </xf>
    <xf numFmtId="3" fontId="40" fillId="0" borderId="2"/>
    <xf numFmtId="3" fontId="41" fillId="0" borderId="2"/>
    <xf numFmtId="3" fontId="40" fillId="0" borderId="2"/>
    <xf numFmtId="3" fontId="40" fillId="0" borderId="2"/>
    <xf numFmtId="2" fontId="40" fillId="21" borderId="4">
      <alignment horizontal="center"/>
    </xf>
    <xf numFmtId="3" fontId="41" fillId="0" borderId="2"/>
    <xf numFmtId="2" fontId="40" fillId="21" borderId="4">
      <alignment horizontal="center"/>
    </xf>
    <xf numFmtId="2" fontId="40" fillId="21" borderId="4">
      <alignment horizontal="center"/>
    </xf>
    <xf numFmtId="185" fontId="40" fillId="0" borderId="0" applyFont="0" applyFill="0" applyBorder="0" applyAlignment="0" applyProtection="0"/>
    <xf numFmtId="0" fontId="44" fillId="22" borderId="0"/>
    <xf numFmtId="185" fontId="40" fillId="0" borderId="0" applyFont="0" applyFill="0" applyBorder="0" applyAlignment="0" applyProtection="0"/>
    <xf numFmtId="185" fontId="40" fillId="0" borderId="0" applyFont="0" applyFill="0" applyBorder="0" applyAlignment="0" applyProtection="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0" borderId="0" applyFont="0" applyFill="0" applyBorder="0" applyAlignment="0">
      <alignment horizontal="left"/>
    </xf>
    <xf numFmtId="0" fontId="40" fillId="0" borderId="0" applyFont="0" applyFill="0" applyBorder="0" applyAlignment="0">
      <alignment horizontal="left"/>
    </xf>
    <xf numFmtId="0" fontId="40" fillId="22" borderId="0"/>
    <xf numFmtId="0" fontId="40" fillId="22" borderId="0"/>
    <xf numFmtId="0" fontId="40" fillId="0" borderId="0" applyFont="0" applyFill="0" applyBorder="0" applyAlignment="0">
      <alignment horizontal="left"/>
    </xf>
    <xf numFmtId="0" fontId="40" fillId="0" borderId="0" applyFont="0" applyFill="0" applyBorder="0" applyAlignment="0">
      <alignment horizontal="left"/>
    </xf>
    <xf numFmtId="0" fontId="45" fillId="23" borderId="20" applyFont="0" applyFill="0" applyAlignment="0">
      <alignment vertical="center" wrapText="1"/>
    </xf>
    <xf numFmtId="9" fontId="40" fillId="0" borderId="0" applyBorder="0" applyAlignment="0" applyProtection="0"/>
    <xf numFmtId="0" fontId="40" fillId="22" borderId="0"/>
    <xf numFmtId="0" fontId="46"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 fillId="0" borderId="0"/>
    <xf numFmtId="0" fontId="2" fillId="0" borderId="0"/>
    <xf numFmtId="0" fontId="40" fillId="22" borderId="0"/>
    <xf numFmtId="0" fontId="47"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40" fillId="22" borderId="0"/>
    <xf numFmtId="0" fontId="37" fillId="0" borderId="0"/>
    <xf numFmtId="0" fontId="40" fillId="0" borderId="0">
      <alignment wrapText="1"/>
    </xf>
    <xf numFmtId="0" fontId="48"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0" borderId="0"/>
    <xf numFmtId="0" fontId="49" fillId="0" borderId="0"/>
    <xf numFmtId="0" fontId="40" fillId="0" borderId="0"/>
    <xf numFmtId="0" fontId="40" fillId="0" borderId="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0" borderId="0"/>
    <xf numFmtId="0" fontId="40" fillId="0" borderId="0"/>
    <xf numFmtId="0" fontId="40"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0" borderId="0" applyFont="0" applyFill="0" applyBorder="0" applyAlignment="0" applyProtection="0"/>
    <xf numFmtId="188" fontId="39" fillId="0" borderId="0" applyFont="0" applyFill="0" applyBorder="0" applyAlignment="0" applyProtection="0"/>
    <xf numFmtId="189" fontId="2" fillId="0" borderId="0" applyFont="0" applyFill="0" applyBorder="0" applyAlignment="0" applyProtection="0"/>
    <xf numFmtId="0" fontId="40" fillId="0" borderId="0" applyFont="0" applyFill="0" applyBorder="0" applyAlignment="0" applyProtection="0"/>
    <xf numFmtId="189" fontId="2" fillId="0" borderId="0" applyFont="0" applyFill="0" applyBorder="0" applyAlignment="0" applyProtection="0"/>
    <xf numFmtId="0" fontId="50" fillId="0" borderId="0">
      <alignment horizontal="center" wrapText="1"/>
      <protection locked="0"/>
    </xf>
    <xf numFmtId="0" fontId="40" fillId="0" borderId="0" applyNumberFormat="0" applyBorder="0" applyAlignment="0">
      <alignment horizontal="center"/>
    </xf>
    <xf numFmtId="0" fontId="40" fillId="0" borderId="0" applyNumberFormat="0" applyBorder="0" applyAlignment="0">
      <alignment horizontal="center"/>
    </xf>
    <xf numFmtId="0" fontId="40" fillId="0" borderId="0" applyFont="0" applyFill="0" applyBorder="0" applyAlignment="0" applyProtection="0"/>
    <xf numFmtId="191" fontId="40" fillId="0" borderId="0" applyFont="0" applyFill="0" applyBorder="0" applyAlignment="0" applyProtection="0"/>
    <xf numFmtId="0" fontId="40" fillId="0" borderId="0" applyFont="0" applyFill="0" applyBorder="0" applyAlignment="0" applyProtection="0"/>
    <xf numFmtId="172" fontId="39" fillId="0" borderId="0" applyFont="0" applyFill="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177" fontId="2" fillId="0" borderId="0" applyFont="0" applyFill="0" applyBorder="0" applyAlignment="0" applyProtection="0"/>
    <xf numFmtId="192" fontId="2" fillId="0" borderId="0" applyFont="0" applyFill="0" applyBorder="0" applyAlignment="0" applyProtection="0"/>
    <xf numFmtId="193" fontId="40" fillId="0" borderId="0" applyFill="0" applyBorder="0" applyAlignment="0"/>
    <xf numFmtId="0" fontId="51" fillId="0" borderId="0" applyFill="0" applyBorder="0" applyAlignment="0"/>
    <xf numFmtId="193" fontId="40" fillId="0" borderId="0" applyFill="0" applyBorder="0" applyAlignment="0"/>
    <xf numFmtId="193" fontId="40" fillId="0" borderId="0" applyFill="0" applyBorder="0" applyAlignment="0"/>
    <xf numFmtId="194" fontId="40" fillId="0" borderId="0" applyFill="0" applyBorder="0" applyAlignment="0"/>
    <xf numFmtId="194" fontId="40" fillId="0" borderId="0" applyFill="0" applyBorder="0" applyAlignment="0"/>
    <xf numFmtId="171" fontId="2" fillId="0" borderId="0" applyFill="0" applyBorder="0" applyAlignment="0"/>
    <xf numFmtId="195" fontId="2" fillId="0" borderId="0" applyFill="0" applyBorder="0" applyAlignment="0"/>
    <xf numFmtId="196" fontId="2" fillId="0" borderId="0" applyFill="0" applyBorder="0" applyAlignment="0"/>
    <xf numFmtId="196" fontId="2" fillId="0" borderId="0" applyFill="0" applyBorder="0" applyAlignment="0"/>
    <xf numFmtId="197" fontId="40" fillId="0" borderId="0" applyFill="0" applyBorder="0" applyAlignment="0"/>
    <xf numFmtId="197" fontId="40" fillId="0" borderId="0" applyFill="0" applyBorder="0" applyAlignment="0"/>
    <xf numFmtId="198" fontId="40" fillId="0" borderId="0" applyFill="0" applyBorder="0" applyAlignment="0"/>
    <xf numFmtId="198" fontId="40" fillId="0" borderId="0" applyFill="0" applyBorder="0" applyAlignment="0"/>
    <xf numFmtId="194" fontId="40" fillId="0" borderId="0" applyFill="0" applyBorder="0" applyAlignment="0"/>
    <xf numFmtId="194" fontId="40" fillId="0" borderId="0" applyFill="0" applyBorder="0" applyAlignment="0"/>
    <xf numFmtId="0" fontId="40" fillId="42" borderId="21" applyNumberFormat="0" applyAlignment="0" applyProtection="0"/>
    <xf numFmtId="0" fontId="40" fillId="42" borderId="21" applyNumberFormat="0" applyAlignment="0" applyProtection="0"/>
    <xf numFmtId="0" fontId="40" fillId="42" borderId="21" applyNumberFormat="0" applyAlignment="0" applyProtection="0"/>
    <xf numFmtId="0" fontId="40" fillId="0" borderId="0"/>
    <xf numFmtId="0" fontId="52" fillId="0" borderId="0"/>
    <xf numFmtId="0" fontId="40" fillId="0" borderId="0"/>
    <xf numFmtId="0" fontId="40" fillId="0" borderId="0"/>
    <xf numFmtId="199" fontId="42" fillId="0" borderId="0" applyFont="0" applyFill="0" applyBorder="0" applyAlignment="0" applyProtection="0"/>
    <xf numFmtId="200" fontId="40" fillId="0" borderId="0"/>
    <xf numFmtId="200" fontId="40" fillId="0" borderId="0"/>
    <xf numFmtId="200" fontId="40" fillId="0" borderId="0"/>
    <xf numFmtId="200" fontId="40" fillId="0" borderId="0"/>
    <xf numFmtId="200" fontId="40" fillId="0" borderId="0"/>
    <xf numFmtId="200" fontId="40" fillId="0" borderId="0"/>
    <xf numFmtId="200" fontId="40" fillId="0" borderId="0"/>
    <xf numFmtId="200" fontId="40" fillId="0" borderId="0"/>
    <xf numFmtId="200" fontId="40" fillId="0" borderId="0"/>
    <xf numFmtId="200" fontId="40" fillId="0" borderId="0"/>
    <xf numFmtId="200" fontId="40" fillId="0" borderId="0"/>
    <xf numFmtId="200" fontId="40" fillId="0" borderId="0"/>
    <xf numFmtId="200" fontId="40" fillId="0" borderId="0"/>
    <xf numFmtId="200" fontId="40" fillId="0" borderId="0"/>
    <xf numFmtId="200" fontId="40" fillId="0" borderId="0"/>
    <xf numFmtId="200" fontId="40" fillId="0" borderId="0"/>
    <xf numFmtId="197" fontId="40" fillId="0" borderId="0" applyFont="0" applyFill="0" applyBorder="0" applyAlignment="0" applyProtection="0"/>
    <xf numFmtId="197" fontId="40"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0" fillId="0" borderId="0" applyFont="0" applyFill="0" applyBorder="0" applyAlignment="0" applyProtection="0"/>
    <xf numFmtId="43" fontId="3" fillId="0" borderId="0" applyFont="0" applyFill="0" applyBorder="0" applyAlignment="0" applyProtection="0"/>
    <xf numFmtId="43" fontId="40"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8" fontId="2" fillId="0" borderId="0" applyFont="0" applyFill="0" applyBorder="0" applyAlignment="0" applyProtection="0"/>
    <xf numFmtId="43" fontId="11"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43" fontId="37"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01" fontId="40" fillId="0" borderId="0"/>
    <xf numFmtId="201" fontId="40" fillId="0" borderId="0"/>
    <xf numFmtId="3" fontId="2" fillId="0" borderId="0" applyFont="0" applyFill="0" applyBorder="0" applyAlignment="0" applyProtection="0"/>
    <xf numFmtId="0" fontId="40" fillId="0" borderId="0" applyNumberFormat="0" applyAlignment="0">
      <alignment horizontal="left"/>
    </xf>
    <xf numFmtId="0" fontId="40" fillId="0" borderId="0" applyNumberFormat="0" applyAlignment="0">
      <alignment horizontal="left"/>
    </xf>
    <xf numFmtId="202" fontId="40" fillId="0" borderId="0" applyFont="0" applyFill="0" applyBorder="0" applyAlignment="0" applyProtection="0"/>
    <xf numFmtId="194" fontId="40" fillId="0" borderId="0" applyFont="0" applyFill="0" applyBorder="0" applyAlignment="0" applyProtection="0"/>
    <xf numFmtId="194" fontId="40" fillId="0" borderId="0" applyFont="0" applyFill="0" applyBorder="0" applyAlignment="0" applyProtection="0"/>
    <xf numFmtId="203" fontId="2" fillId="0" borderId="0" applyFont="0" applyFill="0" applyBorder="0" applyAlignment="0" applyProtection="0"/>
    <xf numFmtId="204" fontId="40" fillId="0" borderId="0"/>
    <xf numFmtId="204" fontId="40" fillId="0" borderId="0"/>
    <xf numFmtId="0" fontId="40" fillId="43" borderId="22" applyNumberFormat="0" applyAlignment="0" applyProtection="0"/>
    <xf numFmtId="0" fontId="40" fillId="43" borderId="22" applyNumberFormat="0" applyAlignment="0" applyProtection="0"/>
    <xf numFmtId="0" fontId="40" fillId="43" borderId="22" applyNumberFormat="0" applyAlignment="0" applyProtection="0"/>
    <xf numFmtId="169" fontId="40" fillId="0" borderId="0" applyFont="0" applyFill="0" applyBorder="0" applyAlignment="0" applyProtection="0"/>
    <xf numFmtId="1" fontId="40" fillId="0" borderId="5" applyBorder="0"/>
    <xf numFmtId="1" fontId="40" fillId="0" borderId="5" applyBorder="0"/>
    <xf numFmtId="0" fontId="2" fillId="0" borderId="0" applyFont="0" applyFill="0" applyBorder="0" applyAlignment="0" applyProtection="0"/>
    <xf numFmtId="14" fontId="53" fillId="0" borderId="0" applyFill="0" applyBorder="0" applyAlignment="0"/>
    <xf numFmtId="205" fontId="40" fillId="0" borderId="0"/>
    <xf numFmtId="205" fontId="40" fillId="0" borderId="0"/>
    <xf numFmtId="178" fontId="40" fillId="0" borderId="0" applyFont="0" applyFill="0" applyBorder="0" applyAlignment="0" applyProtection="0"/>
    <xf numFmtId="179"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178"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179"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0" fontId="2" fillId="0" borderId="0" applyFill="0" applyBorder="0" applyAlignment="0"/>
    <xf numFmtId="0" fontId="2" fillId="0" borderId="0" applyFill="0" applyBorder="0" applyAlignment="0"/>
    <xf numFmtId="194" fontId="40" fillId="0" borderId="0" applyFill="0" applyBorder="0" applyAlignment="0"/>
    <xf numFmtId="194" fontId="40" fillId="0" borderId="0" applyFill="0" applyBorder="0" applyAlignment="0"/>
    <xf numFmtId="197" fontId="40" fillId="0" borderId="0" applyFill="0" applyBorder="0" applyAlignment="0"/>
    <xf numFmtId="197" fontId="40" fillId="0" borderId="0" applyFill="0" applyBorder="0" applyAlignment="0"/>
    <xf numFmtId="198" fontId="40" fillId="0" borderId="0" applyFill="0" applyBorder="0" applyAlignment="0"/>
    <xf numFmtId="198" fontId="40" fillId="0" borderId="0" applyFill="0" applyBorder="0" applyAlignment="0"/>
    <xf numFmtId="194" fontId="40" fillId="0" borderId="0" applyFill="0" applyBorder="0" applyAlignment="0"/>
    <xf numFmtId="194" fontId="40" fillId="0" borderId="0" applyFill="0" applyBorder="0" applyAlignment="0"/>
    <xf numFmtId="0" fontId="40" fillId="0" borderId="0" applyNumberFormat="0" applyAlignment="0">
      <alignment horizontal="left"/>
    </xf>
    <xf numFmtId="0" fontId="40" fillId="0" borderId="0" applyNumberFormat="0" applyAlignment="0">
      <alignment horizontal="left"/>
    </xf>
    <xf numFmtId="0" fontId="40" fillId="0" borderId="0"/>
    <xf numFmtId="206" fontId="12" fillId="0" borderId="0" applyFont="0" applyFill="0" applyBorder="0" applyAlignment="0" applyProtection="0"/>
    <xf numFmtId="0" fontId="40" fillId="0" borderId="0"/>
    <xf numFmtId="0" fontId="40"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2" fontId="2" fillId="0" borderId="0" applyFont="0" applyFill="0" applyBorder="0" applyAlignment="0" applyProtection="0"/>
    <xf numFmtId="0" fontId="13" fillId="2"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38" fontId="31" fillId="21" borderId="0" applyNumberFormat="0" applyBorder="0" applyAlignment="0" applyProtection="0"/>
    <xf numFmtId="0" fontId="40" fillId="0" borderId="23" applyNumberFormat="0" applyFill="0" applyBorder="0" applyAlignment="0" applyProtection="0">
      <alignment horizontal="center" vertical="center"/>
    </xf>
    <xf numFmtId="0" fontId="40" fillId="0" borderId="23" applyNumberFormat="0" applyFill="0" applyBorder="0" applyAlignment="0" applyProtection="0">
      <alignment horizontal="center" vertical="center"/>
    </xf>
    <xf numFmtId="0" fontId="40" fillId="0" borderId="0" applyNumberFormat="0" applyFont="0" applyBorder="0" applyAlignment="0">
      <alignment horizontal="left" vertical="center"/>
    </xf>
    <xf numFmtId="0" fontId="40" fillId="0" borderId="0" applyNumberFormat="0" applyFont="0" applyBorder="0" applyAlignment="0">
      <alignment horizontal="left" vertical="center"/>
    </xf>
    <xf numFmtId="0" fontId="40" fillId="44" borderId="0"/>
    <xf numFmtId="0" fontId="40" fillId="44" borderId="0"/>
    <xf numFmtId="0" fontId="40" fillId="0" borderId="0">
      <alignment horizontal="left"/>
    </xf>
    <xf numFmtId="0" fontId="54" fillId="0" borderId="0">
      <alignment horizontal="left"/>
    </xf>
    <xf numFmtId="0" fontId="40" fillId="0" borderId="0">
      <alignment horizontal="left"/>
    </xf>
    <xf numFmtId="0" fontId="40" fillId="0" borderId="0">
      <alignment horizontal="left"/>
    </xf>
    <xf numFmtId="0" fontId="55" fillId="0" borderId="24" applyNumberFormat="0" applyAlignment="0" applyProtection="0">
      <alignment horizontal="left" vertical="center"/>
    </xf>
    <xf numFmtId="0" fontId="55" fillId="0" borderId="7">
      <alignment horizontal="left" vertical="center"/>
    </xf>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25"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207" fontId="39" fillId="0" borderId="0">
      <protection locked="0"/>
    </xf>
    <xf numFmtId="208" fontId="56" fillId="0" borderId="0">
      <protection locked="0"/>
    </xf>
    <xf numFmtId="207" fontId="39" fillId="0" borderId="0">
      <protection locked="0"/>
    </xf>
    <xf numFmtId="207" fontId="39" fillId="0" borderId="0">
      <protection locked="0"/>
    </xf>
    <xf numFmtId="208" fontId="56" fillId="0" borderId="0">
      <protection locked="0"/>
    </xf>
    <xf numFmtId="207" fontId="39" fillId="0" borderId="0">
      <protection locked="0"/>
    </xf>
    <xf numFmtId="0" fontId="40" fillId="0" borderId="26">
      <alignment horizontal="center"/>
    </xf>
    <xf numFmtId="0" fontId="40" fillId="0" borderId="26">
      <alignment horizontal="center"/>
    </xf>
    <xf numFmtId="0" fontId="40" fillId="0" borderId="0">
      <alignment horizontal="center"/>
    </xf>
    <xf numFmtId="0" fontId="40" fillId="0" borderId="0">
      <alignment horizontal="center"/>
    </xf>
    <xf numFmtId="5" fontId="40" fillId="45" borderId="2" applyNumberFormat="0" applyAlignment="0">
      <alignment horizontal="left" vertical="top"/>
    </xf>
    <xf numFmtId="5" fontId="40" fillId="45" borderId="2" applyNumberFormat="0" applyAlignment="0">
      <alignment horizontal="left" vertical="top"/>
    </xf>
    <xf numFmtId="49" fontId="40" fillId="0" borderId="2">
      <alignment vertical="center"/>
    </xf>
    <xf numFmtId="49" fontId="40" fillId="0" borderId="2">
      <alignment vertical="center"/>
    </xf>
    <xf numFmtId="0" fontId="32" fillId="0" borderId="0"/>
    <xf numFmtId="41" fontId="42" fillId="0" borderId="0" applyFont="0" applyFill="0" applyBorder="0" applyAlignment="0" applyProtection="0"/>
    <xf numFmtId="10" fontId="31" fillId="21" borderId="2" applyNumberFormat="0" applyBorder="0" applyAlignment="0" applyProtection="0"/>
    <xf numFmtId="0" fontId="40" fillId="29" borderId="21" applyNumberFormat="0" applyAlignment="0" applyProtection="0"/>
    <xf numFmtId="0" fontId="40" fillId="29" borderId="21" applyNumberFormat="0" applyAlignment="0" applyProtection="0"/>
    <xf numFmtId="0" fontId="40" fillId="29" borderId="21" applyNumberFormat="0" applyAlignment="0" applyProtection="0"/>
    <xf numFmtId="0" fontId="40" fillId="29" borderId="21" applyNumberFormat="0" applyAlignment="0" applyProtection="0"/>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xf numFmtId="0" fontId="40" fillId="0" borderId="0"/>
    <xf numFmtId="0" fontId="50" fillId="0" borderId="27">
      <alignment horizontal="centerContinuous"/>
    </xf>
    <xf numFmtId="0" fontId="40" fillId="0" borderId="0"/>
    <xf numFmtId="0" fontId="3" fillId="0" borderId="0"/>
    <xf numFmtId="0" fontId="58" fillId="0" borderId="0"/>
    <xf numFmtId="0" fontId="3" fillId="0" borderId="0"/>
    <xf numFmtId="0" fontId="40" fillId="0" borderId="0"/>
    <xf numFmtId="0" fontId="40" fillId="0" borderId="0"/>
    <xf numFmtId="0" fontId="2" fillId="0" borderId="0" applyFill="0" applyBorder="0" applyAlignment="0"/>
    <xf numFmtId="0" fontId="2" fillId="0" borderId="0" applyFill="0" applyBorder="0" applyAlignment="0"/>
    <xf numFmtId="194" fontId="40" fillId="0" borderId="0" applyFill="0" applyBorder="0" applyAlignment="0"/>
    <xf numFmtId="194" fontId="40" fillId="0" borderId="0" applyFill="0" applyBorder="0" applyAlignment="0"/>
    <xf numFmtId="197" fontId="40" fillId="0" borderId="0" applyFill="0" applyBorder="0" applyAlignment="0"/>
    <xf numFmtId="197" fontId="40" fillId="0" borderId="0" applyFill="0" applyBorder="0" applyAlignment="0"/>
    <xf numFmtId="198" fontId="40" fillId="0" borderId="0" applyFill="0" applyBorder="0" applyAlignment="0"/>
    <xf numFmtId="198" fontId="40" fillId="0" borderId="0" applyFill="0" applyBorder="0" applyAlignment="0"/>
    <xf numFmtId="194" fontId="40" fillId="0" borderId="0" applyFill="0" applyBorder="0" applyAlignment="0"/>
    <xf numFmtId="194" fontId="40" fillId="0" borderId="0" applyFill="0" applyBorder="0" applyAlignment="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209" fontId="40" fillId="0" borderId="29" applyNumberFormat="0" applyFont="0" applyFill="0" applyBorder="0">
      <alignment horizontal="center"/>
    </xf>
    <xf numFmtId="209" fontId="40" fillId="0" borderId="29" applyNumberFormat="0" applyFont="0" applyFill="0" applyBorder="0">
      <alignment horizontal="center"/>
    </xf>
    <xf numFmtId="38" fontId="18" fillId="0" borderId="0" applyFont="0" applyFill="0" applyBorder="0" applyAlignment="0" applyProtection="0"/>
    <xf numFmtId="4" fontId="59" fillId="0" borderId="0" applyFont="0" applyFill="0" applyBorder="0" applyAlignment="0" applyProtection="0"/>
    <xf numFmtId="38" fontId="40" fillId="0" borderId="0" applyFont="0" applyFill="0" applyBorder="0" applyAlignment="0" applyProtection="0"/>
    <xf numFmtId="40" fontId="40"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0" fontId="40" fillId="0" borderId="26"/>
    <xf numFmtId="0" fontId="60" fillId="0" borderId="26"/>
    <xf numFmtId="0" fontId="40" fillId="0" borderId="26"/>
    <xf numFmtId="0" fontId="40" fillId="0" borderId="26"/>
    <xf numFmtId="210" fontId="2" fillId="0" borderId="29"/>
    <xf numFmtId="211" fontId="12" fillId="0" borderId="29"/>
    <xf numFmtId="210" fontId="2" fillId="0" borderId="29"/>
    <xf numFmtId="210" fontId="2" fillId="0" borderId="29"/>
    <xf numFmtId="212" fontId="40" fillId="0" borderId="0" applyFont="0" applyFill="0" applyBorder="0" applyAlignment="0" applyProtection="0"/>
    <xf numFmtId="213" fontId="40" fillId="0" borderId="0" applyFont="0" applyFill="0" applyBorder="0" applyAlignment="0" applyProtection="0"/>
    <xf numFmtId="214" fontId="2" fillId="0" borderId="0" applyFont="0" applyFill="0" applyBorder="0" applyAlignment="0" applyProtection="0"/>
    <xf numFmtId="215" fontId="2" fillId="0" borderId="0" applyFont="0" applyFill="0" applyBorder="0" applyAlignment="0" applyProtection="0"/>
    <xf numFmtId="0" fontId="58" fillId="0" borderId="0" applyNumberFormat="0" applyFont="0" applyFill="0" applyAlignment="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32" fillId="0" borderId="0"/>
    <xf numFmtId="0" fontId="32" fillId="0" borderId="0"/>
    <xf numFmtId="37" fontId="40" fillId="0" borderId="0"/>
    <xf numFmtId="37" fontId="40" fillId="0" borderId="0"/>
    <xf numFmtId="0" fontId="40" fillId="0" borderId="2" applyNumberFormat="0" applyFont="0" applyFill="0" applyBorder="0" applyAlignment="0">
      <alignment horizontal="center"/>
    </xf>
    <xf numFmtId="0" fontId="40" fillId="0" borderId="2" applyNumberFormat="0" applyFont="0" applyFill="0" applyBorder="0" applyAlignment="0">
      <alignment horizontal="center"/>
    </xf>
    <xf numFmtId="216" fontId="61" fillId="0" borderId="0"/>
    <xf numFmtId="217" fontId="12" fillId="0" borderId="0"/>
    <xf numFmtId="216" fontId="61" fillId="0" borderId="0"/>
    <xf numFmtId="0" fontId="40" fillId="0" borderId="0"/>
    <xf numFmtId="0" fontId="40" fillId="0" borderId="0"/>
    <xf numFmtId="0" fontId="1" fillId="0" borderId="0"/>
    <xf numFmtId="0" fontId="3" fillId="0" borderId="0"/>
    <xf numFmtId="0" fontId="3"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2"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6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1" fillId="0" borderId="0"/>
    <xf numFmtId="0" fontId="11" fillId="0" borderId="0"/>
    <xf numFmtId="0" fontId="11" fillId="0" borderId="0"/>
    <xf numFmtId="0" fontId="1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1" fillId="0" borderId="0"/>
    <xf numFmtId="0" fontId="11" fillId="0" borderId="0"/>
    <xf numFmtId="0" fontId="11" fillId="0" borderId="0"/>
    <xf numFmtId="0" fontId="1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4"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4" fillId="0" borderId="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4" fillId="0" borderId="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4" fillId="0" borderId="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4" fillId="0" borderId="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4" fillId="0" borderId="0" applyProtection="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3" fillId="0" borderId="0"/>
    <xf numFmtId="0" fontId="33" fillId="0" borderId="0"/>
    <xf numFmtId="0" fontId="35" fillId="0" borderId="0"/>
    <xf numFmtId="0" fontId="11" fillId="0" borderId="0"/>
    <xf numFmtId="0" fontId="35" fillId="0" borderId="0"/>
    <xf numFmtId="0" fontId="38" fillId="0" borderId="0"/>
    <xf numFmtId="0"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37" fillId="0" borderId="0"/>
    <xf numFmtId="0" fontId="37" fillId="0" borderId="0"/>
    <xf numFmtId="0" fontId="37" fillId="0" borderId="0"/>
    <xf numFmtId="0" fontId="2" fillId="0" borderId="0"/>
    <xf numFmtId="0" fontId="37" fillId="0" borderId="0"/>
    <xf numFmtId="0" fontId="37" fillId="0" borderId="0"/>
    <xf numFmtId="0" fontId="3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37" fillId="0" borderId="0"/>
    <xf numFmtId="0" fontId="37" fillId="0" borderId="0"/>
    <xf numFmtId="0" fontId="3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7" fillId="0" borderId="0"/>
    <xf numFmtId="0" fontId="37" fillId="0" borderId="0"/>
    <xf numFmtId="0" fontId="37" fillId="0" borderId="0"/>
    <xf numFmtId="0" fontId="37" fillId="0" borderId="0"/>
    <xf numFmtId="0" fontId="37" fillId="0" borderId="0"/>
    <xf numFmtId="0" fontId="3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40" fillId="0" borderId="0"/>
    <xf numFmtId="0" fontId="40" fillId="0" borderId="0"/>
    <xf numFmtId="0" fontId="4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3"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0" fillId="0" borderId="0"/>
    <xf numFmtId="0" fontId="12" fillId="0" borderId="0"/>
    <xf numFmtId="0" fontId="40" fillId="0" borderId="0"/>
    <xf numFmtId="0" fontId="40" fillId="0" borderId="0"/>
    <xf numFmtId="0" fontId="40" fillId="0" borderId="0" applyFont="0"/>
    <xf numFmtId="0" fontId="40" fillId="0" borderId="0" applyFont="0"/>
    <xf numFmtId="0" fontId="59" fillId="21" borderId="0"/>
    <xf numFmtId="0" fontId="40" fillId="0" borderId="0"/>
    <xf numFmtId="0" fontId="37" fillId="47" borderId="30" applyNumberFormat="0" applyFont="0" applyAlignment="0" applyProtection="0"/>
    <xf numFmtId="0" fontId="37" fillId="47" borderId="30" applyNumberFormat="0" applyFont="0" applyAlignment="0" applyProtection="0"/>
    <xf numFmtId="0" fontId="37" fillId="47" borderId="30" applyNumberFormat="0" applyFont="0" applyAlignment="0" applyProtection="0"/>
    <xf numFmtId="0" fontId="40" fillId="0" borderId="17" applyNumberFormat="0" applyAlignment="0">
      <alignment horizontal="center"/>
    </xf>
    <xf numFmtId="0" fontId="40" fillId="0" borderId="17" applyNumberFormat="0" applyAlignment="0">
      <alignment horizontal="center"/>
    </xf>
    <xf numFmtId="0" fontId="40" fillId="0" borderId="0"/>
    <xf numFmtId="178" fontId="66" fillId="0" borderId="0" applyFon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40" fillId="0" borderId="0" applyNumberFormat="0" applyFill="0" applyBorder="0" applyAlignment="0" applyProtection="0"/>
    <xf numFmtId="0" fontId="68"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12" fillId="0" borderId="0" applyNumberFormat="0" applyFill="0" applyBorder="0" applyAlignment="0" applyProtection="0"/>
    <xf numFmtId="0" fontId="40" fillId="0" borderId="0" applyNumberFormat="0" applyFill="0" applyBorder="0" applyAlignment="0" applyProtection="0"/>
    <xf numFmtId="0" fontId="2" fillId="0" borderId="0" applyFont="0" applyFill="0" applyBorder="0" applyAlignment="0" applyProtection="0"/>
    <xf numFmtId="0" fontId="32" fillId="0" borderId="0"/>
    <xf numFmtId="0" fontId="40" fillId="42" borderId="31" applyNumberFormat="0" applyAlignment="0" applyProtection="0"/>
    <xf numFmtId="0" fontId="40" fillId="42" borderId="31" applyNumberFormat="0" applyAlignment="0" applyProtection="0"/>
    <xf numFmtId="0" fontId="40" fillId="42" borderId="31" applyNumberFormat="0" applyAlignment="0" applyProtection="0"/>
    <xf numFmtId="41" fontId="2" fillId="0" borderId="0" applyFont="0" applyFill="0" applyBorder="0" applyAlignment="0" applyProtection="0"/>
    <xf numFmtId="41" fontId="2" fillId="0" borderId="0" applyFont="0" applyFill="0" applyBorder="0" applyAlignment="0" applyProtection="0"/>
    <xf numFmtId="14" fontId="50" fillId="0" borderId="0">
      <alignment horizontal="center" wrapText="1"/>
      <protection locked="0"/>
    </xf>
    <xf numFmtId="196" fontId="2" fillId="0" borderId="0" applyFont="0" applyFill="0" applyBorder="0" applyAlignment="0" applyProtection="0"/>
    <xf numFmtId="196" fontId="2" fillId="0" borderId="0" applyFont="0" applyFill="0" applyBorder="0" applyAlignment="0" applyProtection="0"/>
    <xf numFmtId="218" fontId="2" fillId="0" borderId="0" applyFont="0" applyFill="0" applyBorder="0" applyAlignment="0" applyProtection="0"/>
    <xf numFmtId="218"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0" fillId="0" borderId="32" applyNumberFormat="0" applyBorder="0"/>
    <xf numFmtId="9" fontId="40" fillId="0" borderId="32" applyNumberFormat="0" applyBorder="0"/>
    <xf numFmtId="0" fontId="2" fillId="0" borderId="0" applyFill="0" applyBorder="0" applyAlignment="0"/>
    <xf numFmtId="0" fontId="2" fillId="0" borderId="0" applyFill="0" applyBorder="0" applyAlignment="0"/>
    <xf numFmtId="194" fontId="40" fillId="0" borderId="0" applyFill="0" applyBorder="0" applyAlignment="0"/>
    <xf numFmtId="194" fontId="40" fillId="0" borderId="0" applyFill="0" applyBorder="0" applyAlignment="0"/>
    <xf numFmtId="197" fontId="40" fillId="0" borderId="0" applyFill="0" applyBorder="0" applyAlignment="0"/>
    <xf numFmtId="197" fontId="40" fillId="0" borderId="0" applyFill="0" applyBorder="0" applyAlignment="0"/>
    <xf numFmtId="198" fontId="40" fillId="0" borderId="0" applyFill="0" applyBorder="0" applyAlignment="0"/>
    <xf numFmtId="198" fontId="40" fillId="0" borderId="0" applyFill="0" applyBorder="0" applyAlignment="0"/>
    <xf numFmtId="194" fontId="40" fillId="0" borderId="0" applyFill="0" applyBorder="0" applyAlignment="0"/>
    <xf numFmtId="194" fontId="40" fillId="0" borderId="0" applyFill="0" applyBorder="0" applyAlignment="0"/>
    <xf numFmtId="0" fontId="40" fillId="0" borderId="0"/>
    <xf numFmtId="0" fontId="40" fillId="0" borderId="0"/>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26">
      <alignment horizontal="center"/>
    </xf>
    <xf numFmtId="0" fontId="40" fillId="0" borderId="26">
      <alignment horizontal="center"/>
    </xf>
    <xf numFmtId="0" fontId="40" fillId="48" borderId="0" applyNumberFormat="0" applyFont="0" applyBorder="0" applyAlignment="0">
      <alignment horizontal="center"/>
    </xf>
    <xf numFmtId="0" fontId="40" fillId="48" borderId="0" applyNumberFormat="0" applyFont="0" applyBorder="0" applyAlignment="0">
      <alignment horizontal="center"/>
    </xf>
    <xf numFmtId="14" fontId="40" fillId="0" borderId="0" applyNumberFormat="0" applyFill="0" applyBorder="0" applyAlignment="0" applyProtection="0">
      <alignment horizontal="left"/>
    </xf>
    <xf numFmtId="14" fontId="40" fillId="0" borderId="0" applyNumberFormat="0" applyFill="0" applyBorder="0" applyAlignment="0" applyProtection="0">
      <alignment horizontal="left"/>
    </xf>
    <xf numFmtId="0" fontId="40" fillId="0" borderId="0"/>
    <xf numFmtId="41" fontId="42" fillId="0" borderId="0" applyFont="0" applyFill="0" applyBorder="0" applyAlignment="0" applyProtection="0"/>
    <xf numFmtId="0" fontId="40" fillId="0" borderId="0" applyNumberFormat="0" applyFill="0" applyBorder="0" applyAlignment="0" applyProtection="0"/>
    <xf numFmtId="0" fontId="12" fillId="0" borderId="0" applyNumberFormat="0" applyFill="0" applyBorder="0" applyAlignment="0" applyProtection="0"/>
    <xf numFmtId="0" fontId="40" fillId="0" borderId="0" applyNumberFormat="0" applyFill="0" applyBorder="0" applyAlignment="0" applyProtection="0"/>
    <xf numFmtId="4" fontId="69" fillId="49" borderId="33" applyNumberFormat="0" applyProtection="0">
      <alignment vertical="center"/>
    </xf>
    <xf numFmtId="4" fontId="40" fillId="49" borderId="33" applyNumberFormat="0" applyProtection="0">
      <alignment vertical="center"/>
    </xf>
    <xf numFmtId="4" fontId="40" fillId="49" borderId="33" applyNumberFormat="0" applyProtection="0">
      <alignment vertical="center"/>
    </xf>
    <xf numFmtId="4" fontId="70" fillId="49" borderId="33" applyNumberFormat="0" applyProtection="0">
      <alignment horizontal="left" vertical="center" indent="1"/>
    </xf>
    <xf numFmtId="4" fontId="70" fillId="50" borderId="0" applyNumberFormat="0" applyProtection="0">
      <alignment horizontal="left" vertical="center" indent="1"/>
    </xf>
    <xf numFmtId="4" fontId="70" fillId="51" borderId="33" applyNumberFormat="0" applyProtection="0">
      <alignment horizontal="right" vertical="center"/>
    </xf>
    <xf numFmtId="4" fontId="70" fillId="52" borderId="33" applyNumberFormat="0" applyProtection="0">
      <alignment horizontal="right" vertical="center"/>
    </xf>
    <xf numFmtId="4" fontId="70" fillId="53" borderId="33" applyNumberFormat="0" applyProtection="0">
      <alignment horizontal="right" vertical="center"/>
    </xf>
    <xf numFmtId="4" fontId="70" fillId="54" borderId="33" applyNumberFormat="0" applyProtection="0">
      <alignment horizontal="right" vertical="center"/>
    </xf>
    <xf numFmtId="4" fontId="70" fillId="55" borderId="33" applyNumberFormat="0" applyProtection="0">
      <alignment horizontal="right" vertical="center"/>
    </xf>
    <xf numFmtId="4" fontId="70" fillId="56" borderId="33" applyNumberFormat="0" applyProtection="0">
      <alignment horizontal="right" vertical="center"/>
    </xf>
    <xf numFmtId="4" fontId="70" fillId="57" borderId="33" applyNumberFormat="0" applyProtection="0">
      <alignment horizontal="right" vertical="center"/>
    </xf>
    <xf numFmtId="4" fontId="70" fillId="58" borderId="33" applyNumberFormat="0" applyProtection="0">
      <alignment horizontal="right" vertical="center"/>
    </xf>
    <xf numFmtId="4" fontId="70" fillId="59" borderId="33" applyNumberFormat="0" applyProtection="0">
      <alignment horizontal="right" vertical="center"/>
    </xf>
    <xf numFmtId="4" fontId="69" fillId="60" borderId="34" applyNumberFormat="0" applyProtection="0">
      <alignment horizontal="left" vertical="center" indent="1"/>
    </xf>
    <xf numFmtId="4" fontId="69" fillId="61" borderId="0" applyNumberFormat="0" applyProtection="0">
      <alignment horizontal="left" vertical="center" indent="1"/>
    </xf>
    <xf numFmtId="4" fontId="69" fillId="50" borderId="0" applyNumberFormat="0" applyProtection="0">
      <alignment horizontal="left" vertical="center" indent="1"/>
    </xf>
    <xf numFmtId="4" fontId="70" fillId="61" borderId="33" applyNumberFormat="0" applyProtection="0">
      <alignment horizontal="right" vertical="center"/>
    </xf>
    <xf numFmtId="4" fontId="53" fillId="61" borderId="0" applyNumberFormat="0" applyProtection="0">
      <alignment horizontal="left" vertical="center" indent="1"/>
    </xf>
    <xf numFmtId="4" fontId="53" fillId="50" borderId="0" applyNumberFormat="0" applyProtection="0">
      <alignment horizontal="left" vertical="center" indent="1"/>
    </xf>
    <xf numFmtId="4" fontId="70" fillId="62" borderId="33" applyNumberFormat="0" applyProtection="0">
      <alignment vertical="center"/>
    </xf>
    <xf numFmtId="4" fontId="71" fillId="62" borderId="33" applyNumberFormat="0" applyProtection="0">
      <alignment vertical="center"/>
    </xf>
    <xf numFmtId="4" fontId="69" fillId="61" borderId="35" applyNumberFormat="0" applyProtection="0">
      <alignment horizontal="left" vertical="center" indent="1"/>
    </xf>
    <xf numFmtId="4" fontId="70" fillId="62" borderId="33" applyNumberFormat="0" applyProtection="0">
      <alignment horizontal="right" vertical="center"/>
    </xf>
    <xf numFmtId="4" fontId="71" fillId="62" borderId="33" applyNumberFormat="0" applyProtection="0">
      <alignment horizontal="right" vertical="center"/>
    </xf>
    <xf numFmtId="4" fontId="69" fillId="61" borderId="33" applyNumberFormat="0" applyProtection="0">
      <alignment horizontal="left" vertical="center" indent="1"/>
    </xf>
    <xf numFmtId="4" fontId="40" fillId="45" borderId="35" applyNumberFormat="0" applyProtection="0">
      <alignment horizontal="left" vertical="center" indent="1"/>
    </xf>
    <xf numFmtId="4" fontId="40" fillId="45" borderId="35" applyNumberFormat="0" applyProtection="0">
      <alignment horizontal="left" vertical="center" indent="1"/>
    </xf>
    <xf numFmtId="4" fontId="72" fillId="62" borderId="33" applyNumberFormat="0" applyProtection="0">
      <alignment horizontal="right" vertical="center"/>
    </xf>
    <xf numFmtId="219" fontId="40" fillId="0" borderId="0" applyFont="0" applyFill="0" applyBorder="0" applyAlignment="0" applyProtection="0"/>
    <xf numFmtId="219" fontId="40" fillId="0" borderId="0" applyFont="0" applyFill="0" applyBorder="0" applyAlignment="0" applyProtection="0"/>
    <xf numFmtId="0" fontId="40" fillId="1" borderId="7" applyNumberFormat="0" applyFont="0" applyAlignment="0">
      <alignment horizontal="center"/>
    </xf>
    <xf numFmtId="0" fontId="40" fillId="1" borderId="7" applyNumberFormat="0" applyFont="0" applyAlignment="0">
      <alignment horizontal="center"/>
    </xf>
    <xf numFmtId="3" fontId="39" fillId="0" borderId="0"/>
    <xf numFmtId="0" fontId="40" fillId="0" borderId="0" applyNumberFormat="0" applyFill="0" applyBorder="0" applyAlignment="0">
      <alignment horizontal="center"/>
    </xf>
    <xf numFmtId="0" fontId="40" fillId="0" borderId="0" applyNumberFormat="0" applyFill="0" applyBorder="0" applyAlignment="0">
      <alignment horizontal="center"/>
    </xf>
    <xf numFmtId="0" fontId="2" fillId="0" borderId="0"/>
    <xf numFmtId="169" fontId="40" fillId="0" borderId="0" applyNumberFormat="0" applyBorder="0" applyAlignment="0">
      <alignment horizontal="centerContinuous"/>
    </xf>
    <xf numFmtId="169" fontId="40" fillId="0" borderId="0" applyNumberFormat="0" applyBorder="0" applyAlignment="0">
      <alignment horizontal="centerContinuous"/>
    </xf>
    <xf numFmtId="0" fontId="12" fillId="0" borderId="4">
      <alignment horizontal="center"/>
    </xf>
    <xf numFmtId="0" fontId="49" fillId="0" borderId="0" applyNumberFormat="0" applyFill="0" applyBorder="0" applyAlignment="0" applyProtection="0"/>
    <xf numFmtId="0" fontId="43" fillId="0" borderId="0"/>
    <xf numFmtId="0" fontId="43" fillId="0" borderId="0"/>
    <xf numFmtId="169" fontId="40" fillId="0" borderId="0" applyFont="0" applyFill="0" applyBorder="0" applyAlignment="0" applyProtection="0"/>
    <xf numFmtId="169" fontId="40" fillId="0" borderId="0" applyFont="0" applyFill="0" applyBorder="0" applyAlignment="0" applyProtection="0"/>
    <xf numFmtId="41"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81"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2" fontId="42" fillId="0" borderId="0" applyFont="0" applyFill="0" applyBorder="0" applyAlignment="0" applyProtection="0"/>
    <xf numFmtId="41" fontId="42" fillId="0" borderId="0" applyFont="0" applyFill="0" applyBorder="0" applyAlignment="0" applyProtection="0"/>
    <xf numFmtId="183" fontId="42" fillId="0" borderId="0" applyFont="0" applyFill="0" applyBorder="0" applyAlignment="0" applyProtection="0"/>
    <xf numFmtId="184" fontId="39" fillId="0" borderId="0" applyFont="0" applyFill="0" applyBorder="0" applyAlignment="0" applyProtection="0"/>
    <xf numFmtId="184" fontId="42" fillId="0" borderId="0" applyFont="0" applyFill="0" applyBorder="0" applyAlignment="0" applyProtection="0"/>
    <xf numFmtId="0" fontId="40" fillId="0" borderId="0"/>
    <xf numFmtId="0" fontId="40" fillId="0" borderId="0"/>
    <xf numFmtId="220" fontId="40" fillId="0" borderId="0" applyFont="0" applyFill="0" applyBorder="0" applyAlignment="0" applyProtection="0"/>
    <xf numFmtId="220" fontId="40"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81"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0" fontId="40" fillId="0" borderId="0"/>
    <xf numFmtId="0" fontId="60" fillId="0" borderId="0"/>
    <xf numFmtId="0" fontId="40" fillId="0" borderId="0"/>
    <xf numFmtId="0" fontId="40" fillId="0" borderId="0"/>
    <xf numFmtId="40" fontId="40" fillId="0" borderId="0" applyBorder="0">
      <alignment horizontal="right"/>
    </xf>
    <xf numFmtId="40" fontId="40" fillId="0" borderId="0" applyBorder="0">
      <alignment horizontal="right"/>
    </xf>
    <xf numFmtId="0" fontId="40" fillId="0" borderId="0"/>
    <xf numFmtId="0" fontId="40" fillId="0" borderId="0"/>
    <xf numFmtId="221" fontId="40" fillId="0" borderId="6">
      <alignment horizontal="right" vertical="center"/>
    </xf>
    <xf numFmtId="221" fontId="68" fillId="0" borderId="6">
      <alignment horizontal="right" vertical="center"/>
    </xf>
    <xf numFmtId="221" fontId="40" fillId="0" borderId="6">
      <alignment horizontal="right" vertical="center"/>
    </xf>
    <xf numFmtId="221" fontId="40" fillId="0" borderId="6">
      <alignment horizontal="right" vertical="center"/>
    </xf>
    <xf numFmtId="221" fontId="40" fillId="0" borderId="6">
      <alignment horizontal="right" vertical="center"/>
    </xf>
    <xf numFmtId="221" fontId="40" fillId="0" borderId="6">
      <alignment horizontal="right" vertical="center"/>
    </xf>
    <xf numFmtId="222" fontId="2" fillId="0" borderId="6">
      <alignment horizontal="right" vertical="center"/>
    </xf>
    <xf numFmtId="222" fontId="2" fillId="0" borderId="6">
      <alignment horizontal="right" vertical="center"/>
    </xf>
    <xf numFmtId="223" fontId="40" fillId="22" borderId="36" applyFont="0" applyFill="0" applyBorder="0"/>
    <xf numFmtId="223" fontId="40" fillId="22" borderId="36" applyFont="0" applyFill="0" applyBorder="0"/>
    <xf numFmtId="223" fontId="40" fillId="22" borderId="36" applyFont="0" applyFill="0" applyBorder="0"/>
    <xf numFmtId="223" fontId="40" fillId="22" borderId="36" applyFont="0" applyFill="0" applyBorder="0"/>
    <xf numFmtId="221" fontId="40" fillId="0" borderId="6">
      <alignment horizontal="right" vertical="center"/>
    </xf>
    <xf numFmtId="221" fontId="40" fillId="0" borderId="6">
      <alignment horizontal="right" vertical="center"/>
    </xf>
    <xf numFmtId="221" fontId="40" fillId="0" borderId="6">
      <alignment horizontal="right" vertical="center"/>
    </xf>
    <xf numFmtId="221" fontId="40" fillId="0" borderId="6">
      <alignment horizontal="right" vertical="center"/>
    </xf>
    <xf numFmtId="221" fontId="40" fillId="0" borderId="6">
      <alignment horizontal="right" vertical="center"/>
    </xf>
    <xf numFmtId="221" fontId="40" fillId="0" borderId="6">
      <alignment horizontal="right" vertical="center"/>
    </xf>
    <xf numFmtId="223" fontId="40" fillId="22" borderId="36" applyFont="0" applyFill="0" applyBorder="0"/>
    <xf numFmtId="223" fontId="40" fillId="22" borderId="36" applyFont="0" applyFill="0" applyBorder="0"/>
    <xf numFmtId="221" fontId="40" fillId="0" borderId="6">
      <alignment horizontal="right" vertical="center"/>
    </xf>
    <xf numFmtId="221" fontId="40" fillId="0" borderId="6">
      <alignment horizontal="right" vertical="center"/>
    </xf>
    <xf numFmtId="224" fontId="40" fillId="0" borderId="6">
      <alignment horizontal="right" vertical="center"/>
    </xf>
    <xf numFmtId="224" fontId="40" fillId="0" borderId="6">
      <alignment horizontal="right" vertical="center"/>
    </xf>
    <xf numFmtId="49" fontId="53" fillId="0" borderId="0" applyFill="0" applyBorder="0" applyAlignment="0"/>
    <xf numFmtId="49" fontId="53" fillId="0" borderId="0" applyFill="0" applyBorder="0" applyAlignment="0"/>
    <xf numFmtId="0" fontId="2" fillId="0" borderId="0" applyFill="0" applyBorder="0" applyAlignment="0"/>
    <xf numFmtId="0" fontId="2" fillId="0" borderId="0" applyFill="0" applyBorder="0" applyAlignment="0"/>
    <xf numFmtId="225" fontId="2" fillId="0" borderId="0" applyFill="0" applyBorder="0" applyAlignment="0"/>
    <xf numFmtId="225" fontId="2" fillId="0" borderId="0" applyFill="0" applyBorder="0" applyAlignment="0"/>
    <xf numFmtId="40" fontId="36" fillId="0" borderId="0"/>
    <xf numFmtId="3" fontId="40" fillId="0" borderId="0" applyNumberFormat="0" applyFill="0" applyBorder="0" applyAlignment="0" applyProtection="0">
      <alignment horizontal="center" wrapText="1"/>
    </xf>
    <xf numFmtId="3" fontId="40" fillId="0" borderId="0" applyNumberFormat="0" applyFill="0" applyBorder="0" applyAlignment="0" applyProtection="0">
      <alignment horizontal="center" wrapText="1"/>
    </xf>
    <xf numFmtId="0" fontId="40" fillId="0" borderId="3" applyBorder="0" applyAlignment="0">
      <alignment horizontal="center" vertical="center"/>
    </xf>
    <xf numFmtId="0" fontId="40" fillId="0" borderId="3" applyBorder="0" applyAlignment="0">
      <alignment horizontal="center" vertical="center"/>
    </xf>
    <xf numFmtId="0" fontId="40" fillId="0" borderId="0" applyNumberFormat="0" applyFill="0" applyBorder="0" applyAlignment="0" applyProtection="0">
      <alignment horizontal="centerContinuous"/>
    </xf>
    <xf numFmtId="0" fontId="40" fillId="0" borderId="0" applyNumberFormat="0" applyFill="0" applyBorder="0" applyAlignment="0" applyProtection="0">
      <alignment horizontal="centerContinuous"/>
    </xf>
    <xf numFmtId="0" fontId="40" fillId="0" borderId="37" applyNumberFormat="0" applyFill="0" applyBorder="0" applyAlignment="0" applyProtection="0">
      <alignment horizontal="center" vertical="center" wrapText="1"/>
    </xf>
    <xf numFmtId="0" fontId="40" fillId="0" borderId="37" applyNumberFormat="0" applyFill="0" applyBorder="0" applyAlignment="0" applyProtection="0">
      <alignment horizontal="center" vertical="center" wrapText="1"/>
    </xf>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38" applyNumberFormat="0" applyBorder="0" applyAlignment="0">
      <alignment vertical="center"/>
    </xf>
    <xf numFmtId="0" fontId="40" fillId="0" borderId="38" applyNumberFormat="0" applyBorder="0" applyAlignment="0">
      <alignment vertical="center"/>
    </xf>
    <xf numFmtId="0" fontId="2" fillId="0" borderId="20" applyNumberFormat="0" applyFont="0" applyFill="0" applyAlignment="0" applyProtection="0"/>
    <xf numFmtId="0" fontId="2" fillId="0" borderId="20" applyNumberFormat="0" applyFont="0" applyFill="0" applyAlignment="0" applyProtection="0"/>
    <xf numFmtId="0" fontId="2" fillId="0" borderId="20" applyNumberFormat="0" applyFont="0" applyFill="0" applyAlignment="0" applyProtection="0"/>
    <xf numFmtId="178" fontId="2" fillId="0" borderId="0" applyFont="0" applyFill="0" applyBorder="0" applyAlignment="0" applyProtection="0"/>
    <xf numFmtId="226" fontId="2" fillId="0" borderId="0" applyFont="0" applyFill="0" applyBorder="0" applyAlignment="0" applyProtection="0"/>
    <xf numFmtId="184" fontId="40" fillId="0" borderId="6">
      <alignment horizontal="center"/>
    </xf>
    <xf numFmtId="184" fontId="68" fillId="0" borderId="6">
      <alignment horizontal="center"/>
    </xf>
    <xf numFmtId="184" fontId="40" fillId="0" borderId="6">
      <alignment horizontal="center"/>
    </xf>
    <xf numFmtId="184" fontId="40" fillId="0" borderId="6">
      <alignment horizontal="center"/>
    </xf>
    <xf numFmtId="227" fontId="73" fillId="0" borderId="0" applyNumberFormat="0" applyFont="0" applyFill="0" applyBorder="0" applyAlignment="0">
      <alignment horizontal="centerContinuous"/>
    </xf>
    <xf numFmtId="0" fontId="40" fillId="0" borderId="39"/>
    <xf numFmtId="0" fontId="40" fillId="0" borderId="39"/>
    <xf numFmtId="0" fontId="40" fillId="0" borderId="0" applyNumberFormat="0" applyFill="0" applyBorder="0" applyAlignment="0" applyProtection="0"/>
    <xf numFmtId="0" fontId="68"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2" fillId="0" borderId="0" applyNumberFormat="0" applyFill="0" applyBorder="0" applyAlignment="0" applyProtection="0"/>
    <xf numFmtId="0" fontId="67" fillId="0" borderId="0" applyNumberFormat="0" applyFill="0" applyBorder="0" applyAlignment="0" applyProtection="0"/>
    <xf numFmtId="0" fontId="40" fillId="0" borderId="17" applyNumberFormat="0" applyBorder="0" applyAlignment="0"/>
    <xf numFmtId="0" fontId="40" fillId="0" borderId="17" applyNumberFormat="0" applyBorder="0" applyAlignment="0"/>
    <xf numFmtId="0" fontId="40" fillId="0" borderId="29" applyNumberFormat="0" applyBorder="0" applyAlignment="0">
      <alignment horizontal="center"/>
    </xf>
    <xf numFmtId="0" fontId="40" fillId="0" borderId="29" applyNumberFormat="0" applyBorder="0" applyAlignment="0">
      <alignment horizontal="center"/>
    </xf>
    <xf numFmtId="3" fontId="40" fillId="0" borderId="23" applyNumberFormat="0" applyBorder="0" applyAlignment="0"/>
    <xf numFmtId="3" fontId="40" fillId="0" borderId="23" applyNumberFormat="0" applyBorder="0" applyAlignment="0"/>
    <xf numFmtId="228" fontId="74" fillId="0" borderId="0" applyFont="0" applyFill="0" applyBorder="0" applyAlignment="0" applyProtection="0"/>
    <xf numFmtId="229" fontId="75" fillId="0" borderId="0" applyFont="0" applyFill="0" applyBorder="0" applyAlignment="0" applyProtection="0"/>
    <xf numFmtId="225" fontId="40" fillId="0" borderId="0"/>
    <xf numFmtId="225" fontId="68" fillId="0" borderId="0"/>
    <xf numFmtId="225" fontId="40" fillId="0" borderId="0"/>
    <xf numFmtId="225" fontId="40" fillId="0" borderId="0"/>
    <xf numFmtId="230" fontId="40" fillId="0" borderId="2"/>
    <xf numFmtId="230" fontId="68" fillId="0" borderId="2"/>
    <xf numFmtId="230" fontId="40" fillId="0" borderId="2"/>
    <xf numFmtId="230" fontId="40" fillId="0" borderId="2"/>
    <xf numFmtId="0" fontId="61" fillId="0" borderId="0"/>
    <xf numFmtId="3" fontId="40" fillId="0" borderId="0" applyNumberFormat="0" applyBorder="0" applyAlignment="0" applyProtection="0">
      <alignment horizontal="centerContinuous"/>
      <protection locked="0"/>
    </xf>
    <xf numFmtId="3" fontId="40" fillId="0" borderId="0" applyNumberFormat="0" applyBorder="0" applyAlignment="0" applyProtection="0">
      <alignment horizontal="centerContinuous"/>
      <protection locked="0"/>
    </xf>
    <xf numFmtId="3" fontId="40" fillId="0" borderId="0">
      <protection locked="0"/>
    </xf>
    <xf numFmtId="3" fontId="40" fillId="0" borderId="0">
      <protection locked="0"/>
    </xf>
    <xf numFmtId="0" fontId="61" fillId="0" borderId="0"/>
    <xf numFmtId="5" fontId="40" fillId="63" borderId="3">
      <alignment vertical="top"/>
    </xf>
    <xf numFmtId="5" fontId="40" fillId="63" borderId="3">
      <alignment vertical="top"/>
    </xf>
    <xf numFmtId="5" fontId="40" fillId="0" borderId="4">
      <alignment horizontal="left" vertical="top"/>
    </xf>
    <xf numFmtId="5" fontId="40" fillId="0" borderId="4">
      <alignment horizontal="left" vertical="top"/>
    </xf>
    <xf numFmtId="0" fontId="40" fillId="0" borderId="4">
      <alignment horizontal="left" vertical="center"/>
    </xf>
    <xf numFmtId="0" fontId="40" fillId="0" borderId="4">
      <alignment horizontal="left" vertical="center"/>
    </xf>
    <xf numFmtId="0" fontId="40" fillId="64" borderId="2">
      <alignment horizontal="left" vertical="center"/>
    </xf>
    <xf numFmtId="0" fontId="40" fillId="64" borderId="2">
      <alignment horizontal="left" vertical="center"/>
    </xf>
    <xf numFmtId="6" fontId="40" fillId="65" borderId="3"/>
    <xf numFmtId="6" fontId="40" fillId="65" borderId="3"/>
    <xf numFmtId="5" fontId="40" fillId="0" borderId="3">
      <alignment horizontal="left" vertical="top"/>
    </xf>
    <xf numFmtId="5" fontId="40" fillId="0" borderId="3">
      <alignment horizontal="left" vertical="top"/>
    </xf>
    <xf numFmtId="0" fontId="40" fillId="66" borderId="0">
      <alignment horizontal="left" vertical="center"/>
    </xf>
    <xf numFmtId="0" fontId="40" fillId="66" borderId="0">
      <alignment horizontal="left" vertical="center"/>
    </xf>
    <xf numFmtId="42" fontId="40" fillId="0" borderId="0" applyFont="0" applyFill="0" applyBorder="0" applyAlignment="0" applyProtection="0"/>
    <xf numFmtId="44" fontId="40"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76"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Font="0" applyFill="0" applyBorder="0" applyAlignment="0" applyProtection="0"/>
    <xf numFmtId="0" fontId="40" fillId="0" borderId="0" applyFont="0" applyFill="0" applyBorder="0" applyAlignment="0" applyProtection="0"/>
    <xf numFmtId="0" fontId="37" fillId="0" borderId="0">
      <alignment vertical="center"/>
    </xf>
    <xf numFmtId="40" fontId="40" fillId="0" borderId="0" applyFont="0" applyFill="0" applyBorder="0" applyAlignment="0" applyProtection="0"/>
    <xf numFmtId="38" fontId="40" fillId="0" borderId="0" applyFont="0" applyFill="0" applyBorder="0" applyAlignment="0" applyProtection="0"/>
    <xf numFmtId="0" fontId="40" fillId="0" borderId="0" applyFont="0" applyFill="0" applyBorder="0" applyAlignment="0" applyProtection="0"/>
    <xf numFmtId="0" fontId="40" fillId="0" borderId="0" applyFont="0" applyFill="0" applyBorder="0" applyAlignment="0" applyProtection="0"/>
    <xf numFmtId="0" fontId="40" fillId="0" borderId="0"/>
    <xf numFmtId="0" fontId="40" fillId="0" borderId="19"/>
    <xf numFmtId="0" fontId="77" fillId="0" borderId="19"/>
    <xf numFmtId="0" fontId="40" fillId="0" borderId="19"/>
    <xf numFmtId="0" fontId="40" fillId="0" borderId="19"/>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applyFont="0" applyFill="0" applyBorder="0" applyAlignment="0" applyProtection="0"/>
    <xf numFmtId="0" fontId="40" fillId="0" borderId="0" applyFont="0" applyFill="0" applyBorder="0" applyAlignment="0" applyProtection="0"/>
    <xf numFmtId="0" fontId="40" fillId="0" borderId="0"/>
    <xf numFmtId="0" fontId="58" fillId="0" borderId="0"/>
    <xf numFmtId="192" fontId="40" fillId="0" borderId="0" applyFont="0" applyFill="0" applyBorder="0" applyAlignment="0" applyProtection="0"/>
    <xf numFmtId="178" fontId="64" fillId="0" borderId="0" applyFont="0" applyFill="0" applyBorder="0" applyAlignment="0" applyProtection="0"/>
    <xf numFmtId="179" fontId="64" fillId="0" borderId="0" applyFont="0" applyFill="0" applyBorder="0" applyAlignment="0" applyProtection="0"/>
    <xf numFmtId="0" fontId="40"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172" fontId="64" fillId="0" borderId="0" applyFont="0" applyFill="0" applyBorder="0" applyAlignment="0" applyProtection="0"/>
    <xf numFmtId="231" fontId="40" fillId="0" borderId="0" applyFont="0" applyFill="0" applyBorder="0" applyAlignment="0" applyProtection="0"/>
    <xf numFmtId="197" fontId="64"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1" fillId="0" borderId="0"/>
    <xf numFmtId="0" fontId="30" fillId="0" borderId="0"/>
    <xf numFmtId="165" fontId="96" fillId="0" borderId="0" applyFont="0" applyFill="0" applyBorder="0" applyAlignment="0" applyProtection="0"/>
    <xf numFmtId="165" fontId="96" fillId="0" borderId="0" applyFont="0" applyFill="0" applyBorder="0" applyAlignment="0" applyProtection="0"/>
    <xf numFmtId="43" fontId="95" fillId="0" borderId="0" applyFont="0" applyFill="0" applyBorder="0" applyAlignment="0" applyProtection="0"/>
    <xf numFmtId="0" fontId="1" fillId="0" borderId="0"/>
    <xf numFmtId="0" fontId="1" fillId="0" borderId="0"/>
    <xf numFmtId="0" fontId="1" fillId="0" borderId="0"/>
    <xf numFmtId="165" fontId="96" fillId="0" borderId="0" applyFont="0" applyFill="0" applyBorder="0" applyAlignment="0" applyProtection="0"/>
    <xf numFmtId="43" fontId="95" fillId="0" borderId="0" applyFont="0" applyFill="0" applyBorder="0" applyAlignment="0" applyProtection="0"/>
    <xf numFmtId="167" fontId="95" fillId="0" borderId="0" applyFont="0" applyFill="0" applyBorder="0" applyAlignment="0" applyProtection="0"/>
    <xf numFmtId="0" fontId="1" fillId="0" borderId="0"/>
    <xf numFmtId="0" fontId="2" fillId="0" borderId="20" applyNumberFormat="0" applyFont="0" applyFill="0" applyAlignment="0" applyProtection="0"/>
    <xf numFmtId="0" fontId="40" fillId="0" borderId="0" applyNumberForma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0" fontId="1" fillId="0" borderId="0"/>
    <xf numFmtId="0" fontId="40" fillId="42" borderId="31" applyNumberFormat="0" applyAlignment="0" applyProtection="0"/>
    <xf numFmtId="0" fontId="12" fillId="0" borderId="0"/>
    <xf numFmtId="0" fontId="37"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43" fontId="95" fillId="0" borderId="0" applyFont="0" applyFill="0" applyBorder="0" applyAlignment="0" applyProtection="0"/>
    <xf numFmtId="0" fontId="11" fillId="0" borderId="0"/>
    <xf numFmtId="43" fontId="95" fillId="0" borderId="0" applyFont="0" applyFill="0" applyBorder="0" applyAlignment="0" applyProtection="0"/>
    <xf numFmtId="43" fontId="95"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43" fontId="95" fillId="0" borderId="0" applyFont="0" applyFill="0" applyBorder="0" applyAlignment="0" applyProtection="0"/>
    <xf numFmtId="167" fontId="95" fillId="0" borderId="0" applyFont="0" applyFill="0" applyBorder="0" applyAlignment="0" applyProtection="0"/>
    <xf numFmtId="43" fontId="95" fillId="0" borderId="0" applyFont="0" applyFill="0" applyBorder="0" applyAlignment="0" applyProtection="0"/>
    <xf numFmtId="0" fontId="1" fillId="0" borderId="0"/>
    <xf numFmtId="0" fontId="40" fillId="46" borderId="0" applyNumberFormat="0" applyBorder="0" applyAlignment="0" applyProtection="0"/>
    <xf numFmtId="0" fontId="40" fillId="0" borderId="28" applyNumberFormat="0" applyFill="0" applyAlignment="0" applyProtection="0"/>
    <xf numFmtId="0" fontId="40" fillId="29" borderId="21" applyNumberFormat="0" applyAlignment="0" applyProtection="0"/>
    <xf numFmtId="0" fontId="1" fillId="0" borderId="0"/>
    <xf numFmtId="0" fontId="40" fillId="0" borderId="0" applyNumberFormat="0" applyFill="0" applyBorder="0" applyAlignment="0" applyProtection="0"/>
    <xf numFmtId="0" fontId="40" fillId="0" borderId="25" applyNumberFormat="0" applyFill="0" applyAlignment="0" applyProtection="0"/>
    <xf numFmtId="0" fontId="55" fillId="0" borderId="0" applyNumberFormat="0" applyFill="0" applyBorder="0" applyAlignment="0" applyProtection="0"/>
    <xf numFmtId="0" fontId="40" fillId="0" borderId="0" applyNumberFormat="0" applyFill="0" applyBorder="0" applyAlignment="0" applyProtection="0"/>
    <xf numFmtId="0" fontId="40" fillId="26" borderId="0" applyNumberFormat="0" applyBorder="0" applyAlignment="0" applyProtection="0"/>
    <xf numFmtId="0" fontId="40" fillId="0" borderId="0" applyNumberFormat="0" applyFill="0" applyBorder="0" applyAlignment="0" applyProtection="0"/>
    <xf numFmtId="0" fontId="40" fillId="43" borderId="22" applyNumberFormat="0" applyAlignment="0" applyProtection="0"/>
    <xf numFmtId="0" fontId="1" fillId="0" borderId="0"/>
    <xf numFmtId="0" fontId="2" fillId="0" borderId="0"/>
    <xf numFmtId="0" fontId="40" fillId="42" borderId="21" applyNumberFormat="0" applyAlignment="0" applyProtection="0"/>
    <xf numFmtId="0" fontId="40" fillId="25" borderId="0" applyNumberFormat="0" applyBorder="0" applyAlignment="0" applyProtection="0"/>
    <xf numFmtId="0" fontId="40" fillId="41" borderId="0" applyNumberFormat="0" applyBorder="0" applyAlignment="0" applyProtection="0"/>
    <xf numFmtId="0" fontId="40" fillId="36" borderId="0" applyNumberFormat="0" applyBorder="0" applyAlignment="0" applyProtection="0"/>
    <xf numFmtId="0" fontId="40" fillId="40" borderId="0" applyNumberFormat="0" applyBorder="0" applyAlignment="0" applyProtection="0"/>
    <xf numFmtId="0" fontId="40" fillId="39" borderId="0" applyNumberFormat="0" applyBorder="0" applyAlignment="0" applyProtection="0"/>
    <xf numFmtId="0" fontId="40" fillId="38" borderId="0" applyNumberFormat="0" applyBorder="0" applyAlignment="0" applyProtection="0"/>
    <xf numFmtId="0" fontId="40" fillId="37" borderId="0" applyNumberFormat="0" applyBorder="0" applyAlignment="0" applyProtection="0"/>
    <xf numFmtId="0" fontId="40" fillId="36" borderId="0" applyNumberFormat="0" applyBorder="0" applyAlignment="0" applyProtection="0"/>
    <xf numFmtId="0" fontId="40" fillId="35" borderId="0" applyNumberFormat="0" applyBorder="0" applyAlignment="0" applyProtection="0"/>
    <xf numFmtId="0" fontId="40" fillId="31" borderId="0" applyNumberFormat="0" applyBorder="0" applyAlignment="0" applyProtection="0"/>
    <xf numFmtId="0" fontId="40" fillId="34"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27" borderId="0" applyNumberFormat="0" applyBorder="0" applyAlignment="0" applyProtection="0"/>
    <xf numFmtId="0" fontId="40" fillId="32" borderId="0" applyNumberFormat="0" applyBorder="0" applyAlignment="0" applyProtection="0"/>
    <xf numFmtId="0" fontId="1" fillId="0" borderId="0"/>
    <xf numFmtId="0" fontId="40" fillId="31" borderId="0" applyNumberFormat="0" applyBorder="0" applyAlignment="0" applyProtection="0"/>
    <xf numFmtId="0" fontId="40" fillId="29" borderId="0" applyNumberFormat="0" applyBorder="0" applyAlignment="0" applyProtection="0"/>
    <xf numFmtId="0" fontId="40" fillId="28" borderId="0" applyNumberFormat="0" applyBorder="0" applyAlignment="0" applyProtection="0"/>
    <xf numFmtId="0" fontId="40" fillId="27" borderId="0" applyNumberFormat="0" applyBorder="0" applyAlignment="0" applyProtection="0"/>
    <xf numFmtId="0" fontId="40" fillId="26" borderId="0" applyNumberFormat="0" applyBorder="0" applyAlignment="0" applyProtection="0"/>
    <xf numFmtId="0" fontId="40" fillId="25" borderId="0" applyNumberFormat="0" applyBorder="0" applyAlignment="0" applyProtection="0"/>
    <xf numFmtId="0" fontId="40" fillId="24" borderId="0" applyNumberFormat="0" applyBorder="0" applyAlignment="0" applyProtection="0"/>
    <xf numFmtId="0" fontId="1" fillId="0" borderId="0"/>
    <xf numFmtId="0" fontId="1" fillId="0" borderId="0"/>
    <xf numFmtId="9" fontId="96" fillId="0" borderId="0" applyFont="0" applyFill="0" applyBorder="0" applyAlignment="0" applyProtection="0"/>
    <xf numFmtId="0" fontId="1" fillId="0" borderId="0"/>
    <xf numFmtId="0" fontId="1" fillId="0" borderId="0"/>
    <xf numFmtId="0" fontId="1" fillId="0" borderId="0"/>
    <xf numFmtId="0" fontId="1" fillId="0" borderId="0"/>
    <xf numFmtId="0" fontId="35" fillId="0" borderId="0"/>
    <xf numFmtId="0" fontId="1" fillId="0" borderId="0"/>
    <xf numFmtId="9" fontId="2" fillId="0" borderId="0" applyFont="0" applyFill="0" applyBorder="0" applyAlignment="0" applyProtection="0"/>
    <xf numFmtId="0" fontId="92" fillId="0" borderId="0" applyAlignment="0"/>
    <xf numFmtId="0" fontId="11" fillId="72" borderId="0" applyAlignment="0"/>
    <xf numFmtId="0" fontId="91" fillId="6" borderId="12" applyAlignment="0"/>
    <xf numFmtId="0" fontId="78" fillId="0" borderId="0" applyAlignment="0"/>
    <xf numFmtId="0" fontId="90" fillId="4" borderId="0" applyAlignment="0"/>
    <xf numFmtId="0" fontId="79" fillId="19" borderId="0" applyAlignment="0"/>
    <xf numFmtId="0" fontId="88" fillId="5" borderId="11" applyAlignment="0"/>
    <xf numFmtId="0" fontId="93" fillId="0" borderId="16" applyAlignment="0"/>
    <xf numFmtId="0" fontId="11" fillId="71" borderId="0" applyAlignment="0"/>
    <xf numFmtId="0" fontId="11" fillId="12" borderId="0" applyAlignment="0"/>
    <xf numFmtId="0" fontId="93" fillId="0" borderId="16" applyAlignment="0"/>
    <xf numFmtId="0" fontId="79" fillId="76" borderId="0" applyAlignment="0"/>
    <xf numFmtId="0" fontId="94" fillId="0" borderId="0" applyAlignment="0"/>
    <xf numFmtId="0" fontId="83" fillId="0" borderId="0" applyAlignment="0"/>
    <xf numFmtId="0" fontId="11" fillId="18" borderId="0" applyAlignment="0"/>
    <xf numFmtId="0" fontId="11" fillId="0" borderId="0" applyAlignment="0"/>
    <xf numFmtId="0" fontId="11" fillId="8" borderId="15" applyAlignment="0"/>
    <xf numFmtId="0" fontId="11" fillId="8" borderId="15" applyAlignment="0"/>
    <xf numFmtId="0" fontId="11" fillId="20" borderId="0" applyAlignment="0"/>
    <xf numFmtId="0" fontId="81" fillId="6" borderId="11" applyAlignment="0"/>
    <xf numFmtId="0" fontId="84" fillId="2" borderId="0" applyAlignment="0"/>
    <xf numFmtId="0" fontId="85" fillId="0" borderId="9" applyAlignment="0"/>
    <xf numFmtId="0" fontId="86" fillId="0" borderId="10" applyAlignment="0"/>
    <xf numFmtId="0" fontId="89" fillId="0" borderId="13" applyAlignment="0"/>
    <xf numFmtId="0" fontId="80" fillId="3" borderId="0" applyAlignment="0"/>
    <xf numFmtId="0" fontId="79" fillId="17" borderId="0" applyAlignment="0"/>
    <xf numFmtId="0" fontId="79" fillId="13" borderId="0" applyAlignment="0"/>
    <xf numFmtId="0" fontId="79" fillId="78" borderId="0" applyAlignment="0"/>
    <xf numFmtId="0" fontId="11" fillId="68" borderId="0" applyAlignment="0"/>
    <xf numFmtId="0" fontId="11" fillId="70" borderId="0" applyAlignment="0"/>
    <xf numFmtId="0" fontId="11" fillId="69" borderId="0" applyAlignment="0"/>
    <xf numFmtId="0" fontId="79" fillId="11" borderId="0" applyAlignment="0"/>
    <xf numFmtId="0" fontId="11" fillId="16" borderId="0" applyAlignment="0"/>
    <xf numFmtId="0" fontId="79" fillId="73" borderId="0" applyAlignment="0"/>
    <xf numFmtId="0" fontId="11" fillId="10" borderId="0" applyAlignment="0"/>
    <xf numFmtId="0" fontId="82" fillId="7" borderId="14" applyAlignment="0"/>
    <xf numFmtId="0" fontId="11" fillId="14" borderId="0" applyAlignment="0"/>
    <xf numFmtId="0" fontId="87" fillId="0" borderId="0" applyAlignment="0"/>
    <xf numFmtId="0" fontId="79" fillId="74" borderId="0" applyAlignment="0"/>
    <xf numFmtId="0" fontId="79" fillId="9" borderId="0" applyAlignment="0"/>
    <xf numFmtId="0" fontId="79" fillId="15" borderId="0" applyAlignment="0"/>
    <xf numFmtId="0" fontId="79" fillId="77" borderId="0" applyAlignment="0"/>
    <xf numFmtId="0" fontId="92" fillId="0" borderId="0" applyAlignment="0"/>
    <xf numFmtId="0" fontId="11" fillId="67" borderId="0" applyAlignment="0"/>
    <xf numFmtId="0" fontId="91" fillId="6" borderId="12" applyAlignment="0"/>
    <xf numFmtId="0" fontId="94" fillId="0" borderId="0" applyAlignment="0"/>
    <xf numFmtId="0" fontId="87" fillId="0" borderId="40" applyAlignment="0"/>
    <xf numFmtId="0" fontId="79" fillId="75" borderId="0" applyAlignment="0"/>
    <xf numFmtId="43" fontId="11" fillId="0" borderId="0" applyFont="0" applyFill="0" applyBorder="0" applyAlignment="0" applyProtection="0"/>
    <xf numFmtId="43" fontId="11" fillId="0" borderId="0" applyFont="0" applyFill="0" applyBorder="0" applyAlignment="0" applyProtection="0"/>
    <xf numFmtId="0" fontId="17" fillId="0" borderId="0" applyNumberFormat="0" applyFill="0" applyBorder="0" applyProtection="0">
      <alignment vertical="top"/>
    </xf>
    <xf numFmtId="0" fontId="16" fillId="0" borderId="0" applyNumberFormat="0" applyFill="0" applyBorder="0" applyProtection="0">
      <alignment vertical="top"/>
    </xf>
    <xf numFmtId="43" fontId="95" fillId="0" borderId="0" applyFont="0" applyFill="0" applyBorder="0" applyAlignment="0" applyProtection="0"/>
    <xf numFmtId="0" fontId="2" fillId="0" borderId="0"/>
    <xf numFmtId="0" fontId="1" fillId="0" borderId="0"/>
    <xf numFmtId="0" fontId="37" fillId="0" borderId="0"/>
    <xf numFmtId="165" fontId="96" fillId="0" borderId="0" applyFont="0" applyFill="0" applyBorder="0" applyAlignment="0" applyProtection="0"/>
    <xf numFmtId="0" fontId="40" fillId="35" borderId="0" applyNumberFormat="0" applyBorder="0" applyAlignment="0" applyProtection="0"/>
    <xf numFmtId="0" fontId="40" fillId="32" borderId="0" applyNumberFormat="0" applyBorder="0" applyAlignment="0" applyProtection="0"/>
    <xf numFmtId="0" fontId="30" fillId="0" borderId="0"/>
    <xf numFmtId="0" fontId="37" fillId="47" borderId="30" applyNumberFormat="0" applyFont="0" applyAlignment="0" applyProtection="0"/>
    <xf numFmtId="43" fontId="95" fillId="0" borderId="0" applyFont="0" applyFill="0" applyBorder="0" applyAlignment="0" applyProtection="0"/>
    <xf numFmtId="165" fontId="96" fillId="0" borderId="0" applyFont="0" applyFill="0" applyBorder="0" applyAlignment="0" applyProtection="0"/>
    <xf numFmtId="0" fontId="40" fillId="30" borderId="0" applyNumberFormat="0" applyBorder="0" applyAlignment="0" applyProtection="0"/>
    <xf numFmtId="0" fontId="30" fillId="0" borderId="0"/>
    <xf numFmtId="0" fontId="2" fillId="0" borderId="0"/>
    <xf numFmtId="0" fontId="40" fillId="0" borderId="0" applyNumberFormat="0" applyFill="0" applyBorder="0" applyAlignment="0" applyProtection="0"/>
    <xf numFmtId="9" fontId="96" fillId="0" borderId="0" applyFont="0" applyFill="0" applyBorder="0" applyAlignment="0" applyProtection="0"/>
    <xf numFmtId="0" fontId="1" fillId="0" borderId="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43" fontId="95" fillId="0" borderId="0" applyFont="0" applyFill="0" applyBorder="0" applyAlignment="0" applyProtection="0"/>
    <xf numFmtId="0" fontId="1" fillId="0" borderId="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2" fillId="0" borderId="0"/>
    <xf numFmtId="0" fontId="2" fillId="0" borderId="0"/>
    <xf numFmtId="0" fontId="1"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30" fillId="0" borderId="0"/>
    <xf numFmtId="0" fontId="30" fillId="0" borderId="0"/>
    <xf numFmtId="0" fontId="30" fillId="0" borderId="0"/>
    <xf numFmtId="0" fontId="30" fillId="0" borderId="0"/>
    <xf numFmtId="0" fontId="1" fillId="0" borderId="0"/>
    <xf numFmtId="0" fontId="30" fillId="0" borderId="0"/>
    <xf numFmtId="0" fontId="1" fillId="0" borderId="0"/>
    <xf numFmtId="0" fontId="30" fillId="0" borderId="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30" fillId="0" borderId="0"/>
    <xf numFmtId="0" fontId="30" fillId="0" borderId="0"/>
    <xf numFmtId="0" fontId="30" fillId="0" borderId="0"/>
    <xf numFmtId="0" fontId="30" fillId="0" borderId="0"/>
    <xf numFmtId="0" fontId="1" fillId="0" borderId="0"/>
    <xf numFmtId="0" fontId="30"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1" fillId="0" borderId="0" applyFont="0" applyFill="0" applyBorder="0" applyAlignment="0" applyProtection="0"/>
    <xf numFmtId="167" fontId="11" fillId="0" borderId="0" applyFont="0" applyFill="0" applyBorder="0" applyAlignment="0" applyProtection="0"/>
    <xf numFmtId="43" fontId="11" fillId="0" borderId="0" applyFont="0" applyFill="0" applyBorder="0" applyAlignment="0" applyProtection="0"/>
    <xf numFmtId="165" fontId="3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96"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165" fontId="96"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43" fontId="95" fillId="0" borderId="0" applyFont="0" applyFill="0" applyBorder="0" applyAlignment="0" applyProtection="0"/>
    <xf numFmtId="0" fontId="107" fillId="0" borderId="0" applyNumberFormat="0" applyFill="0" applyBorder="0" applyProtection="0">
      <alignment vertical="top"/>
    </xf>
    <xf numFmtId="0" fontId="107" fillId="0" borderId="0" applyNumberFormat="0" applyFill="0" applyBorder="0" applyProtection="0">
      <alignment vertical="top"/>
    </xf>
    <xf numFmtId="9" fontId="96" fillId="0" borderId="0" applyFont="0" applyFill="0" applyBorder="0" applyAlignment="0" applyProtection="0"/>
    <xf numFmtId="9" fontId="96" fillId="0" borderId="0" applyFont="0" applyFill="0" applyBorder="0" applyAlignment="0" applyProtection="0"/>
    <xf numFmtId="0" fontId="16" fillId="0" borderId="0" applyNumberFormat="0" applyFill="0" applyBorder="0" applyProtection="0">
      <alignment vertical="top"/>
    </xf>
    <xf numFmtId="0" fontId="16" fillId="0" borderId="0" applyNumberFormat="0" applyFill="0" applyBorder="0" applyProtection="0">
      <alignment vertical="top"/>
    </xf>
    <xf numFmtId="0" fontId="10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6" fillId="0" borderId="0" applyNumberFormat="0" applyFill="0" applyBorder="0" applyProtection="0">
      <alignment vertical="top"/>
    </xf>
    <xf numFmtId="0" fontId="2" fillId="0" borderId="0"/>
    <xf numFmtId="0" fontId="2" fillId="0" borderId="0"/>
    <xf numFmtId="0" fontId="2" fillId="0" borderId="0"/>
    <xf numFmtId="0" fontId="1" fillId="0" borderId="0"/>
    <xf numFmtId="0" fontId="118" fillId="0" borderId="0" applyNumberFormat="0" applyFill="0" applyBorder="0" applyAlignment="0" applyProtection="0">
      <alignment vertical="top"/>
      <protection locked="0"/>
    </xf>
    <xf numFmtId="9" fontId="2" fillId="0" borderId="0" applyFont="0" applyFill="0" applyBorder="0" applyAlignment="0" applyProtection="0"/>
    <xf numFmtId="0" fontId="119" fillId="0" borderId="0"/>
    <xf numFmtId="0" fontId="2" fillId="0" borderId="0"/>
    <xf numFmtId="0" fontId="12" fillId="0" borderId="0" applyNumberFormat="0" applyFill="0" applyBorder="0" applyAlignment="0" applyProtection="0"/>
    <xf numFmtId="0" fontId="12" fillId="0" borderId="0" applyProtection="0"/>
    <xf numFmtId="0" fontId="121" fillId="0" borderId="0"/>
    <xf numFmtId="0" fontId="121" fillId="0" borderId="0"/>
    <xf numFmtId="169" fontId="122" fillId="0" borderId="18" applyFont="0" applyBorder="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23" fillId="0" borderId="0" applyFont="0" applyFill="0" applyBorder="0" applyAlignment="0" applyProtection="0"/>
    <xf numFmtId="233" fontId="49" fillId="0" borderId="0" applyFont="0" applyFill="0" applyBorder="0" applyAlignment="0" applyProtection="0"/>
    <xf numFmtId="0" fontId="124" fillId="0" borderId="0" applyFont="0" applyFill="0" applyBorder="0" applyAlignment="0" applyProtection="0"/>
    <xf numFmtId="0" fontId="2" fillId="0" borderId="0" applyProtection="0"/>
    <xf numFmtId="0" fontId="63" fillId="0" borderId="0"/>
    <xf numFmtId="0" fontId="2" fillId="0" borderId="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Protection="0"/>
    <xf numFmtId="0" fontId="55" fillId="0" borderId="0" applyNumberFormat="0" applyFill="0" applyBorder="0" applyProtection="0">
      <alignment vertical="center"/>
    </xf>
    <xf numFmtId="178" fontId="12" fillId="0" borderId="0" applyFont="0" applyFill="0" applyBorder="0" applyAlignment="0" applyProtection="0"/>
    <xf numFmtId="172" fontId="39"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34" fontId="42" fillId="0" borderId="0" applyFont="0" applyFill="0" applyBorder="0" applyAlignment="0" applyProtection="0"/>
    <xf numFmtId="42" fontId="42"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3" fillId="0" borderId="0"/>
    <xf numFmtId="42" fontId="42" fillId="0" borderId="0" applyFont="0" applyFill="0" applyBorder="0" applyAlignment="0" applyProtection="0"/>
    <xf numFmtId="234" fontId="42" fillId="0" borderId="0" applyFont="0" applyFill="0" applyBorder="0" applyAlignment="0" applyProtection="0"/>
    <xf numFmtId="0" fontId="43" fillId="0" borderId="0"/>
    <xf numFmtId="42" fontId="42" fillId="0" borderId="0" applyFont="0" applyFill="0" applyBorder="0" applyAlignment="0" applyProtection="0"/>
    <xf numFmtId="0" fontId="53" fillId="0" borderId="0">
      <alignment vertical="top"/>
    </xf>
    <xf numFmtId="0" fontId="125" fillId="0" borderId="0">
      <alignment vertical="top"/>
    </xf>
    <xf numFmtId="0" fontId="125" fillId="0" borderId="0">
      <alignment vertical="top"/>
    </xf>
    <xf numFmtId="0" fontId="49" fillId="0" borderId="0" applyNumberFormat="0" applyFill="0" applyBorder="0" applyAlignment="0" applyProtection="0"/>
    <xf numFmtId="42" fontId="42" fillId="0" borderId="0" applyFont="0" applyFill="0" applyBorder="0" applyAlignment="0" applyProtection="0"/>
    <xf numFmtId="235" fontId="42" fillId="0" borderId="0" applyFont="0" applyFill="0" applyBorder="0" applyAlignment="0" applyProtection="0"/>
    <xf numFmtId="236" fontId="42" fillId="0" borderId="0" applyFont="0" applyFill="0" applyBorder="0" applyAlignment="0" applyProtection="0"/>
    <xf numFmtId="236" fontId="42" fillId="0" borderId="0" applyFont="0" applyFill="0" applyBorder="0" applyAlignment="0" applyProtection="0"/>
    <xf numFmtId="236" fontId="42" fillId="0" borderId="0" applyFont="0" applyFill="0" applyBorder="0" applyAlignment="0" applyProtection="0"/>
    <xf numFmtId="237" fontId="42"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42" fontId="42" fillId="0" borderId="0" applyFont="0" applyFill="0" applyBorder="0" applyAlignment="0" applyProtection="0"/>
    <xf numFmtId="0" fontId="49" fillId="0" borderId="0" applyNumberFormat="0" applyFill="0" applyBorder="0" applyAlignment="0" applyProtection="0"/>
    <xf numFmtId="234" fontId="42" fillId="0" borderId="0" applyFont="0" applyFill="0" applyBorder="0" applyAlignment="0" applyProtection="0"/>
    <xf numFmtId="0" fontId="43"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3"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3" fillId="0" borderId="0"/>
    <xf numFmtId="0" fontId="43"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37" fontId="42" fillId="0" borderId="0" applyFont="0" applyFill="0" applyBorder="0" applyAlignment="0" applyProtection="0"/>
    <xf numFmtId="235"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42" fontId="42" fillId="0" borderId="0" applyFont="0" applyFill="0" applyBorder="0" applyAlignment="0" applyProtection="0"/>
    <xf numFmtId="237" fontId="42" fillId="0" borderId="0" applyFont="0" applyFill="0" applyBorder="0" applyAlignment="0" applyProtection="0"/>
    <xf numFmtId="172" fontId="39" fillId="0" borderId="0" applyFont="0" applyFill="0" applyBorder="0" applyAlignment="0" applyProtection="0"/>
    <xf numFmtId="235" fontId="42" fillId="0" borderId="0" applyFont="0" applyFill="0" applyBorder="0" applyAlignment="0" applyProtection="0"/>
    <xf numFmtId="42" fontId="42" fillId="0" borderId="0" applyFont="0" applyFill="0" applyBorder="0" applyAlignment="0" applyProtection="0"/>
    <xf numFmtId="238" fontId="39"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238" fontId="39"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239" fontId="39" fillId="0" borderId="0" applyFont="0" applyFill="0" applyBorder="0" applyAlignment="0" applyProtection="0"/>
    <xf numFmtId="167" fontId="42" fillId="0" borderId="0" applyFont="0" applyFill="0" applyBorder="0" applyAlignment="0" applyProtection="0"/>
    <xf numFmtId="43" fontId="42" fillId="0" borderId="0" applyFont="0" applyFill="0" applyBorder="0" applyAlignment="0" applyProtection="0"/>
    <xf numFmtId="179" fontId="42" fillId="0" borderId="0" applyFont="0" applyFill="0" applyBorder="0" applyAlignment="0" applyProtection="0"/>
    <xf numFmtId="191" fontId="42" fillId="0" borderId="0" applyFont="0" applyFill="0" applyBorder="0" applyAlignment="0" applyProtection="0"/>
    <xf numFmtId="168" fontId="42" fillId="0" borderId="0" applyFont="0" applyFill="0" applyBorder="0" applyAlignment="0" applyProtection="0"/>
    <xf numFmtId="182" fontId="42" fillId="0" borderId="0" applyFont="0" applyFill="0" applyBorder="0" applyAlignment="0" applyProtection="0"/>
    <xf numFmtId="168" fontId="42" fillId="0" borderId="0" applyFont="0" applyFill="0" applyBorder="0" applyAlignment="0" applyProtection="0"/>
    <xf numFmtId="240" fontId="42" fillId="0" borderId="0" applyFont="0" applyFill="0" applyBorder="0" applyAlignment="0" applyProtection="0"/>
    <xf numFmtId="43"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241"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8" fontId="42" fillId="0" borderId="0" applyFont="0" applyFill="0" applyBorder="0" applyAlignment="0" applyProtection="0"/>
    <xf numFmtId="191"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79" fontId="42" fillId="0" borderId="0" applyFont="0" applyFill="0" applyBorder="0" applyAlignment="0" applyProtection="0"/>
    <xf numFmtId="165" fontId="42" fillId="0" borderId="0" applyFont="0" applyFill="0" applyBorder="0" applyAlignment="0" applyProtection="0"/>
    <xf numFmtId="182" fontId="42" fillId="0" borderId="0" applyFont="0" applyFill="0" applyBorder="0" applyAlignment="0" applyProtection="0"/>
    <xf numFmtId="0"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240"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241"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79"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79"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179"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241" fontId="42" fillId="0" borderId="0" applyFont="0" applyFill="0" applyBorder="0" applyAlignment="0" applyProtection="0"/>
    <xf numFmtId="179" fontId="42" fillId="0" borderId="0" applyFont="0" applyFill="0" applyBorder="0" applyAlignment="0" applyProtection="0"/>
    <xf numFmtId="165" fontId="42" fillId="0" borderId="0" applyFont="0" applyFill="0" applyBorder="0" applyAlignment="0" applyProtection="0"/>
    <xf numFmtId="241" fontId="42" fillId="0" borderId="0" applyFont="0" applyFill="0" applyBorder="0" applyAlignment="0" applyProtection="0"/>
    <xf numFmtId="240"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43" fontId="42" fillId="0" borderId="0" applyFont="0" applyFill="0" applyBorder="0" applyAlignment="0" applyProtection="0"/>
    <xf numFmtId="241" fontId="42" fillId="0" borderId="0" applyFont="0" applyFill="0" applyBorder="0" applyAlignment="0" applyProtection="0"/>
    <xf numFmtId="179"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82" fontId="42" fillId="0" borderId="0" applyFont="0" applyFill="0" applyBorder="0" applyAlignment="0" applyProtection="0"/>
    <xf numFmtId="168" fontId="42" fillId="0" borderId="0" applyFont="0" applyFill="0" applyBorder="0" applyAlignment="0" applyProtection="0"/>
    <xf numFmtId="182" fontId="42" fillId="0" borderId="0" applyFont="0" applyFill="0" applyBorder="0" applyAlignment="0" applyProtection="0"/>
    <xf numFmtId="43" fontId="42" fillId="0" borderId="0" applyFont="0" applyFill="0" applyBorder="0" applyAlignment="0" applyProtection="0"/>
    <xf numFmtId="242" fontId="42" fillId="0" borderId="0" applyFont="0" applyFill="0" applyBorder="0" applyAlignment="0" applyProtection="0"/>
    <xf numFmtId="243" fontId="42" fillId="0" borderId="0" applyFont="0" applyFill="0" applyBorder="0" applyAlignment="0" applyProtection="0"/>
    <xf numFmtId="241"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240" fontId="42" fillId="0" borderId="0" applyFont="0" applyFill="0" applyBorder="0" applyAlignment="0" applyProtection="0"/>
    <xf numFmtId="235" fontId="42" fillId="0" borderId="0" applyFont="0" applyFill="0" applyBorder="0" applyAlignment="0" applyProtection="0"/>
    <xf numFmtId="42" fontId="42" fillId="0" borderId="0" applyFont="0" applyFill="0" applyBorder="0" applyAlignment="0" applyProtection="0"/>
    <xf numFmtId="234"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237"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237" fontId="42" fillId="0" borderId="0" applyFont="0" applyFill="0" applyBorder="0" applyAlignment="0" applyProtection="0"/>
    <xf numFmtId="184" fontId="39" fillId="0" borderId="0" applyFont="0" applyFill="0" applyBorder="0" applyAlignment="0" applyProtection="0"/>
    <xf numFmtId="235" fontId="42" fillId="0" borderId="0" applyFont="0" applyFill="0" applyBorder="0" applyAlignment="0" applyProtection="0"/>
    <xf numFmtId="236" fontId="42" fillId="0" borderId="0" applyFont="0" applyFill="0" applyBorder="0" applyAlignment="0" applyProtection="0"/>
    <xf numFmtId="236" fontId="42" fillId="0" borderId="0" applyFont="0" applyFill="0" applyBorder="0" applyAlignment="0" applyProtection="0"/>
    <xf numFmtId="236" fontId="42" fillId="0" borderId="0" applyFont="0" applyFill="0" applyBorder="0" applyAlignment="0" applyProtection="0"/>
    <xf numFmtId="237" fontId="42" fillId="0" borderId="0" applyFont="0" applyFill="0" applyBorder="0" applyAlignment="0" applyProtection="0"/>
    <xf numFmtId="234"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237"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237" fontId="42" fillId="0" borderId="0" applyFont="0" applyFill="0" applyBorder="0" applyAlignment="0" applyProtection="0"/>
    <xf numFmtId="234"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235"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237"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244" fontId="126" fillId="0" borderId="0" applyFont="0" applyFill="0" applyBorder="0" applyAlignment="0" applyProtection="0"/>
    <xf numFmtId="245"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246" fontId="42" fillId="0" borderId="0" applyFont="0" applyFill="0" applyBorder="0" applyAlignment="0" applyProtection="0"/>
    <xf numFmtId="237"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234" fontId="42" fillId="0" borderId="0" applyFont="0" applyFill="0" applyBorder="0" applyAlignment="0" applyProtection="0"/>
    <xf numFmtId="167" fontId="42" fillId="0" borderId="0" applyFont="0" applyFill="0" applyBorder="0" applyAlignment="0" applyProtection="0"/>
    <xf numFmtId="43" fontId="42" fillId="0" borderId="0" applyFont="0" applyFill="0" applyBorder="0" applyAlignment="0" applyProtection="0"/>
    <xf numFmtId="179" fontId="42" fillId="0" borderId="0" applyFont="0" applyFill="0" applyBorder="0" applyAlignment="0" applyProtection="0"/>
    <xf numFmtId="191" fontId="42" fillId="0" borderId="0" applyFont="0" applyFill="0" applyBorder="0" applyAlignment="0" applyProtection="0"/>
    <xf numFmtId="168" fontId="42" fillId="0" borderId="0" applyFont="0" applyFill="0" applyBorder="0" applyAlignment="0" applyProtection="0"/>
    <xf numFmtId="182" fontId="42" fillId="0" borderId="0" applyFont="0" applyFill="0" applyBorder="0" applyAlignment="0" applyProtection="0"/>
    <xf numFmtId="168" fontId="42" fillId="0" borderId="0" applyFont="0" applyFill="0" applyBorder="0" applyAlignment="0" applyProtection="0"/>
    <xf numFmtId="240" fontId="42" fillId="0" borderId="0" applyFont="0" applyFill="0" applyBorder="0" applyAlignment="0" applyProtection="0"/>
    <xf numFmtId="43"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241"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8" fontId="42" fillId="0" borderId="0" applyFont="0" applyFill="0" applyBorder="0" applyAlignment="0" applyProtection="0"/>
    <xf numFmtId="191"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79" fontId="42" fillId="0" borderId="0" applyFont="0" applyFill="0" applyBorder="0" applyAlignment="0" applyProtection="0"/>
    <xf numFmtId="165" fontId="42" fillId="0" borderId="0" applyFont="0" applyFill="0" applyBorder="0" applyAlignment="0" applyProtection="0"/>
    <xf numFmtId="182" fontId="42" fillId="0" borderId="0" applyFont="0" applyFill="0" applyBorder="0" applyAlignment="0" applyProtection="0"/>
    <xf numFmtId="0"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240"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241"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79"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79"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179"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241" fontId="42" fillId="0" borderId="0" applyFont="0" applyFill="0" applyBorder="0" applyAlignment="0" applyProtection="0"/>
    <xf numFmtId="179" fontId="42" fillId="0" borderId="0" applyFont="0" applyFill="0" applyBorder="0" applyAlignment="0" applyProtection="0"/>
    <xf numFmtId="165" fontId="42" fillId="0" borderId="0" applyFont="0" applyFill="0" applyBorder="0" applyAlignment="0" applyProtection="0"/>
    <xf numFmtId="241" fontId="42" fillId="0" borderId="0" applyFont="0" applyFill="0" applyBorder="0" applyAlignment="0" applyProtection="0"/>
    <xf numFmtId="240"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43" fontId="42" fillId="0" borderId="0" applyFont="0" applyFill="0" applyBorder="0" applyAlignment="0" applyProtection="0"/>
    <xf numFmtId="241" fontId="42" fillId="0" borderId="0" applyFont="0" applyFill="0" applyBorder="0" applyAlignment="0" applyProtection="0"/>
    <xf numFmtId="179"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82" fontId="42" fillId="0" borderId="0" applyFont="0" applyFill="0" applyBorder="0" applyAlignment="0" applyProtection="0"/>
    <xf numFmtId="168" fontId="42" fillId="0" borderId="0" applyFont="0" applyFill="0" applyBorder="0" applyAlignment="0" applyProtection="0"/>
    <xf numFmtId="182" fontId="42" fillId="0" borderId="0" applyFont="0" applyFill="0" applyBorder="0" applyAlignment="0" applyProtection="0"/>
    <xf numFmtId="43" fontId="42" fillId="0" borderId="0" applyFont="0" applyFill="0" applyBorder="0" applyAlignment="0" applyProtection="0"/>
    <xf numFmtId="242" fontId="42" fillId="0" borderId="0" applyFont="0" applyFill="0" applyBorder="0" applyAlignment="0" applyProtection="0"/>
    <xf numFmtId="243" fontId="42" fillId="0" borderId="0" applyFont="0" applyFill="0" applyBorder="0" applyAlignment="0" applyProtection="0"/>
    <xf numFmtId="241"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240" fontId="42" fillId="0" borderId="0" applyFont="0" applyFill="0" applyBorder="0" applyAlignment="0" applyProtection="0"/>
    <xf numFmtId="247" fontId="42" fillId="0" borderId="0" applyFont="0" applyFill="0" applyBorder="0" applyAlignment="0" applyProtection="0"/>
    <xf numFmtId="41" fontId="42" fillId="0" borderId="0" applyFont="0" applyFill="0" applyBorder="0" applyAlignment="0" applyProtection="0"/>
    <xf numFmtId="178" fontId="42" fillId="0" borderId="0" applyFont="0" applyFill="0" applyBorder="0" applyAlignment="0" applyProtection="0"/>
    <xf numFmtId="190" fontId="42" fillId="0" borderId="0" applyFont="0" applyFill="0" applyBorder="0" applyAlignment="0" applyProtection="0"/>
    <xf numFmtId="248" fontId="42" fillId="0" borderId="0" applyFont="0" applyFill="0" applyBorder="0" applyAlignment="0" applyProtection="0"/>
    <xf numFmtId="181" fontId="42" fillId="0" borderId="0" applyFont="0" applyFill="0" applyBorder="0" applyAlignment="0" applyProtection="0"/>
    <xf numFmtId="248" fontId="42" fillId="0" borderId="0" applyFont="0" applyFill="0" applyBorder="0" applyAlignment="0" applyProtection="0"/>
    <xf numFmtId="249" fontId="42" fillId="0" borderId="0" applyFont="0" applyFill="0" applyBorder="0" applyAlignment="0" applyProtection="0"/>
    <xf numFmtId="41" fontId="42" fillId="0" borderId="0" applyFont="0" applyFill="0" applyBorder="0" applyAlignment="0" applyProtection="0"/>
    <xf numFmtId="178" fontId="42" fillId="0" borderId="0" applyFont="0" applyFill="0" applyBorder="0" applyAlignment="0" applyProtection="0"/>
    <xf numFmtId="178" fontId="42" fillId="0" borderId="0" applyFont="0" applyFill="0" applyBorder="0" applyAlignment="0" applyProtection="0"/>
    <xf numFmtId="178"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250"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248" fontId="42" fillId="0" borderId="0" applyFont="0" applyFill="0" applyBorder="0" applyAlignment="0" applyProtection="0"/>
    <xf numFmtId="190"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78" fontId="42" fillId="0" borderId="0" applyFont="0" applyFill="0" applyBorder="0" applyAlignment="0" applyProtection="0"/>
    <xf numFmtId="164" fontId="42" fillId="0" borderId="0" applyFont="0" applyFill="0" applyBorder="0" applyAlignment="0" applyProtection="0"/>
    <xf numFmtId="181" fontId="42" fillId="0" borderId="0" applyFont="0" applyFill="0" applyBorder="0" applyAlignment="0" applyProtection="0"/>
    <xf numFmtId="181" fontId="39" fillId="0" borderId="0" applyFont="0" applyFill="0" applyBorder="0" applyAlignment="0" applyProtection="0"/>
    <xf numFmtId="178" fontId="42" fillId="0" borderId="0" applyFont="0" applyFill="0" applyBorder="0" applyAlignment="0" applyProtection="0"/>
    <xf numFmtId="178" fontId="42" fillId="0" borderId="0" applyFont="0" applyFill="0" applyBorder="0" applyAlignment="0" applyProtection="0"/>
    <xf numFmtId="178" fontId="42" fillId="0" borderId="0" applyFont="0" applyFill="0" applyBorder="0" applyAlignment="0" applyProtection="0"/>
    <xf numFmtId="249" fontId="42" fillId="0" borderId="0" applyFont="0" applyFill="0" applyBorder="0" applyAlignment="0" applyProtection="0"/>
    <xf numFmtId="181" fontId="42" fillId="0" borderId="0" applyFont="0" applyFill="0" applyBorder="0" applyAlignment="0" applyProtection="0"/>
    <xf numFmtId="251" fontId="42" fillId="0" borderId="0" applyFont="0" applyFill="0" applyBorder="0" applyAlignment="0" applyProtection="0"/>
    <xf numFmtId="181" fontId="42" fillId="0" borderId="0" applyFont="0" applyFill="0" applyBorder="0" applyAlignment="0" applyProtection="0"/>
    <xf numFmtId="250"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78"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178"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178"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250" fontId="42" fillId="0" borderId="0" applyFont="0" applyFill="0" applyBorder="0" applyAlignment="0" applyProtection="0"/>
    <xf numFmtId="178" fontId="42" fillId="0" borderId="0" applyFont="0" applyFill="0" applyBorder="0" applyAlignment="0" applyProtection="0"/>
    <xf numFmtId="164" fontId="42" fillId="0" borderId="0" applyFont="0" applyFill="0" applyBorder="0" applyAlignment="0" applyProtection="0"/>
    <xf numFmtId="250" fontId="42" fillId="0" borderId="0" applyFont="0" applyFill="0" applyBorder="0" applyAlignment="0" applyProtection="0"/>
    <xf numFmtId="249"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41" fontId="42" fillId="0" borderId="0" applyFont="0" applyFill="0" applyBorder="0" applyAlignment="0" applyProtection="0"/>
    <xf numFmtId="250" fontId="42" fillId="0" borderId="0" applyFont="0" applyFill="0" applyBorder="0" applyAlignment="0" applyProtection="0"/>
    <xf numFmtId="178" fontId="42" fillId="0" borderId="0" applyFont="0" applyFill="0" applyBorder="0" applyAlignment="0" applyProtection="0"/>
    <xf numFmtId="248" fontId="42" fillId="0" borderId="0" applyFont="0" applyFill="0" applyBorder="0" applyAlignment="0" applyProtection="0"/>
    <xf numFmtId="248" fontId="42" fillId="0" borderId="0" applyFont="0" applyFill="0" applyBorder="0" applyAlignment="0" applyProtection="0"/>
    <xf numFmtId="181" fontId="42" fillId="0" borderId="0" applyFont="0" applyFill="0" applyBorder="0" applyAlignment="0" applyProtection="0"/>
    <xf numFmtId="248" fontId="42" fillId="0" borderId="0" applyFont="0" applyFill="0" applyBorder="0" applyAlignment="0" applyProtection="0"/>
    <xf numFmtId="181" fontId="42" fillId="0" borderId="0" applyFont="0" applyFill="0" applyBorder="0" applyAlignment="0" applyProtection="0"/>
    <xf numFmtId="41" fontId="42" fillId="0" borderId="0" applyFont="0" applyFill="0" applyBorder="0" applyAlignment="0" applyProtection="0"/>
    <xf numFmtId="252" fontId="42" fillId="0" borderId="0" applyFont="0" applyFill="0" applyBorder="0" applyAlignment="0" applyProtection="0"/>
    <xf numFmtId="253" fontId="42" fillId="0" borderId="0" applyFont="0" applyFill="0" applyBorder="0" applyAlignment="0" applyProtection="0"/>
    <xf numFmtId="250"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249" fontId="42" fillId="0" borderId="0" applyFont="0" applyFill="0" applyBorder="0" applyAlignment="0" applyProtection="0"/>
    <xf numFmtId="234"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237"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237" fontId="42" fillId="0" borderId="0" applyFont="0" applyFill="0" applyBorder="0" applyAlignment="0" applyProtection="0"/>
    <xf numFmtId="184" fontId="39" fillId="0" borderId="0" applyFont="0" applyFill="0" applyBorder="0" applyAlignment="0" applyProtection="0"/>
    <xf numFmtId="235" fontId="42" fillId="0" borderId="0" applyFont="0" applyFill="0" applyBorder="0" applyAlignment="0" applyProtection="0"/>
    <xf numFmtId="236" fontId="42" fillId="0" borderId="0" applyFont="0" applyFill="0" applyBorder="0" applyAlignment="0" applyProtection="0"/>
    <xf numFmtId="236" fontId="42" fillId="0" borderId="0" applyFont="0" applyFill="0" applyBorder="0" applyAlignment="0" applyProtection="0"/>
    <xf numFmtId="236" fontId="42" fillId="0" borderId="0" applyFont="0" applyFill="0" applyBorder="0" applyAlignment="0" applyProtection="0"/>
    <xf numFmtId="237" fontId="42" fillId="0" borderId="0" applyFont="0" applyFill="0" applyBorder="0" applyAlignment="0" applyProtection="0"/>
    <xf numFmtId="234"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237"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237" fontId="42" fillId="0" borderId="0" applyFont="0" applyFill="0" applyBorder="0" applyAlignment="0" applyProtection="0"/>
    <xf numFmtId="234"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235"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237"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244" fontId="126" fillId="0" borderId="0" applyFont="0" applyFill="0" applyBorder="0" applyAlignment="0" applyProtection="0"/>
    <xf numFmtId="245"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246" fontId="42" fillId="0" borderId="0" applyFont="0" applyFill="0" applyBorder="0" applyAlignment="0" applyProtection="0"/>
    <xf numFmtId="237"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234" fontId="42" fillId="0" borderId="0" applyFont="0" applyFill="0" applyBorder="0" applyAlignment="0" applyProtection="0"/>
    <xf numFmtId="247" fontId="42" fillId="0" borderId="0" applyFont="0" applyFill="0" applyBorder="0" applyAlignment="0" applyProtection="0"/>
    <xf numFmtId="41" fontId="42" fillId="0" borderId="0" applyFont="0" applyFill="0" applyBorder="0" applyAlignment="0" applyProtection="0"/>
    <xf numFmtId="178" fontId="42" fillId="0" borderId="0" applyFont="0" applyFill="0" applyBorder="0" applyAlignment="0" applyProtection="0"/>
    <xf numFmtId="190" fontId="42" fillId="0" borderId="0" applyFont="0" applyFill="0" applyBorder="0" applyAlignment="0" applyProtection="0"/>
    <xf numFmtId="248" fontId="42" fillId="0" borderId="0" applyFont="0" applyFill="0" applyBorder="0" applyAlignment="0" applyProtection="0"/>
    <xf numFmtId="181" fontId="42" fillId="0" borderId="0" applyFont="0" applyFill="0" applyBorder="0" applyAlignment="0" applyProtection="0"/>
    <xf numFmtId="248" fontId="42" fillId="0" borderId="0" applyFont="0" applyFill="0" applyBorder="0" applyAlignment="0" applyProtection="0"/>
    <xf numFmtId="249" fontId="42" fillId="0" borderId="0" applyFont="0" applyFill="0" applyBorder="0" applyAlignment="0" applyProtection="0"/>
    <xf numFmtId="41" fontId="42" fillId="0" borderId="0" applyFont="0" applyFill="0" applyBorder="0" applyAlignment="0" applyProtection="0"/>
    <xf numFmtId="178" fontId="42" fillId="0" borderId="0" applyFont="0" applyFill="0" applyBorder="0" applyAlignment="0" applyProtection="0"/>
    <xf numFmtId="178" fontId="42" fillId="0" borderId="0" applyFont="0" applyFill="0" applyBorder="0" applyAlignment="0" applyProtection="0"/>
    <xf numFmtId="178"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250"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248" fontId="42" fillId="0" borderId="0" applyFont="0" applyFill="0" applyBorder="0" applyAlignment="0" applyProtection="0"/>
    <xf numFmtId="190"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78" fontId="42" fillId="0" borderId="0" applyFont="0" applyFill="0" applyBorder="0" applyAlignment="0" applyProtection="0"/>
    <xf numFmtId="164" fontId="42" fillId="0" borderId="0" applyFont="0" applyFill="0" applyBorder="0" applyAlignment="0" applyProtection="0"/>
    <xf numFmtId="181" fontId="42" fillId="0" borderId="0" applyFont="0" applyFill="0" applyBorder="0" applyAlignment="0" applyProtection="0"/>
    <xf numFmtId="181" fontId="39" fillId="0" borderId="0" applyFont="0" applyFill="0" applyBorder="0" applyAlignment="0" applyProtection="0"/>
    <xf numFmtId="178" fontId="42" fillId="0" borderId="0" applyFont="0" applyFill="0" applyBorder="0" applyAlignment="0" applyProtection="0"/>
    <xf numFmtId="178" fontId="42" fillId="0" borderId="0" applyFont="0" applyFill="0" applyBorder="0" applyAlignment="0" applyProtection="0"/>
    <xf numFmtId="178" fontId="42" fillId="0" borderId="0" applyFont="0" applyFill="0" applyBorder="0" applyAlignment="0" applyProtection="0"/>
    <xf numFmtId="249" fontId="42" fillId="0" borderId="0" applyFont="0" applyFill="0" applyBorder="0" applyAlignment="0" applyProtection="0"/>
    <xf numFmtId="181" fontId="42" fillId="0" borderId="0" applyFont="0" applyFill="0" applyBorder="0" applyAlignment="0" applyProtection="0"/>
    <xf numFmtId="251" fontId="42" fillId="0" borderId="0" applyFont="0" applyFill="0" applyBorder="0" applyAlignment="0" applyProtection="0"/>
    <xf numFmtId="181" fontId="42" fillId="0" borderId="0" applyFont="0" applyFill="0" applyBorder="0" applyAlignment="0" applyProtection="0"/>
    <xf numFmtId="250"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78"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178"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178"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250" fontId="42" fillId="0" borderId="0" applyFont="0" applyFill="0" applyBorder="0" applyAlignment="0" applyProtection="0"/>
    <xf numFmtId="178" fontId="42" fillId="0" borderId="0" applyFont="0" applyFill="0" applyBorder="0" applyAlignment="0" applyProtection="0"/>
    <xf numFmtId="164" fontId="42" fillId="0" borderId="0" applyFont="0" applyFill="0" applyBorder="0" applyAlignment="0" applyProtection="0"/>
    <xf numFmtId="250" fontId="42" fillId="0" borderId="0" applyFont="0" applyFill="0" applyBorder="0" applyAlignment="0" applyProtection="0"/>
    <xf numFmtId="249"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41" fontId="42" fillId="0" borderId="0" applyFont="0" applyFill="0" applyBorder="0" applyAlignment="0" applyProtection="0"/>
    <xf numFmtId="250" fontId="42" fillId="0" borderId="0" applyFont="0" applyFill="0" applyBorder="0" applyAlignment="0" applyProtection="0"/>
    <xf numFmtId="178" fontId="42" fillId="0" borderId="0" applyFont="0" applyFill="0" applyBorder="0" applyAlignment="0" applyProtection="0"/>
    <xf numFmtId="248" fontId="42" fillId="0" borderId="0" applyFont="0" applyFill="0" applyBorder="0" applyAlignment="0" applyProtection="0"/>
    <xf numFmtId="248" fontId="42" fillId="0" borderId="0" applyFont="0" applyFill="0" applyBorder="0" applyAlignment="0" applyProtection="0"/>
    <xf numFmtId="181" fontId="42" fillId="0" borderId="0" applyFont="0" applyFill="0" applyBorder="0" applyAlignment="0" applyProtection="0"/>
    <xf numFmtId="248" fontId="42" fillId="0" borderId="0" applyFont="0" applyFill="0" applyBorder="0" applyAlignment="0" applyProtection="0"/>
    <xf numFmtId="181" fontId="42" fillId="0" borderId="0" applyFont="0" applyFill="0" applyBorder="0" applyAlignment="0" applyProtection="0"/>
    <xf numFmtId="41" fontId="42" fillId="0" borderId="0" applyFont="0" applyFill="0" applyBorder="0" applyAlignment="0" applyProtection="0"/>
    <xf numFmtId="252" fontId="42" fillId="0" borderId="0" applyFont="0" applyFill="0" applyBorder="0" applyAlignment="0" applyProtection="0"/>
    <xf numFmtId="253" fontId="42" fillId="0" borderId="0" applyFont="0" applyFill="0" applyBorder="0" applyAlignment="0" applyProtection="0"/>
    <xf numFmtId="250"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249" fontId="42" fillId="0" borderId="0" applyFont="0" applyFill="0" applyBorder="0" applyAlignment="0" applyProtection="0"/>
    <xf numFmtId="167" fontId="42" fillId="0" borderId="0" applyFont="0" applyFill="0" applyBorder="0" applyAlignment="0" applyProtection="0"/>
    <xf numFmtId="43" fontId="42" fillId="0" borderId="0" applyFont="0" applyFill="0" applyBorder="0" applyAlignment="0" applyProtection="0"/>
    <xf numFmtId="179" fontId="42" fillId="0" borderId="0" applyFont="0" applyFill="0" applyBorder="0" applyAlignment="0" applyProtection="0"/>
    <xf numFmtId="191" fontId="42" fillId="0" borderId="0" applyFont="0" applyFill="0" applyBorder="0" applyAlignment="0" applyProtection="0"/>
    <xf numFmtId="168" fontId="42" fillId="0" borderId="0" applyFont="0" applyFill="0" applyBorder="0" applyAlignment="0" applyProtection="0"/>
    <xf numFmtId="182" fontId="42" fillId="0" borderId="0" applyFont="0" applyFill="0" applyBorder="0" applyAlignment="0" applyProtection="0"/>
    <xf numFmtId="168" fontId="42" fillId="0" borderId="0" applyFont="0" applyFill="0" applyBorder="0" applyAlignment="0" applyProtection="0"/>
    <xf numFmtId="240" fontId="42" fillId="0" borderId="0" applyFont="0" applyFill="0" applyBorder="0" applyAlignment="0" applyProtection="0"/>
    <xf numFmtId="43"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241"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8" fontId="42" fillId="0" borderId="0" applyFont="0" applyFill="0" applyBorder="0" applyAlignment="0" applyProtection="0"/>
    <xf numFmtId="191"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79" fontId="42" fillId="0" borderId="0" applyFont="0" applyFill="0" applyBorder="0" applyAlignment="0" applyProtection="0"/>
    <xf numFmtId="165" fontId="42" fillId="0" borderId="0" applyFont="0" applyFill="0" applyBorder="0" applyAlignment="0" applyProtection="0"/>
    <xf numFmtId="182" fontId="42" fillId="0" borderId="0" applyFont="0" applyFill="0" applyBorder="0" applyAlignment="0" applyProtection="0"/>
    <xf numFmtId="0"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240"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241"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79"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79"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179"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241" fontId="42" fillId="0" borderId="0" applyFont="0" applyFill="0" applyBorder="0" applyAlignment="0" applyProtection="0"/>
    <xf numFmtId="179" fontId="42" fillId="0" borderId="0" applyFont="0" applyFill="0" applyBorder="0" applyAlignment="0" applyProtection="0"/>
    <xf numFmtId="165" fontId="42" fillId="0" borderId="0" applyFont="0" applyFill="0" applyBorder="0" applyAlignment="0" applyProtection="0"/>
    <xf numFmtId="241" fontId="42" fillId="0" borderId="0" applyFont="0" applyFill="0" applyBorder="0" applyAlignment="0" applyProtection="0"/>
    <xf numFmtId="240"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43" fontId="42" fillId="0" borderId="0" applyFont="0" applyFill="0" applyBorder="0" applyAlignment="0" applyProtection="0"/>
    <xf numFmtId="241" fontId="42" fillId="0" borderId="0" applyFont="0" applyFill="0" applyBorder="0" applyAlignment="0" applyProtection="0"/>
    <xf numFmtId="179"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82" fontId="42" fillId="0" borderId="0" applyFont="0" applyFill="0" applyBorder="0" applyAlignment="0" applyProtection="0"/>
    <xf numFmtId="168" fontId="42" fillId="0" borderId="0" applyFont="0" applyFill="0" applyBorder="0" applyAlignment="0" applyProtection="0"/>
    <xf numFmtId="182" fontId="42" fillId="0" borderId="0" applyFont="0" applyFill="0" applyBorder="0" applyAlignment="0" applyProtection="0"/>
    <xf numFmtId="43" fontId="42" fillId="0" borderId="0" applyFont="0" applyFill="0" applyBorder="0" applyAlignment="0" applyProtection="0"/>
    <xf numFmtId="242" fontId="42" fillId="0" borderId="0" applyFont="0" applyFill="0" applyBorder="0" applyAlignment="0" applyProtection="0"/>
    <xf numFmtId="243" fontId="42" fillId="0" borderId="0" applyFont="0" applyFill="0" applyBorder="0" applyAlignment="0" applyProtection="0"/>
    <xf numFmtId="241"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240" fontId="42" fillId="0" borderId="0" applyFont="0" applyFill="0" applyBorder="0" applyAlignment="0" applyProtection="0"/>
    <xf numFmtId="238" fontId="39"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238" fontId="39"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239" fontId="39"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42" fontId="42" fillId="0" borderId="0" applyFont="0" applyFill="0" applyBorder="0" applyAlignment="0" applyProtection="0"/>
    <xf numFmtId="0" fontId="43" fillId="0" borderId="0"/>
    <xf numFmtId="234" fontId="42" fillId="0" borderId="0" applyFont="0" applyFill="0" applyBorder="0" applyAlignment="0" applyProtection="0"/>
    <xf numFmtId="0" fontId="43" fillId="0" borderId="0"/>
    <xf numFmtId="0" fontId="43" fillId="0" borderId="0"/>
    <xf numFmtId="0" fontId="43" fillId="0" borderId="0"/>
    <xf numFmtId="42" fontId="42" fillId="0" borderId="0" applyFont="0" applyFill="0" applyBorder="0" applyAlignment="0" applyProtection="0"/>
    <xf numFmtId="235"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37" fontId="42"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244" fontId="126" fillId="0" borderId="0" applyFont="0" applyFill="0" applyBorder="0" applyAlignment="0" applyProtection="0"/>
    <xf numFmtId="245"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0" fontId="43"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3" fillId="0" borderId="0"/>
    <xf numFmtId="0" fontId="43" fillId="0" borderId="0"/>
    <xf numFmtId="235" fontId="42" fillId="0" borderId="0" applyFont="0" applyFill="0" applyBorder="0" applyAlignment="0" applyProtection="0"/>
    <xf numFmtId="246" fontId="42" fillId="0" borderId="0" applyFont="0" applyFill="0" applyBorder="0" applyAlignment="0" applyProtection="0"/>
    <xf numFmtId="247" fontId="42" fillId="0" borderId="0" applyFont="0" applyFill="0" applyBorder="0" applyAlignment="0" applyProtection="0"/>
    <xf numFmtId="41" fontId="42" fillId="0" borderId="0" applyFont="0" applyFill="0" applyBorder="0" applyAlignment="0" applyProtection="0"/>
    <xf numFmtId="178" fontId="42" fillId="0" borderId="0" applyFont="0" applyFill="0" applyBorder="0" applyAlignment="0" applyProtection="0"/>
    <xf numFmtId="190" fontId="42" fillId="0" borderId="0" applyFont="0" applyFill="0" applyBorder="0" applyAlignment="0" applyProtection="0"/>
    <xf numFmtId="248" fontId="42" fillId="0" borderId="0" applyFont="0" applyFill="0" applyBorder="0" applyAlignment="0" applyProtection="0"/>
    <xf numFmtId="181" fontId="42" fillId="0" borderId="0" applyFont="0" applyFill="0" applyBorder="0" applyAlignment="0" applyProtection="0"/>
    <xf numFmtId="248" fontId="42" fillId="0" borderId="0" applyFont="0" applyFill="0" applyBorder="0" applyAlignment="0" applyProtection="0"/>
    <xf numFmtId="249" fontId="42" fillId="0" borderId="0" applyFont="0" applyFill="0" applyBorder="0" applyAlignment="0" applyProtection="0"/>
    <xf numFmtId="41" fontId="42" fillId="0" borderId="0" applyFont="0" applyFill="0" applyBorder="0" applyAlignment="0" applyProtection="0"/>
    <xf numFmtId="178" fontId="42" fillId="0" borderId="0" applyFont="0" applyFill="0" applyBorder="0" applyAlignment="0" applyProtection="0"/>
    <xf numFmtId="178" fontId="42" fillId="0" borderId="0" applyFont="0" applyFill="0" applyBorder="0" applyAlignment="0" applyProtection="0"/>
    <xf numFmtId="178"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250"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248" fontId="42" fillId="0" borderId="0" applyFont="0" applyFill="0" applyBorder="0" applyAlignment="0" applyProtection="0"/>
    <xf numFmtId="190"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78" fontId="42" fillId="0" borderId="0" applyFont="0" applyFill="0" applyBorder="0" applyAlignment="0" applyProtection="0"/>
    <xf numFmtId="164" fontId="42" fillId="0" borderId="0" applyFont="0" applyFill="0" applyBorder="0" applyAlignment="0" applyProtection="0"/>
    <xf numFmtId="181" fontId="42" fillId="0" borderId="0" applyFont="0" applyFill="0" applyBorder="0" applyAlignment="0" applyProtection="0"/>
    <xf numFmtId="181" fontId="39" fillId="0" borderId="0" applyFont="0" applyFill="0" applyBorder="0" applyAlignment="0" applyProtection="0"/>
    <xf numFmtId="178" fontId="42" fillId="0" borderId="0" applyFont="0" applyFill="0" applyBorder="0" applyAlignment="0" applyProtection="0"/>
    <xf numFmtId="178" fontId="42" fillId="0" borderId="0" applyFont="0" applyFill="0" applyBorder="0" applyAlignment="0" applyProtection="0"/>
    <xf numFmtId="178" fontId="42" fillId="0" borderId="0" applyFont="0" applyFill="0" applyBorder="0" applyAlignment="0" applyProtection="0"/>
    <xf numFmtId="249" fontId="42" fillId="0" borderId="0" applyFont="0" applyFill="0" applyBorder="0" applyAlignment="0" applyProtection="0"/>
    <xf numFmtId="181" fontId="42" fillId="0" borderId="0" applyFont="0" applyFill="0" applyBorder="0" applyAlignment="0" applyProtection="0"/>
    <xf numFmtId="251" fontId="42" fillId="0" borderId="0" applyFont="0" applyFill="0" applyBorder="0" applyAlignment="0" applyProtection="0"/>
    <xf numFmtId="181" fontId="42" fillId="0" borderId="0" applyFont="0" applyFill="0" applyBorder="0" applyAlignment="0" applyProtection="0"/>
    <xf numFmtId="250"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78"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178"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178"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250" fontId="42" fillId="0" borderId="0" applyFont="0" applyFill="0" applyBorder="0" applyAlignment="0" applyProtection="0"/>
    <xf numFmtId="178" fontId="42" fillId="0" borderId="0" applyFont="0" applyFill="0" applyBorder="0" applyAlignment="0" applyProtection="0"/>
    <xf numFmtId="164" fontId="42" fillId="0" borderId="0" applyFont="0" applyFill="0" applyBorder="0" applyAlignment="0" applyProtection="0"/>
    <xf numFmtId="250" fontId="42" fillId="0" borderId="0" applyFont="0" applyFill="0" applyBorder="0" applyAlignment="0" applyProtection="0"/>
    <xf numFmtId="249"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41" fontId="42" fillId="0" borderId="0" applyFont="0" applyFill="0" applyBorder="0" applyAlignment="0" applyProtection="0"/>
    <xf numFmtId="250" fontId="42" fillId="0" borderId="0" applyFont="0" applyFill="0" applyBorder="0" applyAlignment="0" applyProtection="0"/>
    <xf numFmtId="178" fontId="42" fillId="0" borderId="0" applyFont="0" applyFill="0" applyBorder="0" applyAlignment="0" applyProtection="0"/>
    <xf numFmtId="248" fontId="42" fillId="0" borderId="0" applyFont="0" applyFill="0" applyBorder="0" applyAlignment="0" applyProtection="0"/>
    <xf numFmtId="248" fontId="42" fillId="0" borderId="0" applyFont="0" applyFill="0" applyBorder="0" applyAlignment="0" applyProtection="0"/>
    <xf numFmtId="181" fontId="42" fillId="0" borderId="0" applyFont="0" applyFill="0" applyBorder="0" applyAlignment="0" applyProtection="0"/>
    <xf numFmtId="248" fontId="42" fillId="0" borderId="0" applyFont="0" applyFill="0" applyBorder="0" applyAlignment="0" applyProtection="0"/>
    <xf numFmtId="181" fontId="42" fillId="0" borderId="0" applyFont="0" applyFill="0" applyBorder="0" applyAlignment="0" applyProtection="0"/>
    <xf numFmtId="41" fontId="42" fillId="0" borderId="0" applyFont="0" applyFill="0" applyBorder="0" applyAlignment="0" applyProtection="0"/>
    <xf numFmtId="252" fontId="42" fillId="0" borderId="0" applyFont="0" applyFill="0" applyBorder="0" applyAlignment="0" applyProtection="0"/>
    <xf numFmtId="253" fontId="42" fillId="0" borderId="0" applyFont="0" applyFill="0" applyBorder="0" applyAlignment="0" applyProtection="0"/>
    <xf numFmtId="250"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249" fontId="42" fillId="0" borderId="0" applyFont="0" applyFill="0" applyBorder="0" applyAlignment="0" applyProtection="0"/>
    <xf numFmtId="167" fontId="42" fillId="0" borderId="0" applyFont="0" applyFill="0" applyBorder="0" applyAlignment="0" applyProtection="0"/>
    <xf numFmtId="43" fontId="42" fillId="0" borderId="0" applyFont="0" applyFill="0" applyBorder="0" applyAlignment="0" applyProtection="0"/>
    <xf numFmtId="179" fontId="42" fillId="0" borderId="0" applyFont="0" applyFill="0" applyBorder="0" applyAlignment="0" applyProtection="0"/>
    <xf numFmtId="191" fontId="42" fillId="0" borderId="0" applyFont="0" applyFill="0" applyBorder="0" applyAlignment="0" applyProtection="0"/>
    <xf numFmtId="168" fontId="42" fillId="0" borderId="0" applyFont="0" applyFill="0" applyBorder="0" applyAlignment="0" applyProtection="0"/>
    <xf numFmtId="182" fontId="42" fillId="0" borderId="0" applyFont="0" applyFill="0" applyBorder="0" applyAlignment="0" applyProtection="0"/>
    <xf numFmtId="168" fontId="42" fillId="0" borderId="0" applyFont="0" applyFill="0" applyBorder="0" applyAlignment="0" applyProtection="0"/>
    <xf numFmtId="240" fontId="42" fillId="0" borderId="0" applyFont="0" applyFill="0" applyBorder="0" applyAlignment="0" applyProtection="0"/>
    <xf numFmtId="43"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241"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8" fontId="42" fillId="0" borderId="0" applyFont="0" applyFill="0" applyBorder="0" applyAlignment="0" applyProtection="0"/>
    <xf numFmtId="191"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79" fontId="42" fillId="0" borderId="0" applyFont="0" applyFill="0" applyBorder="0" applyAlignment="0" applyProtection="0"/>
    <xf numFmtId="165" fontId="42" fillId="0" borderId="0" applyFont="0" applyFill="0" applyBorder="0" applyAlignment="0" applyProtection="0"/>
    <xf numFmtId="182" fontId="42" fillId="0" borderId="0" applyFont="0" applyFill="0" applyBorder="0" applyAlignment="0" applyProtection="0"/>
    <xf numFmtId="0"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240"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241"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179"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79"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179"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241" fontId="42" fillId="0" borderId="0" applyFont="0" applyFill="0" applyBorder="0" applyAlignment="0" applyProtection="0"/>
    <xf numFmtId="179" fontId="42" fillId="0" borderId="0" applyFont="0" applyFill="0" applyBorder="0" applyAlignment="0" applyProtection="0"/>
    <xf numFmtId="165" fontId="42" fillId="0" borderId="0" applyFont="0" applyFill="0" applyBorder="0" applyAlignment="0" applyProtection="0"/>
    <xf numFmtId="241" fontId="42" fillId="0" borderId="0" applyFont="0" applyFill="0" applyBorder="0" applyAlignment="0" applyProtection="0"/>
    <xf numFmtId="240"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182" fontId="42" fillId="0" borderId="0" applyFont="0" applyFill="0" applyBorder="0" applyAlignment="0" applyProtection="0"/>
    <xf numFmtId="43" fontId="42" fillId="0" borderId="0" applyFont="0" applyFill="0" applyBorder="0" applyAlignment="0" applyProtection="0"/>
    <xf numFmtId="241" fontId="42" fillId="0" borderId="0" applyFont="0" applyFill="0" applyBorder="0" applyAlignment="0" applyProtection="0"/>
    <xf numFmtId="179"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82" fontId="42" fillId="0" borderId="0" applyFont="0" applyFill="0" applyBorder="0" applyAlignment="0" applyProtection="0"/>
    <xf numFmtId="168" fontId="42" fillId="0" borderId="0" applyFont="0" applyFill="0" applyBorder="0" applyAlignment="0" applyProtection="0"/>
    <xf numFmtId="182" fontId="42" fillId="0" borderId="0" applyFont="0" applyFill="0" applyBorder="0" applyAlignment="0" applyProtection="0"/>
    <xf numFmtId="43" fontId="42" fillId="0" borderId="0" applyFont="0" applyFill="0" applyBorder="0" applyAlignment="0" applyProtection="0"/>
    <xf numFmtId="242" fontId="42" fillId="0" borderId="0" applyFont="0" applyFill="0" applyBorder="0" applyAlignment="0" applyProtection="0"/>
    <xf numFmtId="243" fontId="42" fillId="0" borderId="0" applyFont="0" applyFill="0" applyBorder="0" applyAlignment="0" applyProtection="0"/>
    <xf numFmtId="241"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82" fontId="42" fillId="0" borderId="0" applyFont="0" applyFill="0" applyBorder="0" applyAlignment="0" applyProtection="0"/>
    <xf numFmtId="240" fontId="42" fillId="0" borderId="0" applyFont="0" applyFill="0" applyBorder="0" applyAlignment="0" applyProtection="0"/>
    <xf numFmtId="238" fontId="39"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238" fontId="39"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239" fontId="39" fillId="0" borderId="0" applyFont="0" applyFill="0" applyBorder="0" applyAlignment="0" applyProtection="0"/>
    <xf numFmtId="237" fontId="42"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3"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42" fontId="42" fillId="0" borderId="0" applyFont="0" applyFill="0" applyBorder="0" applyAlignment="0" applyProtection="0"/>
    <xf numFmtId="0" fontId="125" fillId="0" borderId="0">
      <alignment vertical="top"/>
    </xf>
    <xf numFmtId="0" fontId="125" fillId="0" borderId="0">
      <alignment vertical="top"/>
    </xf>
    <xf numFmtId="0" fontId="53" fillId="0" borderId="0">
      <alignment vertical="top"/>
    </xf>
    <xf numFmtId="0" fontId="53" fillId="0" borderId="0">
      <alignment vertical="top"/>
    </xf>
    <xf numFmtId="0" fontId="53" fillId="0" borderId="0">
      <alignment vertical="top"/>
    </xf>
    <xf numFmtId="0" fontId="125" fillId="0" borderId="0">
      <alignment vertical="top"/>
    </xf>
    <xf numFmtId="0" fontId="125" fillId="0" borderId="0">
      <alignment vertical="top"/>
    </xf>
    <xf numFmtId="0" fontId="53" fillId="0" borderId="0">
      <alignment vertical="top"/>
    </xf>
    <xf numFmtId="0" fontId="53" fillId="0" borderId="0">
      <alignment vertical="top"/>
    </xf>
    <xf numFmtId="0" fontId="53" fillId="0" borderId="0">
      <alignment vertical="top"/>
    </xf>
    <xf numFmtId="0" fontId="125" fillId="0" borderId="0">
      <alignment vertical="top"/>
    </xf>
    <xf numFmtId="0" fontId="2" fillId="0" borderId="0"/>
    <xf numFmtId="0" fontId="125" fillId="0" borderId="0">
      <alignment vertical="top"/>
    </xf>
    <xf numFmtId="0" fontId="125" fillId="0" borderId="0">
      <alignment vertical="top"/>
    </xf>
    <xf numFmtId="0" fontId="125" fillId="0" borderId="0">
      <alignment vertical="top"/>
    </xf>
    <xf numFmtId="0" fontId="53" fillId="0" borderId="0">
      <alignment vertical="top"/>
    </xf>
    <xf numFmtId="0" fontId="53" fillId="0" borderId="0">
      <alignment vertical="top"/>
    </xf>
    <xf numFmtId="0" fontId="53" fillId="0" borderId="0">
      <alignment vertical="top"/>
    </xf>
    <xf numFmtId="0" fontId="125" fillId="0" borderId="0">
      <alignment vertical="top"/>
    </xf>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39" fontId="64" fillId="0" borderId="0" applyProtection="0"/>
    <xf numFmtId="172" fontId="64" fillId="0" borderId="0" applyProtection="0"/>
    <xf numFmtId="172" fontId="64" fillId="0" borderId="0" applyProtection="0"/>
    <xf numFmtId="0" fontId="121" fillId="0" borderId="0" applyProtection="0"/>
    <xf numFmtId="239" fontId="64" fillId="0" borderId="0" applyProtection="0"/>
    <xf numFmtId="172" fontId="64" fillId="0" borderId="0" applyProtection="0"/>
    <xf numFmtId="172" fontId="64" fillId="0" borderId="0" applyProtection="0"/>
    <xf numFmtId="0" fontId="121" fillId="0" borderId="0" applyProtection="0"/>
    <xf numFmtId="237" fontId="42"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42" fontId="42" fillId="0" borderId="0" applyFont="0" applyFill="0" applyBorder="0" applyAlignment="0" applyProtection="0"/>
    <xf numFmtId="234" fontId="42" fillId="0" borderId="0" applyFont="0" applyFill="0" applyBorder="0" applyAlignment="0" applyProtection="0"/>
    <xf numFmtId="0" fontId="43" fillId="0" borderId="0"/>
    <xf numFmtId="254" fontId="127" fillId="0" borderId="0" applyFont="0" applyFill="0" applyBorder="0" applyAlignment="0" applyProtection="0"/>
    <xf numFmtId="255" fontId="127" fillId="0" borderId="0" applyFont="0" applyFill="0" applyBorder="0" applyAlignment="0" applyProtection="0"/>
    <xf numFmtId="0" fontId="58" fillId="0" borderId="0"/>
    <xf numFmtId="0" fontId="75" fillId="0" borderId="0"/>
    <xf numFmtId="0" fontId="75" fillId="0" borderId="0"/>
    <xf numFmtId="0" fontId="2" fillId="0" borderId="0"/>
    <xf numFmtId="0" fontId="128" fillId="0" borderId="0"/>
    <xf numFmtId="0" fontId="75" fillId="0" borderId="0" applyProtection="0"/>
    <xf numFmtId="0" fontId="44" fillId="22" borderId="0"/>
    <xf numFmtId="185" fontId="129" fillId="0" borderId="0" applyFont="0" applyFill="0" applyBorder="0" applyAlignment="0" applyProtection="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185" fontId="129" fillId="0" borderId="0" applyFont="0" applyFill="0" applyBorder="0" applyAlignment="0" applyProtection="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44" fillId="22" borderId="0"/>
    <xf numFmtId="0" fontId="131" fillId="0" borderId="0" applyFont="0" applyFill="0" applyBorder="0" applyAlignment="0">
      <alignment horizontal="left"/>
    </xf>
    <xf numFmtId="185" fontId="129" fillId="0" borderId="0" applyFont="0" applyFill="0" applyBorder="0" applyAlignment="0" applyProtection="0"/>
    <xf numFmtId="0" fontId="44" fillId="22" borderId="0"/>
    <xf numFmtId="0" fontId="132" fillId="0" borderId="2" applyNumberFormat="0" applyFont="0" applyBorder="0">
      <alignment horizontal="left" indent="2"/>
    </xf>
    <xf numFmtId="0" fontId="132" fillId="0" borderId="2" applyNumberFormat="0" applyFont="0" applyBorder="0">
      <alignment horizontal="left" indent="2"/>
    </xf>
    <xf numFmtId="0" fontId="131" fillId="0" borderId="0" applyFont="0" applyFill="0" applyBorder="0" applyAlignment="0">
      <alignment horizontal="left"/>
    </xf>
    <xf numFmtId="0" fontId="133" fillId="0"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46" fillId="22" borderId="0"/>
    <xf numFmtId="0" fontId="132" fillId="0" borderId="2" applyNumberFormat="0" applyFont="0" applyBorder="0" applyAlignment="0">
      <alignment horizontal="center"/>
    </xf>
    <xf numFmtId="0" fontId="132" fillId="0" borderId="2" applyNumberFormat="0" applyFont="0" applyBorder="0" applyAlignment="0">
      <alignment horizontal="center"/>
    </xf>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22" borderId="0"/>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0" fontId="130" fillId="0" borderId="0">
      <alignment wrapText="1"/>
    </xf>
    <xf numFmtId="169" fontId="134" fillId="0" borderId="1" applyNumberFormat="0" applyFont="0" applyBorder="0" applyAlignment="0">
      <alignment horizontal="center"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35" fillId="0" borderId="0"/>
    <xf numFmtId="0" fontId="135" fillId="0" borderId="0"/>
    <xf numFmtId="0" fontId="135" fillId="0" borderId="0"/>
    <xf numFmtId="0" fontId="135" fillId="0" borderId="0"/>
    <xf numFmtId="0" fontId="135" fillId="0" borderId="0"/>
    <xf numFmtId="0" fontId="50" fillId="0" borderId="0">
      <alignment horizontal="center" wrapText="1"/>
      <protection locked="0"/>
    </xf>
    <xf numFmtId="238" fontId="39" fillId="0" borderId="0" applyFont="0" applyFill="0" applyBorder="0" applyAlignment="0" applyProtection="0"/>
    <xf numFmtId="0" fontId="136" fillId="0" borderId="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7" fontId="2" fillId="0" borderId="0" applyFill="0" applyBorder="0" applyAlignment="0"/>
    <xf numFmtId="257" fontId="2" fillId="0" borderId="0" applyFill="0" applyBorder="0" applyAlignment="0"/>
    <xf numFmtId="257" fontId="2" fillId="0" borderId="0" applyFill="0" applyBorder="0" applyAlignment="0"/>
    <xf numFmtId="257" fontId="2" fillId="0" borderId="0" applyFill="0" applyBorder="0" applyAlignment="0"/>
    <xf numFmtId="257" fontId="2" fillId="0" borderId="0" applyFill="0" applyBorder="0" applyAlignment="0"/>
    <xf numFmtId="257" fontId="2" fillId="0" borderId="0" applyFill="0" applyBorder="0" applyAlignment="0"/>
    <xf numFmtId="257" fontId="2" fillId="0" borderId="0" applyFill="0" applyBorder="0" applyAlignment="0"/>
    <xf numFmtId="257" fontId="2" fillId="0" borderId="0" applyFill="0" applyBorder="0" applyAlignment="0"/>
    <xf numFmtId="257" fontId="2" fillId="0" borderId="0" applyFill="0" applyBorder="0" applyAlignment="0"/>
    <xf numFmtId="257" fontId="2" fillId="0" borderId="0" applyFill="0" applyBorder="0" applyAlignment="0"/>
    <xf numFmtId="257" fontId="2" fillId="0" borderId="0" applyFill="0" applyBorder="0" applyAlignment="0"/>
    <xf numFmtId="257" fontId="2" fillId="0" borderId="0" applyFill="0" applyBorder="0" applyAlignment="0"/>
    <xf numFmtId="257" fontId="2" fillId="0" borderId="0" applyFill="0" applyBorder="0" applyAlignment="0"/>
    <xf numFmtId="257" fontId="2" fillId="0" borderId="0" applyFill="0" applyBorder="0" applyAlignment="0"/>
    <xf numFmtId="257" fontId="2" fillId="0" borderId="0" applyFill="0" applyBorder="0" applyAlignment="0"/>
    <xf numFmtId="258" fontId="2" fillId="0" borderId="0" applyFill="0" applyBorder="0" applyAlignment="0"/>
    <xf numFmtId="258" fontId="2" fillId="0" borderId="0" applyFill="0" applyBorder="0" applyAlignment="0"/>
    <xf numFmtId="258" fontId="2" fillId="0" borderId="0" applyFill="0" applyBorder="0" applyAlignment="0"/>
    <xf numFmtId="258" fontId="2" fillId="0" borderId="0" applyFill="0" applyBorder="0" applyAlignment="0"/>
    <xf numFmtId="258" fontId="2" fillId="0" borderId="0" applyFill="0" applyBorder="0" applyAlignment="0"/>
    <xf numFmtId="258" fontId="2" fillId="0" borderId="0" applyFill="0" applyBorder="0" applyAlignment="0"/>
    <xf numFmtId="258" fontId="2" fillId="0" borderId="0" applyFill="0" applyBorder="0" applyAlignment="0"/>
    <xf numFmtId="258" fontId="2" fillId="0" borderId="0" applyFill="0" applyBorder="0" applyAlignment="0"/>
    <xf numFmtId="258" fontId="2" fillId="0" borderId="0" applyFill="0" applyBorder="0" applyAlignment="0"/>
    <xf numFmtId="258" fontId="2" fillId="0" borderId="0" applyFill="0" applyBorder="0" applyAlignment="0"/>
    <xf numFmtId="258" fontId="2" fillId="0" borderId="0" applyFill="0" applyBorder="0" applyAlignment="0"/>
    <xf numFmtId="258" fontId="2" fillId="0" borderId="0" applyFill="0" applyBorder="0" applyAlignment="0"/>
    <xf numFmtId="258" fontId="2" fillId="0" borderId="0" applyFill="0" applyBorder="0" applyAlignment="0"/>
    <xf numFmtId="258" fontId="2" fillId="0" borderId="0" applyFill="0" applyBorder="0" applyAlignment="0"/>
    <xf numFmtId="258" fontId="2" fillId="0" borderId="0" applyFill="0" applyBorder="0" applyAlignment="0"/>
    <xf numFmtId="259" fontId="2" fillId="0" borderId="0" applyFill="0" applyBorder="0" applyAlignment="0"/>
    <xf numFmtId="259" fontId="2" fillId="0" borderId="0" applyFill="0" applyBorder="0" applyAlignment="0"/>
    <xf numFmtId="259" fontId="2" fillId="0" borderId="0" applyFill="0" applyBorder="0" applyAlignment="0"/>
    <xf numFmtId="259" fontId="2" fillId="0" borderId="0" applyFill="0" applyBorder="0" applyAlignment="0"/>
    <xf numFmtId="259" fontId="2" fillId="0" borderId="0" applyFill="0" applyBorder="0" applyAlignment="0"/>
    <xf numFmtId="259" fontId="2" fillId="0" borderId="0" applyFill="0" applyBorder="0" applyAlignment="0"/>
    <xf numFmtId="259" fontId="2" fillId="0" borderId="0" applyFill="0" applyBorder="0" applyAlignment="0"/>
    <xf numFmtId="259" fontId="2" fillId="0" borderId="0" applyFill="0" applyBorder="0" applyAlignment="0"/>
    <xf numFmtId="259" fontId="2" fillId="0" borderId="0" applyFill="0" applyBorder="0" applyAlignment="0"/>
    <xf numFmtId="259" fontId="2" fillId="0" borderId="0" applyFill="0" applyBorder="0" applyAlignment="0"/>
    <xf numFmtId="259" fontId="2" fillId="0" borderId="0" applyFill="0" applyBorder="0" applyAlignment="0"/>
    <xf numFmtId="259" fontId="2" fillId="0" borderId="0" applyFill="0" applyBorder="0" applyAlignment="0"/>
    <xf numFmtId="259" fontId="2" fillId="0" borderId="0" applyFill="0" applyBorder="0" applyAlignment="0"/>
    <xf numFmtId="259"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0" fontId="67" fillId="0" borderId="0" applyFill="0" applyBorder="0" applyProtection="0">
      <alignment horizontal="center"/>
      <protection locked="0"/>
    </xf>
    <xf numFmtId="0" fontId="137" fillId="0" borderId="3">
      <alignment horizontal="center"/>
    </xf>
    <xf numFmtId="262" fontId="2" fillId="0" borderId="0" applyFont="0" applyFill="0" applyBorder="0" applyAlignment="0" applyProtection="0"/>
    <xf numFmtId="262" fontId="2" fillId="0" borderId="0" applyFont="0" applyFill="0" applyBorder="0" applyAlignment="0" applyProtection="0"/>
    <xf numFmtId="262" fontId="2" fillId="0" borderId="0" applyFont="0" applyFill="0" applyBorder="0" applyAlignment="0" applyProtection="0"/>
    <xf numFmtId="262" fontId="2" fillId="0" borderId="0" applyFont="0" applyFill="0" applyBorder="0" applyAlignment="0" applyProtection="0"/>
    <xf numFmtId="262" fontId="2" fillId="0" borderId="0" applyFont="0" applyFill="0" applyBorder="0" applyAlignment="0" applyProtection="0"/>
    <xf numFmtId="262" fontId="2" fillId="0" borderId="0" applyFont="0" applyFill="0" applyBorder="0" applyAlignment="0" applyProtection="0"/>
    <xf numFmtId="262" fontId="2" fillId="0" borderId="0" applyFont="0" applyFill="0" applyBorder="0" applyAlignment="0" applyProtection="0"/>
    <xf numFmtId="262" fontId="2" fillId="0" borderId="0" applyFont="0" applyFill="0" applyBorder="0" applyAlignment="0" applyProtection="0"/>
    <xf numFmtId="262" fontId="2" fillId="0" borderId="0" applyFont="0" applyFill="0" applyBorder="0" applyAlignment="0" applyProtection="0"/>
    <xf numFmtId="262" fontId="2" fillId="0" borderId="0" applyFont="0" applyFill="0" applyBorder="0" applyAlignment="0" applyProtection="0"/>
    <xf numFmtId="262" fontId="2" fillId="0" borderId="0" applyFont="0" applyFill="0" applyBorder="0" applyAlignment="0" applyProtection="0"/>
    <xf numFmtId="262" fontId="2" fillId="0" borderId="0" applyFont="0" applyFill="0" applyBorder="0" applyAlignment="0" applyProtection="0"/>
    <xf numFmtId="262" fontId="2" fillId="0" borderId="0" applyFont="0" applyFill="0" applyBorder="0" applyAlignment="0" applyProtection="0"/>
    <xf numFmtId="262" fontId="2" fillId="0" borderId="0" applyFont="0" applyFill="0" applyBorder="0" applyAlignment="0" applyProtection="0"/>
    <xf numFmtId="262" fontId="2" fillId="0" borderId="0" applyFont="0" applyFill="0" applyBorder="0" applyAlignment="0" applyProtection="0"/>
    <xf numFmtId="41" fontId="2" fillId="0" borderId="0" applyFont="0" applyFill="0" applyBorder="0" applyAlignment="0" applyProtection="0"/>
    <xf numFmtId="41" fontId="138" fillId="0" borderId="0" applyFont="0" applyFill="0" applyBorder="0" applyAlignment="0" applyProtection="0"/>
    <xf numFmtId="178" fontId="135"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247"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263" fontId="64" fillId="0" borderId="0" applyProtection="0"/>
    <xf numFmtId="263" fontId="64" fillId="0" borderId="0" applyProtection="0"/>
    <xf numFmtId="247"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6" fontId="64" fillId="0" borderId="0" applyFont="0" applyFill="0" applyBorder="0" applyAlignment="0" applyProtection="0"/>
    <xf numFmtId="179" fontId="64" fillId="0" borderId="0" applyFont="0" applyFill="0" applyBorder="0" applyAlignment="0" applyProtection="0"/>
    <xf numFmtId="41" fontId="3" fillId="0" borderId="0" applyFont="0" applyFill="0" applyBorder="0" applyAlignment="0" applyProtection="0"/>
    <xf numFmtId="178" fontId="64"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260" fontId="2" fillId="0" borderId="0" applyFont="0" applyFill="0" applyBorder="0" applyAlignment="0" applyProtection="0"/>
    <xf numFmtId="260" fontId="2" fillId="0" borderId="0" applyFont="0" applyFill="0" applyBorder="0" applyAlignment="0" applyProtection="0"/>
    <xf numFmtId="260" fontId="2" fillId="0" borderId="0" applyFont="0" applyFill="0" applyBorder="0" applyAlignment="0" applyProtection="0"/>
    <xf numFmtId="260" fontId="2" fillId="0" borderId="0" applyFont="0" applyFill="0" applyBorder="0" applyAlignment="0" applyProtection="0"/>
    <xf numFmtId="260" fontId="2" fillId="0" borderId="0" applyFont="0" applyFill="0" applyBorder="0" applyAlignment="0" applyProtection="0"/>
    <xf numFmtId="260" fontId="2" fillId="0" borderId="0" applyFont="0" applyFill="0" applyBorder="0" applyAlignment="0" applyProtection="0"/>
    <xf numFmtId="260" fontId="2" fillId="0" borderId="0" applyFont="0" applyFill="0" applyBorder="0" applyAlignment="0" applyProtection="0"/>
    <xf numFmtId="260" fontId="2" fillId="0" borderId="0" applyFont="0" applyFill="0" applyBorder="0" applyAlignment="0" applyProtection="0"/>
    <xf numFmtId="260" fontId="2" fillId="0" borderId="0" applyFont="0" applyFill="0" applyBorder="0" applyAlignment="0" applyProtection="0"/>
    <xf numFmtId="260" fontId="2" fillId="0" borderId="0" applyFont="0" applyFill="0" applyBorder="0" applyAlignment="0" applyProtection="0"/>
    <xf numFmtId="260" fontId="2" fillId="0" borderId="0" applyFont="0" applyFill="0" applyBorder="0" applyAlignment="0" applyProtection="0"/>
    <xf numFmtId="260" fontId="2" fillId="0" borderId="0" applyFont="0" applyFill="0" applyBorder="0" applyAlignment="0" applyProtection="0"/>
    <xf numFmtId="260" fontId="2" fillId="0" borderId="0" applyFont="0" applyFill="0" applyBorder="0" applyAlignment="0" applyProtection="0"/>
    <xf numFmtId="260" fontId="2" fillId="0" borderId="0" applyFont="0" applyFill="0" applyBorder="0" applyAlignment="0" applyProtection="0"/>
    <xf numFmtId="264" fontId="114" fillId="0" borderId="0" applyFont="0" applyFill="0" applyBorder="0" applyAlignment="0" applyProtection="0"/>
    <xf numFmtId="265" fontId="64" fillId="0" borderId="0" applyFont="0" applyFill="0" applyBorder="0" applyAlignment="0" applyProtection="0"/>
    <xf numFmtId="266" fontId="139" fillId="0" borderId="0" applyFont="0" applyFill="0" applyBorder="0" applyAlignment="0" applyProtection="0"/>
    <xf numFmtId="267" fontId="64" fillId="0" borderId="0" applyFont="0" applyFill="0" applyBorder="0" applyAlignment="0" applyProtection="0"/>
    <xf numFmtId="268" fontId="139" fillId="0" borderId="0" applyFont="0" applyFill="0" applyBorder="0" applyAlignment="0" applyProtection="0"/>
    <xf numFmtId="269" fontId="64"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23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39" fontId="3" fillId="0" borderId="0" applyFont="0" applyFill="0" applyBorder="0" applyAlignment="0" applyProtection="0"/>
    <xf numFmtId="270" fontId="3" fillId="0" borderId="0" applyFont="0" applyFill="0" applyBorder="0" applyAlignment="0" applyProtection="0"/>
    <xf numFmtId="43" fontId="3" fillId="0" borderId="0" applyFont="0" applyFill="0" applyBorder="0" applyAlignment="0" applyProtection="0"/>
    <xf numFmtId="271" fontId="3" fillId="0" borderId="0" applyFont="0" applyFill="0" applyBorder="0" applyAlignment="0" applyProtection="0"/>
    <xf numFmtId="17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71" fontId="3" fillId="0" borderId="0" applyFont="0" applyFill="0" applyBorder="0" applyAlignment="0" applyProtection="0"/>
    <xf numFmtId="272"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140" fillId="0" borderId="0" applyFont="0" applyFill="0" applyBorder="0" applyAlignment="0" applyProtection="0"/>
    <xf numFmtId="43" fontId="3"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3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79" fontId="3"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273" fontId="3" fillId="0" borderId="0" applyFont="0" applyFill="0" applyBorder="0" applyAlignment="0" applyProtection="0"/>
    <xf numFmtId="274" fontId="3" fillId="0" borderId="0" applyFont="0" applyFill="0" applyBorder="0" applyAlignment="0" applyProtection="0"/>
    <xf numFmtId="273" fontId="3" fillId="0" borderId="0" applyFont="0" applyFill="0" applyBorder="0" applyAlignment="0" applyProtection="0"/>
    <xf numFmtId="43" fontId="141" fillId="0" borderId="0" applyFont="0" applyFill="0" applyBorder="0" applyAlignment="0" applyProtection="0"/>
    <xf numFmtId="275" fontId="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276" fontId="58" fillId="0" borderId="0" applyFont="0" applyFill="0" applyBorder="0" applyAlignment="0" applyProtection="0"/>
    <xf numFmtId="165"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277" fontId="64" fillId="0" borderId="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9" fontId="64" fillId="0" borderId="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0" fontId="18"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277" fontId="64" fillId="0" borderId="0" applyProtection="0"/>
    <xf numFmtId="277" fontId="64" fillId="0" borderId="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79" fontId="2" fillId="0" borderId="0" applyFont="0" applyFill="0" applyBorder="0" applyAlignment="0" applyProtection="0"/>
    <xf numFmtId="179" fontId="64" fillId="0" borderId="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8" fillId="0" borderId="0" applyFont="0" applyFill="0" applyBorder="0" applyAlignment="0" applyProtection="0"/>
    <xf numFmtId="43" fontId="1" fillId="0" borderId="0" applyFont="0" applyFill="0" applyBorder="0" applyAlignment="0" applyProtection="0"/>
    <xf numFmtId="43" fontId="141" fillId="0" borderId="0" applyFont="0" applyFill="0" applyBorder="0" applyAlignment="0" applyProtection="0"/>
    <xf numFmtId="43" fontId="32" fillId="0" borderId="0" applyFont="0" applyFill="0" applyBorder="0" applyAlignment="0" applyProtection="0"/>
    <xf numFmtId="43" fontId="12" fillId="0" borderId="0" applyFont="0" applyFill="0" applyBorder="0" applyAlignment="0" applyProtection="0"/>
    <xf numFmtId="197" fontId="3" fillId="0" borderId="0" applyFont="0" applyFill="0" applyBorder="0" applyAlignment="0" applyProtection="0"/>
    <xf numFmtId="43" fontId="141" fillId="0" borderId="0" applyFont="0" applyFill="0" applyBorder="0" applyAlignment="0" applyProtection="0"/>
    <xf numFmtId="179"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64" fillId="0" borderId="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120" fillId="0" borderId="0" applyNumberFormat="0" applyFill="0" applyBorder="0" applyAlignment="0" applyProtection="0"/>
    <xf numFmtId="0" fontId="143" fillId="0" borderId="0">
      <alignment horizontal="center"/>
    </xf>
    <xf numFmtId="182" fontId="144" fillId="0" borderId="0" applyFont="0" applyFill="0" applyBorder="0" applyAlignment="0" applyProtection="0"/>
    <xf numFmtId="278" fontId="145" fillId="0" borderId="0" applyFill="0" applyBorder="0" applyProtection="0"/>
    <xf numFmtId="279" fontId="114" fillId="0" borderId="0" applyFont="0" applyFill="0" applyBorder="0" applyAlignment="0" applyProtection="0"/>
    <xf numFmtId="280" fontId="32" fillId="0" borderId="0" applyFill="0" applyBorder="0" applyProtection="0"/>
    <xf numFmtId="280" fontId="32" fillId="0" borderId="42" applyFill="0" applyProtection="0"/>
    <xf numFmtId="280" fontId="32" fillId="0" borderId="45" applyFill="0" applyProtection="0"/>
    <xf numFmtId="281" fontId="146" fillId="0" borderId="0" applyFont="0" applyFill="0" applyBorder="0" applyAlignment="0" applyProtection="0"/>
    <xf numFmtId="282"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4" fontId="146" fillId="0" borderId="0" applyFont="0" applyFill="0" applyBorder="0" applyAlignment="0" applyProtection="0"/>
    <xf numFmtId="256" fontId="2" fillId="0" borderId="0" applyFont="0" applyFill="0" applyBorder="0" applyAlignment="0" applyProtection="0"/>
    <xf numFmtId="256" fontId="2" fillId="0" borderId="0" applyFont="0" applyFill="0" applyBorder="0" applyAlignment="0" applyProtection="0"/>
    <xf numFmtId="256" fontId="2" fillId="0" borderId="0" applyFont="0" applyFill="0" applyBorder="0" applyAlignment="0" applyProtection="0"/>
    <xf numFmtId="256" fontId="2" fillId="0" borderId="0" applyFont="0" applyFill="0" applyBorder="0" applyAlignment="0" applyProtection="0"/>
    <xf numFmtId="256" fontId="2" fillId="0" borderId="0" applyFont="0" applyFill="0" applyBorder="0" applyAlignment="0" applyProtection="0"/>
    <xf numFmtId="256" fontId="2" fillId="0" borderId="0" applyFont="0" applyFill="0" applyBorder="0" applyAlignment="0" applyProtection="0"/>
    <xf numFmtId="256" fontId="2" fillId="0" borderId="0" applyFont="0" applyFill="0" applyBorder="0" applyAlignment="0" applyProtection="0"/>
    <xf numFmtId="256" fontId="2" fillId="0" borderId="0" applyFont="0" applyFill="0" applyBorder="0" applyAlignment="0" applyProtection="0"/>
    <xf numFmtId="256" fontId="2" fillId="0" borderId="0" applyFont="0" applyFill="0" applyBorder="0" applyAlignment="0" applyProtection="0"/>
    <xf numFmtId="256" fontId="2" fillId="0" borderId="0" applyFont="0" applyFill="0" applyBorder="0" applyAlignment="0" applyProtection="0"/>
    <xf numFmtId="256" fontId="2" fillId="0" borderId="0" applyFont="0" applyFill="0" applyBorder="0" applyAlignment="0" applyProtection="0"/>
    <xf numFmtId="256" fontId="2" fillId="0" borderId="0" applyFont="0" applyFill="0" applyBorder="0" applyAlignment="0" applyProtection="0"/>
    <xf numFmtId="256" fontId="2" fillId="0" borderId="0" applyFont="0" applyFill="0" applyBorder="0" applyAlignment="0" applyProtection="0"/>
    <xf numFmtId="256" fontId="2" fillId="0" borderId="0" applyFont="0" applyFill="0" applyBorder="0" applyAlignment="0" applyProtection="0"/>
    <xf numFmtId="285" fontId="139" fillId="0" borderId="0" applyFont="0" applyFill="0" applyBorder="0" applyAlignment="0" applyProtection="0"/>
    <xf numFmtId="286" fontId="64" fillId="0" borderId="0" applyFont="0" applyFill="0" applyBorder="0" applyAlignment="0" applyProtection="0"/>
    <xf numFmtId="287" fontId="139" fillId="0" borderId="0" applyFont="0" applyFill="0" applyBorder="0" applyAlignment="0" applyProtection="0"/>
    <xf numFmtId="288" fontId="64" fillId="0" borderId="0" applyFont="0" applyFill="0" applyBorder="0" applyAlignment="0" applyProtection="0"/>
    <xf numFmtId="289" fontId="139" fillId="0" borderId="0" applyFont="0" applyFill="0" applyBorder="0" applyAlignment="0" applyProtection="0"/>
    <xf numFmtId="290" fontId="64" fillId="0" borderId="0" applyFont="0" applyFill="0" applyBorder="0" applyAlignment="0" applyProtection="0"/>
    <xf numFmtId="44" fontId="3" fillId="0" borderId="0" applyFont="0" applyFill="0" applyBorder="0" applyAlignment="0" applyProtection="0"/>
    <xf numFmtId="291" fontId="2" fillId="0" borderId="0" applyFont="0" applyFill="0" applyBorder="0" applyAlignment="0" applyProtection="0"/>
    <xf numFmtId="291" fontId="2" fillId="0" borderId="0" applyFont="0" applyFill="0" applyBorder="0" applyAlignment="0" applyProtection="0"/>
    <xf numFmtId="291" fontId="2" fillId="0" borderId="0" applyFont="0" applyFill="0" applyBorder="0" applyAlignment="0" applyProtection="0"/>
    <xf numFmtId="291" fontId="2" fillId="0" borderId="0" applyFont="0" applyFill="0" applyBorder="0" applyAlignment="0" applyProtection="0"/>
    <xf numFmtId="291" fontId="2" fillId="0" borderId="0" applyFont="0" applyFill="0" applyBorder="0" applyAlignment="0" applyProtection="0"/>
    <xf numFmtId="291" fontId="2" fillId="0" borderId="0" applyFont="0" applyFill="0" applyBorder="0" applyAlignment="0" applyProtection="0"/>
    <xf numFmtId="291" fontId="2" fillId="0" borderId="0" applyFont="0" applyFill="0" applyBorder="0" applyAlignment="0" applyProtection="0"/>
    <xf numFmtId="291" fontId="2" fillId="0" borderId="0" applyFont="0" applyFill="0" applyBorder="0" applyAlignment="0" applyProtection="0"/>
    <xf numFmtId="291" fontId="2" fillId="0" borderId="0" applyFont="0" applyFill="0" applyBorder="0" applyAlignment="0" applyProtection="0"/>
    <xf numFmtId="291" fontId="2" fillId="0" borderId="0" applyFont="0" applyFill="0" applyBorder="0" applyAlignment="0" applyProtection="0"/>
    <xf numFmtId="291" fontId="2" fillId="0" borderId="0" applyFont="0" applyFill="0" applyBorder="0" applyAlignment="0" applyProtection="0"/>
    <xf numFmtId="291" fontId="2" fillId="0" borderId="0" applyFont="0" applyFill="0" applyBorder="0" applyAlignment="0" applyProtection="0"/>
    <xf numFmtId="291" fontId="2" fillId="0" borderId="0" applyFont="0" applyFill="0" applyBorder="0" applyAlignment="0" applyProtection="0"/>
    <xf numFmtId="291" fontId="2" fillId="0" borderId="0" applyFont="0" applyFill="0" applyBorder="0" applyAlignment="0" applyProtection="0"/>
    <xf numFmtId="291" fontId="2" fillId="0" borderId="0" applyFont="0" applyFill="0" applyBorder="0" applyAlignment="0" applyProtection="0"/>
    <xf numFmtId="292"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93" fontId="64" fillId="0" borderId="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94" fontId="2" fillId="0" borderId="0"/>
    <xf numFmtId="294" fontId="2" fillId="0" borderId="0"/>
    <xf numFmtId="294" fontId="2" fillId="0" borderId="0"/>
    <xf numFmtId="294" fontId="2" fillId="0" borderId="0"/>
    <xf numFmtId="294" fontId="2" fillId="0" borderId="0"/>
    <xf numFmtId="294" fontId="2" fillId="0" borderId="0"/>
    <xf numFmtId="294" fontId="2" fillId="0" borderId="0"/>
    <xf numFmtId="294" fontId="2" fillId="0" borderId="0" applyProtection="0"/>
    <xf numFmtId="294" fontId="2" fillId="0" borderId="0"/>
    <xf numFmtId="294" fontId="2" fillId="0" borderId="0"/>
    <xf numFmtId="294" fontId="2" fillId="0" borderId="0"/>
    <xf numFmtId="294" fontId="2" fillId="0" borderId="0"/>
    <xf numFmtId="294" fontId="2" fillId="0" borderId="0"/>
    <xf numFmtId="294" fontId="2" fillId="0" borderId="0"/>
    <xf numFmtId="294" fontId="2" fillId="0" borderId="0"/>
    <xf numFmtId="209" fontId="12" fillId="0" borderId="46"/>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64" fillId="0" borderId="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4" fontId="53" fillId="0" borderId="0" applyFill="0" applyBorder="0" applyAlignment="0"/>
    <xf numFmtId="0" fontId="58" fillId="0" borderId="0" applyProtection="0"/>
    <xf numFmtId="3" fontId="147" fillId="0" borderId="4">
      <alignment horizontal="left" vertical="top" wrapText="1"/>
    </xf>
    <xf numFmtId="43" fontId="141" fillId="0" borderId="0" applyFont="0" applyFill="0" applyBorder="0" applyAlignment="0" applyProtection="0"/>
    <xf numFmtId="295" fontId="32" fillId="0" borderId="0" applyFill="0" applyBorder="0" applyProtection="0"/>
    <xf numFmtId="295" fontId="32" fillId="0" borderId="42" applyFill="0" applyProtection="0"/>
    <xf numFmtId="295" fontId="32" fillId="0" borderId="45" applyFill="0" applyProtection="0"/>
    <xf numFmtId="296" fontId="2" fillId="0" borderId="47">
      <alignment vertical="center"/>
    </xf>
    <xf numFmtId="296" fontId="2" fillId="0" borderId="47">
      <alignment vertical="center"/>
    </xf>
    <xf numFmtId="296" fontId="2" fillId="0" borderId="47">
      <alignment vertical="center"/>
    </xf>
    <xf numFmtId="296" fontId="2" fillId="0" borderId="47">
      <alignment vertical="center"/>
    </xf>
    <xf numFmtId="296" fontId="2" fillId="0" borderId="47">
      <alignment vertical="center"/>
    </xf>
    <xf numFmtId="296" fontId="2" fillId="0" borderId="47">
      <alignment vertical="center"/>
    </xf>
    <xf numFmtId="296" fontId="2" fillId="0" borderId="47">
      <alignment vertical="center"/>
    </xf>
    <xf numFmtId="296" fontId="2" fillId="0" borderId="47">
      <alignment vertical="center"/>
    </xf>
    <xf numFmtId="296" fontId="2" fillId="0" borderId="47">
      <alignment vertical="center"/>
    </xf>
    <xf numFmtId="296" fontId="2" fillId="0" borderId="47">
      <alignment vertical="center"/>
    </xf>
    <xf numFmtId="296" fontId="2" fillId="0" borderId="47">
      <alignment vertical="center"/>
    </xf>
    <xf numFmtId="296" fontId="2" fillId="0" borderId="47">
      <alignment vertical="center"/>
    </xf>
    <xf numFmtId="296" fontId="2" fillId="0" borderId="47">
      <alignment vertical="center"/>
    </xf>
    <xf numFmtId="296" fontId="2" fillId="0" borderId="47">
      <alignment vertical="center"/>
    </xf>
    <xf numFmtId="296" fontId="2" fillId="0" borderId="47">
      <alignment vertical="center"/>
    </xf>
    <xf numFmtId="0" fontId="2" fillId="0" borderId="0" applyFont="0" applyFill="0" applyBorder="0" applyAlignment="0" applyProtection="0"/>
    <xf numFmtId="0" fontId="2" fillId="0" borderId="0" applyFont="0" applyFill="0" applyBorder="0" applyAlignment="0" applyProtection="0"/>
    <xf numFmtId="297" fontId="12" fillId="0" borderId="0"/>
    <xf numFmtId="298" fontId="49" fillId="0" borderId="2"/>
    <xf numFmtId="298" fontId="49" fillId="0" borderId="2"/>
    <xf numFmtId="275" fontId="2" fillId="0" borderId="0"/>
    <xf numFmtId="275" fontId="2" fillId="0" borderId="0"/>
    <xf numFmtId="275" fontId="2" fillId="0" borderId="0"/>
    <xf numFmtId="275" fontId="2" fillId="0" borderId="0"/>
    <xf numFmtId="275" fontId="2" fillId="0" borderId="0"/>
    <xf numFmtId="275" fontId="2" fillId="0" borderId="0"/>
    <xf numFmtId="275" fontId="2" fillId="0" borderId="0"/>
    <xf numFmtId="275" fontId="2" fillId="0" borderId="0" applyProtection="0"/>
    <xf numFmtId="275" fontId="2" fillId="0" borderId="0"/>
    <xf numFmtId="275" fontId="2" fillId="0" borderId="0"/>
    <xf numFmtId="275" fontId="2" fillId="0" borderId="0"/>
    <xf numFmtId="275" fontId="2" fillId="0" borderId="0"/>
    <xf numFmtId="275" fontId="2" fillId="0" borderId="0"/>
    <xf numFmtId="275" fontId="2" fillId="0" borderId="0"/>
    <xf numFmtId="275" fontId="2" fillId="0" borderId="0"/>
    <xf numFmtId="299" fontId="49" fillId="0" borderId="0"/>
    <xf numFmtId="300" fontId="1" fillId="0" borderId="0" applyFont="0" applyFill="0" applyBorder="0" applyAlignment="0" applyProtection="0"/>
    <xf numFmtId="300" fontId="1" fillId="0" borderId="0" applyFont="0" applyFill="0" applyBorder="0" applyAlignment="0" applyProtection="0"/>
    <xf numFmtId="41" fontId="148" fillId="0" borderId="0" applyFont="0" applyFill="0" applyBorder="0" applyAlignment="0" applyProtection="0"/>
    <xf numFmtId="41" fontId="148" fillId="0" borderId="0" applyFont="0" applyFill="0" applyBorder="0" applyAlignment="0" applyProtection="0"/>
    <xf numFmtId="300" fontId="1" fillId="0" borderId="0" applyFont="0" applyFill="0" applyBorder="0" applyAlignment="0" applyProtection="0"/>
    <xf numFmtId="300" fontId="1" fillId="0" borderId="0" applyFont="0" applyFill="0" applyBorder="0" applyAlignment="0" applyProtection="0"/>
    <xf numFmtId="300" fontId="1" fillId="0" borderId="0" applyFont="0" applyFill="0" applyBorder="0" applyAlignment="0" applyProtection="0"/>
    <xf numFmtId="300" fontId="1" fillId="0" borderId="0" applyFont="0" applyFill="0" applyBorder="0" applyAlignment="0" applyProtection="0"/>
    <xf numFmtId="301" fontId="12" fillId="0" borderId="0" applyFont="0" applyFill="0" applyBorder="0" applyAlignment="0" applyProtection="0"/>
    <xf numFmtId="301" fontId="12" fillId="0" borderId="0" applyFont="0" applyFill="0" applyBorder="0" applyAlignment="0" applyProtection="0"/>
    <xf numFmtId="302" fontId="12" fillId="0" borderId="0" applyFont="0" applyFill="0" applyBorder="0" applyAlignment="0" applyProtection="0"/>
    <xf numFmtId="302" fontId="12" fillId="0" borderId="0" applyFont="0" applyFill="0" applyBorder="0" applyAlignment="0" applyProtection="0"/>
    <xf numFmtId="41" fontId="149" fillId="0" borderId="0" applyFont="0" applyFill="0" applyBorder="0" applyAlignment="0" applyProtection="0"/>
    <xf numFmtId="41" fontId="149" fillId="0" borderId="0" applyFont="0" applyFill="0" applyBorder="0" applyAlignment="0" applyProtection="0"/>
    <xf numFmtId="41" fontId="149" fillId="0" borderId="0" applyFont="0" applyFill="0" applyBorder="0" applyAlignment="0" applyProtection="0"/>
    <xf numFmtId="41" fontId="149" fillId="0" borderId="0" applyFont="0" applyFill="0" applyBorder="0" applyAlignment="0" applyProtection="0"/>
    <xf numFmtId="41" fontId="148" fillId="0" borderId="0" applyFont="0" applyFill="0" applyBorder="0" applyAlignment="0" applyProtection="0"/>
    <xf numFmtId="41" fontId="148" fillId="0" borderId="0" applyFont="0" applyFill="0" applyBorder="0" applyAlignment="0" applyProtection="0"/>
    <xf numFmtId="164" fontId="149" fillId="0" borderId="0" applyFont="0" applyFill="0" applyBorder="0" applyAlignment="0" applyProtection="0"/>
    <xf numFmtId="41" fontId="149" fillId="0" borderId="0" applyFont="0" applyFill="0" applyBorder="0" applyAlignment="0" applyProtection="0"/>
    <xf numFmtId="164" fontId="149" fillId="0" borderId="0" applyFont="0" applyFill="0" applyBorder="0" applyAlignment="0" applyProtection="0"/>
    <xf numFmtId="164" fontId="149" fillId="0" borderId="0" applyFont="0" applyFill="0" applyBorder="0" applyAlignment="0" applyProtection="0"/>
    <xf numFmtId="41" fontId="149" fillId="0" borderId="0" applyFont="0" applyFill="0" applyBorder="0" applyAlignment="0" applyProtection="0"/>
    <xf numFmtId="41" fontId="149" fillId="0" borderId="0" applyFont="0" applyFill="0" applyBorder="0" applyAlignment="0" applyProtection="0"/>
    <xf numFmtId="41" fontId="149" fillId="0" borderId="0" applyFont="0" applyFill="0" applyBorder="0" applyAlignment="0" applyProtection="0"/>
    <xf numFmtId="303" fontId="1" fillId="0" borderId="0" applyFont="0" applyFill="0" applyBorder="0" applyAlignment="0" applyProtection="0"/>
    <xf numFmtId="303" fontId="1" fillId="0" borderId="0" applyFont="0" applyFill="0" applyBorder="0" applyAlignment="0" applyProtection="0"/>
    <xf numFmtId="43" fontId="148" fillId="0" borderId="0" applyFont="0" applyFill="0" applyBorder="0" applyAlignment="0" applyProtection="0"/>
    <xf numFmtId="43" fontId="148" fillId="0" borderId="0" applyFont="0" applyFill="0" applyBorder="0" applyAlignment="0" applyProtection="0"/>
    <xf numFmtId="303" fontId="1" fillId="0" borderId="0" applyFont="0" applyFill="0" applyBorder="0" applyAlignment="0" applyProtection="0"/>
    <xf numFmtId="303" fontId="1" fillId="0" borderId="0" applyFont="0" applyFill="0" applyBorder="0" applyAlignment="0" applyProtection="0"/>
    <xf numFmtId="303" fontId="1" fillId="0" borderId="0" applyFont="0" applyFill="0" applyBorder="0" applyAlignment="0" applyProtection="0"/>
    <xf numFmtId="303" fontId="1" fillId="0" borderId="0" applyFont="0" applyFill="0" applyBorder="0" applyAlignment="0" applyProtection="0"/>
    <xf numFmtId="304" fontId="12" fillId="0" borderId="0" applyFont="0" applyFill="0" applyBorder="0" applyAlignment="0" applyProtection="0"/>
    <xf numFmtId="304" fontId="12" fillId="0" borderId="0" applyFont="0" applyFill="0" applyBorder="0" applyAlignment="0" applyProtection="0"/>
    <xf numFmtId="305" fontId="12" fillId="0" borderId="0" applyFont="0" applyFill="0" applyBorder="0" applyAlignment="0" applyProtection="0"/>
    <xf numFmtId="305" fontId="12" fillId="0" borderId="0" applyFont="0" applyFill="0" applyBorder="0" applyAlignment="0" applyProtection="0"/>
    <xf numFmtId="43" fontId="149" fillId="0" borderId="0" applyFont="0" applyFill="0" applyBorder="0" applyAlignment="0" applyProtection="0"/>
    <xf numFmtId="43" fontId="149" fillId="0" borderId="0" applyFont="0" applyFill="0" applyBorder="0" applyAlignment="0" applyProtection="0"/>
    <xf numFmtId="43" fontId="149" fillId="0" borderId="0" applyFont="0" applyFill="0" applyBorder="0" applyAlignment="0" applyProtection="0"/>
    <xf numFmtId="43" fontId="149" fillId="0" borderId="0" applyFont="0" applyFill="0" applyBorder="0" applyAlignment="0" applyProtection="0"/>
    <xf numFmtId="43" fontId="148" fillId="0" borderId="0" applyFont="0" applyFill="0" applyBorder="0" applyAlignment="0" applyProtection="0"/>
    <xf numFmtId="43" fontId="148" fillId="0" borderId="0" applyFont="0" applyFill="0" applyBorder="0" applyAlignment="0" applyProtection="0"/>
    <xf numFmtId="165" fontId="149" fillId="0" borderId="0" applyFont="0" applyFill="0" applyBorder="0" applyAlignment="0" applyProtection="0"/>
    <xf numFmtId="43" fontId="149" fillId="0" borderId="0" applyFont="0" applyFill="0" applyBorder="0" applyAlignment="0" applyProtection="0"/>
    <xf numFmtId="165" fontId="149" fillId="0" borderId="0" applyFont="0" applyFill="0" applyBorder="0" applyAlignment="0" applyProtection="0"/>
    <xf numFmtId="165" fontId="149" fillId="0" borderId="0" applyFont="0" applyFill="0" applyBorder="0" applyAlignment="0" applyProtection="0"/>
    <xf numFmtId="43" fontId="149" fillId="0" borderId="0" applyFont="0" applyFill="0" applyBorder="0" applyAlignment="0" applyProtection="0"/>
    <xf numFmtId="43" fontId="149" fillId="0" borderId="0" applyFont="0" applyFill="0" applyBorder="0" applyAlignment="0" applyProtection="0"/>
    <xf numFmtId="43" fontId="149" fillId="0" borderId="0" applyFont="0" applyFill="0" applyBorder="0" applyAlignment="0" applyProtection="0"/>
    <xf numFmtId="3" fontId="12" fillId="0" borderId="0" applyFont="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306" fontId="2" fillId="0" borderId="0" applyFont="0" applyFill="0" applyBorder="0" applyAlignment="0" applyProtection="0"/>
    <xf numFmtId="306" fontId="2" fillId="0" borderId="0" applyFont="0" applyFill="0" applyBorder="0" applyAlignment="0" applyProtection="0"/>
    <xf numFmtId="306" fontId="2" fillId="0" borderId="0" applyFont="0" applyFill="0" applyBorder="0" applyAlignment="0" applyProtection="0"/>
    <xf numFmtId="306" fontId="2" fillId="0" borderId="0" applyFont="0" applyFill="0" applyBorder="0" applyAlignment="0" applyProtection="0"/>
    <xf numFmtId="306" fontId="2" fillId="0" borderId="0" applyFont="0" applyFill="0" applyBorder="0" applyAlignment="0" applyProtection="0"/>
    <xf numFmtId="306" fontId="2" fillId="0" borderId="0" applyFont="0" applyFill="0" applyBorder="0" applyAlignment="0" applyProtection="0"/>
    <xf numFmtId="306" fontId="2" fillId="0" borderId="0" applyFont="0" applyFill="0" applyBorder="0" applyAlignment="0" applyProtection="0"/>
    <xf numFmtId="306" fontId="2" fillId="0" borderId="0" applyFont="0" applyFill="0" applyBorder="0" applyAlignment="0" applyProtection="0"/>
    <xf numFmtId="306" fontId="2" fillId="0" borderId="0" applyFont="0" applyFill="0" applyBorder="0" applyAlignment="0" applyProtection="0"/>
    <xf numFmtId="306" fontId="2" fillId="0" borderId="0" applyFont="0" applyFill="0" applyBorder="0" applyAlignment="0" applyProtection="0"/>
    <xf numFmtId="306" fontId="2" fillId="0" borderId="0" applyFont="0" applyFill="0" applyBorder="0" applyAlignment="0" applyProtection="0"/>
    <xf numFmtId="306" fontId="2" fillId="0" borderId="0" applyFont="0" applyFill="0" applyBorder="0" applyAlignment="0" applyProtection="0"/>
    <xf numFmtId="0" fontId="38" fillId="0" borderId="0"/>
    <xf numFmtId="3" fontId="12" fillId="0" borderId="0" applyFont="0" applyBorder="0" applyAlignment="0"/>
    <xf numFmtId="0" fontId="2" fillId="0" borderId="0"/>
    <xf numFmtId="0" fontId="2" fillId="0" borderId="0"/>
    <xf numFmtId="0" fontId="2" fillId="0" borderId="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64" fillId="0" borderId="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50" fillId="0" borderId="0" applyNumberFormat="0" applyFill="0" applyBorder="0" applyAlignment="0" applyProtection="0"/>
    <xf numFmtId="0" fontId="151" fillId="0" borderId="0" applyNumberFormat="0" applyFill="0" applyBorder="0" applyProtection="0">
      <alignment vertical="center"/>
    </xf>
    <xf numFmtId="0" fontId="152" fillId="0" borderId="0" applyNumberFormat="0" applyFill="0" applyBorder="0" applyAlignment="0" applyProtection="0"/>
    <xf numFmtId="0" fontId="153" fillId="0" borderId="0" applyNumberFormat="0" applyFill="0" applyBorder="0" applyProtection="0">
      <alignment vertical="center"/>
    </xf>
    <xf numFmtId="0" fontId="154" fillId="0" borderId="0" applyNumberFormat="0" applyFill="0" applyBorder="0" applyAlignment="0" applyProtection="0"/>
    <xf numFmtId="0" fontId="155" fillId="0" borderId="0" applyNumberFormat="0" applyFill="0" applyBorder="0" applyAlignment="0" applyProtection="0"/>
    <xf numFmtId="307" fontId="156" fillId="0" borderId="48" applyNumberFormat="0" applyFill="0" applyBorder="0" applyAlignment="0" applyProtection="0"/>
    <xf numFmtId="0" fontId="157" fillId="0" borderId="0" applyNumberFormat="0" applyFill="0" applyBorder="0" applyAlignment="0" applyProtection="0"/>
    <xf numFmtId="38" fontId="31" fillId="21" borderId="0" applyNumberFormat="0" applyBorder="0" applyAlignment="0" applyProtection="0"/>
    <xf numFmtId="38" fontId="31" fillId="21" borderId="0" applyNumberFormat="0" applyBorder="0" applyAlignment="0" applyProtection="0"/>
    <xf numFmtId="38" fontId="31" fillId="21" borderId="0" applyNumberFormat="0" applyBorder="0" applyAlignment="0" applyProtection="0"/>
    <xf numFmtId="38" fontId="31" fillId="21" borderId="0" applyNumberFormat="0" applyBorder="0" applyAlignment="0" applyProtection="0"/>
    <xf numFmtId="38" fontId="31" fillId="21" borderId="0" applyNumberFormat="0" applyBorder="0" applyAlignment="0" applyProtection="0"/>
    <xf numFmtId="38" fontId="31" fillId="21" borderId="0" applyNumberFormat="0" applyBorder="0" applyAlignment="0" applyProtection="0"/>
    <xf numFmtId="38" fontId="31" fillId="22" borderId="0" applyNumberFormat="0" applyBorder="0" applyAlignment="0" applyProtection="0"/>
    <xf numFmtId="38" fontId="31" fillId="21" borderId="0" applyNumberFormat="0" applyBorder="0" applyAlignment="0" applyProtection="0"/>
    <xf numFmtId="38" fontId="31" fillId="21" borderId="0" applyNumberFormat="0" applyBorder="0" applyAlignment="0" applyProtection="0"/>
    <xf numFmtId="38" fontId="31" fillId="21" borderId="0" applyNumberFormat="0" applyBorder="0" applyAlignment="0" applyProtection="0"/>
    <xf numFmtId="38" fontId="31" fillId="21" borderId="0" applyNumberFormat="0" applyBorder="0" applyAlignment="0" applyProtection="0"/>
    <xf numFmtId="38" fontId="31" fillId="21" borderId="0" applyNumberFormat="0" applyBorder="0" applyAlignment="0" applyProtection="0"/>
    <xf numFmtId="38" fontId="31" fillId="21" borderId="0" applyNumberFormat="0" applyBorder="0" applyAlignment="0" applyProtection="0"/>
    <xf numFmtId="38" fontId="31" fillId="21" borderId="0" applyNumberFormat="0" applyBorder="0" applyAlignment="0" applyProtection="0"/>
    <xf numFmtId="38" fontId="31" fillId="21" borderId="0" applyNumberFormat="0" applyBorder="0" applyAlignment="0" applyProtection="0"/>
    <xf numFmtId="38" fontId="31" fillId="21" borderId="0" applyNumberFormat="0" applyBorder="0" applyAlignment="0" applyProtection="0"/>
    <xf numFmtId="308" fontId="36" fillId="22" borderId="0" applyBorder="0" applyProtection="0"/>
    <xf numFmtId="0" fontId="158" fillId="0" borderId="0">
      <alignment vertical="top" wrapText="1"/>
    </xf>
    <xf numFmtId="309" fontId="68" fillId="0" borderId="0" applyFont="0" applyFill="0" applyBorder="0" applyAlignment="0" applyProtection="0"/>
    <xf numFmtId="0" fontId="55" fillId="0" borderId="24" applyNumberFormat="0" applyAlignment="0" applyProtection="0">
      <alignment horizontal="left" vertical="center"/>
    </xf>
    <xf numFmtId="0" fontId="55" fillId="0" borderId="7">
      <alignment horizontal="left" vertical="center"/>
    </xf>
    <xf numFmtId="14" fontId="159" fillId="80" borderId="26">
      <alignment horizontal="center" vertical="center" wrapText="1"/>
    </xf>
    <xf numFmtId="0" fontId="67" fillId="0" borderId="0" applyFill="0" applyAlignment="0" applyProtection="0">
      <protection locked="0"/>
    </xf>
    <xf numFmtId="0" fontId="67" fillId="0" borderId="1" applyFill="0" applyAlignment="0" applyProtection="0">
      <protection locked="0"/>
    </xf>
    <xf numFmtId="310" fontId="160" fillId="45" borderId="2" applyNumberFormat="0" applyAlignment="0">
      <alignment horizontal="left" vertical="top"/>
    </xf>
    <xf numFmtId="178" fontId="12" fillId="0" borderId="0" applyFont="0" applyFill="0" applyBorder="0" applyAlignment="0" applyProtection="0"/>
    <xf numFmtId="38" fontId="18" fillId="0" borderId="0" applyFont="0" applyFill="0" applyBorder="0" applyAlignment="0" applyProtection="0"/>
    <xf numFmtId="252" fontId="42" fillId="0" borderId="0" applyFont="0" applyFill="0" applyBorder="0" applyAlignment="0" applyProtection="0"/>
    <xf numFmtId="311" fontId="161" fillId="0" borderId="0" applyFont="0" applyFill="0" applyBorder="0" applyAlignment="0" applyProtection="0"/>
    <xf numFmtId="10" fontId="31" fillId="21" borderId="2" applyNumberFormat="0" applyBorder="0" applyAlignment="0" applyProtection="0"/>
    <xf numFmtId="10" fontId="31" fillId="21" borderId="2" applyNumberFormat="0" applyBorder="0" applyAlignment="0" applyProtection="0"/>
    <xf numFmtId="10" fontId="31" fillId="21" borderId="2" applyNumberFormat="0" applyBorder="0" applyAlignment="0" applyProtection="0"/>
    <xf numFmtId="10" fontId="31" fillId="21" borderId="2" applyNumberFormat="0" applyBorder="0" applyAlignment="0" applyProtection="0"/>
    <xf numFmtId="10" fontId="31" fillId="21" borderId="2" applyNumberFormat="0" applyBorder="0" applyAlignment="0" applyProtection="0"/>
    <xf numFmtId="10" fontId="31" fillId="21" borderId="2" applyNumberFormat="0" applyBorder="0" applyAlignment="0" applyProtection="0"/>
    <xf numFmtId="10" fontId="31" fillId="81" borderId="2" applyNumberFormat="0" applyBorder="0" applyAlignment="0" applyProtection="0"/>
    <xf numFmtId="10" fontId="31" fillId="81" borderId="2" applyNumberFormat="0" applyBorder="0" applyAlignment="0" applyProtection="0"/>
    <xf numFmtId="10" fontId="31" fillId="21" borderId="2" applyNumberFormat="0" applyBorder="0" applyAlignment="0" applyProtection="0"/>
    <xf numFmtId="10" fontId="31" fillId="21" borderId="2" applyNumberFormat="0" applyBorder="0" applyAlignment="0" applyProtection="0"/>
    <xf numFmtId="10" fontId="31" fillId="21" borderId="2" applyNumberFormat="0" applyBorder="0" applyAlignment="0" applyProtection="0"/>
    <xf numFmtId="10" fontId="31" fillId="21" borderId="2" applyNumberFormat="0" applyBorder="0" applyAlignment="0" applyProtection="0"/>
    <xf numFmtId="10" fontId="31" fillId="21" borderId="2" applyNumberFormat="0" applyBorder="0" applyAlignment="0" applyProtection="0"/>
    <xf numFmtId="10" fontId="31" fillId="21" borderId="2" applyNumberFormat="0" applyBorder="0" applyAlignment="0" applyProtection="0"/>
    <xf numFmtId="10" fontId="31" fillId="21" borderId="2" applyNumberFormat="0" applyBorder="0" applyAlignment="0" applyProtection="0"/>
    <xf numFmtId="10" fontId="31" fillId="21" borderId="2" applyNumberFormat="0" applyBorder="0" applyAlignment="0" applyProtection="0"/>
    <xf numFmtId="10" fontId="31" fillId="21" borderId="2" applyNumberFormat="0" applyBorder="0" applyAlignment="0" applyProtection="0"/>
    <xf numFmtId="0" fontId="162" fillId="29" borderId="21" applyNumberFormat="0" applyAlignment="0" applyProtection="0"/>
    <xf numFmtId="0" fontId="162" fillId="29" borderId="21" applyNumberFormat="0" applyAlignment="0" applyProtection="0"/>
    <xf numFmtId="0" fontId="163" fillId="0" borderId="0" applyNumberFormat="0" applyFill="0" applyBorder="0" applyAlignment="0" applyProtection="0">
      <alignment vertical="top"/>
      <protection locked="0"/>
    </xf>
    <xf numFmtId="0" fontId="163" fillId="0" borderId="0" applyNumberFormat="0" applyFill="0" applyBorder="0" applyAlignment="0" applyProtection="0">
      <alignment vertical="top"/>
      <protection locked="0"/>
    </xf>
    <xf numFmtId="0" fontId="163" fillId="0" borderId="0" applyNumberFormat="0" applyFill="0" applyBorder="0" applyAlignment="0" applyProtection="0">
      <alignment vertical="top"/>
      <protection locked="0"/>
    </xf>
    <xf numFmtId="0" fontId="163" fillId="0" borderId="0" applyNumberFormat="0" applyFill="0" applyBorder="0" applyAlignment="0" applyProtection="0">
      <alignment vertical="top"/>
      <protection locked="0"/>
    </xf>
    <xf numFmtId="0" fontId="163"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3" fillId="0" borderId="0" applyNumberFormat="0" applyFill="0" applyBorder="0" applyAlignment="0" applyProtection="0">
      <alignment vertical="top"/>
      <protection locked="0"/>
    </xf>
    <xf numFmtId="0" fontId="163" fillId="0" borderId="0" applyNumberFormat="0" applyFill="0" applyBorder="0" applyAlignment="0" applyProtection="0">
      <alignment vertical="top"/>
      <protection locked="0"/>
    </xf>
    <xf numFmtId="0" fontId="163" fillId="0" borderId="0" applyNumberFormat="0" applyFill="0" applyBorder="0" applyAlignment="0" applyProtection="0">
      <alignment vertical="top"/>
      <protection locked="0"/>
    </xf>
    <xf numFmtId="0" fontId="163" fillId="0" borderId="0" applyNumberFormat="0" applyFill="0" applyBorder="0" applyAlignment="0" applyProtection="0">
      <alignment vertical="top"/>
      <protection locked="0"/>
    </xf>
    <xf numFmtId="0" fontId="163"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178" fontId="12" fillId="0" borderId="0" applyFont="0" applyFill="0" applyBorder="0" applyAlignment="0" applyProtection="0"/>
    <xf numFmtId="0" fontId="32" fillId="0" borderId="0" applyNumberFormat="0" applyFont="0" applyFill="0" applyBorder="0" applyProtection="0">
      <alignment horizontal="left" vertical="center"/>
    </xf>
    <xf numFmtId="0" fontId="18" fillId="0" borderId="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3" fontId="165" fillId="0" borderId="4" applyNumberFormat="0" applyAlignment="0">
      <alignment horizontal="center" vertical="center"/>
    </xf>
    <xf numFmtId="3" fontId="132" fillId="0" borderId="4" applyNumberFormat="0" applyAlignment="0">
      <alignment horizontal="center" vertical="center"/>
    </xf>
    <xf numFmtId="3" fontId="160" fillId="0" borderId="4" applyNumberFormat="0" applyAlignment="0">
      <alignment horizontal="center" vertical="center"/>
    </xf>
    <xf numFmtId="0" fontId="68" fillId="0" borderId="2"/>
    <xf numFmtId="37" fontId="166" fillId="0" borderId="0"/>
    <xf numFmtId="0" fontId="167" fillId="0" borderId="0"/>
    <xf numFmtId="0" fontId="35" fillId="0" borderId="0"/>
    <xf numFmtId="0" fontId="1" fillId="0" borderId="0"/>
    <xf numFmtId="0" fontId="37"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64" fillId="0" borderId="0" applyProtection="0"/>
    <xf numFmtId="0" fontId="11" fillId="0" borderId="0"/>
    <xf numFmtId="0" fontId="11" fillId="0" borderId="0"/>
    <xf numFmtId="0" fontId="11" fillId="0" borderId="0"/>
    <xf numFmtId="0" fontId="11"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64" fillId="0" borderId="0"/>
    <xf numFmtId="0" fontId="2" fillId="0" borderId="0"/>
    <xf numFmtId="0" fontId="2" fillId="0" borderId="0"/>
    <xf numFmtId="0" fontId="3" fillId="0" borderId="0"/>
    <xf numFmtId="0" fontId="2" fillId="0" borderId="0"/>
    <xf numFmtId="0" fontId="2" fillId="0" borderId="0"/>
    <xf numFmtId="0" fontId="3" fillId="0" borderId="0"/>
    <xf numFmtId="0" fontId="3" fillId="0" borderId="0"/>
    <xf numFmtId="0" fontId="49"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168" fillId="0" borderId="0"/>
    <xf numFmtId="0" fontId="168" fillId="0" borderId="0"/>
    <xf numFmtId="0" fontId="168" fillId="0" borderId="0"/>
    <xf numFmtId="0" fontId="62" fillId="0" borderId="0"/>
    <xf numFmtId="0" fontId="64" fillId="0" borderId="0" applyProtection="0"/>
    <xf numFmtId="0" fontId="11" fillId="0" borderId="0"/>
    <xf numFmtId="0" fontId="169" fillId="0" borderId="0"/>
    <xf numFmtId="0" fontId="12" fillId="0" borderId="0"/>
    <xf numFmtId="0" fontId="37" fillId="0" borderId="0"/>
    <xf numFmtId="0" fontId="3" fillId="0" borderId="0"/>
    <xf numFmtId="0" fontId="170" fillId="0" borderId="0"/>
    <xf numFmtId="0" fontId="170" fillId="0" borderId="0"/>
    <xf numFmtId="0" fontId="170" fillId="0" borderId="0"/>
    <xf numFmtId="0" fontId="49" fillId="0" borderId="0"/>
    <xf numFmtId="0" fontId="3" fillId="0" borderId="0"/>
    <xf numFmtId="0" fontId="2" fillId="0" borderId="0"/>
    <xf numFmtId="0" fontId="2" fillId="0" borderId="0"/>
    <xf numFmtId="0" fontId="64" fillId="0" borderId="0" applyProtection="0"/>
    <xf numFmtId="0" fontId="64" fillId="0" borderId="0" applyProtection="0"/>
    <xf numFmtId="0" fontId="2" fillId="0" borderId="0"/>
    <xf numFmtId="0" fontId="58" fillId="0" borderId="0"/>
    <xf numFmtId="0" fontId="2" fillId="0" borderId="0"/>
    <xf numFmtId="0" fontId="64" fillId="0" borderId="0"/>
    <xf numFmtId="0" fontId="58" fillId="0" borderId="0"/>
    <xf numFmtId="0" fontId="58" fillId="0" borderId="0"/>
    <xf numFmtId="0" fontId="3" fillId="0" borderId="0"/>
    <xf numFmtId="0" fontId="2" fillId="0" borderId="0"/>
    <xf numFmtId="0" fontId="3"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168" fillId="0" borderId="0"/>
    <xf numFmtId="0" fontId="2" fillId="0" borderId="0"/>
    <xf numFmtId="0" fontId="135" fillId="0" borderId="0"/>
    <xf numFmtId="0" fontId="135" fillId="0" borderId="0" applyProtection="0"/>
    <xf numFmtId="0" fontId="3" fillId="0" borderId="0" applyProtection="0"/>
    <xf numFmtId="0" fontId="11" fillId="0" borderId="0"/>
    <xf numFmtId="0" fontId="11" fillId="0" borderId="0"/>
    <xf numFmtId="0" fontId="11" fillId="0" borderId="0"/>
    <xf numFmtId="0" fontId="11" fillId="0" borderId="0"/>
    <xf numFmtId="0" fontId="11" fillId="0" borderId="0"/>
    <xf numFmtId="0" fontId="1" fillId="0" borderId="0"/>
    <xf numFmtId="0" fontId="2" fillId="0" borderId="0"/>
    <xf numFmtId="0" fontId="135" fillId="0" borderId="0" applyProtection="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35" fillId="0" borderId="0"/>
    <xf numFmtId="0" fontId="3" fillId="0" borderId="0" applyProtection="0"/>
    <xf numFmtId="0" fontId="35" fillId="0" borderId="0"/>
    <xf numFmtId="0" fontId="35" fillId="0" borderId="0"/>
    <xf numFmtId="0" fontId="35" fillId="0" borderId="0"/>
    <xf numFmtId="0" fontId="35" fillId="0" borderId="0"/>
    <xf numFmtId="0" fontId="35" fillId="0" borderId="0"/>
    <xf numFmtId="0" fontId="35" fillId="0" borderId="0"/>
    <xf numFmtId="0" fontId="11" fillId="0" borderId="0"/>
    <xf numFmtId="0" fontId="11" fillId="0" borderId="0"/>
    <xf numFmtId="0" fontId="11" fillId="0" borderId="0"/>
    <xf numFmtId="0" fontId="11" fillId="0" borderId="0"/>
    <xf numFmtId="0" fontId="37" fillId="0" borderId="0"/>
    <xf numFmtId="0" fontId="123" fillId="0" borderId="0"/>
    <xf numFmtId="0" fontId="37" fillId="0" borderId="0"/>
    <xf numFmtId="0" fontId="37" fillId="0" borderId="0"/>
    <xf numFmtId="0" fontId="37" fillId="0" borderId="0"/>
    <xf numFmtId="0" fontId="37" fillId="0" borderId="0"/>
    <xf numFmtId="0" fontId="37" fillId="0" borderId="0"/>
    <xf numFmtId="0" fontId="3" fillId="0" borderId="0"/>
    <xf numFmtId="0" fontId="37" fillId="0" borderId="0"/>
    <xf numFmtId="0" fontId="37" fillId="0" borderId="0"/>
    <xf numFmtId="0" fontId="37" fillId="0" borderId="0"/>
    <xf numFmtId="0" fontId="11" fillId="0" borderId="0"/>
    <xf numFmtId="0" fontId="17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applyNumberFormat="0" applyFill="0" applyBorder="0" applyProtection="0">
      <alignment vertical="top"/>
    </xf>
    <xf numFmtId="0" fontId="16" fillId="0" borderId="0" applyNumberFormat="0" applyFill="0" applyBorder="0" applyProtection="0">
      <alignment vertical="top"/>
    </xf>
    <xf numFmtId="0" fontId="2" fillId="0" borderId="0"/>
    <xf numFmtId="0" fontId="2" fillId="0" borderId="0"/>
    <xf numFmtId="0" fontId="2" fillId="0" borderId="0"/>
    <xf numFmtId="0" fontId="32" fillId="0" borderId="0"/>
    <xf numFmtId="0" fontId="32" fillId="0" borderId="0"/>
    <xf numFmtId="0" fontId="12" fillId="0" borderId="0"/>
    <xf numFmtId="0" fontId="3" fillId="0" borderId="0"/>
    <xf numFmtId="0" fontId="3" fillId="0" borderId="0"/>
    <xf numFmtId="0" fontId="2" fillId="0" borderId="0"/>
    <xf numFmtId="0" fontId="2" fillId="0" borderId="0"/>
    <xf numFmtId="0" fontId="3" fillId="0" borderId="0"/>
    <xf numFmtId="0" fontId="3"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3" fillId="46" borderId="30" applyNumberFormat="0" applyFont="0" applyAlignment="0" applyProtection="0"/>
    <xf numFmtId="0" fontId="3" fillId="46" borderId="30" applyNumberFormat="0" applyFont="0" applyAlignment="0" applyProtection="0"/>
    <xf numFmtId="0" fontId="1" fillId="47" borderId="30" applyNumberFormat="0" applyFont="0" applyAlignment="0" applyProtection="0"/>
    <xf numFmtId="312" fontId="172" fillId="0" borderId="0" applyFont="0" applyFill="0" applyBorder="0" applyProtection="0">
      <alignment vertical="top" wrapText="1"/>
    </xf>
    <xf numFmtId="0" fontId="49" fillId="0" borderId="0"/>
    <xf numFmtId="0" fontId="49" fillId="0" borderId="0" applyProtection="0"/>
    <xf numFmtId="0" fontId="49" fillId="0" borderId="0" applyProtection="0"/>
    <xf numFmtId="3" fontId="173" fillId="0" borderId="0" applyFon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12" fillId="0" borderId="0" applyNumberFormat="0" applyFill="0" applyBorder="0" applyAlignment="0" applyProtection="0"/>
    <xf numFmtId="0" fontId="67" fillId="0" borderId="0" applyProtection="0"/>
    <xf numFmtId="169" fontId="174" fillId="0" borderId="17" applyFont="0" applyBorder="0" applyAlignment="0"/>
    <xf numFmtId="0" fontId="175" fillId="21" borderId="0"/>
    <xf numFmtId="0" fontId="170" fillId="21" borderId="0"/>
    <xf numFmtId="0" fontId="170" fillId="21" borderId="0"/>
    <xf numFmtId="305" fontId="2" fillId="0" borderId="0" applyFont="0" applyFill="0" applyBorder="0" applyAlignment="0" applyProtection="0"/>
    <xf numFmtId="305" fontId="2" fillId="0" borderId="0" applyFont="0" applyFill="0" applyBorder="0" applyAlignment="0" applyProtection="0"/>
    <xf numFmtId="305" fontId="2" fillId="0" borderId="0" applyFont="0" applyFill="0" applyBorder="0" applyAlignment="0" applyProtection="0"/>
    <xf numFmtId="305" fontId="2" fillId="0" borderId="0" applyFont="0" applyFill="0" applyBorder="0" applyAlignment="0" applyProtection="0"/>
    <xf numFmtId="305" fontId="2" fillId="0" borderId="0" applyFont="0" applyFill="0" applyBorder="0" applyAlignment="0" applyProtection="0"/>
    <xf numFmtId="305" fontId="2" fillId="0" borderId="0" applyFont="0" applyFill="0" applyBorder="0" applyAlignment="0" applyProtection="0"/>
    <xf numFmtId="305" fontId="2" fillId="0" borderId="0" applyFont="0" applyFill="0" applyBorder="0" applyAlignment="0" applyProtection="0"/>
    <xf numFmtId="305" fontId="2" fillId="0" borderId="0" applyFont="0" applyFill="0" applyBorder="0" applyAlignment="0" applyProtection="0"/>
    <xf numFmtId="305" fontId="2" fillId="0" borderId="0" applyFont="0" applyFill="0" applyBorder="0" applyAlignment="0" applyProtection="0"/>
    <xf numFmtId="305" fontId="2" fillId="0" borderId="0" applyFont="0" applyFill="0" applyBorder="0" applyAlignment="0" applyProtection="0"/>
    <xf numFmtId="305" fontId="2" fillId="0" borderId="0" applyFont="0" applyFill="0" applyBorder="0" applyAlignment="0" applyProtection="0"/>
    <xf numFmtId="305" fontId="2" fillId="0" borderId="0" applyFont="0" applyFill="0" applyBorder="0" applyAlignment="0" applyProtection="0"/>
    <xf numFmtId="305" fontId="2" fillId="0" borderId="0" applyFont="0" applyFill="0" applyBorder="0" applyAlignment="0" applyProtection="0"/>
    <xf numFmtId="305" fontId="2" fillId="0" borderId="0" applyFont="0" applyFill="0" applyBorder="0" applyAlignment="0" applyProtection="0"/>
    <xf numFmtId="14" fontId="50" fillId="0" borderId="0">
      <alignment horizontal="center" wrapText="1"/>
      <protection locked="0"/>
    </xf>
    <xf numFmtId="313" fontId="67" fillId="0" borderId="0" applyFont="0" applyFill="0" applyBorder="0" applyAlignment="0" applyProtection="0"/>
    <xf numFmtId="314" fontId="114" fillId="0" borderId="0" applyFont="0" applyFill="0" applyBorder="0" applyAlignment="0" applyProtection="0"/>
    <xf numFmtId="315" fontId="139" fillId="0" borderId="0" applyFont="0" applyFill="0" applyBorder="0" applyAlignment="0" applyProtection="0"/>
    <xf numFmtId="316" fontId="2" fillId="0" borderId="0" applyFont="0" applyFill="0" applyBorder="0" applyAlignment="0" applyProtection="0"/>
    <xf numFmtId="316" fontId="2" fillId="0" borderId="0" applyFont="0" applyFill="0" applyBorder="0" applyAlignment="0" applyProtection="0"/>
    <xf numFmtId="316" fontId="2" fillId="0" borderId="0" applyFont="0" applyFill="0" applyBorder="0" applyAlignment="0" applyProtection="0"/>
    <xf numFmtId="316" fontId="2" fillId="0" borderId="0" applyFont="0" applyFill="0" applyBorder="0" applyAlignment="0" applyProtection="0"/>
    <xf numFmtId="316" fontId="2" fillId="0" borderId="0" applyFont="0" applyFill="0" applyBorder="0" applyAlignment="0" applyProtection="0"/>
    <xf numFmtId="316" fontId="2" fillId="0" borderId="0" applyFont="0" applyFill="0" applyBorder="0" applyAlignment="0" applyProtection="0"/>
    <xf numFmtId="316" fontId="2" fillId="0" borderId="0" applyFont="0" applyFill="0" applyBorder="0" applyAlignment="0" applyProtection="0"/>
    <xf numFmtId="316" fontId="2" fillId="0" borderId="0" applyFont="0" applyFill="0" applyBorder="0" applyAlignment="0" applyProtection="0"/>
    <xf numFmtId="316" fontId="2" fillId="0" borderId="0" applyFont="0" applyFill="0" applyBorder="0" applyAlignment="0" applyProtection="0"/>
    <xf numFmtId="316" fontId="2" fillId="0" borderId="0" applyFont="0" applyFill="0" applyBorder="0" applyAlignment="0" applyProtection="0"/>
    <xf numFmtId="316" fontId="2" fillId="0" borderId="0" applyFont="0" applyFill="0" applyBorder="0" applyAlignment="0" applyProtection="0"/>
    <xf numFmtId="316" fontId="2" fillId="0" borderId="0" applyFont="0" applyFill="0" applyBorder="0" applyAlignment="0" applyProtection="0"/>
    <xf numFmtId="316" fontId="2" fillId="0" borderId="0" applyFont="0" applyFill="0" applyBorder="0" applyAlignment="0" applyProtection="0"/>
    <xf numFmtId="316" fontId="2" fillId="0" borderId="0" applyFont="0" applyFill="0" applyBorder="0" applyAlignment="0" applyProtection="0"/>
    <xf numFmtId="316" fontId="2" fillId="0" borderId="0" applyFont="0" applyFill="0" applyBorder="0" applyAlignment="0" applyProtection="0"/>
    <xf numFmtId="259" fontId="2" fillId="0" borderId="0" applyFont="0" applyFill="0" applyBorder="0" applyAlignment="0" applyProtection="0"/>
    <xf numFmtId="259" fontId="2" fillId="0" borderId="0" applyFont="0" applyFill="0" applyBorder="0" applyAlignment="0" applyProtection="0"/>
    <xf numFmtId="259" fontId="2" fillId="0" borderId="0" applyFont="0" applyFill="0" applyBorder="0" applyAlignment="0" applyProtection="0"/>
    <xf numFmtId="259" fontId="2" fillId="0" borderId="0" applyFont="0" applyFill="0" applyBorder="0" applyAlignment="0" applyProtection="0"/>
    <xf numFmtId="259" fontId="2" fillId="0" borderId="0" applyFont="0" applyFill="0" applyBorder="0" applyAlignment="0" applyProtection="0"/>
    <xf numFmtId="259" fontId="2" fillId="0" borderId="0" applyFont="0" applyFill="0" applyBorder="0" applyAlignment="0" applyProtection="0"/>
    <xf numFmtId="259" fontId="2" fillId="0" borderId="0" applyFont="0" applyFill="0" applyBorder="0" applyAlignment="0" applyProtection="0"/>
    <xf numFmtId="259" fontId="2" fillId="0" borderId="0" applyFont="0" applyFill="0" applyBorder="0" applyAlignment="0" applyProtection="0"/>
    <xf numFmtId="259" fontId="2" fillId="0" borderId="0" applyFont="0" applyFill="0" applyBorder="0" applyAlignment="0" applyProtection="0"/>
    <xf numFmtId="259" fontId="2" fillId="0" borderId="0" applyFont="0" applyFill="0" applyBorder="0" applyAlignment="0" applyProtection="0"/>
    <xf numFmtId="259" fontId="2" fillId="0" borderId="0" applyFont="0" applyFill="0" applyBorder="0" applyAlignment="0" applyProtection="0"/>
    <xf numFmtId="259" fontId="2" fillId="0" borderId="0" applyFont="0" applyFill="0" applyBorder="0" applyAlignment="0" applyProtection="0"/>
    <xf numFmtId="259" fontId="2" fillId="0" borderId="0" applyFont="0" applyFill="0" applyBorder="0" applyAlignment="0" applyProtection="0"/>
    <xf numFmtId="259" fontId="2" fillId="0" borderId="0" applyFont="0" applyFill="0" applyBorder="0" applyAlignment="0" applyProtection="0"/>
    <xf numFmtId="317" fontId="2" fillId="0" borderId="0" applyFont="0" applyFill="0" applyBorder="0" applyAlignment="0" applyProtection="0"/>
    <xf numFmtId="317" fontId="2" fillId="0" borderId="0" applyFont="0" applyFill="0" applyBorder="0" applyAlignment="0" applyProtection="0"/>
    <xf numFmtId="317" fontId="2" fillId="0" borderId="0" applyFont="0" applyFill="0" applyBorder="0" applyAlignment="0" applyProtection="0"/>
    <xf numFmtId="317" fontId="2" fillId="0" borderId="0" applyFont="0" applyFill="0" applyBorder="0" applyAlignment="0" applyProtection="0"/>
    <xf numFmtId="317" fontId="2" fillId="0" borderId="0" applyFont="0" applyFill="0" applyBorder="0" applyAlignment="0" applyProtection="0"/>
    <xf numFmtId="317" fontId="2" fillId="0" borderId="0" applyFont="0" applyFill="0" applyBorder="0" applyAlignment="0" applyProtection="0"/>
    <xf numFmtId="317" fontId="2" fillId="0" borderId="0" applyFont="0" applyFill="0" applyBorder="0" applyAlignment="0" applyProtection="0"/>
    <xf numFmtId="317" fontId="2" fillId="0" borderId="0" applyFont="0" applyFill="0" applyBorder="0" applyAlignment="0" applyProtection="0"/>
    <xf numFmtId="317" fontId="2" fillId="0" borderId="0" applyFont="0" applyFill="0" applyBorder="0" applyAlignment="0" applyProtection="0"/>
    <xf numFmtId="317" fontId="2" fillId="0" borderId="0" applyFont="0" applyFill="0" applyBorder="0" applyAlignment="0" applyProtection="0"/>
    <xf numFmtId="317" fontId="2" fillId="0" borderId="0" applyFont="0" applyFill="0" applyBorder="0" applyAlignment="0" applyProtection="0"/>
    <xf numFmtId="317" fontId="2" fillId="0" borderId="0" applyFont="0" applyFill="0" applyBorder="0" applyAlignment="0" applyProtection="0"/>
    <xf numFmtId="317" fontId="2" fillId="0" borderId="0" applyFont="0" applyFill="0" applyBorder="0" applyAlignment="0" applyProtection="0"/>
    <xf numFmtId="317"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64" fillId="0" borderId="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318" fontId="139" fillId="0" borderId="0" applyFont="0" applyFill="0" applyBorder="0" applyAlignment="0" applyProtection="0"/>
    <xf numFmtId="319" fontId="114" fillId="0" borderId="0" applyFont="0" applyFill="0" applyBorder="0" applyAlignment="0" applyProtection="0"/>
    <xf numFmtId="320" fontId="139" fillId="0" borderId="0" applyFont="0" applyFill="0" applyBorder="0" applyAlignment="0" applyProtection="0"/>
    <xf numFmtId="321" fontId="114" fillId="0" borderId="0" applyFont="0" applyFill="0" applyBorder="0" applyAlignment="0" applyProtection="0"/>
    <xf numFmtId="322" fontId="139" fillId="0" borderId="0" applyFont="0" applyFill="0" applyBorder="0" applyAlignment="0" applyProtection="0"/>
    <xf numFmtId="323" fontId="114"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0"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61"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256" fontId="2" fillId="0" borderId="0" applyFill="0" applyBorder="0" applyAlignment="0"/>
    <xf numFmtId="1" fontId="1" fillId="0" borderId="4" applyNumberFormat="0" applyFill="0" applyAlignment="0" applyProtection="0">
      <alignment horizontal="center" vertical="center"/>
    </xf>
    <xf numFmtId="0" fontId="164" fillId="0" borderId="0"/>
    <xf numFmtId="252" fontId="42" fillId="0" borderId="0" applyFont="0" applyFill="0" applyBorder="0" applyAlignment="0" applyProtection="0"/>
    <xf numFmtId="0" fontId="12" fillId="0" borderId="0" applyNumberFormat="0" applyFill="0" applyBorder="0" applyAlignment="0" applyProtection="0"/>
    <xf numFmtId="0" fontId="12" fillId="0" borderId="0" applyProtection="0"/>
    <xf numFmtId="249" fontId="42" fillId="0" borderId="0" applyFont="0" applyFill="0" applyBorder="0" applyAlignment="0" applyProtection="0"/>
    <xf numFmtId="41" fontId="64" fillId="0" borderId="0" applyProtection="0"/>
    <xf numFmtId="4" fontId="69" fillId="49" borderId="33" applyNumberFormat="0" applyProtection="0">
      <alignment vertical="center"/>
    </xf>
    <xf numFmtId="4" fontId="70" fillId="49" borderId="33" applyNumberFormat="0" applyProtection="0">
      <alignment horizontal="left" vertical="center" indent="1"/>
    </xf>
    <xf numFmtId="4" fontId="70" fillId="50" borderId="0" applyNumberFormat="0" applyProtection="0">
      <alignment horizontal="left" vertical="center" indent="1"/>
    </xf>
    <xf numFmtId="4" fontId="70" fillId="51" borderId="33" applyNumberFormat="0" applyProtection="0">
      <alignment horizontal="right" vertical="center"/>
    </xf>
    <xf numFmtId="4" fontId="70" fillId="52" borderId="33" applyNumberFormat="0" applyProtection="0">
      <alignment horizontal="right" vertical="center"/>
    </xf>
    <xf numFmtId="4" fontId="70" fillId="53" borderId="33" applyNumberFormat="0" applyProtection="0">
      <alignment horizontal="right" vertical="center"/>
    </xf>
    <xf numFmtId="4" fontId="70" fillId="54" borderId="33" applyNumberFormat="0" applyProtection="0">
      <alignment horizontal="right" vertical="center"/>
    </xf>
    <xf numFmtId="4" fontId="70" fillId="55" borderId="33" applyNumberFormat="0" applyProtection="0">
      <alignment horizontal="right" vertical="center"/>
    </xf>
    <xf numFmtId="4" fontId="70" fillId="56" borderId="33" applyNumberFormat="0" applyProtection="0">
      <alignment horizontal="right" vertical="center"/>
    </xf>
    <xf numFmtId="4" fontId="70" fillId="57" borderId="33" applyNumberFormat="0" applyProtection="0">
      <alignment horizontal="right" vertical="center"/>
    </xf>
    <xf numFmtId="4" fontId="70" fillId="58" borderId="33" applyNumberFormat="0" applyProtection="0">
      <alignment horizontal="right" vertical="center"/>
    </xf>
    <xf numFmtId="4" fontId="70" fillId="59" borderId="33" applyNumberFormat="0" applyProtection="0">
      <alignment horizontal="right" vertical="center"/>
    </xf>
    <xf numFmtId="4" fontId="69" fillId="60" borderId="34" applyNumberFormat="0" applyProtection="0">
      <alignment horizontal="left" vertical="center" indent="1"/>
    </xf>
    <xf numFmtId="4" fontId="69" fillId="61" borderId="0" applyNumberFormat="0" applyProtection="0">
      <alignment horizontal="left" vertical="center" indent="1"/>
    </xf>
    <xf numFmtId="4" fontId="69" fillId="50" borderId="0" applyNumberFormat="0" applyProtection="0">
      <alignment horizontal="left" vertical="center" indent="1"/>
    </xf>
    <xf numFmtId="4" fontId="70" fillId="61" borderId="33" applyNumberFormat="0" applyProtection="0">
      <alignment horizontal="right" vertical="center"/>
    </xf>
    <xf numFmtId="4" fontId="53" fillId="61" borderId="0" applyNumberFormat="0" applyProtection="0">
      <alignment horizontal="left" vertical="center" indent="1"/>
    </xf>
    <xf numFmtId="4" fontId="53" fillId="50" borderId="0" applyNumberFormat="0" applyProtection="0">
      <alignment horizontal="left" vertical="center" indent="1"/>
    </xf>
    <xf numFmtId="4" fontId="70" fillId="62" borderId="33" applyNumberFormat="0" applyProtection="0">
      <alignment vertical="center"/>
    </xf>
    <xf numFmtId="4" fontId="71" fillId="62" borderId="33" applyNumberFormat="0" applyProtection="0">
      <alignment vertical="center"/>
    </xf>
    <xf numFmtId="4" fontId="69" fillId="61" borderId="35" applyNumberFormat="0" applyProtection="0">
      <alignment horizontal="left" vertical="center" indent="1"/>
    </xf>
    <xf numFmtId="4" fontId="70" fillId="62" borderId="33" applyNumberFormat="0" applyProtection="0">
      <alignment horizontal="right" vertical="center"/>
    </xf>
    <xf numFmtId="4" fontId="71" fillId="62" borderId="33" applyNumberFormat="0" applyProtection="0">
      <alignment horizontal="right" vertical="center"/>
    </xf>
    <xf numFmtId="4" fontId="69" fillId="61" borderId="33" applyNumberFormat="0" applyProtection="0">
      <alignment horizontal="left" vertical="center" indent="1"/>
    </xf>
    <xf numFmtId="4" fontId="72" fillId="62" borderId="33" applyNumberFormat="0" applyProtection="0">
      <alignment horizontal="right" vertical="center"/>
    </xf>
    <xf numFmtId="178" fontId="42" fillId="0" borderId="0" applyFont="0" applyFill="0" applyBorder="0" applyAlignment="0" applyProtection="0"/>
    <xf numFmtId="250" fontId="42" fillId="0" borderId="0" applyFont="0" applyFill="0" applyBorder="0" applyAlignment="0" applyProtection="0"/>
    <xf numFmtId="41" fontId="42" fillId="0" borderId="0" applyFont="0" applyFill="0" applyBorder="0" applyAlignment="0" applyProtection="0"/>
    <xf numFmtId="252" fontId="42" fillId="0" borderId="0" applyFont="0" applyFill="0" applyBorder="0" applyAlignment="0" applyProtection="0"/>
    <xf numFmtId="253" fontId="42" fillId="0" borderId="0" applyFont="0" applyFill="0" applyBorder="0" applyAlignment="0" applyProtection="0"/>
    <xf numFmtId="250" fontId="42" fillId="0" borderId="0" applyFont="0" applyFill="0" applyBorder="0" applyAlignment="0" applyProtection="0"/>
    <xf numFmtId="250" fontId="42" fillId="0" borderId="0" applyFont="0" applyFill="0" applyBorder="0" applyAlignment="0" applyProtection="0"/>
    <xf numFmtId="18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234" fontId="42" fillId="0" borderId="0" applyFont="0" applyFill="0" applyBorder="0" applyAlignment="0" applyProtection="0"/>
    <xf numFmtId="234"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237" fontId="42" fillId="0" borderId="0" applyFont="0" applyFill="0" applyBorder="0" applyAlignment="0" applyProtection="0"/>
    <xf numFmtId="237" fontId="42" fillId="0" borderId="0" applyFont="0" applyFill="0" applyBorder="0" applyAlignment="0" applyProtection="0"/>
    <xf numFmtId="42" fontId="42" fillId="0" borderId="0" applyFont="0" applyFill="0" applyBorder="0" applyAlignment="0" applyProtection="0"/>
    <xf numFmtId="237" fontId="42" fillId="0" borderId="0" applyFont="0" applyFill="0" applyBorder="0" applyAlignment="0" applyProtection="0"/>
    <xf numFmtId="42" fontId="42" fillId="0" borderId="0" applyFont="0" applyFill="0" applyBorder="0" applyAlignment="0" applyProtection="0"/>
    <xf numFmtId="237" fontId="42" fillId="0" borderId="0" applyFont="0" applyFill="0" applyBorder="0" applyAlignment="0" applyProtection="0"/>
    <xf numFmtId="181" fontId="42" fillId="0" borderId="0" applyFont="0" applyFill="0" applyBorder="0" applyAlignment="0" applyProtection="0"/>
    <xf numFmtId="184"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184" fontId="39" fillId="0" borderId="0" applyFont="0" applyFill="0" applyBorder="0" applyAlignment="0" applyProtection="0"/>
    <xf numFmtId="183" fontId="42" fillId="0" borderId="0" applyFont="0" applyFill="0" applyBorder="0" applyAlignment="0" applyProtection="0"/>
    <xf numFmtId="184" fontId="42" fillId="0" borderId="0" applyFont="0" applyFill="0" applyBorder="0" applyAlignment="0" applyProtection="0"/>
    <xf numFmtId="246" fontId="42" fillId="0" borderId="0" applyFont="0" applyFill="0" applyBorder="0" applyAlignment="0" applyProtection="0"/>
    <xf numFmtId="237" fontId="42" fillId="0" borderId="0" applyFont="0" applyFill="0" applyBorder="0" applyAlignment="0" applyProtection="0"/>
    <xf numFmtId="237" fontId="42" fillId="0" borderId="0" applyFont="0" applyFill="0" applyBorder="0" applyAlignment="0" applyProtection="0"/>
    <xf numFmtId="181" fontId="42" fillId="0" borderId="0" applyFont="0" applyFill="0" applyBorder="0" applyAlignment="0" applyProtection="0"/>
    <xf numFmtId="42" fontId="42" fillId="0" borderId="0" applyFont="0" applyFill="0" applyBorder="0" applyAlignment="0" applyProtection="0"/>
    <xf numFmtId="0" fontId="49" fillId="0" borderId="0"/>
    <xf numFmtId="220" fontId="68" fillId="0" borderId="0" applyFont="0" applyFill="0" applyBorder="0" applyAlignment="0" applyProtection="0"/>
    <xf numFmtId="234" fontId="42" fillId="0" borderId="0" applyFont="0" applyFill="0" applyBorder="0" applyAlignment="0" applyProtection="0"/>
    <xf numFmtId="234"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237" fontId="42" fillId="0" borderId="0" applyFont="0" applyFill="0" applyBorder="0" applyAlignment="0" applyProtection="0"/>
    <xf numFmtId="237" fontId="42" fillId="0" borderId="0" applyFont="0" applyFill="0" applyBorder="0" applyAlignment="0" applyProtection="0"/>
    <xf numFmtId="42" fontId="42" fillId="0" borderId="0" applyFont="0" applyFill="0" applyBorder="0" applyAlignment="0" applyProtection="0"/>
    <xf numFmtId="248" fontId="42" fillId="0" borderId="0" applyFont="0" applyFill="0" applyBorder="0" applyAlignment="0" applyProtection="0"/>
    <xf numFmtId="237" fontId="42" fillId="0" borderId="0" applyFont="0" applyFill="0" applyBorder="0" applyAlignment="0" applyProtection="0"/>
    <xf numFmtId="42" fontId="42" fillId="0" borderId="0" applyFont="0" applyFill="0" applyBorder="0" applyAlignment="0" applyProtection="0"/>
    <xf numFmtId="237" fontId="42" fillId="0" borderId="0" applyFont="0" applyFill="0" applyBorder="0" applyAlignment="0" applyProtection="0"/>
    <xf numFmtId="184"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183" fontId="42" fillId="0" borderId="0" applyFont="0" applyFill="0" applyBorder="0" applyAlignment="0" applyProtection="0"/>
    <xf numFmtId="184" fontId="39" fillId="0" borderId="0" applyFont="0" applyFill="0" applyBorder="0" applyAlignment="0" applyProtection="0"/>
    <xf numFmtId="183" fontId="42" fillId="0" borderId="0" applyFont="0" applyFill="0" applyBorder="0" applyAlignment="0" applyProtection="0"/>
    <xf numFmtId="184" fontId="42" fillId="0" borderId="0" applyFont="0" applyFill="0" applyBorder="0" applyAlignment="0" applyProtection="0"/>
    <xf numFmtId="248" fontId="42" fillId="0" borderId="0" applyFont="0" applyFill="0" applyBorder="0" applyAlignment="0" applyProtection="0"/>
    <xf numFmtId="246" fontId="42" fillId="0" borderId="0" applyFont="0" applyFill="0" applyBorder="0" applyAlignment="0" applyProtection="0"/>
    <xf numFmtId="237" fontId="42" fillId="0" borderId="0" applyFont="0" applyFill="0" applyBorder="0" applyAlignment="0" applyProtection="0"/>
    <xf numFmtId="237" fontId="42" fillId="0" borderId="0" applyFont="0" applyFill="0" applyBorder="0" applyAlignment="0" applyProtection="0"/>
    <xf numFmtId="42" fontId="42" fillId="0" borderId="0" applyFont="0" applyFill="0" applyBorder="0" applyAlignment="0" applyProtection="0"/>
    <xf numFmtId="0" fontId="49" fillId="0" borderId="0"/>
    <xf numFmtId="220" fontId="68" fillId="0" borderId="0" applyFont="0" applyFill="0" applyBorder="0" applyAlignment="0" applyProtection="0"/>
    <xf numFmtId="181" fontId="42" fillId="0" borderId="0" applyFont="0" applyFill="0" applyBorder="0" applyAlignment="0" applyProtection="0"/>
    <xf numFmtId="248" fontId="42" fillId="0" borderId="0" applyFont="0" applyFill="0" applyBorder="0" applyAlignment="0" applyProtection="0"/>
    <xf numFmtId="181" fontId="42" fillId="0" borderId="0" applyFont="0" applyFill="0" applyBorder="0" applyAlignment="0" applyProtection="0"/>
    <xf numFmtId="252" fontId="42" fillId="0" borderId="0" applyFont="0" applyFill="0" applyBorder="0" applyAlignment="0" applyProtection="0"/>
    <xf numFmtId="247" fontId="42" fillId="0" borderId="0" applyFont="0" applyFill="0" applyBorder="0" applyAlignment="0" applyProtection="0"/>
    <xf numFmtId="247" fontId="42" fillId="0" borderId="0" applyFont="0" applyFill="0" applyBorder="0" applyAlignment="0" applyProtection="0"/>
    <xf numFmtId="190" fontId="42" fillId="0" borderId="0" applyFont="0" applyFill="0" applyBorder="0" applyAlignment="0" applyProtection="0"/>
    <xf numFmtId="248" fontId="42" fillId="0" borderId="0" applyFont="0" applyFill="0" applyBorder="0" applyAlignment="0" applyProtection="0"/>
    <xf numFmtId="183" fontId="42" fillId="0" borderId="0" applyFont="0" applyFill="0" applyBorder="0" applyAlignment="0" applyProtection="0"/>
    <xf numFmtId="248" fontId="42" fillId="0" borderId="0" applyFont="0" applyFill="0" applyBorder="0" applyAlignment="0" applyProtection="0"/>
    <xf numFmtId="184" fontId="39" fillId="0" borderId="0" applyFont="0" applyFill="0" applyBorder="0" applyAlignment="0" applyProtection="0"/>
    <xf numFmtId="190" fontId="42" fillId="0" borderId="0" applyFont="0" applyFill="0" applyBorder="0" applyAlignment="0" applyProtection="0"/>
    <xf numFmtId="184" fontId="42" fillId="0" borderId="0" applyFont="0" applyFill="0" applyBorder="0" applyAlignment="0" applyProtection="0"/>
    <xf numFmtId="181" fontId="39" fillId="0" borderId="0" applyFont="0" applyFill="0" applyBorder="0" applyAlignment="0" applyProtection="0"/>
    <xf numFmtId="0" fontId="49" fillId="0" borderId="0"/>
    <xf numFmtId="251" fontId="42" fillId="0" borderId="0" applyFont="0" applyFill="0" applyBorder="0" applyAlignment="0" applyProtection="0"/>
    <xf numFmtId="220" fontId="68" fillId="0" borderId="0" applyFont="0" applyFill="0" applyBorder="0" applyAlignment="0" applyProtection="0"/>
    <xf numFmtId="181" fontId="42" fillId="0" borderId="0" applyFont="0" applyFill="0" applyBorder="0" applyAlignment="0" applyProtection="0"/>
    <xf numFmtId="190" fontId="42" fillId="0" borderId="0" applyFont="0" applyFill="0" applyBorder="0" applyAlignment="0" applyProtection="0"/>
    <xf numFmtId="169" fontId="75" fillId="0" borderId="0" applyFont="0" applyFill="0" applyBorder="0" applyAlignment="0" applyProtection="0"/>
    <xf numFmtId="181" fontId="42" fillId="0" borderId="0" applyFont="0" applyFill="0" applyBorder="0" applyAlignment="0" applyProtection="0"/>
    <xf numFmtId="178" fontId="12" fillId="0" borderId="0" applyFont="0" applyFill="0" applyBorder="0" applyAlignment="0" applyProtection="0"/>
    <xf numFmtId="181" fontId="42" fillId="0" borderId="0" applyFont="0" applyFill="0" applyBorder="0" applyAlignment="0" applyProtection="0"/>
    <xf numFmtId="178" fontId="12" fillId="0" borderId="0" applyFont="0" applyFill="0" applyBorder="0" applyAlignment="0" applyProtection="0"/>
    <xf numFmtId="248" fontId="42" fillId="0" borderId="0" applyFont="0" applyFill="0" applyBorder="0" applyAlignment="0" applyProtection="0"/>
    <xf numFmtId="178" fontId="12" fillId="0" borderId="0" applyFont="0" applyFill="0" applyBorder="0" applyAlignment="0" applyProtection="0"/>
    <xf numFmtId="248" fontId="42" fillId="0" borderId="0" applyFont="0" applyFill="0" applyBorder="0" applyAlignment="0" applyProtection="0"/>
    <xf numFmtId="169" fontId="75" fillId="0" borderId="0" applyFont="0" applyFill="0" applyBorder="0" applyAlignment="0" applyProtection="0"/>
    <xf numFmtId="181" fontId="42" fillId="0" borderId="0" applyFont="0" applyFill="0" applyBorder="0" applyAlignment="0" applyProtection="0"/>
    <xf numFmtId="169" fontId="75" fillId="0" borderId="0" applyFont="0" applyFill="0" applyBorder="0" applyAlignment="0" applyProtection="0"/>
    <xf numFmtId="248" fontId="42" fillId="0" borderId="0" applyFont="0" applyFill="0" applyBorder="0" applyAlignment="0" applyProtection="0"/>
    <xf numFmtId="181" fontId="42" fillId="0" borderId="0" applyFont="0" applyFill="0" applyBorder="0" applyAlignment="0" applyProtection="0"/>
    <xf numFmtId="178" fontId="42" fillId="0" borderId="0" applyFont="0" applyFill="0" applyBorder="0" applyAlignment="0" applyProtection="0"/>
    <xf numFmtId="252" fontId="42" fillId="0" borderId="0" applyFont="0" applyFill="0" applyBorder="0" applyAlignment="0" applyProtection="0"/>
    <xf numFmtId="164" fontId="42" fillId="0" borderId="0" applyFont="0" applyFill="0" applyBorder="0" applyAlignment="0" applyProtection="0"/>
    <xf numFmtId="235" fontId="42" fillId="0" borderId="0" applyFont="0" applyFill="0" applyBorder="0" applyAlignment="0" applyProtection="0"/>
    <xf numFmtId="164" fontId="42" fillId="0" borderId="0" applyFont="0" applyFill="0" applyBorder="0" applyAlignment="0" applyProtection="0"/>
    <xf numFmtId="184" fontId="39" fillId="0" borderId="0" applyFont="0" applyFill="0" applyBorder="0" applyAlignment="0" applyProtection="0"/>
    <xf numFmtId="248" fontId="42" fillId="0" borderId="0" applyFont="0" applyFill="0" applyBorder="0" applyAlignment="0" applyProtection="0"/>
    <xf numFmtId="41" fontId="42" fillId="0" borderId="0" applyFont="0" applyFill="0" applyBorder="0" applyAlignment="0" applyProtection="0"/>
    <xf numFmtId="235" fontId="42" fillId="0" borderId="0" applyFont="0" applyFill="0" applyBorder="0" applyAlignment="0" applyProtection="0"/>
    <xf numFmtId="178" fontId="42" fillId="0" borderId="0" applyFont="0" applyFill="0" applyBorder="0" applyAlignment="0" applyProtection="0"/>
    <xf numFmtId="235" fontId="42" fillId="0" borderId="0" applyFont="0" applyFill="0" applyBorder="0" applyAlignment="0" applyProtection="0"/>
    <xf numFmtId="178" fontId="42" fillId="0" borderId="0" applyFont="0" applyFill="0" applyBorder="0" applyAlignment="0" applyProtection="0"/>
    <xf numFmtId="184" fontId="42" fillId="0" borderId="0" applyFont="0" applyFill="0" applyBorder="0" applyAlignment="0" applyProtection="0"/>
    <xf numFmtId="178" fontId="42" fillId="0" borderId="0" applyFont="0" applyFill="0" applyBorder="0" applyAlignment="0" applyProtection="0"/>
    <xf numFmtId="244" fontId="126" fillId="0" borderId="0" applyFont="0" applyFill="0" applyBorder="0" applyAlignment="0" applyProtection="0"/>
    <xf numFmtId="178" fontId="42" fillId="0" borderId="0" applyFont="0" applyFill="0" applyBorder="0" applyAlignment="0" applyProtection="0"/>
    <xf numFmtId="245" fontId="42" fillId="0" borderId="0" applyFont="0" applyFill="0" applyBorder="0" applyAlignment="0" applyProtection="0"/>
    <xf numFmtId="41" fontId="42" fillId="0" borderId="0" applyFont="0" applyFill="0" applyBorder="0" applyAlignment="0" applyProtection="0"/>
    <xf numFmtId="184" fontId="42" fillId="0" borderId="0" applyFont="0" applyFill="0" applyBorder="0" applyAlignment="0" applyProtection="0"/>
    <xf numFmtId="164" fontId="42" fillId="0" borderId="0" applyFont="0" applyFill="0" applyBorder="0" applyAlignment="0" applyProtection="0"/>
    <xf numFmtId="246" fontId="42" fillId="0" borderId="0" applyFont="0" applyFill="0" applyBorder="0" applyAlignment="0" applyProtection="0"/>
    <xf numFmtId="164" fontId="42" fillId="0" borderId="0" applyFont="0" applyFill="0" applyBorder="0" applyAlignment="0" applyProtection="0"/>
    <xf numFmtId="235" fontId="42" fillId="0" borderId="0" applyFont="0" applyFill="0" applyBorder="0" applyAlignment="0" applyProtection="0"/>
    <xf numFmtId="181" fontId="42" fillId="0" borderId="0" applyFont="0" applyFill="0" applyBorder="0" applyAlignment="0" applyProtection="0"/>
    <xf numFmtId="184" fontId="39" fillId="0" borderId="0" applyFont="0" applyFill="0" applyBorder="0" applyAlignment="0" applyProtection="0"/>
    <xf numFmtId="178" fontId="42" fillId="0" borderId="0" applyFont="0" applyFill="0" applyBorder="0" applyAlignment="0" applyProtection="0"/>
    <xf numFmtId="235" fontId="42" fillId="0" borderId="0" applyFont="0" applyFill="0" applyBorder="0" applyAlignment="0" applyProtection="0"/>
    <xf numFmtId="178" fontId="42" fillId="0" borderId="0" applyFont="0" applyFill="0" applyBorder="0" applyAlignment="0" applyProtection="0"/>
    <xf numFmtId="235" fontId="42" fillId="0" borderId="0" applyFont="0" applyFill="0" applyBorder="0" applyAlignment="0" applyProtection="0"/>
    <xf numFmtId="181" fontId="42" fillId="0" borderId="0" applyFont="0" applyFill="0" applyBorder="0" applyAlignment="0" applyProtection="0"/>
    <xf numFmtId="184" fontId="42" fillId="0" borderId="0" applyFont="0" applyFill="0" applyBorder="0" applyAlignment="0" applyProtection="0"/>
    <xf numFmtId="181" fontId="42" fillId="0" borderId="0" applyFont="0" applyFill="0" applyBorder="0" applyAlignment="0" applyProtection="0"/>
    <xf numFmtId="244" fontId="126" fillId="0" borderId="0" applyFont="0" applyFill="0" applyBorder="0" applyAlignment="0" applyProtection="0"/>
    <xf numFmtId="164" fontId="42" fillId="0" borderId="0" applyFont="0" applyFill="0" applyBorder="0" applyAlignment="0" applyProtection="0"/>
    <xf numFmtId="245" fontId="42" fillId="0" borderId="0" applyFont="0" applyFill="0" applyBorder="0" applyAlignment="0" applyProtection="0"/>
    <xf numFmtId="41" fontId="42" fillId="0" borderId="0" applyFont="0" applyFill="0" applyBorder="0" applyAlignment="0" applyProtection="0"/>
    <xf numFmtId="184" fontId="42" fillId="0" borderId="0" applyFont="0" applyFill="0" applyBorder="0" applyAlignment="0" applyProtection="0"/>
    <xf numFmtId="178" fontId="42" fillId="0" borderId="0" applyFont="0" applyFill="0" applyBorder="0" applyAlignment="0" applyProtection="0"/>
    <xf numFmtId="246" fontId="42" fillId="0" borderId="0" applyFont="0" applyFill="0" applyBorder="0" applyAlignment="0" applyProtection="0"/>
    <xf numFmtId="181" fontId="42" fillId="0" borderId="0" applyFont="0" applyFill="0" applyBorder="0" applyAlignment="0" applyProtection="0"/>
    <xf numFmtId="41" fontId="42" fillId="0" borderId="0" applyFont="0" applyFill="0" applyBorder="0" applyAlignment="0" applyProtection="0"/>
    <xf numFmtId="181" fontId="42" fillId="0" borderId="0" applyFont="0" applyFill="0" applyBorder="0" applyAlignment="0" applyProtection="0"/>
    <xf numFmtId="41" fontId="42" fillId="0" borderId="0" applyFont="0" applyFill="0" applyBorder="0" applyAlignment="0" applyProtection="0"/>
    <xf numFmtId="248" fontId="42" fillId="0" borderId="0" applyFont="0" applyFill="0" applyBorder="0" applyAlignment="0" applyProtection="0"/>
    <xf numFmtId="178" fontId="42" fillId="0" borderId="0" applyFont="0" applyFill="0" applyBorder="0" applyAlignment="0" applyProtection="0"/>
    <xf numFmtId="41" fontId="42" fillId="0" borderId="0" applyFont="0" applyFill="0" applyBorder="0" applyAlignment="0" applyProtection="0"/>
    <xf numFmtId="252" fontId="42" fillId="0" borderId="0" applyFont="0" applyFill="0" applyBorder="0" applyAlignment="0" applyProtection="0"/>
    <xf numFmtId="253" fontId="42" fillId="0" borderId="0" applyFont="0" applyFill="0" applyBorder="0" applyAlignment="0" applyProtection="0"/>
    <xf numFmtId="41" fontId="42" fillId="0" borderId="0" applyFont="0" applyFill="0" applyBorder="0" applyAlignment="0" applyProtection="0"/>
    <xf numFmtId="42" fontId="42" fillId="0" borderId="0" applyFont="0" applyFill="0" applyBorder="0" applyAlignment="0" applyProtection="0"/>
    <xf numFmtId="42" fontId="42" fillId="0" borderId="0" applyFont="0" applyFill="0" applyBorder="0" applyAlignment="0" applyProtection="0"/>
    <xf numFmtId="184" fontId="42" fillId="0" borderId="0" applyFont="0" applyFill="0" applyBorder="0" applyAlignment="0" applyProtection="0"/>
    <xf numFmtId="183" fontId="42" fillId="0" borderId="0" applyFont="0" applyFill="0" applyBorder="0" applyAlignment="0" applyProtection="0"/>
    <xf numFmtId="184" fontId="39" fillId="0" borderId="0" applyFont="0" applyFill="0" applyBorder="0" applyAlignment="0" applyProtection="0"/>
    <xf numFmtId="248" fontId="42" fillId="0" borderId="0" applyFont="0" applyFill="0" applyBorder="0" applyAlignment="0" applyProtection="0"/>
    <xf numFmtId="183" fontId="42" fillId="0" borderId="0" applyFont="0" applyFill="0" applyBorder="0" applyAlignment="0" applyProtection="0"/>
    <xf numFmtId="184" fontId="42" fillId="0" borderId="0" applyFont="0" applyFill="0" applyBorder="0" applyAlignment="0" applyProtection="0"/>
    <xf numFmtId="246" fontId="42" fillId="0" borderId="0" applyFont="0" applyFill="0" applyBorder="0" applyAlignment="0" applyProtection="0"/>
    <xf numFmtId="0" fontId="49" fillId="0" borderId="0"/>
    <xf numFmtId="220" fontId="68" fillId="0" borderId="0" applyFont="0" applyFill="0" applyBorder="0" applyAlignment="0" applyProtection="0"/>
    <xf numFmtId="164" fontId="42" fillId="0" borderId="0" applyFont="0" applyFill="0" applyBorder="0" applyAlignment="0" applyProtection="0"/>
    <xf numFmtId="178" fontId="42" fillId="0" borderId="0" applyFont="0" applyFill="0" applyBorder="0" applyAlignment="0" applyProtection="0"/>
    <xf numFmtId="164" fontId="42" fillId="0" borderId="0" applyFont="0" applyFill="0" applyBorder="0" applyAlignment="0" applyProtection="0"/>
    <xf numFmtId="181" fontId="42" fillId="0" borderId="0" applyFont="0" applyFill="0" applyBorder="0" applyAlignment="0" applyProtection="0"/>
    <xf numFmtId="178" fontId="42" fillId="0" borderId="0" applyFont="0" applyFill="0" applyBorder="0" applyAlignment="0" applyProtection="0"/>
    <xf numFmtId="190" fontId="42" fillId="0" borderId="0" applyFont="0" applyFill="0" applyBorder="0" applyAlignment="0" applyProtection="0"/>
    <xf numFmtId="178" fontId="42" fillId="0" borderId="0" applyFont="0" applyFill="0" applyBorder="0" applyAlignment="0" applyProtection="0"/>
    <xf numFmtId="178"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181" fontId="42" fillId="0" borderId="0" applyFont="0" applyFill="0" applyBorder="0" applyAlignment="0" applyProtection="0"/>
    <xf numFmtId="250" fontId="42" fillId="0" borderId="0" applyFont="0" applyFill="0" applyBorder="0" applyAlignment="0" applyProtection="0"/>
    <xf numFmtId="164" fontId="42" fillId="0" borderId="0" applyFont="0" applyFill="0" applyBorder="0" applyAlignment="0" applyProtection="0"/>
    <xf numFmtId="41" fontId="42" fillId="0" borderId="0" applyFont="0" applyFill="0" applyBorder="0" applyAlignment="0" applyProtection="0"/>
    <xf numFmtId="178" fontId="42" fillId="0" borderId="0" applyFont="0" applyFill="0" applyBorder="0" applyAlignment="0" applyProtection="0"/>
    <xf numFmtId="181" fontId="39" fillId="0" borderId="0" applyFont="0" applyFill="0" applyBorder="0" applyAlignment="0" applyProtection="0"/>
    <xf numFmtId="178" fontId="42" fillId="0" borderId="0" applyFont="0" applyFill="0" applyBorder="0" applyAlignment="0" applyProtection="0"/>
    <xf numFmtId="181" fontId="42" fillId="0" borderId="0" applyFont="0" applyFill="0" applyBorder="0" applyAlignment="0" applyProtection="0"/>
    <xf numFmtId="178" fontId="42" fillId="0" borderId="0" applyFont="0" applyFill="0" applyBorder="0" applyAlignment="0" applyProtection="0"/>
    <xf numFmtId="41" fontId="42" fillId="0" borderId="0" applyFont="0" applyFill="0" applyBorder="0" applyAlignment="0" applyProtection="0"/>
    <xf numFmtId="178" fontId="42" fillId="0" borderId="0" applyFont="0" applyFill="0" applyBorder="0" applyAlignment="0" applyProtection="0"/>
    <xf numFmtId="250" fontId="42" fillId="0" borderId="0" applyFont="0" applyFill="0" applyBorder="0" applyAlignment="0" applyProtection="0"/>
    <xf numFmtId="164" fontId="42" fillId="0" borderId="0" applyFont="0" applyFill="0" applyBorder="0" applyAlignment="0" applyProtection="0"/>
    <xf numFmtId="250" fontId="42" fillId="0" borderId="0" applyFont="0" applyFill="0" applyBorder="0" applyAlignment="0" applyProtection="0"/>
    <xf numFmtId="181" fontId="42" fillId="0" borderId="0" applyFont="0" applyFill="0" applyBorder="0" applyAlignment="0" applyProtection="0"/>
    <xf numFmtId="41" fontId="42" fillId="0" borderId="0" applyFont="0" applyFill="0" applyBorder="0" applyAlignment="0" applyProtection="0"/>
    <xf numFmtId="14" fontId="176" fillId="0" borderId="0"/>
    <xf numFmtId="0" fontId="177" fillId="0" borderId="0"/>
    <xf numFmtId="221" fontId="68" fillId="0" borderId="6">
      <alignment horizontal="right" vertical="center"/>
    </xf>
    <xf numFmtId="210" fontId="178" fillId="0" borderId="6">
      <alignment horizontal="right" vertical="center"/>
    </xf>
    <xf numFmtId="210" fontId="178" fillId="0" borderId="6">
      <alignment horizontal="right" vertical="center"/>
    </xf>
    <xf numFmtId="221" fontId="68"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325" fontId="42" fillId="0" borderId="6">
      <alignment horizontal="right" vertical="center"/>
    </xf>
    <xf numFmtId="325" fontId="42"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326" fontId="135" fillId="0" borderId="6">
      <alignment horizontal="right" vertical="center"/>
    </xf>
    <xf numFmtId="327" fontId="1" fillId="0" borderId="6">
      <alignment horizontal="right" vertical="center"/>
    </xf>
    <xf numFmtId="327" fontId="1" fillId="0" borderId="6">
      <alignment horizontal="right" vertical="center"/>
    </xf>
    <xf numFmtId="325" fontId="42" fillId="0" borderId="6">
      <alignment horizontal="right" vertical="center"/>
    </xf>
    <xf numFmtId="325" fontId="42"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7" fontId="2" fillId="0" borderId="6">
      <alignment horizontal="right" vertical="center"/>
    </xf>
    <xf numFmtId="327" fontId="2" fillId="0" borderId="6">
      <alignment horizontal="right" vertical="center"/>
    </xf>
    <xf numFmtId="327" fontId="1" fillId="0" borderId="6">
      <alignment horizontal="right" vertical="center"/>
    </xf>
    <xf numFmtId="327" fontId="1" fillId="0" borderId="6">
      <alignment horizontal="right" vertical="center"/>
    </xf>
    <xf numFmtId="327" fontId="1" fillId="0" borderId="6">
      <alignment horizontal="right" vertical="center"/>
    </xf>
    <xf numFmtId="327" fontId="1"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5" fontId="42" fillId="0" borderId="6">
      <alignment horizontal="right" vertical="center"/>
    </xf>
    <xf numFmtId="325" fontId="42" fillId="0" borderId="6">
      <alignment horizontal="right" vertical="center"/>
    </xf>
    <xf numFmtId="327" fontId="2" fillId="0" borderId="6">
      <alignment horizontal="right" vertical="center"/>
    </xf>
    <xf numFmtId="327" fontId="2" fillId="0" borderId="6">
      <alignment horizontal="right" vertical="center"/>
    </xf>
    <xf numFmtId="327" fontId="1" fillId="0" borderId="6">
      <alignment horizontal="right" vertical="center"/>
    </xf>
    <xf numFmtId="327" fontId="1" fillId="0" borderId="6">
      <alignment horizontal="right" vertical="center"/>
    </xf>
    <xf numFmtId="327" fontId="1" fillId="0" borderId="6">
      <alignment horizontal="right" vertical="center"/>
    </xf>
    <xf numFmtId="327" fontId="1" fillId="0" borderId="6">
      <alignment horizontal="right" vertical="center"/>
    </xf>
    <xf numFmtId="327" fontId="1" fillId="0" borderId="6">
      <alignment horizontal="right" vertical="center"/>
    </xf>
    <xf numFmtId="327" fontId="1"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5" fontId="42" fillId="0" borderId="6">
      <alignment horizontal="right" vertical="center"/>
    </xf>
    <xf numFmtId="325" fontId="42" fillId="0" borderId="6">
      <alignment horizontal="right" vertical="center"/>
    </xf>
    <xf numFmtId="325" fontId="42" fillId="0" borderId="6">
      <alignment horizontal="right" vertical="center"/>
    </xf>
    <xf numFmtId="325" fontId="42"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5" fontId="42" fillId="0" borderId="6">
      <alignment horizontal="right" vertical="center"/>
    </xf>
    <xf numFmtId="325" fontId="42" fillId="0" borderId="6">
      <alignment horizontal="right" vertical="center"/>
    </xf>
    <xf numFmtId="222" fontId="2" fillId="0" borderId="6">
      <alignment horizontal="right" vertical="center"/>
    </xf>
    <xf numFmtId="222" fontId="2"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329" fontId="75" fillId="0" borderId="6">
      <alignment horizontal="right" vertical="center"/>
    </xf>
    <xf numFmtId="329" fontId="75" fillId="0" borderId="6">
      <alignment horizontal="right" vertical="center"/>
    </xf>
    <xf numFmtId="329" fontId="75" fillId="0" borderId="6">
      <alignment horizontal="right" vertical="center"/>
    </xf>
    <xf numFmtId="329" fontId="75" fillId="0" borderId="6">
      <alignment horizontal="right" vertical="center"/>
    </xf>
    <xf numFmtId="222" fontId="2" fillId="0" borderId="6">
      <alignment horizontal="right" vertical="center"/>
    </xf>
    <xf numFmtId="222" fontId="2"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329" fontId="75" fillId="0" borderId="6">
      <alignment horizontal="right" vertical="center"/>
    </xf>
    <xf numFmtId="329" fontId="75" fillId="0" borderId="6">
      <alignment horizontal="right" vertical="center"/>
    </xf>
    <xf numFmtId="329" fontId="75" fillId="0" borderId="6">
      <alignment horizontal="right" vertical="center"/>
    </xf>
    <xf numFmtId="329" fontId="75" fillId="0" borderId="6">
      <alignment horizontal="right" vertical="center"/>
    </xf>
    <xf numFmtId="329" fontId="75" fillId="0" borderId="6">
      <alignment horizontal="right" vertical="center"/>
    </xf>
    <xf numFmtId="329" fontId="75" fillId="0" borderId="6">
      <alignment horizontal="right" vertical="center"/>
    </xf>
    <xf numFmtId="329" fontId="75" fillId="0" borderId="6">
      <alignment horizontal="right" vertical="center"/>
    </xf>
    <xf numFmtId="329" fontId="75" fillId="0" borderId="6">
      <alignment horizontal="right" vertical="center"/>
    </xf>
    <xf numFmtId="325" fontId="42" fillId="0" borderId="6">
      <alignment horizontal="right" vertical="center"/>
    </xf>
    <xf numFmtId="325" fontId="42"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2" fillId="0" borderId="6">
      <alignment horizontal="right" vertical="center"/>
    </xf>
    <xf numFmtId="222" fontId="2" fillId="0" borderId="6">
      <alignment horizontal="right" vertical="center"/>
    </xf>
    <xf numFmtId="222" fontId="1" fillId="0" borderId="6">
      <alignment horizontal="right" vertical="center"/>
    </xf>
    <xf numFmtId="222" fontId="1" fillId="0" borderId="6">
      <alignment horizontal="right" vertical="center"/>
    </xf>
    <xf numFmtId="325" fontId="42" fillId="0" borderId="6">
      <alignment horizontal="right" vertical="center"/>
    </xf>
    <xf numFmtId="325" fontId="42" fillId="0" borderId="6">
      <alignment horizontal="right" vertical="center"/>
    </xf>
    <xf numFmtId="325" fontId="42" fillId="0" borderId="6">
      <alignment horizontal="right" vertical="center"/>
    </xf>
    <xf numFmtId="325" fontId="42" fillId="0" borderId="6">
      <alignment horizontal="right" vertical="center"/>
    </xf>
    <xf numFmtId="325" fontId="42" fillId="0" borderId="6">
      <alignment horizontal="right" vertical="center"/>
    </xf>
    <xf numFmtId="325" fontId="42"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325" fontId="42" fillId="0" borderId="6">
      <alignment horizontal="right" vertical="center"/>
    </xf>
    <xf numFmtId="325" fontId="42"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327" fontId="1" fillId="0" borderId="6">
      <alignment horizontal="right" vertical="center"/>
    </xf>
    <xf numFmtId="327" fontId="1" fillId="0" borderId="6">
      <alignment horizontal="right" vertical="center"/>
    </xf>
    <xf numFmtId="325" fontId="42" fillId="0" borderId="6">
      <alignment horizontal="right" vertical="center"/>
    </xf>
    <xf numFmtId="325" fontId="42"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2" fillId="0" borderId="6">
      <alignment horizontal="right" vertical="center"/>
    </xf>
    <xf numFmtId="222" fontId="2"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2" fillId="0" borderId="6">
      <alignment horizontal="right" vertical="center"/>
    </xf>
    <xf numFmtId="222" fontId="2"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1" fillId="0" borderId="6">
      <alignment horizontal="right" vertical="center"/>
    </xf>
    <xf numFmtId="222" fontId="2" fillId="0" borderId="6">
      <alignment horizontal="right" vertical="center"/>
    </xf>
    <xf numFmtId="222" fontId="2" fillId="0" borderId="6">
      <alignment horizontal="right" vertical="center"/>
    </xf>
    <xf numFmtId="222" fontId="1" fillId="0" borderId="6">
      <alignment horizontal="right" vertical="center"/>
    </xf>
    <xf numFmtId="222" fontId="1" fillId="0" borderId="6">
      <alignment horizontal="right" vertical="center"/>
    </xf>
    <xf numFmtId="325" fontId="42" fillId="0" borderId="6">
      <alignment horizontal="right" vertical="center"/>
    </xf>
    <xf numFmtId="325" fontId="4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8" fontId="12" fillId="0" borderId="6">
      <alignment horizontal="right" vertical="center"/>
    </xf>
    <xf numFmtId="327" fontId="2" fillId="0" borderId="6">
      <alignment horizontal="right" vertical="center"/>
    </xf>
    <xf numFmtId="327" fontId="2"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5" fontId="12" fillId="0" borderId="6">
      <alignment horizontal="right" vertical="center"/>
    </xf>
    <xf numFmtId="225" fontId="12" fillId="0" borderId="6">
      <alignment horizontal="right" vertical="center"/>
    </xf>
    <xf numFmtId="225" fontId="12" fillId="0" borderId="6">
      <alignment horizontal="right" vertical="center"/>
    </xf>
    <xf numFmtId="225" fontId="12" fillId="0" borderId="6">
      <alignment horizontal="right" vertical="center"/>
    </xf>
    <xf numFmtId="225" fontId="12" fillId="0" borderId="6">
      <alignment horizontal="right" vertical="center"/>
    </xf>
    <xf numFmtId="225" fontId="12"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5" fontId="42" fillId="0" borderId="6">
      <alignment horizontal="right" vertical="center"/>
    </xf>
    <xf numFmtId="325" fontId="42"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324" fontId="135" fillId="0" borderId="6">
      <alignment horizontal="right" vertical="center"/>
    </xf>
    <xf numFmtId="214" fontId="12" fillId="0" borderId="6">
      <alignment horizontal="right" vertical="center"/>
    </xf>
    <xf numFmtId="214" fontId="12" fillId="0" borderId="6">
      <alignment horizontal="right" vertical="center"/>
    </xf>
    <xf numFmtId="214" fontId="12" fillId="0" borderId="6">
      <alignment horizontal="right" vertical="center"/>
    </xf>
    <xf numFmtId="214" fontId="12" fillId="0" borderId="6">
      <alignment horizontal="right" vertical="center"/>
    </xf>
    <xf numFmtId="214" fontId="12" fillId="0" borderId="6">
      <alignment horizontal="right" vertical="center"/>
    </xf>
    <xf numFmtId="214" fontId="12" fillId="0" borderId="6">
      <alignment horizontal="right" vertical="center"/>
    </xf>
    <xf numFmtId="221" fontId="6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10" fontId="178" fillId="0" borderId="6">
      <alignment horizontal="right" vertical="center"/>
    </xf>
    <xf numFmtId="223" fontId="179" fillId="22" borderId="36" applyFont="0" applyFill="0" applyBorder="0"/>
    <xf numFmtId="223" fontId="179" fillId="22" borderId="36" applyFont="0" applyFill="0" applyBorder="0"/>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30" fontId="12"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326" fontId="135"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1" fontId="68" fillId="0" borderId="6">
      <alignment horizontal="right" vertical="center"/>
    </xf>
    <xf numFmtId="224" fontId="180" fillId="0" borderId="6">
      <alignment horizontal="right" vertical="center"/>
    </xf>
    <xf numFmtId="224" fontId="180" fillId="0" borderId="6">
      <alignment horizontal="right" vertical="center"/>
    </xf>
    <xf numFmtId="224" fontId="180" fillId="0" borderId="6">
      <alignment horizontal="right" vertical="center"/>
    </xf>
    <xf numFmtId="224" fontId="180" fillId="0" borderId="6">
      <alignment horizontal="right" vertical="center"/>
    </xf>
    <xf numFmtId="224" fontId="180" fillId="0" borderId="6">
      <alignment horizontal="right" vertical="center"/>
    </xf>
    <xf numFmtId="224" fontId="180" fillId="0" borderId="6">
      <alignment horizontal="right" vertical="center"/>
    </xf>
    <xf numFmtId="224" fontId="180" fillId="0" borderId="6">
      <alignment horizontal="right" vertical="center"/>
    </xf>
    <xf numFmtId="224" fontId="180" fillId="0" borderId="6">
      <alignment horizontal="right" vertical="center"/>
    </xf>
    <xf numFmtId="224" fontId="180" fillId="0" borderId="6">
      <alignment horizontal="right" vertical="center"/>
    </xf>
    <xf numFmtId="224" fontId="180" fillId="0" borderId="6">
      <alignment horizontal="right" vertical="center"/>
    </xf>
    <xf numFmtId="224" fontId="180" fillId="0" borderId="6">
      <alignment horizontal="right" vertical="center"/>
    </xf>
    <xf numFmtId="224" fontId="180" fillId="0" borderId="6">
      <alignment horizontal="right" vertical="center"/>
    </xf>
    <xf numFmtId="224" fontId="180" fillId="0" borderId="6">
      <alignment horizontal="right" vertical="center"/>
    </xf>
    <xf numFmtId="224" fontId="180" fillId="0" borderId="6">
      <alignment horizontal="right" vertical="center"/>
    </xf>
    <xf numFmtId="224" fontId="180" fillId="0" borderId="6">
      <alignment horizontal="right" vertical="center"/>
    </xf>
    <xf numFmtId="224" fontId="180" fillId="0" borderId="6">
      <alignment horizontal="right" vertical="center"/>
    </xf>
    <xf numFmtId="224" fontId="180" fillId="0" borderId="6">
      <alignment horizontal="right" vertical="center"/>
    </xf>
    <xf numFmtId="224" fontId="180" fillId="0" borderId="6">
      <alignment horizontal="right" vertical="center"/>
    </xf>
    <xf numFmtId="221" fontId="68" fillId="0" borderId="6">
      <alignment horizontal="right" vertical="center"/>
    </xf>
    <xf numFmtId="221" fontId="68" fillId="0" borderId="6">
      <alignment horizontal="right" vertical="center"/>
    </xf>
    <xf numFmtId="325" fontId="42" fillId="0" borderId="6">
      <alignment horizontal="right" vertical="center"/>
    </xf>
    <xf numFmtId="325" fontId="42" fillId="0" borderId="6">
      <alignment horizontal="right" vertical="center"/>
    </xf>
    <xf numFmtId="331" fontId="2" fillId="0" borderId="0" applyFill="0" applyBorder="0" applyAlignment="0"/>
    <xf numFmtId="331" fontId="2" fillId="0" borderId="0" applyFill="0" applyBorder="0" applyAlignment="0"/>
    <xf numFmtId="331" fontId="2" fillId="0" borderId="0" applyFill="0" applyBorder="0" applyAlignment="0"/>
    <xf numFmtId="331" fontId="2" fillId="0" borderId="0" applyFill="0" applyBorder="0" applyAlignment="0"/>
    <xf numFmtId="331" fontId="2" fillId="0" borderId="0" applyFill="0" applyBorder="0" applyAlignment="0"/>
    <xf numFmtId="331" fontId="2" fillId="0" borderId="0" applyFill="0" applyBorder="0" applyAlignment="0"/>
    <xf numFmtId="331" fontId="2" fillId="0" borderId="0" applyFill="0" applyBorder="0" applyAlignment="0"/>
    <xf numFmtId="331" fontId="2" fillId="0" borderId="0" applyFill="0" applyBorder="0" applyAlignment="0"/>
    <xf numFmtId="331" fontId="2" fillId="0" borderId="0" applyFill="0" applyBorder="0" applyAlignment="0"/>
    <xf numFmtId="331" fontId="2" fillId="0" borderId="0" applyFill="0" applyBorder="0" applyAlignment="0"/>
    <xf numFmtId="331" fontId="2" fillId="0" borderId="0" applyFill="0" applyBorder="0" applyAlignment="0"/>
    <xf numFmtId="331" fontId="2" fillId="0" borderId="0" applyFill="0" applyBorder="0" applyAlignment="0"/>
    <xf numFmtId="331" fontId="2" fillId="0" borderId="0" applyFill="0" applyBorder="0" applyAlignment="0"/>
    <xf numFmtId="331"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332" fontId="2" fillId="0" borderId="0" applyFill="0" applyBorder="0" applyAlignment="0"/>
    <xf numFmtId="0" fontId="181" fillId="0" borderId="0" applyFill="0" applyBorder="0" applyProtection="0">
      <alignment horizontal="left" vertical="top"/>
    </xf>
    <xf numFmtId="0" fontId="182" fillId="0" borderId="17">
      <alignment horizontal="center" vertical="center" wrapText="1"/>
    </xf>
    <xf numFmtId="0" fontId="183" fillId="0" borderId="0">
      <alignment horizontal="center"/>
    </xf>
    <xf numFmtId="3" fontId="184" fillId="0" borderId="4" applyNumberFormat="0" applyAlignment="0">
      <alignment horizontal="center" vertical="center"/>
    </xf>
    <xf numFmtId="3" fontId="185" fillId="0" borderId="17" applyNumberFormat="0" applyAlignment="0">
      <alignment horizontal="left" wrapText="1"/>
    </xf>
    <xf numFmtId="3" fontId="184" fillId="0" borderId="4" applyNumberFormat="0" applyAlignment="0">
      <alignment horizontal="center" vertical="center"/>
    </xf>
    <xf numFmtId="0" fontId="186" fillId="0" borderId="49">
      <alignment horizontal="center"/>
    </xf>
    <xf numFmtId="0" fontId="187" fillId="0" borderId="50" applyProtection="0"/>
    <xf numFmtId="0" fontId="68" fillId="0" borderId="0" applyProtection="0"/>
    <xf numFmtId="0" fontId="2" fillId="0" borderId="0" applyProtection="0"/>
    <xf numFmtId="0" fontId="67" fillId="0" borderId="0" applyProtection="0"/>
    <xf numFmtId="0" fontId="187" fillId="0" borderId="50" applyProtection="0"/>
    <xf numFmtId="0" fontId="68" fillId="0" borderId="0" applyProtection="0"/>
    <xf numFmtId="0" fontId="2" fillId="0" borderId="0" applyProtection="0"/>
    <xf numFmtId="0" fontId="67" fillId="0" borderId="0" applyProtection="0"/>
    <xf numFmtId="0" fontId="123" fillId="0" borderId="0">
      <alignment vertical="center" wrapText="1"/>
      <protection locked="0"/>
    </xf>
    <xf numFmtId="0" fontId="187" fillId="0" borderId="39"/>
    <xf numFmtId="0" fontId="68" fillId="0" borderId="0" applyNumberFormat="0" applyFill="0" applyBorder="0" applyAlignment="0" applyProtection="0"/>
    <xf numFmtId="0" fontId="67" fillId="0" borderId="0" applyNumberFormat="0" applyFill="0" applyBorder="0" applyAlignment="0" applyProtection="0"/>
    <xf numFmtId="0" fontId="74" fillId="0" borderId="51" applyNumberFormat="0" applyAlignment="0">
      <alignment horizontal="center"/>
    </xf>
    <xf numFmtId="304" fontId="161" fillId="0" borderId="0" applyFont="0" applyFill="0" applyBorder="0" applyAlignment="0" applyProtection="0"/>
    <xf numFmtId="0" fontId="55" fillId="0" borderId="52">
      <alignment horizontal="center"/>
    </xf>
    <xf numFmtId="0" fontId="55" fillId="0" borderId="52">
      <alignment horizontal="center"/>
    </xf>
    <xf numFmtId="0" fontId="61" fillId="0" borderId="0" applyProtection="0"/>
    <xf numFmtId="0" fontId="188" fillId="0" borderId="0"/>
    <xf numFmtId="0" fontId="61" fillId="0" borderId="0"/>
    <xf numFmtId="0" fontId="188" fillId="0" borderId="0"/>
    <xf numFmtId="3" fontId="189" fillId="0" borderId="0">
      <protection locked="0"/>
    </xf>
    <xf numFmtId="0" fontId="61" fillId="0" borderId="0" applyProtection="0"/>
    <xf numFmtId="0" fontId="188" fillId="0" borderId="0"/>
    <xf numFmtId="0" fontId="61" fillId="0" borderId="0"/>
    <xf numFmtId="0" fontId="188" fillId="0" borderId="0"/>
    <xf numFmtId="0" fontId="190" fillId="0" borderId="53" applyFill="0" applyBorder="0" applyAlignment="0">
      <alignment horizontal="center"/>
    </xf>
    <xf numFmtId="310" fontId="191" fillId="63" borderId="3">
      <alignment vertical="top"/>
    </xf>
    <xf numFmtId="304" fontId="49" fillId="0" borderId="4">
      <alignment horizontal="left" vertical="top"/>
    </xf>
    <xf numFmtId="304" fontId="49" fillId="0" borderId="4">
      <alignment horizontal="left" vertical="top"/>
    </xf>
    <xf numFmtId="304" fontId="49" fillId="0" borderId="4">
      <alignment horizontal="left" vertical="top"/>
    </xf>
    <xf numFmtId="304" fontId="49" fillId="0" borderId="4">
      <alignment horizontal="left" vertical="top"/>
    </xf>
    <xf numFmtId="304" fontId="49" fillId="0" borderId="4">
      <alignment horizontal="left" vertical="top"/>
    </xf>
    <xf numFmtId="304" fontId="49" fillId="0" borderId="4">
      <alignment horizontal="left" vertical="top"/>
    </xf>
    <xf numFmtId="310" fontId="192" fillId="0" borderId="4">
      <alignment horizontal="left" vertical="top"/>
    </xf>
    <xf numFmtId="304" fontId="49" fillId="0" borderId="4">
      <alignment horizontal="left" vertical="top"/>
    </xf>
    <xf numFmtId="304" fontId="49" fillId="0" borderId="4">
      <alignment horizontal="left" vertical="top"/>
    </xf>
    <xf numFmtId="304" fontId="49" fillId="0" borderId="4">
      <alignment horizontal="left" vertical="top"/>
    </xf>
    <xf numFmtId="304" fontId="49" fillId="0" borderId="4">
      <alignment horizontal="left" vertical="top"/>
    </xf>
    <xf numFmtId="304" fontId="49" fillId="0" borderId="4">
      <alignment horizontal="left" vertical="top"/>
    </xf>
    <xf numFmtId="304" fontId="49" fillId="0" borderId="4">
      <alignment horizontal="left" vertical="top"/>
    </xf>
    <xf numFmtId="304" fontId="49" fillId="0" borderId="4">
      <alignment horizontal="left" vertical="top"/>
    </xf>
    <xf numFmtId="304" fontId="49" fillId="0" borderId="4">
      <alignment horizontal="left" vertical="top"/>
    </xf>
    <xf numFmtId="333" fontId="193" fillId="65" borderId="3"/>
    <xf numFmtId="310" fontId="194" fillId="0" borderId="3">
      <alignment horizontal="left" vertical="top"/>
    </xf>
    <xf numFmtId="0" fontId="2" fillId="0" borderId="0" applyFont="0" applyFill="0" applyBorder="0" applyAlignment="0" applyProtection="0"/>
    <xf numFmtId="0" fontId="2" fillId="0" borderId="0" applyFont="0" applyFill="0" applyBorder="0" applyAlignment="0" applyProtection="0"/>
    <xf numFmtId="334" fontId="2" fillId="0" borderId="0" applyFont="0" applyFill="0" applyBorder="0" applyAlignment="0" applyProtection="0"/>
    <xf numFmtId="335" fontId="2" fillId="0" borderId="0" applyFont="0" applyFill="0" applyBorder="0" applyAlignment="0" applyProtection="0"/>
    <xf numFmtId="0" fontId="195" fillId="0" borderId="0" applyNumberFormat="0" applyFont="0" applyFill="0" applyBorder="0" applyProtection="0">
      <alignment horizontal="center" vertical="center" wrapText="1"/>
    </xf>
    <xf numFmtId="0" fontId="2" fillId="0" borderId="0" applyFont="0" applyFill="0" applyBorder="0" applyAlignment="0" applyProtection="0"/>
    <xf numFmtId="0" fontId="2" fillId="0" borderId="0" applyFont="0" applyFill="0" applyBorder="0" applyAlignment="0" applyProtection="0"/>
    <xf numFmtId="0" fontId="196" fillId="0" borderId="54" applyNumberFormat="0" applyFont="0" applyAlignment="0">
      <alignment horizontal="center"/>
    </xf>
    <xf numFmtId="0" fontId="135" fillId="0" borderId="55" applyFont="0" applyBorder="0" applyAlignment="0">
      <alignment horizontal="center"/>
    </xf>
    <xf numFmtId="0" fontId="135" fillId="0" borderId="55" applyFont="0" applyBorder="0" applyAlignment="0">
      <alignment horizontal="center"/>
    </xf>
    <xf numFmtId="178" fontId="12" fillId="0" borderId="0" applyFont="0" applyFill="0" applyBorder="0" applyAlignment="0" applyProtection="0"/>
    <xf numFmtId="42" fontId="197" fillId="0" borderId="0" applyFont="0" applyFill="0" applyBorder="0" applyAlignment="0" applyProtection="0"/>
    <xf numFmtId="44" fontId="197" fillId="0" borderId="0" applyFont="0" applyFill="0" applyBorder="0" applyAlignment="0" applyProtection="0"/>
    <xf numFmtId="0" fontId="197" fillId="0" borderId="0"/>
    <xf numFmtId="9" fontId="198" fillId="0" borderId="0" applyBorder="0" applyAlignment="0" applyProtection="0"/>
    <xf numFmtId="191" fontId="41" fillId="0" borderId="0" applyFont="0" applyFill="0" applyBorder="0" applyAlignment="0" applyProtection="0"/>
    <xf numFmtId="172" fontId="2" fillId="0" borderId="0" applyFont="0" applyFill="0" applyBorder="0" applyAlignment="0" applyProtection="0"/>
    <xf numFmtId="197" fontId="2" fillId="0" borderId="0" applyFont="0" applyFill="0" applyBorder="0" applyAlignment="0" applyProtection="0"/>
    <xf numFmtId="0" fontId="199" fillId="0" borderId="0"/>
    <xf numFmtId="0" fontId="200" fillId="0" borderId="0"/>
    <xf numFmtId="0" fontId="2" fillId="0" borderId="0"/>
    <xf numFmtId="337" fontId="219" fillId="0" borderId="59">
      <alignment horizontal="center"/>
      <protection hidden="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38" fontId="39" fillId="0" borderId="0" applyFill="0" applyBorder="0" applyAlignment="0">
      <protection locked="0"/>
    </xf>
    <xf numFmtId="0" fontId="2" fillId="0" borderId="0" applyNumberFormat="0" applyFill="0" applyBorder="0" applyAlignment="0">
      <protection locked="0"/>
    </xf>
    <xf numFmtId="0" fontId="2" fillId="0" borderId="0" applyNumberFormat="0" applyFill="0" applyBorder="0" applyAlignment="0">
      <protection locked="0"/>
    </xf>
    <xf numFmtId="0" fontId="2" fillId="0" borderId="0" applyNumberFormat="0" applyFill="0" applyBorder="0" applyAlignment="0">
      <protection locked="0"/>
    </xf>
    <xf numFmtId="339" fontId="39" fillId="0" borderId="0" applyFill="0" applyBorder="0" applyAlignment="0">
      <protection locked="0"/>
    </xf>
    <xf numFmtId="339" fontId="39" fillId="0" borderId="0" applyFill="0" applyBorder="0" applyAlignment="0">
      <protection locked="0"/>
    </xf>
    <xf numFmtId="340" fontId="39" fillId="0" borderId="0" applyFill="0" applyBorder="0" applyAlignment="0">
      <protection locked="0"/>
    </xf>
    <xf numFmtId="341" fontId="220" fillId="0" borderId="0" applyFill="0" applyBorder="0">
      <alignment vertical="center"/>
      <protection locked="0"/>
    </xf>
    <xf numFmtId="342" fontId="221" fillId="0" borderId="0" applyFill="0" applyBorder="0">
      <alignment vertical="center"/>
      <protection locked="0"/>
    </xf>
    <xf numFmtId="0" fontId="2" fillId="0" borderId="0" applyNumberFormat="0" applyFill="0" applyBorder="0" applyAlignment="0">
      <protection locked="0"/>
    </xf>
    <xf numFmtId="0" fontId="2" fillId="0" borderId="0" applyNumberFormat="0" applyFill="0" applyBorder="0" applyAlignment="0">
      <protection locked="0"/>
    </xf>
    <xf numFmtId="170" fontId="39" fillId="0" borderId="0" applyFill="0" applyBorder="0" applyAlignment="0">
      <protection locked="0"/>
    </xf>
    <xf numFmtId="343" fontId="39" fillId="0" borderId="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0" fontId="2" fillId="0" borderId="0"/>
    <xf numFmtId="345" fontId="39" fillId="0" borderId="0" applyFill="0" applyBorder="0" applyAlignment="0">
      <protection locked="0"/>
    </xf>
    <xf numFmtId="346" fontId="39" fillId="0" borderId="0" applyFill="0" applyBorder="0" applyAlignment="0">
      <protection locked="0"/>
    </xf>
    <xf numFmtId="345" fontId="39" fillId="0" borderId="0" applyFill="0" applyBorder="0" applyAlignment="0">
      <protection locked="0"/>
    </xf>
    <xf numFmtId="345"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3" fontId="39" fillId="0" borderId="0" applyFill="0" applyBorder="0" applyAlignment="0">
      <protection locked="0"/>
    </xf>
    <xf numFmtId="343" fontId="39" fillId="0" borderId="0" applyFill="0" applyBorder="0" applyAlignment="0">
      <protection locked="0"/>
    </xf>
    <xf numFmtId="343" fontId="39" fillId="0" borderId="0" applyFill="0" applyBorder="0" applyAlignment="0">
      <protection locked="0"/>
    </xf>
    <xf numFmtId="343" fontId="39" fillId="0" borderId="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340"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8"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9"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49" fontId="39" fillId="0" borderId="0" applyFill="0" applyBorder="0" applyAlignment="0">
      <protection locked="0"/>
    </xf>
    <xf numFmtId="349"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52"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47"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47"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53" fontId="39" fillId="0" borderId="0" applyFill="0" applyBorder="0" applyAlignment="0">
      <protection locked="0"/>
    </xf>
    <xf numFmtId="345" fontId="39" fillId="0" borderId="0" applyFill="0" applyBorder="0" applyAlignment="0">
      <protection locked="0"/>
    </xf>
    <xf numFmtId="345" fontId="39" fillId="0" borderId="0" applyFill="0" applyBorder="0" applyAlignment="0">
      <protection locked="0"/>
    </xf>
    <xf numFmtId="346" fontId="39" fillId="0" borderId="0" applyFill="0" applyBorder="0" applyAlignment="0">
      <protection locked="0"/>
    </xf>
    <xf numFmtId="345" fontId="39" fillId="0" borderId="0" applyFill="0" applyBorder="0" applyAlignment="0">
      <protection locked="0"/>
    </xf>
    <xf numFmtId="345"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3" fontId="39" fillId="0" borderId="0" applyFill="0" applyBorder="0" applyAlignment="0">
      <protection locked="0"/>
    </xf>
    <xf numFmtId="343" fontId="39" fillId="0" borderId="0" applyFill="0" applyBorder="0" applyAlignment="0">
      <protection locked="0"/>
    </xf>
    <xf numFmtId="343" fontId="39" fillId="0" borderId="0" applyFill="0" applyBorder="0" applyAlignment="0">
      <protection locked="0"/>
    </xf>
    <xf numFmtId="343"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54" fontId="39" fillId="0" borderId="0" applyFill="0" applyBorder="0" applyAlignment="0">
      <protection locked="0"/>
    </xf>
    <xf numFmtId="355" fontId="39" fillId="0" borderId="0" applyFill="0" applyBorder="0" applyAlignment="0">
      <protection locked="0"/>
    </xf>
    <xf numFmtId="354" fontId="39" fillId="0" borderId="0" applyFill="0" applyBorder="0" applyAlignment="0">
      <protection locked="0"/>
    </xf>
    <xf numFmtId="343"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6" fontId="39" fillId="0" borderId="0" applyFill="0" applyBorder="0" applyAlignment="0">
      <protection locked="0"/>
    </xf>
    <xf numFmtId="346"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3" fontId="39" fillId="0" borderId="0" applyFill="0" applyBorder="0" applyAlignment="0">
      <protection locked="0"/>
    </xf>
    <xf numFmtId="343" fontId="39" fillId="0" borderId="0" applyFill="0" applyBorder="0" applyAlignment="0">
      <protection locked="0"/>
    </xf>
    <xf numFmtId="340" fontId="39" fillId="0" borderId="0" applyFill="0" applyBorder="0" applyAlignment="0">
      <protection locked="0"/>
    </xf>
    <xf numFmtId="343" fontId="39" fillId="0" borderId="0" applyFill="0" applyBorder="0" applyAlignment="0">
      <protection locked="0"/>
    </xf>
    <xf numFmtId="343" fontId="39" fillId="0" borderId="0" applyFill="0" applyBorder="0" applyAlignment="0">
      <protection locked="0"/>
    </xf>
    <xf numFmtId="349"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49" fontId="39" fillId="0" borderId="0" applyFill="0" applyBorder="0" applyAlignment="0">
      <protection locked="0"/>
    </xf>
    <xf numFmtId="349"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52"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8"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47"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47"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56"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56" fontId="39" fillId="0" borderId="0" applyFill="0" applyBorder="0" applyAlignment="0">
      <protection locked="0"/>
    </xf>
    <xf numFmtId="356"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39" fontId="39" fillId="0" borderId="0" applyFill="0" applyBorder="0" applyAlignment="0">
      <protection locked="0"/>
    </xf>
    <xf numFmtId="339" fontId="39" fillId="0" borderId="0" applyFill="0" applyBorder="0" applyAlignment="0">
      <protection locked="0"/>
    </xf>
    <xf numFmtId="339" fontId="39" fillId="0" borderId="0" applyFill="0" applyBorder="0" applyAlignment="0">
      <protection locked="0"/>
    </xf>
    <xf numFmtId="339"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39"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39" fontId="39" fillId="0" borderId="0" applyFill="0" applyBorder="0" applyAlignment="0">
      <protection locked="0"/>
    </xf>
    <xf numFmtId="339" fontId="39" fillId="0" borderId="0" applyFill="0" applyBorder="0" applyAlignment="0">
      <protection locked="0"/>
    </xf>
    <xf numFmtId="353" fontId="39" fillId="0" borderId="0" applyFill="0" applyBorder="0" applyAlignment="0">
      <protection locked="0"/>
    </xf>
    <xf numFmtId="339" fontId="39" fillId="0" borderId="0" applyFill="0" applyBorder="0" applyAlignment="0">
      <protection locked="0"/>
    </xf>
    <xf numFmtId="339" fontId="39" fillId="0" borderId="0" applyFill="0" applyBorder="0" applyAlignment="0">
      <protection locked="0"/>
    </xf>
    <xf numFmtId="345" fontId="39" fillId="0" borderId="0" applyFill="0" applyBorder="0" applyAlignment="0">
      <protection locked="0"/>
    </xf>
    <xf numFmtId="345" fontId="39" fillId="0" borderId="0" applyFill="0" applyBorder="0" applyAlignment="0">
      <protection locked="0"/>
    </xf>
    <xf numFmtId="346" fontId="39" fillId="0" borderId="0" applyFill="0" applyBorder="0" applyAlignment="0">
      <protection locked="0"/>
    </xf>
    <xf numFmtId="345" fontId="39" fillId="0" borderId="0" applyFill="0" applyBorder="0" applyAlignment="0">
      <protection locked="0"/>
    </xf>
    <xf numFmtId="345"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3" fontId="39" fillId="0" borderId="0" applyFill="0" applyBorder="0" applyAlignment="0">
      <protection locked="0"/>
    </xf>
    <xf numFmtId="343" fontId="39" fillId="0" borderId="0" applyFill="0" applyBorder="0" applyAlignment="0">
      <protection locked="0"/>
    </xf>
    <xf numFmtId="343" fontId="39" fillId="0" borderId="0" applyFill="0" applyBorder="0" applyAlignment="0">
      <protection locked="0"/>
    </xf>
    <xf numFmtId="343"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54" fontId="39" fillId="0" borderId="0" applyFill="0" applyBorder="0" applyAlignment="0">
      <protection locked="0"/>
    </xf>
    <xf numFmtId="355" fontId="39" fillId="0" borderId="0" applyFill="0" applyBorder="0" applyAlignment="0">
      <protection locked="0"/>
    </xf>
    <xf numFmtId="354" fontId="39" fillId="0" borderId="0" applyFill="0" applyBorder="0" applyAlignment="0">
      <protection locked="0"/>
    </xf>
    <xf numFmtId="343"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53" fontId="39" fillId="0" borderId="0" applyFill="0" applyBorder="0" applyAlignment="0">
      <protection locked="0"/>
    </xf>
    <xf numFmtId="346" fontId="39" fillId="0" borderId="0" applyFill="0" applyBorder="0" applyAlignment="0">
      <protection locked="0"/>
    </xf>
    <xf numFmtId="346"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343" fontId="39" fillId="0" borderId="0" applyFill="0" applyBorder="0" applyAlignment="0">
      <protection locked="0"/>
    </xf>
    <xf numFmtId="343" fontId="39" fillId="0" borderId="0" applyFill="0" applyBorder="0" applyAlignment="0">
      <protection locked="0"/>
    </xf>
    <xf numFmtId="340" fontId="39" fillId="0" borderId="0" applyFill="0" applyBorder="0" applyAlignment="0">
      <protection locked="0"/>
    </xf>
    <xf numFmtId="343" fontId="39" fillId="0" borderId="0" applyFill="0" applyBorder="0" applyAlignment="0">
      <protection locked="0"/>
    </xf>
    <xf numFmtId="343" fontId="39" fillId="0" borderId="0" applyFill="0" applyBorder="0" applyAlignment="0">
      <protection locked="0"/>
    </xf>
    <xf numFmtId="356"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56" fontId="39" fillId="0" borderId="0" applyFill="0" applyBorder="0" applyAlignment="0">
      <protection locked="0"/>
    </xf>
    <xf numFmtId="356"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39" fontId="39" fillId="0" borderId="0" applyFill="0" applyBorder="0" applyAlignment="0">
      <protection locked="0"/>
    </xf>
    <xf numFmtId="339" fontId="39" fillId="0" borderId="0" applyFill="0" applyBorder="0" applyAlignment="0">
      <protection locked="0"/>
    </xf>
    <xf numFmtId="339" fontId="39" fillId="0" borderId="0" applyFill="0" applyBorder="0" applyAlignment="0">
      <protection locked="0"/>
    </xf>
    <xf numFmtId="339"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39"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39" fontId="39" fillId="0" borderId="0" applyFill="0" applyBorder="0" applyAlignment="0">
      <protection locked="0"/>
    </xf>
    <xf numFmtId="339" fontId="39" fillId="0" borderId="0" applyFill="0" applyBorder="0" applyAlignment="0">
      <protection locked="0"/>
    </xf>
    <xf numFmtId="353" fontId="39" fillId="0" borderId="0" applyFill="0" applyBorder="0" applyAlignment="0">
      <protection locked="0"/>
    </xf>
    <xf numFmtId="339" fontId="39" fillId="0" borderId="0" applyFill="0" applyBorder="0" applyAlignment="0">
      <protection locked="0"/>
    </xf>
    <xf numFmtId="339" fontId="39" fillId="0" borderId="0" applyFill="0" applyBorder="0" applyAlignment="0">
      <protection locked="0"/>
    </xf>
    <xf numFmtId="349"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49" fontId="39" fillId="0" borderId="0" applyFill="0" applyBorder="0" applyAlignment="0">
      <protection locked="0"/>
    </xf>
    <xf numFmtId="349"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52"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47"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53" fontId="39" fillId="0" borderId="0" applyFill="0" applyBorder="0" applyAlignment="0">
      <protection locked="0"/>
    </xf>
    <xf numFmtId="340"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8"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47"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54" fontId="39" fillId="0" borderId="0" applyFill="0" applyBorder="0" applyAlignment="0">
      <protection locked="0"/>
    </xf>
    <xf numFmtId="355" fontId="39" fillId="0" borderId="0" applyFill="0" applyBorder="0" applyAlignment="0">
      <protection locked="0"/>
    </xf>
    <xf numFmtId="354" fontId="39" fillId="0" borderId="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340" fontId="39" fillId="0" borderId="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356"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56" fontId="39" fillId="0" borderId="0" applyFill="0" applyBorder="0" applyAlignment="0">
      <protection locked="0"/>
    </xf>
    <xf numFmtId="356"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44"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39" fontId="39" fillId="0" borderId="0" applyFill="0" applyBorder="0" applyAlignment="0">
      <protection locked="0"/>
    </xf>
    <xf numFmtId="339" fontId="39" fillId="0" borderId="0" applyFill="0" applyBorder="0" applyAlignment="0">
      <protection locked="0"/>
    </xf>
    <xf numFmtId="339" fontId="39" fillId="0" borderId="0" applyFill="0" applyBorder="0" applyAlignment="0">
      <protection locked="0"/>
    </xf>
    <xf numFmtId="339"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39"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7" fontId="39" fillId="0" borderId="0" applyFill="0" applyBorder="0" applyAlignment="0">
      <protection locked="0"/>
    </xf>
    <xf numFmtId="357"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53" fontId="39" fillId="0" borderId="0" applyFill="0" applyBorder="0" applyAlignment="0">
      <protection locked="0"/>
    </xf>
    <xf numFmtId="339" fontId="39" fillId="0" borderId="0" applyFill="0" applyBorder="0" applyAlignment="0">
      <protection locked="0"/>
    </xf>
    <xf numFmtId="339" fontId="39" fillId="0" borderId="0" applyFill="0" applyBorder="0" applyAlignment="0">
      <protection locked="0"/>
    </xf>
    <xf numFmtId="353" fontId="39" fillId="0" borderId="0" applyFill="0" applyBorder="0" applyAlignment="0">
      <protection locked="0"/>
    </xf>
    <xf numFmtId="339" fontId="39" fillId="0" borderId="0" applyFill="0" applyBorder="0" applyAlignment="0">
      <protection locked="0"/>
    </xf>
    <xf numFmtId="339" fontId="39" fillId="0" borderId="0" applyFill="0" applyBorder="0" applyAlignment="0">
      <protection locked="0"/>
    </xf>
    <xf numFmtId="349"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49" fontId="39" fillId="0" borderId="0" applyFill="0" applyBorder="0" applyAlignment="0">
      <protection locked="0"/>
    </xf>
    <xf numFmtId="349"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51"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52"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50" fontId="39" fillId="0" borderId="0" applyFill="0" applyBorder="0" applyAlignment="0">
      <protection locked="0"/>
    </xf>
    <xf numFmtId="350"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47" fontId="39" fillId="0" borderId="0" applyFill="0" applyBorder="0" applyAlignment="0">
      <protection locked="0"/>
    </xf>
    <xf numFmtId="352" fontId="39" fillId="0" borderId="0" applyFill="0" applyBorder="0" applyAlignment="0">
      <protection locked="0"/>
    </xf>
    <xf numFmtId="352" fontId="39" fillId="0" borderId="0" applyFill="0" applyBorder="0" applyAlignment="0">
      <protection locked="0"/>
    </xf>
    <xf numFmtId="340"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8"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7"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47" fontId="39" fillId="0" borderId="0" applyFill="0" applyBorder="0" applyAlignment="0">
      <protection locked="0"/>
    </xf>
    <xf numFmtId="348" fontId="39" fillId="0" borderId="0" applyFill="0" applyBorder="0" applyAlignment="0">
      <protection locked="0"/>
    </xf>
    <xf numFmtId="348" fontId="39" fillId="0" borderId="0" applyFill="0" applyBorder="0" applyAlignment="0">
      <protection locked="0"/>
    </xf>
    <xf numFmtId="353" fontId="39" fillId="0" borderId="0" applyFill="0" applyBorder="0" applyAlignment="0">
      <protection locked="0"/>
    </xf>
    <xf numFmtId="0" fontId="2" fillId="0" borderId="0"/>
    <xf numFmtId="346" fontId="39" fillId="0" borderId="0" applyFill="0" applyBorder="0" applyAlignment="0">
      <protection locked="0"/>
    </xf>
    <xf numFmtId="346" fontId="39" fillId="0" borderId="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2" fillId="0" borderId="0"/>
    <xf numFmtId="0" fontId="2" fillId="0" borderId="0"/>
    <xf numFmtId="0" fontId="2" fillId="0" borderId="0"/>
    <xf numFmtId="0" fontId="2" fillId="0" borderId="0"/>
    <xf numFmtId="0" fontId="2" fillId="0" borderId="0"/>
    <xf numFmtId="0" fontId="2" fillId="0" borderId="0"/>
    <xf numFmtId="0" fontId="49" fillId="0" borderId="0" applyNumberFormat="0" applyFill="0" applyBorder="0" applyAlignment="0">
      <protection locked="0"/>
    </xf>
    <xf numFmtId="343" fontId="39" fillId="0" borderId="0" applyFill="0" applyBorder="0" applyAlignment="0">
      <protection locked="0"/>
    </xf>
    <xf numFmtId="343" fontId="39" fillId="0" borderId="0" applyFill="0" applyBorder="0" applyAlignment="0">
      <protection locked="0"/>
    </xf>
    <xf numFmtId="340" fontId="39" fillId="0" borderId="0" applyFill="0" applyBorder="0" applyAlignment="0">
      <protection locked="0"/>
    </xf>
    <xf numFmtId="340" fontId="39" fillId="0" borderId="0" applyFill="0" applyBorder="0" applyAlignment="0">
      <protection locked="0"/>
    </xf>
    <xf numFmtId="0" fontId="49" fillId="0" borderId="0" applyNumberFormat="0" applyFill="0" applyBorder="0" applyAlignment="0">
      <protection locked="0"/>
    </xf>
    <xf numFmtId="343" fontId="39" fillId="0" borderId="0" applyFill="0" applyBorder="0" applyAlignment="0">
      <protection locked="0"/>
    </xf>
    <xf numFmtId="343" fontId="39" fillId="0" borderId="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0" fontId="49" fillId="0" borderId="0" applyNumberFormat="0" applyFill="0" applyBorder="0" applyAlignment="0">
      <protection locked="0"/>
    </xf>
    <xf numFmtId="358" fontId="39" fillId="0" borderId="0" applyFill="0" applyBorder="0" applyAlignment="0">
      <protection locked="0"/>
    </xf>
    <xf numFmtId="358" fontId="39" fillId="0" borderId="0" applyFill="0" applyBorder="0" applyAlignment="0">
      <protection locked="0"/>
    </xf>
    <xf numFmtId="358" fontId="39" fillId="0" borderId="0" applyFill="0" applyBorder="0" applyAlignment="0">
      <protection locked="0"/>
    </xf>
    <xf numFmtId="0" fontId="44" fillId="83" borderId="0"/>
    <xf numFmtId="0" fontId="44" fillId="83" borderId="0"/>
    <xf numFmtId="358" fontId="39" fillId="0" borderId="0" applyFill="0" applyBorder="0" applyAlignment="0">
      <protection locked="0"/>
    </xf>
    <xf numFmtId="358" fontId="39" fillId="0" borderId="0" applyFill="0" applyBorder="0" applyAlignment="0">
      <protection locked="0"/>
    </xf>
    <xf numFmtId="0" fontId="44" fillId="83" borderId="0"/>
    <xf numFmtId="358" fontId="39" fillId="0" borderId="0" applyFill="0" applyBorder="0" applyAlignment="0">
      <protection locked="0"/>
    </xf>
    <xf numFmtId="358" fontId="39" fillId="0" borderId="0" applyFill="0" applyBorder="0" applyAlignment="0">
      <protection locked="0"/>
    </xf>
    <xf numFmtId="358" fontId="39" fillId="0" borderId="0" applyFill="0" applyBorder="0" applyAlignment="0">
      <protection locked="0"/>
    </xf>
    <xf numFmtId="358" fontId="39" fillId="0" borderId="0" applyFill="0" applyBorder="0" applyAlignment="0">
      <protection locked="0"/>
    </xf>
    <xf numFmtId="358" fontId="39" fillId="0" borderId="0" applyFill="0" applyBorder="0" applyAlignment="0">
      <protection locked="0"/>
    </xf>
    <xf numFmtId="358" fontId="39" fillId="0" borderId="0" applyFill="0" applyBorder="0" applyAlignment="0">
      <protection locked="0"/>
    </xf>
    <xf numFmtId="358" fontId="39" fillId="0" borderId="0" applyFill="0" applyBorder="0" applyAlignment="0">
      <protection locked="0"/>
    </xf>
    <xf numFmtId="358" fontId="39" fillId="0" borderId="0" applyFill="0" applyBorder="0" applyAlignment="0">
      <protection locked="0"/>
    </xf>
    <xf numFmtId="0" fontId="39" fillId="0" borderId="0" applyNumberFormat="0" applyBorder="0" applyAlignment="0">
      <protection hidden="1"/>
    </xf>
    <xf numFmtId="0" fontId="46" fillId="83" borderId="0"/>
    <xf numFmtId="0" fontId="46" fillId="83" borderId="0"/>
    <xf numFmtId="0" fontId="46" fillId="83" borderId="0"/>
    <xf numFmtId="0" fontId="46" fillId="83" borderId="0"/>
    <xf numFmtId="0" fontId="46" fillId="83" borderId="0"/>
    <xf numFmtId="0" fontId="12" fillId="0" borderId="0"/>
    <xf numFmtId="0" fontId="95" fillId="84" borderId="0" applyNumberFormat="0" applyBorder="0" applyAlignment="0">
      <protection locked="0"/>
    </xf>
    <xf numFmtId="0" fontId="95" fillId="85" borderId="0" applyNumberFormat="0" applyBorder="0" applyAlignment="0">
      <protection locked="0"/>
    </xf>
    <xf numFmtId="0" fontId="95" fillId="86" borderId="0" applyNumberFormat="0" applyBorder="0" applyAlignment="0">
      <protection locked="0"/>
    </xf>
    <xf numFmtId="0" fontId="95" fillId="87" borderId="0" applyNumberFormat="0" applyBorder="0" applyAlignment="0">
      <protection locked="0"/>
    </xf>
    <xf numFmtId="0" fontId="95" fillId="88" borderId="0" applyNumberFormat="0" applyBorder="0" applyAlignment="0">
      <protection locked="0"/>
    </xf>
    <xf numFmtId="0" fontId="95" fillId="89" borderId="0" applyNumberFormat="0" applyBorder="0" applyAlignment="0">
      <protection locked="0"/>
    </xf>
    <xf numFmtId="0" fontId="47" fillId="83" borderId="0"/>
    <xf numFmtId="0" fontId="47" fillId="83" borderId="0"/>
    <xf numFmtId="0" fontId="47" fillId="83" borderId="0"/>
    <xf numFmtId="0" fontId="47" fillId="83" borderId="0"/>
    <xf numFmtId="0" fontId="47" fillId="83" borderId="0"/>
    <xf numFmtId="0" fontId="95" fillId="90" borderId="0" applyNumberFormat="0" applyBorder="0" applyAlignment="0">
      <protection locked="0"/>
    </xf>
    <xf numFmtId="0" fontId="95" fillId="91" borderId="0" applyNumberFormat="0" applyBorder="0" applyAlignment="0">
      <protection locked="0"/>
    </xf>
    <xf numFmtId="0" fontId="95" fillId="92" borderId="0" applyNumberFormat="0" applyBorder="0" applyAlignment="0">
      <protection locked="0"/>
    </xf>
    <xf numFmtId="0" fontId="95" fillId="87" borderId="0" applyNumberFormat="0" applyBorder="0" applyAlignment="0">
      <protection locked="0"/>
    </xf>
    <xf numFmtId="0" fontId="95" fillId="90" borderId="0" applyNumberFormat="0" applyBorder="0" applyAlignment="0">
      <protection locked="0"/>
    </xf>
    <xf numFmtId="0" fontId="95" fillId="93" borderId="0" applyNumberFormat="0" applyBorder="0" applyAlignment="0">
      <protection locked="0"/>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22" fillId="94" borderId="0" applyNumberFormat="0" applyBorder="0" applyAlignment="0">
      <protection locked="0"/>
    </xf>
    <xf numFmtId="0" fontId="222" fillId="91" borderId="0" applyNumberFormat="0" applyBorder="0" applyAlignment="0">
      <protection locked="0"/>
    </xf>
    <xf numFmtId="0" fontId="222" fillId="92" borderId="0" applyNumberFormat="0" applyBorder="0" applyAlignment="0">
      <protection locked="0"/>
    </xf>
    <xf numFmtId="0" fontId="222" fillId="95" borderId="0" applyNumberFormat="0" applyBorder="0" applyAlignment="0">
      <protection locked="0"/>
    </xf>
    <xf numFmtId="0" fontId="222" fillId="96" borderId="0" applyNumberFormat="0" applyBorder="0" applyAlignment="0">
      <protection locked="0"/>
    </xf>
    <xf numFmtId="0" fontId="222" fillId="97" borderId="0" applyNumberFormat="0" applyBorder="0" applyAlignment="0">
      <protection locked="0"/>
    </xf>
    <xf numFmtId="0" fontId="144" fillId="0" borderId="0"/>
    <xf numFmtId="343" fontId="39" fillId="0" borderId="0" applyFill="0" applyBorder="0" applyAlignment="0">
      <protection locked="0"/>
    </xf>
    <xf numFmtId="0" fontId="223" fillId="0" borderId="0" applyNumberFormat="0" applyFill="0" applyBorder="0" applyAlignment="0">
      <protection locked="0"/>
    </xf>
    <xf numFmtId="339" fontId="39" fillId="0" borderId="0" applyFill="0" applyBorder="0" applyAlignment="0">
      <protection locked="0"/>
    </xf>
    <xf numFmtId="359" fontId="224" fillId="0" borderId="0" applyFill="0" applyBorder="0" applyAlignment="0">
      <protection locked="0"/>
    </xf>
    <xf numFmtId="360" fontId="224" fillId="0" borderId="0" applyFill="0" applyBorder="0" applyAlignment="0">
      <protection locked="0"/>
    </xf>
    <xf numFmtId="0" fontId="225" fillId="0" borderId="0"/>
    <xf numFmtId="361" fontId="226" fillId="0" borderId="0" applyBorder="0"/>
    <xf numFmtId="361" fontId="227" fillId="0" borderId="60">
      <protection locked="0"/>
    </xf>
    <xf numFmtId="0" fontId="228" fillId="0" borderId="0"/>
    <xf numFmtId="0" fontId="2" fillId="0" borderId="0"/>
    <xf numFmtId="3" fontId="224" fillId="0" borderId="0" applyFill="0" applyBorder="0" applyAlignment="0">
      <protection locked="0"/>
    </xf>
    <xf numFmtId="0" fontId="228" fillId="0" borderId="0"/>
    <xf numFmtId="0" fontId="2" fillId="0" borderId="0"/>
    <xf numFmtId="40" fontId="39" fillId="0" borderId="0" applyFill="0" applyBorder="0" applyAlignment="0">
      <protection locked="0"/>
    </xf>
    <xf numFmtId="362" fontId="229" fillId="0" borderId="0">
      <protection locked="0"/>
    </xf>
    <xf numFmtId="363" fontId="229" fillId="0" borderId="0">
      <protection locked="0"/>
    </xf>
    <xf numFmtId="364" fontId="230" fillId="0" borderId="61">
      <protection locked="0"/>
    </xf>
  </cellStyleXfs>
  <cellXfs count="640">
    <xf numFmtId="0" fontId="0" fillId="0" borderId="0" xfId="0"/>
    <xf numFmtId="41" fontId="24" fillId="0" borderId="2" xfId="1" applyNumberFormat="1" applyFont="1" applyFill="1" applyBorder="1" applyAlignment="1">
      <alignment horizontal="left" vertical="center" wrapText="1"/>
    </xf>
    <xf numFmtId="0" fontId="27" fillId="0" borderId="0" xfId="2" applyFont="1" applyAlignment="1">
      <alignment vertical="center" wrapText="1"/>
    </xf>
    <xf numFmtId="166" fontId="20" fillId="0" borderId="2" xfId="1" applyNumberFormat="1" applyFont="1" applyFill="1" applyBorder="1" applyAlignment="1">
      <alignment horizontal="center" vertical="center" wrapText="1"/>
    </xf>
    <xf numFmtId="0" fontId="20" fillId="0" borderId="2" xfId="0" applyFont="1" applyBorder="1" applyAlignment="1">
      <alignment horizontal="justify" vertical="center" wrapText="1"/>
    </xf>
    <xf numFmtId="3" fontId="20" fillId="0" borderId="2" xfId="8" applyNumberFormat="1" applyFont="1" applyBorder="1" applyAlignment="1">
      <alignment horizontal="center" vertical="center" wrapText="1"/>
    </xf>
    <xf numFmtId="41" fontId="20" fillId="0" borderId="0" xfId="2" applyNumberFormat="1" applyFont="1" applyAlignment="1">
      <alignment vertical="center" wrapText="1"/>
    </xf>
    <xf numFmtId="41" fontId="27" fillId="0" borderId="2" xfId="2" applyNumberFormat="1" applyFont="1" applyBorder="1" applyAlignment="1">
      <alignment vertical="center"/>
    </xf>
    <xf numFmtId="41" fontId="24" fillId="0" borderId="2" xfId="2" applyNumberFormat="1" applyFont="1" applyBorder="1" applyAlignment="1">
      <alignment vertical="center"/>
    </xf>
    <xf numFmtId="41" fontId="4" fillId="0" borderId="0" xfId="1" applyNumberFormat="1" applyFont="1" applyFill="1" applyBorder="1" applyAlignment="1">
      <alignment vertical="center"/>
    </xf>
    <xf numFmtId="0" fontId="20" fillId="0" borderId="2" xfId="2" applyFont="1" applyBorder="1" applyAlignment="1">
      <alignment horizontal="center" vertical="center" wrapText="1"/>
    </xf>
    <xf numFmtId="0" fontId="20" fillId="0" borderId="0" xfId="2" applyFont="1" applyAlignment="1">
      <alignment vertical="center" wrapText="1"/>
    </xf>
    <xf numFmtId="0" fontId="23" fillId="0" borderId="1" xfId="2" applyFont="1" applyBorder="1" applyAlignment="1">
      <alignment horizontal="right" vertical="center" wrapText="1"/>
    </xf>
    <xf numFmtId="0" fontId="24" fillId="0" borderId="2" xfId="2" applyFont="1" applyBorder="1" applyAlignment="1">
      <alignment horizontal="center" vertical="center" wrapText="1"/>
    </xf>
    <xf numFmtId="41" fontId="20" fillId="0" borderId="0" xfId="1" applyNumberFormat="1" applyFont="1" applyFill="1" applyBorder="1" applyAlignment="1">
      <alignment horizontal="right" vertical="center"/>
    </xf>
    <xf numFmtId="0" fontId="28" fillId="0" borderId="2" xfId="2" applyFont="1" applyBorder="1" applyAlignment="1">
      <alignment horizontal="center" vertical="center" wrapText="1"/>
    </xf>
    <xf numFmtId="0" fontId="28" fillId="0" borderId="2" xfId="2" applyFont="1" applyBorder="1" applyAlignment="1">
      <alignment vertical="center" wrapText="1"/>
    </xf>
    <xf numFmtId="0" fontId="20" fillId="0" borderId="2" xfId="2" applyFont="1" applyBorder="1" applyAlignment="1">
      <alignment vertical="center" wrapText="1"/>
    </xf>
    <xf numFmtId="0" fontId="24" fillId="0" borderId="0" xfId="2" applyFont="1" applyAlignment="1">
      <alignment vertical="center" wrapText="1"/>
    </xf>
    <xf numFmtId="0" fontId="28" fillId="0" borderId="2" xfId="2" applyFont="1" applyBorder="1" applyAlignment="1">
      <alignment horizontal="left" vertical="center" wrapText="1"/>
    </xf>
    <xf numFmtId="0" fontId="34" fillId="0" borderId="0" xfId="2" applyFont="1" applyAlignment="1">
      <alignment vertical="center" wrapText="1"/>
    </xf>
    <xf numFmtId="0" fontId="27" fillId="0" borderId="2" xfId="2" applyFont="1" applyBorder="1" applyAlignment="1">
      <alignment horizontal="center" vertical="center" wrapText="1"/>
    </xf>
    <xf numFmtId="0" fontId="20" fillId="0" borderId="0" xfId="2" applyFont="1" applyAlignment="1">
      <alignment horizontal="center" vertical="center" wrapText="1"/>
    </xf>
    <xf numFmtId="3" fontId="4" fillId="0" borderId="2" xfId="3" applyNumberFormat="1" applyFont="1" applyBorder="1" applyAlignment="1">
      <alignment horizontal="center" vertical="center" wrapText="1"/>
    </xf>
    <xf numFmtId="1" fontId="27" fillId="0" borderId="2" xfId="3" applyNumberFormat="1" applyFont="1" applyBorder="1" applyAlignment="1">
      <alignment horizontal="center" vertical="center" wrapText="1"/>
    </xf>
    <xf numFmtId="41" fontId="27" fillId="0" borderId="2" xfId="1" applyNumberFormat="1" applyFont="1" applyFill="1" applyBorder="1" applyAlignment="1">
      <alignment horizontal="right" vertical="center"/>
    </xf>
    <xf numFmtId="1" fontId="24" fillId="0" borderId="2" xfId="3" applyNumberFormat="1" applyFont="1" applyBorder="1" applyAlignment="1">
      <alignment horizontal="left" vertical="center" wrapText="1"/>
    </xf>
    <xf numFmtId="41" fontId="24" fillId="0" borderId="2" xfId="1" applyNumberFormat="1" applyFont="1" applyFill="1" applyBorder="1" applyAlignment="1">
      <alignment horizontal="right" vertical="center"/>
    </xf>
    <xf numFmtId="3" fontId="20" fillId="0" borderId="2" xfId="3" applyNumberFormat="1" applyFont="1" applyBorder="1" applyAlignment="1">
      <alignment horizontal="center" vertical="center" wrapText="1"/>
    </xf>
    <xf numFmtId="41" fontId="28" fillId="0" borderId="2" xfId="2" applyNumberFormat="1" applyFont="1" applyBorder="1" applyAlignment="1">
      <alignment vertical="center"/>
    </xf>
    <xf numFmtId="0" fontId="24" fillId="0" borderId="2" xfId="4" applyFont="1" applyBorder="1" applyAlignment="1">
      <alignment vertical="center" wrapText="1"/>
    </xf>
    <xf numFmtId="0" fontId="20" fillId="0" borderId="2" xfId="0" applyFont="1" applyBorder="1" applyAlignment="1">
      <alignment horizontal="left" vertical="center" wrapText="1"/>
    </xf>
    <xf numFmtId="41" fontId="4" fillId="0" borderId="2" xfId="1" applyNumberFormat="1" applyFont="1" applyFill="1" applyBorder="1" applyAlignment="1">
      <alignment vertical="center"/>
    </xf>
    <xf numFmtId="0" fontId="4" fillId="0" borderId="2" xfId="6"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justify" vertical="center" wrapText="1"/>
    </xf>
    <xf numFmtId="41" fontId="4" fillId="0" borderId="2" xfId="6" applyNumberFormat="1" applyFont="1" applyBorder="1" applyAlignment="1">
      <alignment vertical="center"/>
    </xf>
    <xf numFmtId="41" fontId="27" fillId="0" borderId="0" xfId="2" applyNumberFormat="1" applyFont="1" applyAlignment="1">
      <alignment vertical="center" wrapText="1"/>
    </xf>
    <xf numFmtId="0" fontId="103" fillId="0" borderId="0" xfId="0" applyFont="1" applyAlignment="1">
      <alignment horizontal="center" vertical="center" wrapText="1"/>
    </xf>
    <xf numFmtId="0" fontId="106" fillId="0" borderId="0" xfId="0" applyFont="1" applyAlignment="1">
      <alignment horizontal="center" vertical="center" wrapText="1"/>
    </xf>
    <xf numFmtId="41" fontId="24" fillId="0" borderId="0" xfId="2" applyNumberFormat="1" applyFont="1" applyAlignment="1">
      <alignment vertical="center" wrapText="1"/>
    </xf>
    <xf numFmtId="0" fontId="4" fillId="0" borderId="0" xfId="0" applyFont="1" applyAlignment="1">
      <alignment vertical="center" wrapText="1"/>
    </xf>
    <xf numFmtId="41" fontId="4" fillId="0" borderId="2" xfId="1" applyNumberFormat="1" applyFont="1" applyFill="1" applyBorder="1" applyAlignment="1">
      <alignment horizontal="right" vertical="center"/>
    </xf>
    <xf numFmtId="0" fontId="103" fillId="0" borderId="0" xfId="0" applyFont="1" applyAlignment="1">
      <alignment vertical="center" wrapText="1"/>
    </xf>
    <xf numFmtId="0" fontId="106" fillId="0" borderId="0" xfId="0" applyFont="1" applyAlignment="1">
      <alignment vertical="center" wrapText="1"/>
    </xf>
    <xf numFmtId="41" fontId="20" fillId="0" borderId="2" xfId="2" applyNumberFormat="1" applyFont="1" applyBorder="1" applyAlignment="1">
      <alignment vertical="center"/>
    </xf>
    <xf numFmtId="41" fontId="24" fillId="0" borderId="2" xfId="1" applyNumberFormat="1" applyFont="1" applyFill="1" applyBorder="1" applyAlignment="1">
      <alignment vertical="center"/>
    </xf>
    <xf numFmtId="41" fontId="20" fillId="0" borderId="2" xfId="1" applyNumberFormat="1" applyFont="1" applyFill="1" applyBorder="1" applyAlignment="1">
      <alignment vertical="center"/>
    </xf>
    <xf numFmtId="41" fontId="20" fillId="0" borderId="2" xfId="6" applyNumberFormat="1" applyFont="1" applyBorder="1" applyAlignment="1">
      <alignment vertical="center"/>
    </xf>
    <xf numFmtId="0" fontId="103" fillId="0" borderId="2" xfId="4" applyFont="1" applyBorder="1" applyAlignment="1">
      <alignment horizontal="left" vertical="center" wrapText="1"/>
    </xf>
    <xf numFmtId="41" fontId="106" fillId="0" borderId="2" xfId="1" applyNumberFormat="1" applyFont="1" applyFill="1" applyBorder="1" applyAlignment="1">
      <alignment horizontal="right" vertical="center"/>
    </xf>
    <xf numFmtId="41" fontId="113" fillId="0" borderId="2" xfId="1" applyNumberFormat="1" applyFont="1" applyFill="1" applyBorder="1" applyAlignment="1">
      <alignment horizontal="left" vertical="center" wrapText="1"/>
    </xf>
    <xf numFmtId="41" fontId="103" fillId="0" borderId="2" xfId="1" applyNumberFormat="1" applyFont="1" applyFill="1" applyBorder="1" applyAlignment="1">
      <alignment horizontal="right" vertical="center"/>
    </xf>
    <xf numFmtId="41" fontId="4" fillId="0" borderId="2" xfId="0" applyNumberFormat="1" applyFont="1" applyBorder="1" applyAlignment="1">
      <alignment vertical="center"/>
    </xf>
    <xf numFmtId="0" fontId="24" fillId="0" borderId="0" xfId="2"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vertical="center" wrapText="1"/>
    </xf>
    <xf numFmtId="41" fontId="20" fillId="0" borderId="0" xfId="0" applyNumberFormat="1" applyFont="1" applyAlignment="1">
      <alignment vertical="center" wrapText="1"/>
    </xf>
    <xf numFmtId="41" fontId="24" fillId="0" borderId="2" xfId="1" applyNumberFormat="1" applyFont="1" applyFill="1" applyBorder="1" applyAlignment="1">
      <alignment horizontal="left" vertical="center"/>
    </xf>
    <xf numFmtId="41" fontId="109" fillId="0" borderId="2" xfId="1" applyNumberFormat="1" applyFont="1" applyFill="1" applyBorder="1" applyAlignment="1">
      <alignment vertical="center"/>
    </xf>
    <xf numFmtId="169" fontId="20" fillId="0" borderId="2" xfId="1" applyNumberFormat="1" applyFont="1" applyFill="1" applyBorder="1" applyAlignment="1">
      <alignment vertical="center"/>
    </xf>
    <xf numFmtId="41" fontId="4" fillId="79" borderId="2" xfId="6" applyNumberFormat="1" applyFont="1" applyFill="1" applyBorder="1" applyAlignment="1">
      <alignment vertical="center"/>
    </xf>
    <xf numFmtId="41" fontId="98" fillId="0" borderId="0" xfId="1" applyNumberFormat="1" applyFont="1" applyFill="1" applyBorder="1" applyAlignment="1">
      <alignment horizontal="right" vertical="center"/>
    </xf>
    <xf numFmtId="41" fontId="103" fillId="0" borderId="2" xfId="1" applyNumberFormat="1" applyFont="1" applyFill="1" applyBorder="1" applyAlignment="1">
      <alignment vertical="center"/>
    </xf>
    <xf numFmtId="41" fontId="103" fillId="0" borderId="2" xfId="1" applyNumberFormat="1" applyFont="1" applyFill="1" applyBorder="1" applyAlignment="1">
      <alignment horizontal="left" vertical="center" wrapText="1"/>
    </xf>
    <xf numFmtId="41" fontId="103" fillId="0" borderId="0" xfId="1" applyNumberFormat="1" applyFont="1" applyFill="1" applyBorder="1" applyAlignment="1">
      <alignment horizontal="right" vertical="center"/>
    </xf>
    <xf numFmtId="41" fontId="104" fillId="0" borderId="2" xfId="1" applyNumberFormat="1" applyFont="1" applyFill="1" applyBorder="1" applyAlignment="1">
      <alignment vertical="center"/>
    </xf>
    <xf numFmtId="41" fontId="103" fillId="0" borderId="2" xfId="2" applyNumberFormat="1" applyFont="1" applyBorder="1" applyAlignment="1">
      <alignment vertical="center"/>
    </xf>
    <xf numFmtId="170" fontId="103" fillId="0" borderId="2" xfId="26" applyNumberFormat="1" applyFont="1" applyFill="1" applyBorder="1" applyAlignment="1" applyProtection="1">
      <alignment vertical="center"/>
    </xf>
    <xf numFmtId="170" fontId="4" fillId="0" borderId="2" xfId="26" applyNumberFormat="1" applyFont="1" applyFill="1" applyBorder="1" applyAlignment="1" applyProtection="1">
      <alignment vertical="center"/>
    </xf>
    <xf numFmtId="169" fontId="23" fillId="0" borderId="1" xfId="1" applyNumberFormat="1" applyFont="1" applyFill="1" applyBorder="1" applyAlignment="1">
      <alignment horizontal="right" vertical="center" wrapText="1"/>
    </xf>
    <xf numFmtId="169" fontId="20" fillId="0" borderId="0" xfId="1" applyNumberFormat="1" applyFont="1" applyFill="1" applyAlignment="1">
      <alignment vertical="center" wrapText="1"/>
    </xf>
    <xf numFmtId="170" fontId="4" fillId="0" borderId="2" xfId="4341" applyNumberFormat="1" applyFont="1" applyFill="1" applyBorder="1" applyAlignment="1" applyProtection="1">
      <alignment vertical="center"/>
    </xf>
    <xf numFmtId="169" fontId="23" fillId="0" borderId="0" xfId="1" applyNumberFormat="1" applyFont="1" applyFill="1" applyBorder="1" applyAlignment="1">
      <alignment horizontal="right" vertical="center" wrapText="1"/>
    </xf>
    <xf numFmtId="41" fontId="4" fillId="0" borderId="2" xfId="1" applyNumberFormat="1" applyFont="1" applyFill="1" applyBorder="1" applyAlignment="1">
      <alignment horizontal="left" vertical="center" wrapText="1"/>
    </xf>
    <xf numFmtId="41" fontId="28" fillId="0" borderId="2" xfId="1" applyNumberFormat="1" applyFont="1" applyFill="1" applyBorder="1" applyAlignment="1">
      <alignment vertical="center"/>
    </xf>
    <xf numFmtId="41" fontId="4" fillId="0" borderId="0" xfId="1" applyNumberFormat="1" applyFont="1" applyFill="1" applyBorder="1" applyAlignment="1">
      <alignment horizontal="right" vertical="center"/>
    </xf>
    <xf numFmtId="41" fontId="106" fillId="0" borderId="2" xfId="1" applyNumberFormat="1" applyFont="1" applyFill="1" applyBorder="1" applyAlignment="1">
      <alignment horizontal="left" vertical="center" wrapText="1"/>
    </xf>
    <xf numFmtId="0" fontId="106" fillId="0" borderId="2" xfId="1" applyNumberFormat="1" applyFont="1" applyFill="1" applyBorder="1" applyAlignment="1">
      <alignment horizontal="left" vertical="center" wrapText="1"/>
    </xf>
    <xf numFmtId="41" fontId="4" fillId="0" borderId="2" xfId="2" applyNumberFormat="1" applyFont="1" applyBorder="1" applyAlignment="1">
      <alignment vertical="center"/>
    </xf>
    <xf numFmtId="169" fontId="4" fillId="0" borderId="2" xfId="1" applyNumberFormat="1" applyFont="1" applyFill="1" applyBorder="1" applyAlignment="1">
      <alignment vertical="center"/>
    </xf>
    <xf numFmtId="41" fontId="20" fillId="0" borderId="2" xfId="1" applyNumberFormat="1" applyFont="1" applyFill="1" applyBorder="1" applyAlignment="1">
      <alignment horizontal="right" vertical="center"/>
    </xf>
    <xf numFmtId="41" fontId="27" fillId="0" borderId="2" xfId="1" applyNumberFormat="1" applyFont="1" applyFill="1" applyBorder="1" applyAlignment="1">
      <alignment horizontal="left" vertical="center" wrapText="1"/>
    </xf>
    <xf numFmtId="41" fontId="202" fillId="0" borderId="2" xfId="0" applyNumberFormat="1" applyFont="1" applyBorder="1" applyAlignment="1">
      <alignment vertical="center"/>
    </xf>
    <xf numFmtId="169" fontId="24" fillId="0" borderId="2" xfId="1" applyNumberFormat="1" applyFont="1" applyFill="1" applyBorder="1" applyAlignment="1">
      <alignment horizontal="center" vertical="center" wrapText="1"/>
    </xf>
    <xf numFmtId="0" fontId="4" fillId="79" borderId="2" xfId="6" applyFont="1" applyFill="1" applyBorder="1" applyAlignment="1">
      <alignment horizontal="center" vertical="center" wrapText="1"/>
    </xf>
    <xf numFmtId="0" fontId="20" fillId="79" borderId="2" xfId="6" applyFont="1" applyFill="1" applyBorder="1" applyAlignment="1">
      <alignment horizontal="center" vertical="center" wrapText="1"/>
    </xf>
    <xf numFmtId="49" fontId="4" fillId="0" borderId="2" xfId="2599" applyNumberFormat="1" applyFont="1" applyBorder="1" applyAlignment="1">
      <alignment horizontal="center" vertical="center" wrapText="1"/>
    </xf>
    <xf numFmtId="0" fontId="4" fillId="0" borderId="2" xfId="67" applyFont="1" applyBorder="1" applyAlignment="1">
      <alignment horizontal="center" vertical="center" wrapText="1"/>
    </xf>
    <xf numFmtId="0" fontId="4" fillId="0" borderId="2" xfId="2356" applyFont="1" applyBorder="1" applyAlignment="1">
      <alignment horizontal="center" vertical="center" wrapText="1"/>
    </xf>
    <xf numFmtId="0" fontId="20" fillId="0" borderId="2" xfId="6" applyFont="1" applyBorder="1" applyAlignment="1">
      <alignment horizontal="center" vertical="center" wrapText="1"/>
    </xf>
    <xf numFmtId="49" fontId="20" fillId="0" borderId="2" xfId="6" applyNumberFormat="1" applyFont="1" applyBorder="1" applyAlignment="1">
      <alignment vertical="center" wrapText="1"/>
    </xf>
    <xf numFmtId="0" fontId="4" fillId="0" borderId="0" xfId="0" applyFont="1" applyAlignment="1">
      <alignment horizontal="center" vertical="center" wrapText="1"/>
    </xf>
    <xf numFmtId="0" fontId="4" fillId="0" borderId="2" xfId="2593" applyFont="1" applyBorder="1" applyAlignment="1">
      <alignment horizontal="center" vertical="center" wrapText="1"/>
    </xf>
    <xf numFmtId="49" fontId="4" fillId="0" borderId="0" xfId="2599" applyNumberFormat="1" applyFont="1" applyAlignment="1">
      <alignment horizontal="center" vertical="center" wrapText="1"/>
    </xf>
    <xf numFmtId="0" fontId="4" fillId="0" borderId="0" xfId="67" applyFont="1" applyAlignment="1">
      <alignment horizontal="center" vertical="center" wrapText="1"/>
    </xf>
    <xf numFmtId="0" fontId="4" fillId="0" borderId="0" xfId="2356" applyFont="1" applyAlignment="1">
      <alignment horizontal="center" vertical="center" wrapText="1"/>
    </xf>
    <xf numFmtId="3" fontId="4" fillId="0" borderId="0" xfId="3" applyNumberFormat="1" applyFont="1" applyAlignment="1">
      <alignment horizontal="center" vertical="center" wrapText="1"/>
    </xf>
    <xf numFmtId="0" fontId="20" fillId="0" borderId="0" xfId="6" applyFont="1" applyAlignment="1">
      <alignment horizontal="center" vertical="center" wrapText="1"/>
    </xf>
    <xf numFmtId="41" fontId="20" fillId="0" borderId="0" xfId="6" applyNumberFormat="1" applyFont="1" applyAlignment="1">
      <alignment vertical="center" wrapText="1"/>
    </xf>
    <xf numFmtId="41" fontId="4" fillId="0" borderId="0" xfId="6" applyNumberFormat="1" applyFont="1" applyAlignment="1">
      <alignment vertical="center" wrapText="1"/>
    </xf>
    <xf numFmtId="49" fontId="20" fillId="0" borderId="0" xfId="6" applyNumberFormat="1" applyFont="1" applyAlignment="1">
      <alignment vertical="center" wrapText="1"/>
    </xf>
    <xf numFmtId="0" fontId="20" fillId="0" borderId="0" xfId="2" applyFont="1" applyAlignment="1">
      <alignment horizontal="left" vertical="center" wrapText="1"/>
    </xf>
    <xf numFmtId="169" fontId="24" fillId="0" borderId="6" xfId="1" applyNumberFormat="1" applyFont="1" applyFill="1" applyBorder="1" applyAlignment="1">
      <alignment vertical="center" wrapText="1"/>
    </xf>
    <xf numFmtId="169" fontId="24" fillId="0" borderId="7" xfId="1" applyNumberFormat="1" applyFont="1" applyFill="1" applyBorder="1" applyAlignment="1">
      <alignment vertical="center" wrapText="1"/>
    </xf>
    <xf numFmtId="169" fontId="24" fillId="0" borderId="8" xfId="1" applyNumberFormat="1" applyFont="1" applyFill="1" applyBorder="1" applyAlignment="1">
      <alignment vertical="center" wrapText="1"/>
    </xf>
    <xf numFmtId="0" fontId="103" fillId="0" borderId="2" xfId="2" applyFont="1" applyBorder="1" applyAlignment="1">
      <alignment horizontal="center" vertical="center" wrapText="1"/>
    </xf>
    <xf numFmtId="1" fontId="103" fillId="0" borderId="2" xfId="3" applyNumberFormat="1" applyFont="1" applyBorder="1" applyAlignment="1">
      <alignment horizontal="left" vertical="center" wrapText="1"/>
    </xf>
    <xf numFmtId="0" fontId="104" fillId="0" borderId="2" xfId="2" applyFont="1" applyBorder="1" applyAlignment="1">
      <alignment horizontal="center" vertical="center" wrapText="1"/>
    </xf>
    <xf numFmtId="0" fontId="104" fillId="0" borderId="2" xfId="2" applyFont="1" applyBorder="1" applyAlignment="1">
      <alignment vertical="center" wrapText="1"/>
    </xf>
    <xf numFmtId="41" fontId="104" fillId="0" borderId="2" xfId="2" applyNumberFormat="1" applyFont="1" applyBorder="1" applyAlignment="1">
      <alignment vertical="center"/>
    </xf>
    <xf numFmtId="0" fontId="104" fillId="0" borderId="2" xfId="2" applyFont="1" applyBorder="1" applyAlignment="1">
      <alignment horizontal="left" vertical="center" wrapText="1"/>
    </xf>
    <xf numFmtId="0" fontId="34" fillId="0" borderId="0" xfId="2" applyFont="1" applyAlignment="1">
      <alignment horizontal="center" vertical="center" wrapText="1"/>
    </xf>
    <xf numFmtId="0" fontId="4" fillId="0" borderId="2" xfId="2" applyFont="1" applyBorder="1" applyAlignment="1">
      <alignment horizontal="center" vertical="center" wrapText="1"/>
    </xf>
    <xf numFmtId="0" fontId="97" fillId="0" borderId="2" xfId="2" applyFont="1" applyBorder="1" applyAlignment="1">
      <alignment vertical="center" wrapText="1"/>
    </xf>
    <xf numFmtId="49" fontId="4" fillId="0" borderId="2" xfId="2295" applyNumberFormat="1" applyFont="1" applyBorder="1" applyAlignment="1">
      <alignment horizontal="center" vertical="center" wrapText="1"/>
    </xf>
    <xf numFmtId="49" fontId="4" fillId="0" borderId="2" xfId="6" applyNumberFormat="1" applyFont="1" applyBorder="1" applyAlignment="1">
      <alignment vertical="center" wrapText="1"/>
    </xf>
    <xf numFmtId="3" fontId="4" fillId="0" borderId="2" xfId="8" applyNumberFormat="1" applyFont="1" applyBorder="1" applyAlignment="1">
      <alignment horizontal="center" vertical="center" wrapText="1"/>
    </xf>
    <xf numFmtId="0" fontId="4" fillId="0" borderId="2" xfId="2" applyFont="1" applyBorder="1" applyAlignment="1">
      <alignment vertical="center" wrapText="1"/>
    </xf>
    <xf numFmtId="41" fontId="4" fillId="0" borderId="2" xfId="2322" applyNumberFormat="1" applyFont="1" applyBorder="1" applyAlignment="1">
      <alignment vertical="center"/>
    </xf>
    <xf numFmtId="0" fontId="4" fillId="0" borderId="2" xfId="67" applyFont="1" applyBorder="1" applyAlignment="1">
      <alignment vertical="center" wrapText="1"/>
    </xf>
    <xf numFmtId="0" fontId="4" fillId="0" borderId="2" xfId="2617" applyFont="1" applyBorder="1" applyAlignment="1">
      <alignment horizontal="center" vertical="center" wrapText="1"/>
    </xf>
    <xf numFmtId="41" fontId="97" fillId="0" borderId="2" xfId="1" applyNumberFormat="1" applyFont="1" applyFill="1" applyBorder="1" applyAlignment="1">
      <alignment vertical="center"/>
    </xf>
    <xf numFmtId="0" fontId="4" fillId="0" borderId="0" xfId="2" applyFont="1" applyAlignment="1">
      <alignment horizontal="center" vertical="center" wrapText="1"/>
    </xf>
    <xf numFmtId="0" fontId="4" fillId="0" borderId="0" xfId="2" applyFont="1" applyAlignment="1">
      <alignment vertical="center" wrapText="1"/>
    </xf>
    <xf numFmtId="41" fontId="106" fillId="0" borderId="0" xfId="2" applyNumberFormat="1" applyFont="1" applyAlignment="1">
      <alignment vertical="center" wrapText="1"/>
    </xf>
    <xf numFmtId="0" fontId="103" fillId="0" borderId="0" xfId="2" applyFont="1" applyAlignment="1">
      <alignment vertical="center" wrapText="1"/>
    </xf>
    <xf numFmtId="0" fontId="23" fillId="0" borderId="0" xfId="2" applyFont="1" applyAlignment="1">
      <alignment horizontal="right" vertical="center" wrapText="1"/>
    </xf>
    <xf numFmtId="41" fontId="103" fillId="0" borderId="0" xfId="1" applyNumberFormat="1" applyFont="1" applyFill="1" applyBorder="1" applyAlignment="1">
      <alignment horizontal="left" vertical="center" wrapText="1"/>
    </xf>
    <xf numFmtId="0" fontId="104" fillId="0" borderId="0" xfId="2" applyFont="1" applyAlignment="1">
      <alignment horizontal="left" vertical="center" wrapText="1"/>
    </xf>
    <xf numFmtId="49" fontId="4" fillId="0" borderId="0" xfId="6" applyNumberFormat="1" applyFont="1" applyAlignment="1">
      <alignment vertical="center" wrapText="1"/>
    </xf>
    <xf numFmtId="41" fontId="4" fillId="0" borderId="0" xfId="2" applyNumberFormat="1" applyFont="1" applyAlignment="1">
      <alignment vertical="center" wrapText="1"/>
    </xf>
    <xf numFmtId="0" fontId="106" fillId="0" borderId="2" xfId="2" applyFont="1" applyBorder="1" applyAlignment="1">
      <alignment horizontal="center" vertical="center" wrapText="1"/>
    </xf>
    <xf numFmtId="1" fontId="106" fillId="0" borderId="2" xfId="3" applyNumberFormat="1" applyFont="1" applyBorder="1" applyAlignment="1">
      <alignment horizontal="center" vertical="center" wrapText="1"/>
    </xf>
    <xf numFmtId="41" fontId="106" fillId="0" borderId="2" xfId="2" applyNumberFormat="1" applyFont="1" applyBorder="1" applyAlignment="1">
      <alignment vertical="center"/>
    </xf>
    <xf numFmtId="0" fontId="106" fillId="0" borderId="0" xfId="2" applyFont="1" applyAlignment="1">
      <alignment vertical="center" wrapText="1"/>
    </xf>
    <xf numFmtId="41" fontId="103" fillId="0" borderId="0" xfId="2" applyNumberFormat="1" applyFont="1" applyAlignment="1">
      <alignment vertical="center" wrapText="1"/>
    </xf>
    <xf numFmtId="0" fontId="104" fillId="0" borderId="0" xfId="2" applyFont="1" applyAlignment="1">
      <alignment vertical="center" wrapText="1"/>
    </xf>
    <xf numFmtId="0" fontId="104" fillId="0" borderId="0" xfId="2" applyFont="1" applyAlignment="1">
      <alignment horizontal="center" vertical="center" wrapText="1"/>
    </xf>
    <xf numFmtId="0" fontId="98" fillId="0" borderId="0" xfId="2" applyFont="1" applyAlignment="1">
      <alignment horizontal="center" vertical="center" wrapText="1"/>
    </xf>
    <xf numFmtId="0" fontId="98" fillId="0" borderId="0" xfId="2" applyFont="1" applyAlignment="1">
      <alignment vertical="center" wrapText="1"/>
    </xf>
    <xf numFmtId="0" fontId="98" fillId="0" borderId="0" xfId="29" applyFont="1" applyAlignment="1">
      <alignment horizontal="center" vertical="center" wrapText="1"/>
    </xf>
    <xf numFmtId="0" fontId="98" fillId="0" borderId="0" xfId="29" applyFont="1" applyAlignment="1">
      <alignment vertical="center" wrapText="1"/>
    </xf>
    <xf numFmtId="0" fontId="25" fillId="0" borderId="2" xfId="2" applyFont="1" applyBorder="1" applyAlignment="1">
      <alignment horizontal="center" vertical="center" wrapText="1"/>
    </xf>
    <xf numFmtId="41" fontId="98" fillId="0" borderId="0" xfId="2" applyNumberFormat="1" applyFont="1" applyAlignment="1">
      <alignment vertical="center" wrapText="1"/>
    </xf>
    <xf numFmtId="0" fontId="28" fillId="0" borderId="0" xfId="2" applyFont="1" applyAlignment="1">
      <alignment vertical="center" wrapText="1"/>
    </xf>
    <xf numFmtId="0" fontId="28" fillId="0" borderId="0" xfId="2" applyFont="1" applyAlignment="1">
      <alignment horizontal="center" vertical="center" wrapText="1"/>
    </xf>
    <xf numFmtId="0" fontId="109" fillId="0" borderId="2" xfId="2" applyFont="1" applyBorder="1" applyAlignment="1">
      <alignment vertical="center" wrapText="1"/>
    </xf>
    <xf numFmtId="49" fontId="20" fillId="0" borderId="2" xfId="2295" applyNumberFormat="1" applyFont="1" applyBorder="1" applyAlignment="1">
      <alignment horizontal="center" vertical="center" wrapText="1"/>
    </xf>
    <xf numFmtId="0" fontId="20" fillId="0" borderId="2" xfId="67" applyFont="1" applyBorder="1" applyAlignment="1">
      <alignment horizontal="center" vertical="center" wrapText="1"/>
    </xf>
    <xf numFmtId="0" fontId="20" fillId="0" borderId="2" xfId="29" applyFont="1" applyBorder="1" applyAlignment="1">
      <alignment horizontal="left" vertical="center" wrapText="1"/>
    </xf>
    <xf numFmtId="0" fontId="24" fillId="0" borderId="0" xfId="6" applyFont="1" applyAlignment="1">
      <alignment vertical="center" wrapText="1"/>
    </xf>
    <xf numFmtId="41" fontId="24" fillId="0" borderId="0" xfId="6" applyNumberFormat="1" applyFont="1" applyAlignment="1">
      <alignment vertical="center" wrapText="1"/>
    </xf>
    <xf numFmtId="0" fontId="27" fillId="0" borderId="2" xfId="6" applyFont="1" applyBorder="1" applyAlignment="1">
      <alignment horizontal="center" vertical="center" wrapText="1"/>
    </xf>
    <xf numFmtId="0" fontId="26" fillId="0" borderId="0" xfId="29" applyFont="1" applyAlignment="1">
      <alignment horizontal="center" vertical="center" wrapText="1"/>
    </xf>
    <xf numFmtId="0" fontId="26" fillId="0" borderId="0" xfId="29" applyFont="1" applyAlignment="1">
      <alignment vertical="center" wrapText="1"/>
    </xf>
    <xf numFmtId="0" fontId="206" fillId="0" borderId="0" xfId="2" applyFont="1" applyAlignment="1">
      <alignment vertical="center" wrapText="1"/>
    </xf>
    <xf numFmtId="0" fontId="206" fillId="0" borderId="0" xfId="2" applyFont="1" applyAlignment="1">
      <alignment horizontal="center" vertical="center" wrapText="1"/>
    </xf>
    <xf numFmtId="0" fontId="103" fillId="0" borderId="0" xfId="29" applyFont="1" applyAlignment="1">
      <alignment vertical="center" wrapText="1"/>
    </xf>
    <xf numFmtId="0" fontId="4" fillId="0" borderId="2" xfId="29" applyFont="1" applyBorder="1" applyAlignment="1">
      <alignment horizontal="center" vertical="center" wrapText="1"/>
    </xf>
    <xf numFmtId="0" fontId="4" fillId="0" borderId="2" xfId="29" applyFont="1" applyBorder="1" applyAlignment="1">
      <alignment horizontal="left" vertical="center" wrapText="1"/>
    </xf>
    <xf numFmtId="41" fontId="20" fillId="0" borderId="2" xfId="0" applyNumberFormat="1" applyFont="1" applyBorder="1" applyAlignment="1">
      <alignment vertical="center"/>
    </xf>
    <xf numFmtId="1" fontId="20" fillId="0" borderId="2" xfId="3" applyNumberFormat="1" applyFont="1" applyBorder="1" applyAlignment="1">
      <alignment horizontal="center" vertical="center" wrapText="1"/>
    </xf>
    <xf numFmtId="0" fontId="4" fillId="0" borderId="0" xfId="2766" applyFont="1" applyAlignment="1">
      <alignment vertical="center" wrapText="1"/>
    </xf>
    <xf numFmtId="41" fontId="110" fillId="0" borderId="1" xfId="2766" applyNumberFormat="1" applyFont="1" applyBorder="1" applyAlignment="1">
      <alignment horizontal="right" vertical="center" wrapText="1"/>
    </xf>
    <xf numFmtId="0" fontId="110" fillId="0" borderId="1" xfId="2766" applyFont="1" applyBorder="1" applyAlignment="1">
      <alignment horizontal="right" vertical="center" wrapText="1"/>
    </xf>
    <xf numFmtId="0" fontId="104" fillId="0" borderId="2" xfId="2766" applyFont="1" applyBorder="1" applyAlignment="1">
      <alignment horizontal="center" vertical="center" wrapText="1"/>
    </xf>
    <xf numFmtId="0" fontId="113" fillId="0" borderId="2" xfId="2766" applyFont="1" applyBorder="1" applyAlignment="1">
      <alignment horizontal="center" vertical="center" wrapText="1"/>
    </xf>
    <xf numFmtId="0" fontId="106" fillId="0" borderId="0" xfId="2766" applyFont="1" applyAlignment="1">
      <alignment vertical="center" wrapText="1"/>
    </xf>
    <xf numFmtId="0" fontId="103" fillId="0" borderId="2" xfId="2766" applyFont="1" applyBorder="1" applyAlignment="1">
      <alignment vertical="center" wrapText="1"/>
    </xf>
    <xf numFmtId="41" fontId="103" fillId="0" borderId="2" xfId="2766" applyNumberFormat="1" applyFont="1" applyBorder="1" applyAlignment="1">
      <alignment vertical="center" wrapText="1"/>
    </xf>
    <xf numFmtId="0" fontId="103" fillId="0" borderId="0" xfId="2766" applyFont="1" applyAlignment="1">
      <alignment vertical="center" wrapText="1"/>
    </xf>
    <xf numFmtId="0" fontId="104" fillId="0" borderId="2" xfId="2766" applyFont="1" applyBorder="1" applyAlignment="1">
      <alignment vertical="center" wrapText="1"/>
    </xf>
    <xf numFmtId="41" fontId="104" fillId="0" borderId="2" xfId="2766" applyNumberFormat="1" applyFont="1" applyBorder="1" applyAlignment="1">
      <alignment vertical="center" wrapText="1"/>
    </xf>
    <xf numFmtId="0" fontId="104" fillId="0" borderId="0" xfId="2766" applyFont="1" applyAlignment="1">
      <alignment vertical="center" wrapText="1"/>
    </xf>
    <xf numFmtId="0" fontId="4" fillId="0" borderId="2" xfId="2766" applyFont="1" applyBorder="1" applyAlignment="1">
      <alignment horizontal="center" vertical="center" wrapText="1"/>
    </xf>
    <xf numFmtId="1" fontId="4" fillId="0" borderId="2" xfId="3" applyNumberFormat="1" applyFont="1" applyBorder="1" applyAlignment="1">
      <alignment horizontal="center" vertical="center" wrapText="1"/>
    </xf>
    <xf numFmtId="41" fontId="4" fillId="0" borderId="2" xfId="2766" applyNumberFormat="1" applyFont="1" applyBorder="1" applyAlignment="1">
      <alignment vertical="center"/>
    </xf>
    <xf numFmtId="0" fontId="24" fillId="0" borderId="0" xfId="0" applyFont="1" applyAlignment="1">
      <alignment vertical="center" wrapText="1"/>
    </xf>
    <xf numFmtId="0" fontId="20" fillId="0" borderId="2" xfId="67" applyFont="1" applyBorder="1" applyAlignment="1">
      <alignment vertical="center" wrapText="1"/>
    </xf>
    <xf numFmtId="49" fontId="20" fillId="0" borderId="2" xfId="6" applyNumberFormat="1" applyFont="1" applyBorder="1" applyAlignment="1">
      <alignment horizontal="center" vertical="center" wrapText="1"/>
    </xf>
    <xf numFmtId="41" fontId="207" fillId="0" borderId="2" xfId="0" applyNumberFormat="1" applyFont="1" applyBorder="1" applyAlignment="1">
      <alignment vertical="center"/>
    </xf>
    <xf numFmtId="0" fontId="20" fillId="0" borderId="2" xfId="0" applyFont="1" applyBorder="1" applyAlignment="1">
      <alignment vertical="center" wrapText="1"/>
    </xf>
    <xf numFmtId="3" fontId="4"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2" xfId="29" applyFont="1" applyBorder="1" applyAlignment="1">
      <alignment horizontal="center" vertical="center" wrapText="1"/>
    </xf>
    <xf numFmtId="0" fontId="4" fillId="0" borderId="2" xfId="67" applyFont="1" applyBorder="1" applyAlignment="1">
      <alignment horizontal="justify" vertical="center" wrapText="1"/>
    </xf>
    <xf numFmtId="169" fontId="27" fillId="0" borderId="2" xfId="1" applyNumberFormat="1" applyFont="1" applyFill="1" applyBorder="1" applyAlignment="1">
      <alignment vertical="center"/>
    </xf>
    <xf numFmtId="0" fontId="24" fillId="0" borderId="0" xfId="0" applyFont="1" applyAlignment="1">
      <alignment horizontal="center" vertical="center" wrapText="1"/>
    </xf>
    <xf numFmtId="169" fontId="27" fillId="0" borderId="2" xfId="1" applyNumberFormat="1" applyFont="1" applyFill="1" applyBorder="1" applyAlignment="1">
      <alignment horizontal="center" vertical="center" wrapText="1"/>
    </xf>
    <xf numFmtId="41" fontId="4" fillId="0" borderId="2" xfId="1" applyNumberFormat="1" applyFont="1" applyFill="1" applyBorder="1" applyAlignment="1">
      <alignment vertical="center" wrapText="1"/>
    </xf>
    <xf numFmtId="41" fontId="110" fillId="0" borderId="2" xfId="1" applyNumberFormat="1" applyFont="1" applyFill="1" applyBorder="1" applyAlignment="1">
      <alignment vertical="center" wrapText="1"/>
    </xf>
    <xf numFmtId="3" fontId="4" fillId="79" borderId="2" xfId="8" applyNumberFormat="1" applyFont="1" applyFill="1" applyBorder="1" applyAlignment="1">
      <alignment horizontal="center" vertical="center" wrapText="1"/>
    </xf>
    <xf numFmtId="41" fontId="23" fillId="0" borderId="1" xfId="2" applyNumberFormat="1" applyFont="1" applyBorder="1" applyAlignment="1">
      <alignment horizontal="right" vertical="center" wrapText="1"/>
    </xf>
    <xf numFmtId="0" fontId="26" fillId="0" borderId="2" xfId="2" applyFont="1" applyBorder="1" applyAlignment="1">
      <alignment horizontal="center" vertical="center" wrapText="1"/>
    </xf>
    <xf numFmtId="41" fontId="24" fillId="0" borderId="2" xfId="2" applyNumberFormat="1" applyFont="1" applyBorder="1" applyAlignment="1">
      <alignment vertical="center" wrapText="1"/>
    </xf>
    <xf numFmtId="41" fontId="28" fillId="0" borderId="2" xfId="2" applyNumberFormat="1" applyFont="1" applyBorder="1" applyAlignment="1">
      <alignment vertical="center" wrapText="1"/>
    </xf>
    <xf numFmtId="49" fontId="20" fillId="0" borderId="2" xfId="2" applyNumberFormat="1" applyFont="1" applyBorder="1" applyAlignment="1">
      <alignment horizontal="center" vertical="center" wrapText="1"/>
    </xf>
    <xf numFmtId="0" fontId="20" fillId="0" borderId="2" xfId="5" applyFont="1" applyBorder="1" applyAlignment="1">
      <alignment horizontal="center" vertical="center" wrapText="1"/>
    </xf>
    <xf numFmtId="0" fontId="20" fillId="0" borderId="2" xfId="2" applyFont="1" applyBorder="1" applyAlignment="1">
      <alignment horizontal="left" vertical="center" wrapText="1"/>
    </xf>
    <xf numFmtId="0" fontId="20" fillId="0" borderId="2" xfId="7" applyFont="1" applyBorder="1" applyAlignment="1">
      <alignment vertical="center" wrapText="1"/>
    </xf>
    <xf numFmtId="0" fontId="4" fillId="0" borderId="2" xfId="3" applyFont="1" applyBorder="1" applyAlignment="1">
      <alignment horizontal="center" vertical="center" wrapText="1"/>
    </xf>
    <xf numFmtId="0" fontId="4" fillId="0" borderId="2" xfId="1376" applyFont="1" applyBorder="1" applyAlignment="1">
      <alignment horizontal="center" vertical="center" wrapText="1"/>
    </xf>
    <xf numFmtId="0" fontId="4" fillId="0" borderId="2" xfId="4816" applyFont="1" applyBorder="1" applyAlignment="1">
      <alignment horizontal="center" vertical="center" wrapText="1"/>
    </xf>
    <xf numFmtId="41" fontId="208" fillId="0" borderId="2" xfId="1" applyNumberFormat="1" applyFont="1" applyFill="1" applyBorder="1" applyAlignment="1">
      <alignment vertical="center"/>
    </xf>
    <xf numFmtId="164" fontId="0" fillId="0" borderId="0" xfId="0" applyNumberFormat="1"/>
    <xf numFmtId="0" fontId="0" fillId="0" borderId="0" xfId="0" applyAlignment="1">
      <alignment wrapText="1"/>
    </xf>
    <xf numFmtId="41" fontId="24" fillId="0" borderId="0" xfId="1" applyNumberFormat="1" applyFont="1" applyFill="1" applyBorder="1" applyAlignment="1">
      <alignment horizontal="left" vertical="center" wrapText="1"/>
    </xf>
    <xf numFmtId="0" fontId="211" fillId="0" borderId="0" xfId="2" applyFont="1" applyAlignment="1">
      <alignment vertical="center" wrapText="1"/>
    </xf>
    <xf numFmtId="1" fontId="24" fillId="0" borderId="0" xfId="3" applyNumberFormat="1" applyFont="1" applyAlignment="1">
      <alignment horizontal="left" vertical="center" wrapText="1"/>
    </xf>
    <xf numFmtId="41" fontId="24" fillId="0" borderId="0" xfId="2" applyNumberFormat="1" applyFont="1" applyAlignment="1">
      <alignment vertical="center"/>
    </xf>
    <xf numFmtId="0" fontId="0" fillId="0" borderId="0" xfId="0" applyAlignment="1">
      <alignment horizontal="center" wrapText="1"/>
    </xf>
    <xf numFmtId="0" fontId="120" fillId="0" borderId="0" xfId="29" applyFont="1" applyAlignment="1">
      <alignment vertical="center" wrapText="1"/>
    </xf>
    <xf numFmtId="0" fontId="4" fillId="0" borderId="0" xfId="29" applyFont="1" applyAlignment="1">
      <alignment vertical="center" wrapText="1"/>
    </xf>
    <xf numFmtId="0" fontId="116" fillId="0" borderId="0" xfId="29" applyFont="1" applyAlignment="1">
      <alignment vertical="center" wrapText="1"/>
    </xf>
    <xf numFmtId="41" fontId="110" fillId="0" borderId="1" xfId="29" applyNumberFormat="1" applyFont="1" applyBorder="1" applyAlignment="1">
      <alignment horizontal="right" vertical="center" wrapText="1"/>
    </xf>
    <xf numFmtId="0" fontId="110" fillId="0" borderId="1" xfId="29" applyFont="1" applyBorder="1" applyAlignment="1">
      <alignment horizontal="right" vertical="center" wrapText="1"/>
    </xf>
    <xf numFmtId="0" fontId="25" fillId="0" borderId="2" xfId="29" applyFont="1" applyBorder="1" applyAlignment="1">
      <alignment horizontal="center" vertical="center" wrapText="1"/>
    </xf>
    <xf numFmtId="0" fontId="25" fillId="0" borderId="2" xfId="29" applyFont="1" applyBorder="1" applyAlignment="1">
      <alignment vertical="center" wrapText="1"/>
    </xf>
    <xf numFmtId="49" fontId="4" fillId="0" borderId="2" xfId="67" applyNumberFormat="1" applyFont="1" applyBorder="1" applyAlignment="1">
      <alignment horizontal="center" vertical="center" wrapText="1"/>
    </xf>
    <xf numFmtId="3" fontId="4" fillId="0" borderId="2" xfId="29" applyNumberFormat="1" applyFont="1" applyBorder="1" applyAlignment="1">
      <alignment horizontal="center" vertical="center" wrapText="1"/>
    </xf>
    <xf numFmtId="49" fontId="4" fillId="0" borderId="2" xfId="29" applyNumberFormat="1" applyFont="1" applyBorder="1" applyAlignment="1">
      <alignment horizontal="center" vertical="center" wrapText="1"/>
    </xf>
    <xf numFmtId="41" fontId="4" fillId="0" borderId="2" xfId="29" applyNumberFormat="1" applyFont="1" applyBorder="1" applyAlignment="1">
      <alignment horizontal="center" vertical="center"/>
    </xf>
    <xf numFmtId="1" fontId="4" fillId="0" borderId="2" xfId="3" applyNumberFormat="1" applyFont="1" applyBorder="1" applyAlignment="1">
      <alignment horizontal="justify" vertical="center" wrapText="1"/>
    </xf>
    <xf numFmtId="49" fontId="4" fillId="0" borderId="2" xfId="4960" applyNumberFormat="1" applyFont="1" applyBorder="1" applyAlignment="1">
      <alignment horizontal="center" vertical="center"/>
    </xf>
    <xf numFmtId="0" fontId="4" fillId="0" borderId="2" xfId="4960" applyFont="1" applyBorder="1" applyAlignment="1">
      <alignment horizontal="center" vertical="center" wrapText="1"/>
    </xf>
    <xf numFmtId="3" fontId="4" fillId="0" borderId="2" xfId="29" applyNumberFormat="1" applyFont="1" applyBorder="1" applyAlignment="1">
      <alignment vertical="center"/>
    </xf>
    <xf numFmtId="0" fontId="24" fillId="0" borderId="2" xfId="0" applyFont="1" applyBorder="1" applyAlignment="1">
      <alignment horizontal="left" vertical="center" wrapText="1"/>
    </xf>
    <xf numFmtId="169" fontId="24" fillId="0" borderId="2" xfId="1" applyNumberFormat="1" applyFont="1" applyFill="1" applyBorder="1" applyAlignment="1">
      <alignment vertical="center"/>
    </xf>
    <xf numFmtId="41" fontId="4" fillId="0" borderId="0" xfId="0" applyNumberFormat="1" applyFont="1" applyAlignment="1">
      <alignment vertical="center" wrapText="1"/>
    </xf>
    <xf numFmtId="3" fontId="24" fillId="0" borderId="2" xfId="3" applyNumberFormat="1" applyFont="1" applyBorder="1" applyAlignment="1">
      <alignment horizontal="left" vertical="center" wrapText="1"/>
    </xf>
    <xf numFmtId="0" fontId="114" fillId="0" borderId="0" xfId="4" applyFont="1"/>
    <xf numFmtId="0" fontId="113" fillId="0" borderId="0" xfId="4" applyFont="1"/>
    <xf numFmtId="0" fontId="111" fillId="0" borderId="0" xfId="4" applyFont="1"/>
    <xf numFmtId="0" fontId="114" fillId="0" borderId="0" xfId="4" applyFont="1" applyAlignment="1">
      <alignment horizontal="center"/>
    </xf>
    <xf numFmtId="1" fontId="4" fillId="0" borderId="0" xfId="4" applyNumberFormat="1" applyFont="1"/>
    <xf numFmtId="41" fontId="111" fillId="0" borderId="0" xfId="4" applyNumberFormat="1" applyFont="1"/>
    <xf numFmtId="41" fontId="25" fillId="0" borderId="0" xfId="4" applyNumberFormat="1" applyFont="1"/>
    <xf numFmtId="0" fontId="25" fillId="0" borderId="0" xfId="4" applyFont="1"/>
    <xf numFmtId="0" fontId="23" fillId="0" borderId="0" xfId="4" applyFont="1"/>
    <xf numFmtId="41" fontId="27" fillId="0" borderId="0" xfId="4" applyNumberFormat="1" applyFont="1"/>
    <xf numFmtId="0" fontId="27" fillId="0" borderId="0" xfId="4" applyFont="1"/>
    <xf numFmtId="0" fontId="26" fillId="0" borderId="0" xfId="4" applyFont="1"/>
    <xf numFmtId="0" fontId="217" fillId="0" borderId="0" xfId="4" applyFont="1"/>
    <xf numFmtId="0" fontId="110" fillId="0" borderId="0" xfId="4" applyFont="1"/>
    <xf numFmtId="0" fontId="103" fillId="0" borderId="2" xfId="29" applyFont="1" applyBorder="1" applyAlignment="1">
      <alignment horizontal="center" vertical="center" wrapText="1"/>
    </xf>
    <xf numFmtId="0" fontId="111" fillId="0" borderId="2" xfId="29" applyFont="1" applyBorder="1" applyAlignment="1">
      <alignment horizontal="center" vertical="center" wrapText="1"/>
    </xf>
    <xf numFmtId="0" fontId="19" fillId="0" borderId="0" xfId="2" applyFont="1" applyAlignment="1">
      <alignment horizontal="center" vertical="center" wrapText="1"/>
    </xf>
    <xf numFmtId="0" fontId="203" fillId="0" borderId="0" xfId="2" applyFont="1" applyAlignment="1">
      <alignment horizontal="center" vertical="center" wrapText="1"/>
    </xf>
    <xf numFmtId="0" fontId="22" fillId="0" borderId="0" xfId="2" applyFont="1" applyAlignment="1">
      <alignment horizontal="center" vertical="center" wrapText="1"/>
    </xf>
    <xf numFmtId="169" fontId="25" fillId="0" borderId="2" xfId="1" applyNumberFormat="1" applyFont="1" applyFill="1" applyBorder="1" applyAlignment="1">
      <alignment horizontal="center" vertical="center" wrapText="1"/>
    </xf>
    <xf numFmtId="41" fontId="27" fillId="0" borderId="0" xfId="2" applyNumberFormat="1" applyFont="1" applyAlignment="1">
      <alignment vertical="center"/>
    </xf>
    <xf numFmtId="0" fontId="4" fillId="0" borderId="2" xfId="68" applyFont="1" applyBorder="1" applyAlignment="1">
      <alignment horizontal="left" vertical="center" wrapText="1"/>
    </xf>
    <xf numFmtId="0" fontId="27" fillId="0" borderId="0" xfId="2" applyFont="1" applyAlignment="1">
      <alignment horizontal="center" vertical="center" wrapText="1"/>
    </xf>
    <xf numFmtId="41" fontId="201" fillId="0" borderId="56" xfId="0" applyNumberFormat="1" applyFont="1" applyBorder="1" applyAlignment="1">
      <alignment vertical="center"/>
    </xf>
    <xf numFmtId="0" fontId="103" fillId="0" borderId="0" xfId="2" applyFont="1" applyAlignment="1">
      <alignment horizontal="center" vertical="center" wrapText="1"/>
    </xf>
    <xf numFmtId="41" fontId="4" fillId="0" borderId="2" xfId="6" applyNumberFormat="1" applyFont="1" applyBorder="1" applyAlignment="1">
      <alignment vertical="center" wrapText="1"/>
    </xf>
    <xf numFmtId="178" fontId="4" fillId="0" borderId="2" xfId="3" applyNumberFormat="1" applyFont="1" applyBorder="1" applyAlignment="1">
      <alignment horizontal="right" vertical="center"/>
    </xf>
    <xf numFmtId="0" fontId="4" fillId="0" borderId="2" xfId="2322" applyFont="1" applyBorder="1" applyAlignment="1">
      <alignment horizontal="center" vertical="center" wrapText="1"/>
    </xf>
    <xf numFmtId="49" fontId="4" fillId="0" borderId="2" xfId="2596" applyNumberFormat="1" applyFont="1" applyBorder="1" applyAlignment="1">
      <alignment horizontal="center" vertical="center" wrapText="1"/>
    </xf>
    <xf numFmtId="232" fontId="97" fillId="0" borderId="2" xfId="2" applyNumberFormat="1" applyFont="1" applyBorder="1" applyAlignment="1">
      <alignment vertical="center"/>
    </xf>
    <xf numFmtId="0" fontId="4" fillId="0" borderId="0" xfId="0" applyFont="1" applyAlignment="1">
      <alignment horizontal="left" vertical="center" wrapText="1"/>
    </xf>
    <xf numFmtId="49" fontId="4" fillId="0" borderId="2" xfId="6" applyNumberFormat="1" applyFont="1" applyBorder="1" applyAlignment="1">
      <alignment horizontal="left" vertical="center" wrapText="1"/>
    </xf>
    <xf numFmtId="49" fontId="4" fillId="0" borderId="0" xfId="6" applyNumberFormat="1" applyFont="1" applyAlignment="1">
      <alignment horizontal="left" vertical="center" wrapText="1"/>
    </xf>
    <xf numFmtId="3" fontId="102" fillId="0" borderId="2" xfId="3" applyNumberFormat="1" applyFont="1" applyBorder="1" applyAlignment="1">
      <alignment horizontal="center" vertical="center" wrapText="1"/>
    </xf>
    <xf numFmtId="0" fontId="102" fillId="0" borderId="2" xfId="6" applyFont="1" applyBorder="1" applyAlignment="1">
      <alignment horizontal="center" vertical="center" wrapText="1"/>
    </xf>
    <xf numFmtId="41" fontId="102" fillId="0" borderId="2" xfId="6" applyNumberFormat="1" applyFont="1" applyBorder="1" applyAlignment="1">
      <alignment vertical="center"/>
    </xf>
    <xf numFmtId="0" fontId="4" fillId="0" borderId="5" xfId="2" applyFont="1" applyBorder="1" applyAlignment="1">
      <alignment horizontal="left" vertical="center" wrapText="1"/>
    </xf>
    <xf numFmtId="41" fontId="105" fillId="0" borderId="2" xfId="6" applyNumberFormat="1" applyFont="1" applyBorder="1" applyAlignment="1">
      <alignment vertical="center"/>
    </xf>
    <xf numFmtId="41" fontId="208" fillId="0" borderId="2" xfId="2" applyNumberFormat="1" applyFont="1" applyBorder="1" applyAlignment="1">
      <alignment vertical="center"/>
    </xf>
    <xf numFmtId="0" fontId="24" fillId="0" borderId="2" xfId="2420" applyFont="1" applyBorder="1" applyAlignment="1">
      <alignment horizontal="center" vertical="center" wrapText="1"/>
    </xf>
    <xf numFmtId="49" fontId="20" fillId="0" borderId="2" xfId="2282" applyNumberFormat="1" applyFont="1" applyBorder="1" applyAlignment="1">
      <alignment horizontal="center" vertical="center" wrapText="1"/>
    </xf>
    <xf numFmtId="0" fontId="20" fillId="0" borderId="2" xfId="2282" applyFont="1" applyBorder="1" applyAlignment="1">
      <alignment horizontal="center" vertical="center" wrapText="1"/>
    </xf>
    <xf numFmtId="41" fontId="20" fillId="0" borderId="2" xfId="2282" applyNumberFormat="1" applyFont="1" applyBorder="1" applyAlignment="1">
      <alignment vertical="center"/>
    </xf>
    <xf numFmtId="41" fontId="209" fillId="0" borderId="2" xfId="2" applyNumberFormat="1" applyFont="1" applyBorder="1" applyAlignment="1">
      <alignment vertical="center"/>
    </xf>
    <xf numFmtId="41" fontId="202" fillId="0" borderId="56" xfId="0" applyNumberFormat="1" applyFont="1" applyBorder="1" applyAlignment="1">
      <alignment vertical="center"/>
    </xf>
    <xf numFmtId="49" fontId="20" fillId="0" borderId="2" xfId="6" applyNumberFormat="1" applyFont="1" applyBorder="1" applyAlignment="1">
      <alignment horizontal="left" vertical="center" wrapText="1"/>
    </xf>
    <xf numFmtId="41" fontId="210" fillId="0" borderId="2" xfId="2" applyNumberFormat="1" applyFont="1" applyBorder="1" applyAlignment="1">
      <alignment vertical="center"/>
    </xf>
    <xf numFmtId="0" fontId="4" fillId="0" borderId="2" xfId="2295" applyFont="1" applyBorder="1" applyAlignment="1">
      <alignment horizontal="center" vertical="center" wrapText="1"/>
    </xf>
    <xf numFmtId="41" fontId="20" fillId="0" borderId="2" xfId="2" applyNumberFormat="1" applyFont="1" applyBorder="1" applyAlignment="1">
      <alignment horizontal="center" vertical="center" wrapText="1"/>
    </xf>
    <xf numFmtId="0" fontId="202" fillId="0" borderId="56" xfId="0" applyFont="1" applyBorder="1" applyAlignment="1">
      <alignment horizontal="left" vertical="center" wrapText="1"/>
    </xf>
    <xf numFmtId="0" fontId="4" fillId="0" borderId="2" xfId="0" applyFont="1" applyBorder="1" applyAlignment="1">
      <alignment vertical="center" wrapText="1"/>
    </xf>
    <xf numFmtId="49" fontId="4" fillId="0" borderId="2" xfId="0" applyNumberFormat="1" applyFont="1" applyBorder="1" applyAlignment="1">
      <alignment horizontal="center" vertical="center" wrapText="1"/>
    </xf>
    <xf numFmtId="3" fontId="97" fillId="0" borderId="2" xfId="3" applyNumberFormat="1" applyFont="1" applyBorder="1" applyAlignment="1">
      <alignment horizontal="center" vertical="center" wrapText="1"/>
    </xf>
    <xf numFmtId="0" fontId="97" fillId="0" borderId="2" xfId="0" applyFont="1" applyBorder="1" applyAlignment="1">
      <alignment horizontal="center" vertical="center" wrapText="1"/>
    </xf>
    <xf numFmtId="0" fontId="97" fillId="0" borderId="2" xfId="6" applyFont="1" applyBorder="1" applyAlignment="1">
      <alignment horizontal="center" vertical="center" wrapText="1"/>
    </xf>
    <xf numFmtId="41" fontId="109" fillId="0" borderId="2" xfId="6" applyNumberFormat="1" applyFont="1" applyBorder="1" applyAlignment="1">
      <alignment vertical="center"/>
    </xf>
    <xf numFmtId="0" fontId="97" fillId="0" borderId="2" xfId="0" applyFont="1" applyBorder="1" applyAlignment="1">
      <alignment vertical="center" wrapText="1"/>
    </xf>
    <xf numFmtId="41" fontId="4" fillId="0" borderId="2" xfId="29" applyNumberFormat="1" applyFont="1" applyBorder="1" applyAlignment="1">
      <alignment vertical="center"/>
    </xf>
    <xf numFmtId="41" fontId="103" fillId="0" borderId="2" xfId="0" applyNumberFormat="1" applyFont="1" applyBorder="1" applyAlignment="1">
      <alignment vertical="center"/>
    </xf>
    <xf numFmtId="41" fontId="24" fillId="0" borderId="2" xfId="2" applyNumberFormat="1" applyFont="1" applyBorder="1" applyAlignment="1">
      <alignment horizontal="center" vertical="center" wrapText="1"/>
    </xf>
    <xf numFmtId="0" fontId="104" fillId="0" borderId="2" xfId="29" applyFont="1" applyBorder="1" applyAlignment="1">
      <alignment horizontal="center" vertical="center" wrapText="1"/>
    </xf>
    <xf numFmtId="0" fontId="104" fillId="0" borderId="2" xfId="29" applyFont="1" applyBorder="1" applyAlignment="1">
      <alignment vertical="center" wrapText="1"/>
    </xf>
    <xf numFmtId="41" fontId="104" fillId="0" borderId="2" xfId="29" applyNumberFormat="1" applyFont="1" applyBorder="1" applyAlignment="1">
      <alignment vertical="center"/>
    </xf>
    <xf numFmtId="41" fontId="210" fillId="0" borderId="2" xfId="29" applyNumberFormat="1" applyFont="1" applyBorder="1" applyAlignment="1">
      <alignment vertical="center"/>
    </xf>
    <xf numFmtId="0" fontId="4" fillId="0" borderId="2" xfId="2793" applyFont="1" applyBorder="1" applyAlignment="1">
      <alignment horizontal="center" vertical="center" wrapText="1"/>
    </xf>
    <xf numFmtId="0" fontId="101" fillId="0" borderId="2" xfId="2" applyFont="1" applyBorder="1" applyAlignment="1">
      <alignment vertical="center" wrapText="1"/>
    </xf>
    <xf numFmtId="41" fontId="101" fillId="0" borderId="2" xfId="2" applyNumberFormat="1" applyFont="1" applyBorder="1" applyAlignment="1">
      <alignment vertical="center"/>
    </xf>
    <xf numFmtId="41" fontId="20" fillId="0" borderId="2" xfId="29" applyNumberFormat="1" applyFont="1" applyBorder="1" applyAlignment="1">
      <alignment vertical="center"/>
    </xf>
    <xf numFmtId="0" fontId="103" fillId="0" borderId="2" xfId="67" applyFont="1" applyBorder="1" applyAlignment="1">
      <alignment horizontal="center" vertical="center" wrapText="1"/>
    </xf>
    <xf numFmtId="1" fontId="103" fillId="0" borderId="2" xfId="3" applyNumberFormat="1" applyFont="1" applyBorder="1" applyAlignment="1">
      <alignment horizontal="center" vertical="center" wrapText="1"/>
    </xf>
    <xf numFmtId="0" fontId="103" fillId="0" borderId="2" xfId="6" applyFont="1" applyBorder="1" applyAlignment="1">
      <alignment horizontal="center" vertical="center" wrapText="1"/>
    </xf>
    <xf numFmtId="41" fontId="103" fillId="0" borderId="2" xfId="29" applyNumberFormat="1" applyFont="1" applyBorder="1" applyAlignment="1">
      <alignment vertical="center"/>
    </xf>
    <xf numFmtId="41" fontId="212" fillId="0" borderId="2" xfId="2" applyNumberFormat="1" applyFont="1" applyBorder="1" applyAlignment="1">
      <alignment vertical="center"/>
    </xf>
    <xf numFmtId="41" fontId="103" fillId="0" borderId="2" xfId="2" applyNumberFormat="1" applyFont="1" applyBorder="1" applyAlignment="1">
      <alignment horizontal="center" vertical="center" wrapText="1"/>
    </xf>
    <xf numFmtId="0" fontId="19" fillId="0" borderId="0" xfId="0" applyFont="1" applyAlignment="1">
      <alignment vertical="center" wrapText="1"/>
    </xf>
    <xf numFmtId="0" fontId="21" fillId="0" borderId="0" xfId="0" applyFont="1" applyAlignment="1">
      <alignment vertical="center" wrapText="1"/>
    </xf>
    <xf numFmtId="0" fontId="100" fillId="0" borderId="0" xfId="0" applyFont="1" applyAlignment="1">
      <alignment vertical="center" wrapText="1"/>
    </xf>
    <xf numFmtId="0" fontId="22" fillId="0" borderId="0" xfId="0" applyFont="1" applyAlignment="1">
      <alignment vertical="center" wrapText="1"/>
    </xf>
    <xf numFmtId="0" fontId="23" fillId="0" borderId="0" xfId="0" applyFont="1" applyAlignment="1">
      <alignment horizontal="right" vertical="center" wrapText="1"/>
    </xf>
    <xf numFmtId="0" fontId="27" fillId="0" borderId="2" xfId="0" applyFont="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vertical="center" wrapText="1"/>
    </xf>
    <xf numFmtId="1" fontId="24" fillId="0" borderId="2" xfId="3" applyNumberFormat="1" applyFont="1" applyBorder="1" applyAlignment="1">
      <alignment horizontal="center" vertical="center" wrapText="1"/>
    </xf>
    <xf numFmtId="0" fontId="28" fillId="0" borderId="2" xfId="0" applyFont="1" applyBorder="1" applyAlignment="1">
      <alignment horizontal="center" vertical="center" wrapText="1"/>
    </xf>
    <xf numFmtId="1" fontId="28" fillId="0" borderId="2" xfId="3" applyNumberFormat="1" applyFont="1" applyBorder="1" applyAlignment="1">
      <alignment vertical="center" wrapText="1"/>
    </xf>
    <xf numFmtId="3" fontId="28" fillId="0" borderId="2" xfId="3" applyNumberFormat="1" applyFont="1" applyBorder="1" applyAlignment="1">
      <alignment horizontal="left" vertical="center" wrapText="1"/>
    </xf>
    <xf numFmtId="0" fontId="28" fillId="0" borderId="0" xfId="0" applyFont="1" applyAlignment="1">
      <alignment vertical="center" wrapText="1"/>
    </xf>
    <xf numFmtId="41" fontId="24" fillId="0" borderId="0" xfId="0" applyNumberFormat="1" applyFont="1" applyAlignment="1">
      <alignment vertical="center" wrapText="1"/>
    </xf>
    <xf numFmtId="1" fontId="20" fillId="0" borderId="2" xfId="3" applyNumberFormat="1" applyFont="1" applyBorder="1" applyAlignment="1">
      <alignment vertical="center" wrapText="1"/>
    </xf>
    <xf numFmtId="41" fontId="20" fillId="0" borderId="2" xfId="0" applyNumberFormat="1" applyFont="1" applyBorder="1" applyAlignment="1">
      <alignment vertical="center" wrapText="1"/>
    </xf>
    <xf numFmtId="0" fontId="103" fillId="0" borderId="2" xfId="0" applyFont="1" applyBorder="1" applyAlignment="1">
      <alignment horizontal="center" vertical="center" wrapText="1"/>
    </xf>
    <xf numFmtId="0" fontId="104" fillId="0" borderId="2" xfId="29" applyFont="1" applyBorder="1" applyAlignment="1">
      <alignment horizontal="left" vertical="center" wrapText="1"/>
    </xf>
    <xf numFmtId="0" fontId="104" fillId="0" borderId="0" xfId="29" applyFont="1" applyAlignment="1">
      <alignment horizontal="left" vertical="center" wrapText="1"/>
    </xf>
    <xf numFmtId="0" fontId="104" fillId="0" borderId="0" xfId="29" applyFont="1" applyAlignment="1">
      <alignment horizontal="center" vertical="center" wrapText="1"/>
    </xf>
    <xf numFmtId="0" fontId="104" fillId="0" borderId="0" xfId="29" applyFont="1" applyAlignment="1">
      <alignment vertical="center" wrapText="1"/>
    </xf>
    <xf numFmtId="0" fontId="4" fillId="0" borderId="2" xfId="29" applyFont="1" applyBorder="1" applyAlignment="1">
      <alignment vertical="center" wrapText="1"/>
    </xf>
    <xf numFmtId="336" fontId="20" fillId="0" borderId="0" xfId="2" applyNumberFormat="1" applyFont="1" applyAlignment="1">
      <alignment vertical="center" wrapText="1"/>
    </xf>
    <xf numFmtId="1" fontId="202" fillId="0" borderId="2" xfId="3" applyNumberFormat="1" applyFont="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vertical="center" wrapText="1"/>
    </xf>
    <xf numFmtId="41" fontId="24" fillId="0" borderId="0" xfId="2" applyNumberFormat="1" applyFont="1" applyAlignment="1">
      <alignment horizontal="center" vertical="center" wrapText="1"/>
    </xf>
    <xf numFmtId="49" fontId="20" fillId="0" borderId="2" xfId="2599" applyNumberFormat="1" applyFont="1" applyBorder="1" applyAlignment="1">
      <alignment horizontal="center" vertical="center" wrapText="1"/>
    </xf>
    <xf numFmtId="41" fontId="103" fillId="0" borderId="2" xfId="2" applyNumberFormat="1" applyFont="1" applyBorder="1" applyAlignment="1">
      <alignment horizontal="left" vertical="center" wrapText="1"/>
    </xf>
    <xf numFmtId="41" fontId="4" fillId="0" borderId="2" xfId="2" applyNumberFormat="1" applyFont="1" applyBorder="1" applyAlignment="1">
      <alignment vertical="center" wrapText="1"/>
    </xf>
    <xf numFmtId="0" fontId="24" fillId="0" borderId="2" xfId="0" applyFont="1" applyBorder="1" applyAlignment="1">
      <alignment horizontal="center" vertical="center" wrapText="1"/>
    </xf>
    <xf numFmtId="0" fontId="204" fillId="0" borderId="0" xfId="2" applyFont="1" applyAlignment="1">
      <alignment horizontal="left" vertical="center" wrapText="1"/>
    </xf>
    <xf numFmtId="0" fontId="24" fillId="0" borderId="2" xfId="2" applyFont="1" applyBorder="1" applyAlignment="1">
      <alignment horizontal="left" vertical="center" wrapText="1"/>
    </xf>
    <xf numFmtId="170" fontId="20" fillId="0" borderId="0" xfId="2" applyNumberFormat="1" applyFont="1" applyAlignment="1">
      <alignment horizontal="center" vertical="center" wrapText="1"/>
    </xf>
    <xf numFmtId="170" fontId="4" fillId="0" borderId="0" xfId="26" applyNumberFormat="1" applyFont="1" applyFill="1" applyBorder="1" applyAlignment="1" applyProtection="1">
      <alignment vertical="center"/>
    </xf>
    <xf numFmtId="41" fontId="4" fillId="0" borderId="5" xfId="6" applyNumberFormat="1" applyFont="1" applyBorder="1" applyAlignment="1">
      <alignment vertical="center"/>
    </xf>
    <xf numFmtId="41" fontId="201" fillId="0" borderId="2" xfId="0" applyNumberFormat="1" applyFont="1" applyBorder="1" applyAlignment="1">
      <alignment vertical="center"/>
    </xf>
    <xf numFmtId="3" fontId="4" fillId="0" borderId="2" xfId="26" applyNumberFormat="1" applyFont="1" applyFill="1" applyBorder="1" applyAlignment="1" applyProtection="1">
      <alignment vertical="center"/>
    </xf>
    <xf numFmtId="41" fontId="27" fillId="0" borderId="0" xfId="1" applyNumberFormat="1" applyFont="1" applyFill="1" applyBorder="1" applyAlignment="1">
      <alignment horizontal="right" vertical="center"/>
    </xf>
    <xf numFmtId="0" fontId="24" fillId="0" borderId="2" xfId="2" applyFont="1" applyBorder="1" applyAlignment="1">
      <alignment vertical="center" wrapText="1"/>
    </xf>
    <xf numFmtId="0" fontId="34" fillId="0" borderId="2" xfId="2" applyFont="1" applyBorder="1" applyAlignment="1">
      <alignment vertical="center" wrapText="1"/>
    </xf>
    <xf numFmtId="41" fontId="4" fillId="0" borderId="2" xfId="2282" applyNumberFormat="1" applyFont="1" applyBorder="1" applyAlignment="1">
      <alignment vertical="center"/>
    </xf>
    <xf numFmtId="0" fontId="21" fillId="0" borderId="0" xfId="2" applyFont="1" applyAlignment="1">
      <alignment horizontal="center" vertical="center" wrapText="1"/>
    </xf>
    <xf numFmtId="0" fontId="103" fillId="0" borderId="2" xfId="2" applyFont="1" applyBorder="1" applyAlignment="1">
      <alignment vertical="center" wrapText="1"/>
    </xf>
    <xf numFmtId="0" fontId="103" fillId="0" borderId="2" xfId="2" applyFont="1" applyBorder="1" applyAlignment="1">
      <alignment horizontal="left" vertical="center" wrapText="1"/>
    </xf>
    <xf numFmtId="0" fontId="111" fillId="0" borderId="0" xfId="2" applyFont="1" applyAlignment="1">
      <alignment vertical="center" wrapText="1"/>
    </xf>
    <xf numFmtId="41" fontId="20" fillId="0" borderId="2" xfId="1" applyNumberFormat="1" applyFont="1" applyFill="1" applyBorder="1" applyAlignment="1">
      <alignment horizontal="left" vertical="center" wrapText="1"/>
    </xf>
    <xf numFmtId="0" fontId="20" fillId="0" borderId="0" xfId="29" applyFont="1" applyAlignment="1">
      <alignment vertical="center" wrapText="1"/>
    </xf>
    <xf numFmtId="0" fontId="20" fillId="0" borderId="0" xfId="29" applyFont="1" applyAlignment="1">
      <alignment horizontal="center" vertical="center" wrapText="1"/>
    </xf>
    <xf numFmtId="41" fontId="20" fillId="0" borderId="0" xfId="29" applyNumberFormat="1" applyFont="1" applyAlignment="1">
      <alignment vertical="center" wrapText="1"/>
    </xf>
    <xf numFmtId="0" fontId="25" fillId="0" borderId="2" xfId="6" applyFont="1" applyBorder="1" applyAlignment="1">
      <alignment horizontal="center" vertical="center" wrapText="1"/>
    </xf>
    <xf numFmtId="41" fontId="25" fillId="0" borderId="2" xfId="2" applyNumberFormat="1" applyFont="1" applyBorder="1" applyAlignment="1">
      <alignment vertical="center"/>
    </xf>
    <xf numFmtId="41" fontId="25" fillId="0" borderId="2" xfId="1" applyNumberFormat="1" applyFont="1" applyFill="1" applyBorder="1" applyAlignment="1">
      <alignment horizontal="right" vertical="center"/>
    </xf>
    <xf numFmtId="41" fontId="25" fillId="0" borderId="0" xfId="2" applyNumberFormat="1" applyFont="1" applyAlignment="1">
      <alignment vertical="center" wrapText="1"/>
    </xf>
    <xf numFmtId="41" fontId="98" fillId="0" borderId="2" xfId="1" applyNumberFormat="1" applyFont="1" applyFill="1" applyBorder="1" applyAlignment="1">
      <alignment horizontal="right" vertical="center"/>
    </xf>
    <xf numFmtId="41" fontId="98" fillId="0" borderId="0" xfId="29" applyNumberFormat="1" applyFont="1" applyAlignment="1">
      <alignment vertical="center" wrapText="1"/>
    </xf>
    <xf numFmtId="0" fontId="25" fillId="0" borderId="0" xfId="2" applyFont="1" applyAlignment="1">
      <alignment vertical="center" wrapText="1"/>
    </xf>
    <xf numFmtId="41" fontId="4" fillId="0" borderId="0" xfId="29" applyNumberFormat="1" applyFont="1" applyAlignment="1">
      <alignment vertical="center" wrapText="1"/>
    </xf>
    <xf numFmtId="0" fontId="106" fillId="0" borderId="0" xfId="29" applyFont="1" applyAlignment="1">
      <alignment vertical="center" wrapText="1"/>
    </xf>
    <xf numFmtId="1" fontId="104" fillId="0" borderId="2" xfId="3" applyNumberFormat="1" applyFont="1" applyBorder="1" applyAlignment="1">
      <alignment horizontal="left" vertical="center" wrapText="1"/>
    </xf>
    <xf numFmtId="3" fontId="24" fillId="0" borderId="2" xfId="2" applyNumberFormat="1" applyFont="1" applyBorder="1" applyAlignment="1">
      <alignment vertical="center"/>
    </xf>
    <xf numFmtId="3" fontId="28" fillId="0" borderId="2" xfId="2" applyNumberFormat="1" applyFont="1" applyBorder="1" applyAlignment="1">
      <alignment vertical="center"/>
    </xf>
    <xf numFmtId="3" fontId="20" fillId="0" borderId="2" xfId="6" applyNumberFormat="1" applyFont="1" applyBorder="1" applyAlignment="1">
      <alignment vertical="center"/>
    </xf>
    <xf numFmtId="3" fontId="27" fillId="0" borderId="2" xfId="2" applyNumberFormat="1" applyFont="1" applyBorder="1" applyAlignment="1">
      <alignment vertical="center"/>
    </xf>
    <xf numFmtId="0" fontId="4" fillId="0" borderId="2" xfId="6" applyFont="1" applyFill="1" applyBorder="1" applyAlignment="1">
      <alignment horizontal="center" vertical="center" wrapText="1"/>
    </xf>
    <xf numFmtId="0" fontId="4" fillId="82" borderId="2" xfId="6" applyFont="1" applyFill="1" applyBorder="1" applyAlignment="1">
      <alignment horizontal="center" vertical="center" wrapText="1"/>
    </xf>
    <xf numFmtId="41" fontId="4" fillId="82" borderId="2" xfId="6" applyNumberFormat="1" applyFont="1" applyFill="1" applyBorder="1" applyAlignment="1">
      <alignment vertical="center"/>
    </xf>
    <xf numFmtId="41" fontId="4" fillId="0" borderId="2" xfId="6" applyNumberFormat="1" applyFont="1" applyBorder="1" applyAlignment="1">
      <alignment horizontal="center" vertical="center" wrapText="1"/>
    </xf>
    <xf numFmtId="41" fontId="4" fillId="82" borderId="2" xfId="1" applyNumberFormat="1" applyFont="1" applyFill="1" applyBorder="1" applyAlignment="1">
      <alignment vertical="center"/>
    </xf>
    <xf numFmtId="3" fontId="20" fillId="0" borderId="2" xfId="3" applyNumberFormat="1" applyFont="1" applyFill="1" applyBorder="1" applyAlignment="1">
      <alignment horizontal="center" vertical="center" wrapText="1"/>
    </xf>
    <xf numFmtId="41" fontId="20" fillId="0" borderId="2" xfId="6" applyNumberFormat="1" applyFont="1" applyFill="1" applyBorder="1" applyAlignment="1">
      <alignment vertical="center"/>
    </xf>
    <xf numFmtId="3" fontId="103" fillId="0" borderId="2" xfId="1" applyNumberFormat="1" applyFont="1" applyFill="1" applyBorder="1" applyAlignment="1">
      <alignment vertical="center"/>
    </xf>
    <xf numFmtId="3" fontId="103" fillId="0" borderId="2" xfId="26" applyNumberFormat="1" applyFont="1" applyFill="1" applyBorder="1" applyAlignment="1" applyProtection="1">
      <alignment vertical="center"/>
    </xf>
    <xf numFmtId="3" fontId="103" fillId="0" borderId="2" xfId="2" applyNumberFormat="1" applyFont="1" applyBorder="1" applyAlignment="1">
      <alignment vertical="center"/>
    </xf>
    <xf numFmtId="3" fontId="104" fillId="0" borderId="2" xfId="29" applyNumberFormat="1" applyFont="1" applyBorder="1" applyAlignment="1">
      <alignment vertical="center"/>
    </xf>
    <xf numFmtId="41" fontId="24" fillId="0" borderId="2" xfId="2" applyNumberFormat="1" applyFont="1" applyFill="1" applyBorder="1" applyAlignment="1">
      <alignment vertical="center"/>
    </xf>
    <xf numFmtId="3" fontId="106" fillId="0" borderId="2" xfId="2" applyNumberFormat="1" applyFont="1" applyBorder="1" applyAlignment="1">
      <alignment vertical="center"/>
    </xf>
    <xf numFmtId="3" fontId="4" fillId="0" borderId="2" xfId="1" applyNumberFormat="1" applyFont="1" applyFill="1" applyBorder="1" applyAlignment="1">
      <alignment vertical="center"/>
    </xf>
    <xf numFmtId="3" fontId="106" fillId="0" borderId="2" xfId="1" applyNumberFormat="1" applyFont="1" applyFill="1" applyBorder="1" applyAlignment="1">
      <alignment horizontal="right" vertical="center"/>
    </xf>
    <xf numFmtId="3" fontId="103" fillId="0" borderId="2" xfId="2766" applyNumberFormat="1" applyFont="1" applyBorder="1" applyAlignment="1">
      <alignment vertical="center" wrapText="1"/>
    </xf>
    <xf numFmtId="3" fontId="104" fillId="0" borderId="2" xfId="2766" applyNumberFormat="1" applyFont="1" applyBorder="1" applyAlignment="1">
      <alignment vertical="center" wrapText="1"/>
    </xf>
    <xf numFmtId="3" fontId="202" fillId="0" borderId="2" xfId="0" applyNumberFormat="1" applyFont="1" applyBorder="1" applyAlignment="1">
      <alignment vertical="center"/>
    </xf>
    <xf numFmtId="3" fontId="104" fillId="0" borderId="2" xfId="2" applyNumberFormat="1" applyFont="1" applyBorder="1" applyAlignment="1">
      <alignment vertical="center"/>
    </xf>
    <xf numFmtId="3" fontId="4" fillId="0" borderId="2" xfId="6" applyNumberFormat="1" applyFont="1" applyBorder="1" applyAlignment="1">
      <alignment vertical="center"/>
    </xf>
    <xf numFmtId="3" fontId="28" fillId="0" borderId="2" xfId="1" applyNumberFormat="1" applyFont="1" applyFill="1" applyBorder="1" applyAlignment="1">
      <alignment vertical="center"/>
    </xf>
    <xf numFmtId="3" fontId="24" fillId="0" borderId="2" xfId="1" applyNumberFormat="1" applyFont="1" applyFill="1" applyBorder="1" applyAlignment="1">
      <alignment vertical="center"/>
    </xf>
    <xf numFmtId="41" fontId="4" fillId="0" borderId="2" xfId="2" applyNumberFormat="1" applyFont="1" applyFill="1" applyBorder="1" applyAlignment="1">
      <alignment vertical="center"/>
    </xf>
    <xf numFmtId="3" fontId="27" fillId="0" borderId="2" xfId="1" applyNumberFormat="1" applyFont="1" applyFill="1" applyBorder="1" applyAlignment="1">
      <alignment vertical="center"/>
    </xf>
    <xf numFmtId="3" fontId="4" fillId="0" borderId="2" xfId="3" applyNumberFormat="1" applyFont="1" applyFill="1" applyBorder="1" applyAlignment="1">
      <alignment horizontal="center" vertical="center" wrapText="1"/>
    </xf>
    <xf numFmtId="41" fontId="4" fillId="0" borderId="2" xfId="6" applyNumberFormat="1" applyFont="1" applyFill="1" applyBorder="1" applyAlignment="1">
      <alignment vertical="center"/>
    </xf>
    <xf numFmtId="0" fontId="4" fillId="0" borderId="0" xfId="4816" applyFont="1" applyFill="1" applyAlignment="1">
      <alignment vertical="center"/>
    </xf>
    <xf numFmtId="0" fontId="4" fillId="0" borderId="0" xfId="4816" applyFont="1" applyFill="1" applyAlignment="1">
      <alignment horizontal="center" vertical="center"/>
    </xf>
    <xf numFmtId="0" fontId="103" fillId="0" borderId="0" xfId="4816" applyFont="1" applyFill="1" applyAlignment="1">
      <alignment vertical="center" wrapText="1"/>
    </xf>
    <xf numFmtId="0" fontId="4" fillId="0" borderId="2" xfId="4816" applyFont="1" applyFill="1" applyBorder="1" applyAlignment="1">
      <alignment horizontal="center" vertical="center" wrapText="1"/>
    </xf>
    <xf numFmtId="0" fontId="4" fillId="0" borderId="2" xfId="4816" applyFont="1" applyFill="1" applyBorder="1" applyAlignment="1">
      <alignment vertical="center" wrapText="1"/>
    </xf>
    <xf numFmtId="3" fontId="103" fillId="0" borderId="2" xfId="4816" applyNumberFormat="1" applyFont="1" applyFill="1" applyBorder="1" applyAlignment="1">
      <alignment vertical="center" wrapText="1"/>
    </xf>
    <xf numFmtId="169" fontId="103" fillId="0" borderId="2" xfId="4816" applyNumberFormat="1" applyFont="1" applyFill="1" applyBorder="1" applyAlignment="1">
      <alignment vertical="center"/>
    </xf>
    <xf numFmtId="0" fontId="4" fillId="0" borderId="0" xfId="4816" applyFont="1" applyFill="1" applyAlignment="1">
      <alignment vertical="center" wrapText="1"/>
    </xf>
    <xf numFmtId="0" fontId="103" fillId="0" borderId="2" xfId="4816" applyFont="1" applyFill="1" applyBorder="1" applyAlignment="1">
      <alignment horizontal="left" vertical="center" wrapText="1"/>
    </xf>
    <xf numFmtId="0" fontId="103" fillId="0" borderId="2" xfId="4816" applyFont="1" applyFill="1" applyBorder="1" applyAlignment="1">
      <alignment vertical="center" wrapText="1"/>
    </xf>
    <xf numFmtId="0" fontId="4" fillId="0" borderId="2" xfId="6" applyFont="1" applyFill="1" applyBorder="1" applyAlignment="1">
      <alignment vertical="center" wrapText="1"/>
    </xf>
    <xf numFmtId="3" fontId="4" fillId="0" borderId="2" xfId="4816" applyNumberFormat="1" applyFont="1" applyFill="1" applyBorder="1" applyAlignment="1">
      <alignment horizontal="center" vertical="center" wrapText="1"/>
    </xf>
    <xf numFmtId="169" fontId="4" fillId="0" borderId="2" xfId="6" applyNumberFormat="1" applyFont="1" applyFill="1" applyBorder="1" applyAlignment="1">
      <alignment vertical="center"/>
    </xf>
    <xf numFmtId="169" fontId="4" fillId="0" borderId="2" xfId="4816" applyNumberFormat="1" applyFont="1" applyFill="1" applyBorder="1" applyAlignment="1">
      <alignment vertical="center"/>
    </xf>
    <xf numFmtId="0" fontId="103" fillId="0" borderId="2" xfId="0" applyFont="1" applyFill="1" applyBorder="1" applyAlignment="1">
      <alignment horizontal="center" vertical="center" wrapText="1"/>
    </xf>
    <xf numFmtId="0" fontId="103" fillId="0" borderId="2" xfId="0" applyFont="1" applyFill="1" applyBorder="1" applyAlignment="1">
      <alignment horizontal="left" vertical="center" wrapText="1"/>
    </xf>
    <xf numFmtId="0" fontId="103" fillId="0" borderId="2" xfId="0" applyFont="1" applyFill="1" applyBorder="1" applyAlignment="1">
      <alignment vertical="center" wrapText="1"/>
    </xf>
    <xf numFmtId="3" fontId="103" fillId="0" borderId="2" xfId="0" applyNumberFormat="1" applyFont="1" applyFill="1" applyBorder="1" applyAlignment="1">
      <alignment horizontal="center" vertical="center" wrapText="1"/>
    </xf>
    <xf numFmtId="169" fontId="103" fillId="0" borderId="2" xfId="0" applyNumberFormat="1" applyFont="1" applyFill="1" applyBorder="1" applyAlignment="1">
      <alignment vertical="center"/>
    </xf>
    <xf numFmtId="0" fontId="103" fillId="0" borderId="0" xfId="0" applyFont="1" applyFill="1" applyAlignment="1">
      <alignment vertical="center" wrapText="1"/>
    </xf>
    <xf numFmtId="0" fontId="104" fillId="0" borderId="2" xfId="0" applyFont="1" applyFill="1" applyBorder="1" applyAlignment="1">
      <alignment horizontal="center" vertical="center" wrapText="1"/>
    </xf>
    <xf numFmtId="0" fontId="104" fillId="0" borderId="2" xfId="0" applyFont="1" applyFill="1" applyBorder="1" applyAlignment="1">
      <alignment horizontal="left" vertical="center" wrapText="1"/>
    </xf>
    <xf numFmtId="169" fontId="104" fillId="0" borderId="2" xfId="0" applyNumberFormat="1" applyFont="1" applyFill="1" applyBorder="1" applyAlignment="1">
      <alignment vertical="center"/>
    </xf>
    <xf numFmtId="0" fontId="4" fillId="0" borderId="2" xfId="0" applyFont="1" applyFill="1" applyBorder="1" applyAlignment="1">
      <alignment vertical="center"/>
    </xf>
    <xf numFmtId="0" fontId="4" fillId="0" borderId="2" xfId="0" applyFont="1" applyFill="1" applyBorder="1" applyAlignment="1">
      <alignment horizontal="center" vertical="center" wrapText="1"/>
    </xf>
    <xf numFmtId="169" fontId="4" fillId="0" borderId="2" xfId="0" applyNumberFormat="1" applyFont="1" applyFill="1" applyBorder="1" applyAlignment="1">
      <alignment horizontal="left" vertical="center" wrapText="1"/>
    </xf>
    <xf numFmtId="0" fontId="4" fillId="0" borderId="0" xfId="0" applyFont="1" applyFill="1" applyAlignment="1">
      <alignment vertical="center"/>
    </xf>
    <xf numFmtId="0" fontId="4" fillId="0" borderId="2" xfId="0" applyFont="1" applyFill="1" applyBorder="1" applyAlignment="1">
      <alignment vertical="center" wrapText="1"/>
    </xf>
    <xf numFmtId="3" fontId="4" fillId="0" borderId="2" xfId="3" quotePrefix="1" applyNumberFormat="1" applyFont="1" applyFill="1" applyBorder="1" applyAlignment="1">
      <alignment vertical="center" wrapText="1"/>
    </xf>
    <xf numFmtId="169" fontId="4" fillId="0" borderId="2" xfId="0" applyNumberFormat="1" applyFont="1" applyFill="1" applyBorder="1" applyAlignment="1">
      <alignment vertical="center"/>
    </xf>
    <xf numFmtId="0" fontId="4" fillId="0" borderId="2" xfId="0" applyFont="1" applyFill="1" applyBorder="1" applyAlignment="1">
      <alignment horizontal="left" vertical="center" wrapText="1"/>
    </xf>
    <xf numFmtId="3" fontId="4" fillId="0" borderId="2" xfId="0" applyNumberFormat="1" applyFont="1" applyFill="1" applyBorder="1" applyAlignment="1">
      <alignment horizontal="center" vertical="center" wrapText="1"/>
    </xf>
    <xf numFmtId="0" fontId="103" fillId="79" borderId="0" xfId="0" applyFont="1" applyFill="1" applyAlignment="1">
      <alignment vertical="center" wrapText="1"/>
    </xf>
    <xf numFmtId="11" fontId="4" fillId="0" borderId="2" xfId="0" applyNumberFormat="1" applyFont="1" applyFill="1" applyBorder="1" applyAlignment="1">
      <alignment horizontal="center" vertical="center" wrapText="1"/>
    </xf>
    <xf numFmtId="0" fontId="218" fillId="0" borderId="2" xfId="0" applyFont="1" applyFill="1" applyBorder="1" applyAlignment="1">
      <alignment horizontal="center" vertical="center" wrapText="1"/>
    </xf>
    <xf numFmtId="169" fontId="218" fillId="0" borderId="2" xfId="1" applyNumberFormat="1" applyFont="1" applyFill="1" applyBorder="1" applyAlignment="1">
      <alignment vertical="center" wrapText="1"/>
    </xf>
    <xf numFmtId="0" fontId="218" fillId="0" borderId="2" xfId="0" applyFont="1" applyFill="1" applyBorder="1" applyAlignment="1">
      <alignment vertical="center" wrapText="1"/>
    </xf>
    <xf numFmtId="3" fontId="4" fillId="0" borderId="2" xfId="1" applyNumberFormat="1" applyFont="1" applyFill="1" applyBorder="1" applyAlignment="1">
      <alignment vertical="center" wrapText="1"/>
    </xf>
    <xf numFmtId="0" fontId="4" fillId="0" borderId="0" xfId="0" applyFont="1" applyFill="1" applyAlignment="1">
      <alignment horizontal="center" vertical="center"/>
    </xf>
    <xf numFmtId="0" fontId="103" fillId="0" borderId="2" xfId="0" applyFont="1" applyFill="1" applyBorder="1" applyAlignment="1">
      <alignment horizontal="center" vertical="center" wrapText="1"/>
    </xf>
    <xf numFmtId="3" fontId="103" fillId="0" borderId="2" xfId="0" applyNumberFormat="1" applyFont="1" applyFill="1" applyBorder="1" applyAlignment="1">
      <alignment vertical="center" wrapText="1"/>
    </xf>
    <xf numFmtId="0" fontId="4" fillId="0" borderId="0" xfId="0" applyFont="1" applyFill="1" applyAlignment="1">
      <alignment vertical="center" wrapText="1"/>
    </xf>
    <xf numFmtId="0" fontId="103" fillId="0" borderId="2" xfId="67" applyFont="1" applyFill="1" applyBorder="1" applyAlignment="1">
      <alignment vertical="center" wrapText="1"/>
    </xf>
    <xf numFmtId="0" fontId="212" fillId="0" borderId="0" xfId="0" applyFont="1" applyFill="1" applyAlignment="1">
      <alignment vertical="center" wrapText="1"/>
    </xf>
    <xf numFmtId="0" fontId="232" fillId="0" borderId="2" xfId="0" applyFont="1" applyFill="1" applyBorder="1" applyAlignment="1">
      <alignment vertical="center" wrapText="1"/>
    </xf>
    <xf numFmtId="3" fontId="103" fillId="0" borderId="2" xfId="0" applyNumberFormat="1" applyFont="1" applyFill="1" applyBorder="1" applyAlignment="1">
      <alignment vertical="center"/>
    </xf>
    <xf numFmtId="3" fontId="4" fillId="0" borderId="2" xfId="0" applyNumberFormat="1" applyFont="1" applyFill="1" applyBorder="1" applyAlignment="1">
      <alignment vertical="center"/>
    </xf>
    <xf numFmtId="0" fontId="103" fillId="0" borderId="2" xfId="2" applyFont="1" applyFill="1" applyBorder="1" applyAlignment="1">
      <alignment horizontal="center" vertical="center" wrapText="1"/>
    </xf>
    <xf numFmtId="1" fontId="103" fillId="0" borderId="2" xfId="3" applyNumberFormat="1" applyFont="1" applyFill="1" applyBorder="1" applyAlignment="1">
      <alignment horizontal="left" vertical="center" wrapText="1"/>
    </xf>
    <xf numFmtId="41" fontId="103" fillId="0" borderId="2" xfId="2" applyNumberFormat="1" applyFont="1" applyFill="1" applyBorder="1" applyAlignment="1">
      <alignment vertical="center"/>
    </xf>
    <xf numFmtId="3" fontId="103" fillId="0" borderId="2" xfId="2" applyNumberFormat="1" applyFont="1" applyFill="1" applyBorder="1" applyAlignment="1">
      <alignment vertical="center"/>
    </xf>
    <xf numFmtId="0" fontId="24" fillId="0" borderId="0" xfId="2" applyFont="1" applyFill="1" applyAlignment="1">
      <alignment horizontal="center" vertical="center" wrapText="1"/>
    </xf>
    <xf numFmtId="0" fontId="24" fillId="0" borderId="0" xfId="2" applyFont="1" applyFill="1" applyAlignment="1">
      <alignment vertical="center" wrapText="1"/>
    </xf>
    <xf numFmtId="3" fontId="202" fillId="0" borderId="2" xfId="0" applyNumberFormat="1" applyFont="1" applyFill="1" applyBorder="1" applyAlignment="1">
      <alignment vertical="center"/>
    </xf>
    <xf numFmtId="0" fontId="4" fillId="0" borderId="2" xfId="29" applyFont="1" applyFill="1" applyBorder="1" applyAlignment="1">
      <alignment horizontal="left" vertical="center" wrapText="1"/>
    </xf>
    <xf numFmtId="0" fontId="111" fillId="79" borderId="0" xfId="4" applyFont="1" applyFill="1"/>
    <xf numFmtId="41" fontId="4" fillId="79" borderId="0" xfId="0" applyNumberFormat="1" applyFont="1" applyFill="1" applyAlignment="1">
      <alignment vertical="center" wrapText="1"/>
    </xf>
    <xf numFmtId="0" fontId="27" fillId="79" borderId="0" xfId="4" applyFont="1" applyFill="1"/>
    <xf numFmtId="0" fontId="4" fillId="79" borderId="0" xfId="0" applyFont="1" applyFill="1" applyAlignment="1">
      <alignment vertical="center" wrapText="1"/>
    </xf>
    <xf numFmtId="0" fontId="106" fillId="79" borderId="0" xfId="4" applyFont="1" applyFill="1"/>
    <xf numFmtId="0" fontId="4" fillId="79" borderId="0" xfId="4" applyFont="1" applyFill="1"/>
    <xf numFmtId="0" fontId="20" fillId="0" borderId="2" xfId="6" applyFont="1" applyFill="1" applyBorder="1" applyAlignment="1">
      <alignment horizontal="center" vertical="center" wrapText="1"/>
    </xf>
    <xf numFmtId="0" fontId="103" fillId="0" borderId="2" xfId="4816" applyFont="1" applyFill="1" applyBorder="1" applyAlignment="1">
      <alignment horizontal="center" vertical="center" wrapText="1"/>
    </xf>
    <xf numFmtId="0" fontId="103" fillId="0" borderId="2" xfId="0" applyFont="1" applyFill="1" applyBorder="1" applyAlignment="1">
      <alignment horizontal="center" vertical="center" wrapText="1"/>
    </xf>
    <xf numFmtId="169" fontId="4" fillId="0" borderId="2" xfId="0" applyNumberFormat="1" applyFont="1" applyFill="1" applyBorder="1" applyAlignment="1">
      <alignment horizontal="center" vertical="center" wrapText="1"/>
    </xf>
    <xf numFmtId="0" fontId="202" fillId="0" borderId="2" xfId="0" applyFont="1" applyFill="1" applyBorder="1" applyAlignment="1">
      <alignment vertical="center" wrapText="1"/>
    </xf>
    <xf numFmtId="3" fontId="218" fillId="0" borderId="2" xfId="0" applyNumberFormat="1" applyFont="1" applyFill="1" applyBorder="1" applyAlignment="1">
      <alignment vertical="center" wrapText="1"/>
    </xf>
    <xf numFmtId="0" fontId="24" fillId="0" borderId="2" xfId="2" applyFont="1" applyBorder="1" applyAlignment="1">
      <alignment horizontal="center" vertical="center" wrapText="1"/>
    </xf>
    <xf numFmtId="0" fontId="103" fillId="0" borderId="2" xfId="1" applyNumberFormat="1" applyFont="1" applyFill="1" applyBorder="1" applyAlignment="1">
      <alignment horizontal="left" vertical="center" wrapText="1"/>
    </xf>
    <xf numFmtId="41" fontId="20" fillId="0" borderId="2" xfId="1" applyNumberFormat="1" applyFont="1" applyFill="1" applyBorder="1" applyAlignment="1">
      <alignment vertical="center" wrapText="1"/>
    </xf>
    <xf numFmtId="0" fontId="114" fillId="0" borderId="0" xfId="4" applyFont="1" applyFill="1"/>
    <xf numFmtId="0" fontId="114" fillId="0" borderId="0" xfId="4" applyFont="1" applyFill="1" applyAlignment="1">
      <alignment horizontal="center"/>
    </xf>
    <xf numFmtId="0" fontId="103" fillId="0" borderId="2" xfId="4" applyFont="1" applyFill="1" applyBorder="1" applyAlignment="1">
      <alignment horizontal="center" vertical="center"/>
    </xf>
    <xf numFmtId="0" fontId="103" fillId="0" borderId="2" xfId="4" applyFont="1" applyFill="1" applyBorder="1" applyAlignment="1">
      <alignment horizontal="center" vertical="center" wrapText="1"/>
    </xf>
    <xf numFmtId="41" fontId="103" fillId="0" borderId="2" xfId="4" applyNumberFormat="1" applyFont="1" applyFill="1" applyBorder="1" applyAlignment="1">
      <alignment vertical="center"/>
    </xf>
    <xf numFmtId="3" fontId="103" fillId="0" borderId="2" xfId="4" applyNumberFormat="1" applyFont="1" applyFill="1" applyBorder="1" applyAlignment="1">
      <alignment vertical="center"/>
    </xf>
    <xf numFmtId="3" fontId="103" fillId="0" borderId="58" xfId="4" applyNumberFormat="1" applyFont="1" applyFill="1" applyBorder="1" applyAlignment="1">
      <alignment vertical="center"/>
    </xf>
    <xf numFmtId="3" fontId="103" fillId="0" borderId="58" xfId="4" applyNumberFormat="1" applyFont="1" applyFill="1" applyBorder="1" applyAlignment="1">
      <alignment horizontal="center" vertical="center"/>
    </xf>
    <xf numFmtId="41" fontId="113" fillId="0" borderId="0" xfId="4" applyNumberFormat="1" applyFont="1" applyFill="1"/>
    <xf numFmtId="0" fontId="113" fillId="0" borderId="0" xfId="4" applyFont="1" applyFill="1"/>
    <xf numFmtId="0" fontId="103" fillId="0" borderId="2" xfId="4" applyFont="1" applyFill="1" applyBorder="1" applyAlignment="1">
      <alignment horizontal="left" vertical="center" wrapText="1"/>
    </xf>
    <xf numFmtId="1" fontId="103" fillId="0" borderId="2" xfId="4" applyNumberFormat="1" applyFont="1" applyFill="1" applyBorder="1" applyAlignment="1">
      <alignment horizontal="center" vertical="center" wrapText="1"/>
    </xf>
    <xf numFmtId="41" fontId="103" fillId="0" borderId="58" xfId="4" applyNumberFormat="1" applyFont="1" applyFill="1" applyBorder="1" applyAlignment="1">
      <alignment vertical="center"/>
    </xf>
    <xf numFmtId="0" fontId="103" fillId="0" borderId="58" xfId="4" applyFont="1" applyFill="1" applyBorder="1" applyAlignment="1">
      <alignment horizontal="center" vertical="center"/>
    </xf>
    <xf numFmtId="41" fontId="111" fillId="0" borderId="0" xfId="4" applyNumberFormat="1" applyFont="1" applyFill="1"/>
    <xf numFmtId="0" fontId="24" fillId="0" borderId="2" xfId="4" applyFont="1" applyFill="1" applyBorder="1" applyAlignment="1">
      <alignment horizontal="center" vertical="center"/>
    </xf>
    <xf numFmtId="0" fontId="24" fillId="0" borderId="2" xfId="4" applyFont="1" applyFill="1" applyBorder="1" applyAlignment="1">
      <alignment horizontal="left" vertical="center" wrapText="1"/>
    </xf>
    <xf numFmtId="1" fontId="24" fillId="0" borderId="2" xfId="4" applyNumberFormat="1" applyFont="1" applyFill="1" applyBorder="1" applyAlignment="1">
      <alignment horizontal="center" vertical="center" wrapText="1"/>
    </xf>
    <xf numFmtId="41" fontId="24" fillId="0" borderId="2" xfId="4" applyNumberFormat="1" applyFont="1" applyFill="1" applyBorder="1" applyAlignment="1">
      <alignment vertical="center"/>
    </xf>
    <xf numFmtId="3" fontId="24" fillId="0" borderId="2" xfId="4" applyNumberFormat="1" applyFont="1" applyFill="1" applyBorder="1" applyAlignment="1">
      <alignment vertical="center"/>
    </xf>
    <xf numFmtId="41" fontId="24" fillId="0" borderId="58" xfId="4" applyNumberFormat="1" applyFont="1" applyFill="1" applyBorder="1" applyAlignment="1">
      <alignment vertical="center"/>
    </xf>
    <xf numFmtId="0" fontId="24" fillId="0" borderId="58" xfId="4" applyFont="1" applyFill="1" applyBorder="1" applyAlignment="1">
      <alignment horizontal="center" vertical="center"/>
    </xf>
    <xf numFmtId="41" fontId="25" fillId="0" borderId="0" xfId="4" applyNumberFormat="1" applyFont="1" applyFill="1"/>
    <xf numFmtId="0" fontId="25" fillId="0" borderId="0" xfId="4" applyFont="1" applyFill="1"/>
    <xf numFmtId="0" fontId="20" fillId="0" borderId="2" xfId="4" applyFont="1" applyFill="1" applyBorder="1" applyAlignment="1">
      <alignment horizontal="center" vertical="center"/>
    </xf>
    <xf numFmtId="0" fontId="20" fillId="0" borderId="2" xfId="4" applyFont="1" applyFill="1" applyBorder="1" applyAlignment="1">
      <alignment horizontal="left" vertical="center" wrapText="1"/>
    </xf>
    <xf numFmtId="41" fontId="20" fillId="0" borderId="2" xfId="4" applyNumberFormat="1" applyFont="1" applyFill="1" applyBorder="1" applyAlignment="1">
      <alignment vertical="center"/>
    </xf>
    <xf numFmtId="3" fontId="20" fillId="0" borderId="2" xfId="4" applyNumberFormat="1" applyFont="1" applyFill="1" applyBorder="1" applyAlignment="1">
      <alignment vertical="center"/>
    </xf>
    <xf numFmtId="3" fontId="20" fillId="0" borderId="58" xfId="4" applyNumberFormat="1" applyFont="1" applyFill="1" applyBorder="1" applyAlignment="1">
      <alignment vertical="center"/>
    </xf>
    <xf numFmtId="0" fontId="111" fillId="0" borderId="0" xfId="4" applyFont="1" applyFill="1"/>
    <xf numFmtId="1" fontId="20" fillId="0" borderId="2" xfId="4" applyNumberFormat="1" applyFont="1" applyFill="1" applyBorder="1" applyAlignment="1">
      <alignment horizontal="center" vertical="center" wrapText="1"/>
    </xf>
    <xf numFmtId="0" fontId="23" fillId="0" borderId="2" xfId="4" applyFont="1" applyFill="1" applyBorder="1" applyAlignment="1">
      <alignment horizontal="center" vertical="center"/>
    </xf>
    <xf numFmtId="0" fontId="23" fillId="0" borderId="2" xfId="4" applyFont="1" applyFill="1" applyBorder="1" applyAlignment="1">
      <alignment horizontal="left" vertical="center" wrapText="1"/>
    </xf>
    <xf numFmtId="1" fontId="23" fillId="0" borderId="2" xfId="4" applyNumberFormat="1" applyFont="1" applyFill="1" applyBorder="1" applyAlignment="1">
      <alignment horizontal="center" vertical="center" wrapText="1"/>
    </xf>
    <xf numFmtId="41" fontId="23" fillId="0" borderId="2" xfId="4" applyNumberFormat="1" applyFont="1" applyFill="1" applyBorder="1" applyAlignment="1">
      <alignment vertical="center"/>
    </xf>
    <xf numFmtId="3" fontId="23" fillId="0" borderId="2" xfId="4" applyNumberFormat="1" applyFont="1" applyFill="1" applyBorder="1" applyAlignment="1">
      <alignment vertical="center"/>
    </xf>
    <xf numFmtId="3" fontId="23" fillId="0" borderId="58" xfId="4" applyNumberFormat="1" applyFont="1" applyFill="1" applyBorder="1" applyAlignment="1">
      <alignment vertical="center"/>
    </xf>
    <xf numFmtId="0" fontId="28" fillId="0" borderId="58" xfId="4" applyFont="1" applyFill="1" applyBorder="1" applyAlignment="1">
      <alignment horizontal="center" vertical="center"/>
    </xf>
    <xf numFmtId="41" fontId="23" fillId="0" borderId="0" xfId="4" applyNumberFormat="1" applyFont="1" applyFill="1"/>
    <xf numFmtId="0" fontId="23" fillId="0" borderId="0" xfId="4" applyFont="1" applyFill="1"/>
    <xf numFmtId="41" fontId="23" fillId="0" borderId="58" xfId="4" applyNumberFormat="1" applyFont="1" applyFill="1" applyBorder="1" applyAlignment="1">
      <alignment vertical="center"/>
    </xf>
    <xf numFmtId="0" fontId="110" fillId="0" borderId="58" xfId="4" applyFont="1" applyFill="1" applyBorder="1" applyAlignment="1">
      <alignment horizontal="center" vertical="center"/>
    </xf>
    <xf numFmtId="3" fontId="24" fillId="0" borderId="58" xfId="4" applyNumberFormat="1" applyFont="1" applyFill="1" applyBorder="1" applyAlignment="1">
      <alignment vertical="center"/>
    </xf>
    <xf numFmtId="41" fontId="27" fillId="0" borderId="0" xfId="4" applyNumberFormat="1" applyFont="1" applyFill="1"/>
    <xf numFmtId="0" fontId="27" fillId="0" borderId="0" xfId="4" applyFont="1" applyFill="1"/>
    <xf numFmtId="41" fontId="28" fillId="0" borderId="0" xfId="4" applyNumberFormat="1" applyFont="1" applyFill="1"/>
    <xf numFmtId="41" fontId="106" fillId="0" borderId="0" xfId="4" applyNumberFormat="1" applyFont="1" applyFill="1"/>
    <xf numFmtId="0" fontId="20" fillId="0" borderId="58" xfId="4" applyFont="1" applyFill="1" applyBorder="1" applyAlignment="1">
      <alignment horizontal="center" vertical="center"/>
    </xf>
    <xf numFmtId="41" fontId="26" fillId="0" borderId="0" xfId="4" applyNumberFormat="1" applyFont="1" applyFill="1"/>
    <xf numFmtId="0" fontId="26" fillId="0" borderId="0" xfId="4" applyFont="1" applyFill="1"/>
    <xf numFmtId="41" fontId="20" fillId="0" borderId="58" xfId="4" applyNumberFormat="1" applyFont="1" applyFill="1" applyBorder="1" applyAlignment="1">
      <alignment vertical="center"/>
    </xf>
    <xf numFmtId="0" fontId="23" fillId="0" borderId="58" xfId="4" applyFont="1" applyFill="1" applyBorder="1" applyAlignment="1">
      <alignment horizontal="center" vertical="center"/>
    </xf>
    <xf numFmtId="41" fontId="217" fillId="0" borderId="0" xfId="4" applyNumberFormat="1" applyFont="1" applyFill="1"/>
    <xf numFmtId="0" fontId="217" fillId="0" borderId="0" xfId="4" applyFont="1" applyFill="1"/>
    <xf numFmtId="0" fontId="4" fillId="0" borderId="2" xfId="4" applyFont="1" applyFill="1" applyBorder="1" applyAlignment="1">
      <alignment horizontal="center" vertical="center"/>
    </xf>
    <xf numFmtId="0" fontId="4" fillId="0" borderId="2" xfId="4" applyFont="1" applyFill="1" applyBorder="1" applyAlignment="1">
      <alignment horizontal="left" vertical="center" wrapText="1"/>
    </xf>
    <xf numFmtId="1" fontId="4" fillId="0" borderId="2" xfId="4" applyNumberFormat="1" applyFont="1" applyFill="1" applyBorder="1" applyAlignment="1">
      <alignment horizontal="center" vertical="center" wrapText="1"/>
    </xf>
    <xf numFmtId="41" fontId="4" fillId="0" borderId="2" xfId="4" applyNumberFormat="1" applyFont="1" applyFill="1" applyBorder="1" applyAlignment="1">
      <alignment vertical="center"/>
    </xf>
    <xf numFmtId="3" fontId="4" fillId="0" borderId="2" xfId="4" applyNumberFormat="1" applyFont="1" applyFill="1" applyBorder="1" applyAlignment="1">
      <alignment vertical="center"/>
    </xf>
    <xf numFmtId="41" fontId="4" fillId="0" borderId="58" xfId="4" applyNumberFormat="1" applyFont="1" applyFill="1" applyBorder="1" applyAlignment="1">
      <alignment vertical="center"/>
    </xf>
    <xf numFmtId="0" fontId="4" fillId="0" borderId="58" xfId="4" applyFont="1" applyFill="1" applyBorder="1" applyAlignment="1">
      <alignment horizontal="center" vertical="center"/>
    </xf>
    <xf numFmtId="0" fontId="20" fillId="0" borderId="58" xfId="4" applyFont="1" applyFill="1" applyBorder="1" applyAlignment="1">
      <alignment horizontal="left" vertical="center" wrapText="1"/>
    </xf>
    <xf numFmtId="0" fontId="20" fillId="0" borderId="58" xfId="4" applyFont="1" applyFill="1" applyBorder="1" applyAlignment="1">
      <alignment vertical="center" wrapText="1"/>
    </xf>
    <xf numFmtId="3" fontId="4" fillId="0" borderId="58" xfId="4" applyNumberFormat="1" applyFont="1" applyFill="1" applyBorder="1" applyAlignment="1">
      <alignment vertical="center"/>
    </xf>
    <xf numFmtId="0" fontId="106" fillId="0" borderId="0" xfId="4" applyFont="1" applyFill="1"/>
    <xf numFmtId="0" fontId="110" fillId="0" borderId="2" xfId="4" applyFont="1" applyFill="1" applyBorder="1" applyAlignment="1">
      <alignment horizontal="center" vertical="center"/>
    </xf>
    <xf numFmtId="0" fontId="110" fillId="0" borderId="2" xfId="4" applyFont="1" applyFill="1" applyBorder="1" applyAlignment="1">
      <alignment horizontal="left" vertical="center" wrapText="1"/>
    </xf>
    <xf numFmtId="1" fontId="110" fillId="0" borderId="2" xfId="4" applyNumberFormat="1" applyFont="1" applyFill="1" applyBorder="1" applyAlignment="1">
      <alignment horizontal="center" vertical="center" wrapText="1"/>
    </xf>
    <xf numFmtId="41" fontId="110" fillId="0" borderId="2" xfId="4" applyNumberFormat="1" applyFont="1" applyFill="1" applyBorder="1" applyAlignment="1">
      <alignment vertical="center"/>
    </xf>
    <xf numFmtId="3" fontId="110" fillId="0" borderId="2" xfId="4" applyNumberFormat="1" applyFont="1" applyFill="1" applyBorder="1" applyAlignment="1">
      <alignment vertical="center"/>
    </xf>
    <xf numFmtId="3" fontId="110" fillId="0" borderId="58" xfId="4" applyNumberFormat="1" applyFont="1" applyFill="1" applyBorder="1" applyAlignment="1">
      <alignment vertical="center"/>
    </xf>
    <xf numFmtId="0" fontId="104" fillId="0" borderId="58" xfId="4" applyFont="1" applyFill="1" applyBorder="1" applyAlignment="1">
      <alignment horizontal="center" vertical="center"/>
    </xf>
    <xf numFmtId="41" fontId="110" fillId="0" borderId="0" xfId="4" applyNumberFormat="1" applyFont="1" applyFill="1"/>
    <xf numFmtId="0" fontId="110" fillId="0" borderId="0" xfId="4" applyFont="1" applyFill="1"/>
    <xf numFmtId="41" fontId="110" fillId="0" borderId="58" xfId="4" applyNumberFormat="1" applyFont="1" applyFill="1" applyBorder="1" applyAlignment="1">
      <alignment vertical="center"/>
    </xf>
    <xf numFmtId="41" fontId="4" fillId="0" borderId="0" xfId="4" applyNumberFormat="1" applyFont="1" applyFill="1"/>
    <xf numFmtId="0" fontId="4" fillId="0" borderId="0" xfId="4" applyFont="1" applyFill="1"/>
    <xf numFmtId="0" fontId="112" fillId="0" borderId="0" xfId="4" applyFont="1" applyFill="1" applyAlignment="1">
      <alignment horizontal="center" vertical="center" wrapText="1"/>
    </xf>
    <xf numFmtId="0" fontId="110" fillId="0" borderId="0" xfId="4" applyFont="1" applyFill="1" applyAlignment="1">
      <alignment horizontal="center" vertical="center" wrapText="1"/>
    </xf>
    <xf numFmtId="0" fontId="110" fillId="0" borderId="1" xfId="4" applyFont="1" applyFill="1" applyBorder="1" applyAlignment="1">
      <alignment horizontal="right" vertical="center" wrapText="1"/>
    </xf>
    <xf numFmtId="0" fontId="111" fillId="0" borderId="3" xfId="4" applyFont="1" applyFill="1" applyBorder="1" applyAlignment="1">
      <alignment horizontal="center" vertical="center"/>
    </xf>
    <xf numFmtId="0" fontId="111" fillId="0" borderId="5" xfId="4" applyFont="1" applyFill="1" applyBorder="1" applyAlignment="1">
      <alignment horizontal="center" vertical="center"/>
    </xf>
    <xf numFmtId="0" fontId="111" fillId="0" borderId="2" xfId="4" applyFont="1" applyFill="1" applyBorder="1" applyAlignment="1">
      <alignment horizontal="center" vertical="center"/>
    </xf>
    <xf numFmtId="0" fontId="111" fillId="0" borderId="2" xfId="4" applyFont="1" applyFill="1" applyBorder="1" applyAlignment="1">
      <alignment horizontal="center" vertical="center" wrapText="1"/>
    </xf>
    <xf numFmtId="0" fontId="111" fillId="0" borderId="57" xfId="4" applyFont="1" applyFill="1" applyBorder="1" applyAlignment="1">
      <alignment horizontal="center" vertical="center"/>
    </xf>
    <xf numFmtId="0" fontId="111" fillId="0" borderId="58" xfId="4" applyFont="1" applyFill="1" applyBorder="1" applyAlignment="1">
      <alignment horizontal="center" vertical="center"/>
    </xf>
    <xf numFmtId="0" fontId="111" fillId="0" borderId="3" xfId="4" applyFont="1" applyFill="1" applyBorder="1" applyAlignment="1">
      <alignment horizontal="center" vertical="center" wrapText="1"/>
    </xf>
    <xf numFmtId="0" fontId="111" fillId="0" borderId="5" xfId="4" applyFont="1" applyFill="1" applyBorder="1" applyAlignment="1">
      <alignment horizontal="center" vertical="center" wrapText="1"/>
    </xf>
    <xf numFmtId="0" fontId="19" fillId="0" borderId="0" xfId="2" applyFont="1" applyAlignment="1">
      <alignment horizontal="center" vertical="center" wrapText="1"/>
    </xf>
    <xf numFmtId="0" fontId="203" fillId="0" borderId="0" xfId="2" applyFont="1" applyAlignment="1">
      <alignment horizontal="center" vertical="center" wrapText="1"/>
    </xf>
    <xf numFmtId="0" fontId="22" fillId="0" borderId="0" xfId="2" applyFont="1" applyAlignment="1">
      <alignment horizontal="center" vertical="center" wrapText="1"/>
    </xf>
    <xf numFmtId="169" fontId="24" fillId="0" borderId="3" xfId="1" applyNumberFormat="1" applyFont="1" applyFill="1" applyBorder="1" applyAlignment="1">
      <alignment horizontal="center" vertical="center" wrapText="1"/>
    </xf>
    <xf numFmtId="169" fontId="24" fillId="0" borderId="5" xfId="1" applyNumberFormat="1" applyFont="1" applyFill="1" applyBorder="1" applyAlignment="1">
      <alignment horizontal="center" vertical="center" wrapText="1"/>
    </xf>
    <xf numFmtId="0" fontId="24" fillId="0" borderId="3" xfId="2" applyFont="1" applyBorder="1" applyAlignment="1">
      <alignment horizontal="center" vertical="center" wrapText="1"/>
    </xf>
    <xf numFmtId="0" fontId="24" fillId="0" borderId="4" xfId="2" applyFont="1" applyBorder="1" applyAlignment="1">
      <alignment horizontal="center" vertical="center" wrapText="1"/>
    </xf>
    <xf numFmtId="0" fontId="103" fillId="0" borderId="2" xfId="2766" applyFont="1" applyBorder="1" applyAlignment="1">
      <alignment horizontal="center" vertical="center" wrapText="1"/>
    </xf>
    <xf numFmtId="0" fontId="24" fillId="0" borderId="2" xfId="2" applyFont="1" applyBorder="1" applyAlignment="1">
      <alignment horizontal="center" vertical="center" wrapText="1"/>
    </xf>
    <xf numFmtId="0" fontId="24" fillId="0" borderId="5" xfId="2" applyFont="1" applyBorder="1" applyAlignment="1">
      <alignment horizontal="center" vertical="center" wrapText="1"/>
    </xf>
    <xf numFmtId="0" fontId="204" fillId="0" borderId="0" xfId="2" applyFont="1" applyAlignment="1">
      <alignment horizontal="left" vertical="center" wrapText="1"/>
    </xf>
    <xf numFmtId="169" fontId="24" fillId="0" borderId="2" xfId="1" applyNumberFormat="1" applyFont="1" applyFill="1" applyBorder="1" applyAlignment="1">
      <alignment horizontal="center" vertical="center" wrapText="1"/>
    </xf>
    <xf numFmtId="169" fontId="24" fillId="0" borderId="6" xfId="1" applyNumberFormat="1" applyFont="1" applyFill="1" applyBorder="1" applyAlignment="1">
      <alignment horizontal="center" vertical="center" wrapText="1"/>
    </xf>
    <xf numFmtId="169" fontId="24" fillId="0" borderId="7" xfId="1" applyNumberFormat="1" applyFont="1" applyFill="1" applyBorder="1" applyAlignment="1">
      <alignment horizontal="center" vertical="center" wrapText="1"/>
    </xf>
    <xf numFmtId="169" fontId="24" fillId="0" borderId="8" xfId="1" applyNumberFormat="1" applyFont="1" applyFill="1" applyBorder="1" applyAlignment="1">
      <alignment horizontal="center" vertical="center" wrapText="1"/>
    </xf>
    <xf numFmtId="169" fontId="24" fillId="0" borderId="4" xfId="1" applyNumberFormat="1" applyFont="1" applyFill="1" applyBorder="1" applyAlignment="1">
      <alignment horizontal="center" vertical="center" wrapText="1"/>
    </xf>
    <xf numFmtId="169" fontId="208" fillId="0" borderId="3" xfId="1" applyNumberFormat="1" applyFont="1" applyFill="1" applyBorder="1" applyAlignment="1">
      <alignment horizontal="center" vertical="center" wrapText="1"/>
    </xf>
    <xf numFmtId="169" fontId="208" fillId="0" borderId="4" xfId="1" applyNumberFormat="1" applyFont="1" applyFill="1" applyBorder="1" applyAlignment="1">
      <alignment horizontal="center" vertical="center" wrapText="1"/>
    </xf>
    <xf numFmtId="169" fontId="208" fillId="0" borderId="5" xfId="1" applyNumberFormat="1" applyFont="1" applyFill="1" applyBorder="1" applyAlignment="1">
      <alignment horizontal="center" vertical="center" wrapText="1"/>
    </xf>
    <xf numFmtId="0" fontId="20" fillId="0" borderId="0" xfId="0" applyFont="1" applyAlignment="1">
      <alignment horizontal="center" vertical="center" wrapText="1"/>
    </xf>
    <xf numFmtId="0" fontId="24" fillId="0" borderId="2" xfId="0" applyFont="1" applyBorder="1" applyAlignment="1">
      <alignment horizontal="center" vertical="center" wrapText="1"/>
    </xf>
    <xf numFmtId="0" fontId="19" fillId="0" borderId="0" xfId="0" applyFont="1" applyAlignment="1">
      <alignment horizontal="center" vertical="center" wrapText="1"/>
    </xf>
    <xf numFmtId="0" fontId="203" fillId="0" borderId="0" xfId="0" applyFont="1" applyAlignment="1">
      <alignment horizontal="center" vertical="center" wrapText="1"/>
    </xf>
    <xf numFmtId="0" fontId="100" fillId="0" borderId="0" xfId="0" applyFont="1" applyAlignment="1">
      <alignment horizontal="center" vertical="center" wrapText="1"/>
    </xf>
    <xf numFmtId="0" fontId="22" fillId="0" borderId="0" xfId="0" applyFont="1" applyAlignment="1">
      <alignment horizontal="center" vertical="center" wrapText="1"/>
    </xf>
    <xf numFmtId="0" fontId="24" fillId="0" borderId="6" xfId="2" applyFont="1" applyBorder="1" applyAlignment="1">
      <alignment horizontal="center" vertical="center" wrapText="1"/>
    </xf>
    <xf numFmtId="0" fontId="24" fillId="0" borderId="8" xfId="2" applyFont="1" applyBorder="1" applyAlignment="1">
      <alignment horizontal="center" vertical="center" wrapText="1"/>
    </xf>
    <xf numFmtId="0" fontId="99" fillId="0" borderId="0" xfId="2" applyFont="1" applyAlignment="1">
      <alignment horizontal="center" vertical="center" wrapText="1"/>
    </xf>
    <xf numFmtId="169" fontId="24" fillId="0" borderId="41" xfId="1" applyNumberFormat="1" applyFont="1" applyFill="1" applyBorder="1" applyAlignment="1">
      <alignment horizontal="center" vertical="center" wrapText="1"/>
    </xf>
    <xf numFmtId="169" fontId="24" fillId="0" borderId="44" xfId="1" applyNumberFormat="1" applyFont="1" applyFill="1" applyBorder="1" applyAlignment="1">
      <alignment horizontal="center" vertical="center" wrapText="1"/>
    </xf>
    <xf numFmtId="169" fontId="24" fillId="0" borderId="43" xfId="1" applyNumberFormat="1" applyFont="1" applyFill="1" applyBorder="1" applyAlignment="1">
      <alignment horizontal="center" vertical="center" wrapText="1"/>
    </xf>
    <xf numFmtId="0" fontId="25" fillId="0" borderId="2" xfId="2" applyFont="1" applyBorder="1" applyAlignment="1">
      <alignment horizontal="center" vertical="center" wrapText="1"/>
    </xf>
    <xf numFmtId="169" fontId="103" fillId="0" borderId="3" xfId="1" applyNumberFormat="1" applyFont="1" applyFill="1" applyBorder="1" applyAlignment="1">
      <alignment horizontal="center" vertical="center" wrapText="1"/>
    </xf>
    <xf numFmtId="169" fontId="103" fillId="0" borderId="5" xfId="1" applyNumberFormat="1" applyFont="1" applyFill="1" applyBorder="1" applyAlignment="1">
      <alignment horizontal="center" vertical="center" wrapText="1"/>
    </xf>
    <xf numFmtId="41" fontId="4" fillId="0" borderId="3" xfId="1" applyNumberFormat="1" applyFont="1" applyFill="1" applyBorder="1" applyAlignment="1">
      <alignment horizontal="left" vertical="center" wrapText="1"/>
    </xf>
    <xf numFmtId="41" fontId="4" fillId="0" borderId="5" xfId="1" applyNumberFormat="1" applyFont="1" applyFill="1" applyBorder="1" applyAlignment="1">
      <alignment horizontal="left" vertical="center" wrapText="1"/>
    </xf>
    <xf numFmtId="0" fontId="115" fillId="0" borderId="0" xfId="2766" applyFont="1" applyAlignment="1">
      <alignment horizontal="center" vertical="center" wrapText="1"/>
    </xf>
    <xf numFmtId="0" fontId="112" fillId="0" borderId="0" xfId="2766" applyFont="1" applyAlignment="1">
      <alignment horizontal="center" vertical="center" wrapText="1"/>
    </xf>
    <xf numFmtId="0" fontId="117" fillId="0" borderId="0" xfId="2766" applyFont="1" applyAlignment="1">
      <alignment horizontal="center" vertical="center" wrapText="1"/>
    </xf>
    <xf numFmtId="0" fontId="25" fillId="0" borderId="41" xfId="6" applyFont="1" applyBorder="1" applyAlignment="1">
      <alignment horizontal="center" vertical="center" wrapText="1"/>
    </xf>
    <xf numFmtId="0" fontId="25" fillId="0" borderId="44" xfId="6" applyFont="1" applyBorder="1" applyAlignment="1">
      <alignment horizontal="center" vertical="center" wrapText="1"/>
    </xf>
    <xf numFmtId="0" fontId="25" fillId="0" borderId="43" xfId="6" applyFont="1" applyBorder="1" applyAlignment="1">
      <alignment horizontal="center" vertical="center" wrapText="1"/>
    </xf>
    <xf numFmtId="169" fontId="103" fillId="0" borderId="2" xfId="1" applyNumberFormat="1" applyFont="1" applyFill="1" applyBorder="1" applyAlignment="1">
      <alignment horizontal="center" vertical="center" wrapText="1"/>
    </xf>
    <xf numFmtId="169" fontId="103" fillId="0" borderId="4" xfId="1" applyNumberFormat="1" applyFont="1" applyFill="1" applyBorder="1" applyAlignment="1">
      <alignment horizontal="center" vertical="center" wrapText="1"/>
    </xf>
    <xf numFmtId="0" fontId="25" fillId="0" borderId="3" xfId="2" applyFont="1" applyBorder="1" applyAlignment="1">
      <alignment horizontal="center" vertical="center" wrapText="1"/>
    </xf>
    <xf numFmtId="0" fontId="25" fillId="0" borderId="4" xfId="2" applyFont="1" applyBorder="1" applyAlignment="1">
      <alignment horizontal="center" vertical="center" wrapText="1"/>
    </xf>
    <xf numFmtId="169" fontId="25" fillId="0" borderId="3" xfId="1" applyNumberFormat="1" applyFont="1" applyFill="1" applyBorder="1" applyAlignment="1">
      <alignment horizontal="center" vertical="center" wrapText="1"/>
    </xf>
    <xf numFmtId="169" fontId="25" fillId="0" borderId="4" xfId="1" applyNumberFormat="1" applyFont="1" applyFill="1" applyBorder="1" applyAlignment="1">
      <alignment horizontal="center" vertical="center" wrapText="1"/>
    </xf>
    <xf numFmtId="169" fontId="25" fillId="0" borderId="5" xfId="1" applyNumberFormat="1" applyFont="1" applyFill="1" applyBorder="1" applyAlignment="1">
      <alignment horizontal="center" vertical="center" wrapText="1"/>
    </xf>
    <xf numFmtId="0" fontId="25" fillId="0" borderId="5" xfId="2" applyFont="1" applyBorder="1" applyAlignment="1">
      <alignment horizontal="center" vertical="center" wrapText="1"/>
    </xf>
    <xf numFmtId="0" fontId="103" fillId="0" borderId="3" xfId="2" applyFont="1" applyBorder="1" applyAlignment="1">
      <alignment horizontal="center" vertical="center" wrapText="1"/>
    </xf>
    <xf numFmtId="0" fontId="103" fillId="0" borderId="4" xfId="2" applyFont="1" applyBorder="1" applyAlignment="1">
      <alignment horizontal="center" vertical="center" wrapText="1"/>
    </xf>
    <xf numFmtId="0" fontId="117" fillId="0" borderId="0" xfId="2" applyFont="1" applyAlignment="1">
      <alignment horizontal="center" vertical="center" wrapText="1"/>
    </xf>
    <xf numFmtId="0" fontId="103" fillId="0" borderId="5" xfId="2" applyFont="1" applyBorder="1" applyAlignment="1">
      <alignment horizontal="center" vertical="center" wrapText="1"/>
    </xf>
    <xf numFmtId="0" fontId="103" fillId="0" borderId="2" xfId="2" applyFont="1" applyBorder="1" applyAlignment="1">
      <alignment horizontal="center" vertical="center" wrapText="1"/>
    </xf>
    <xf numFmtId="169" fontId="25" fillId="0" borderId="41" xfId="1" applyNumberFormat="1" applyFont="1" applyFill="1" applyBorder="1" applyAlignment="1">
      <alignment horizontal="center" vertical="center" wrapText="1"/>
    </xf>
    <xf numFmtId="169" fontId="25" fillId="0" borderId="44" xfId="1" applyNumberFormat="1" applyFont="1" applyFill="1" applyBorder="1" applyAlignment="1">
      <alignment horizontal="center" vertical="center" wrapText="1"/>
    </xf>
    <xf numFmtId="169" fontId="25" fillId="0" borderId="43" xfId="1" applyNumberFormat="1" applyFont="1" applyFill="1" applyBorder="1" applyAlignment="1">
      <alignment horizontal="center" vertical="center" wrapText="1"/>
    </xf>
    <xf numFmtId="169" fontId="25" fillId="0" borderId="2" xfId="1" applyNumberFormat="1" applyFont="1" applyFill="1" applyBorder="1" applyAlignment="1">
      <alignment horizontal="center" vertical="center" wrapText="1"/>
    </xf>
    <xf numFmtId="169" fontId="25" fillId="0" borderId="6" xfId="1" applyNumberFormat="1" applyFont="1" applyFill="1" applyBorder="1" applyAlignment="1">
      <alignment horizontal="center" vertical="center" wrapText="1"/>
    </xf>
    <xf numFmtId="169" fontId="25" fillId="0" borderId="8" xfId="1" applyNumberFormat="1" applyFont="1" applyFill="1" applyBorder="1" applyAlignment="1">
      <alignment horizontal="center" vertical="center" wrapText="1"/>
    </xf>
    <xf numFmtId="0" fontId="24" fillId="0" borderId="0" xfId="29" applyFont="1" applyAlignment="1">
      <alignment horizontal="left" vertical="center" wrapText="1"/>
    </xf>
    <xf numFmtId="0" fontId="4" fillId="0" borderId="0" xfId="29" applyFont="1" applyAlignment="1">
      <alignment horizontal="left" vertical="center" wrapText="1"/>
    </xf>
    <xf numFmtId="0" fontId="120" fillId="0" borderId="0" xfId="29" applyFont="1" applyAlignment="1">
      <alignment horizontal="center" vertical="center" wrapText="1"/>
    </xf>
    <xf numFmtId="0" fontId="112" fillId="0" borderId="0" xfId="29" applyFont="1" applyAlignment="1">
      <alignment horizontal="center" vertical="center" wrapText="1"/>
    </xf>
    <xf numFmtId="0" fontId="117" fillId="0" borderId="0" xfId="29" applyFont="1" applyAlignment="1">
      <alignment horizontal="center" vertical="center" wrapText="1"/>
    </xf>
    <xf numFmtId="0" fontId="103" fillId="0" borderId="2" xfId="29" applyFont="1" applyBorder="1" applyAlignment="1">
      <alignment horizontal="center" vertical="center" wrapText="1"/>
    </xf>
    <xf numFmtId="0" fontId="111" fillId="0" borderId="2" xfId="29" applyFont="1" applyBorder="1" applyAlignment="1">
      <alignment horizontal="center" vertical="center" wrapText="1"/>
    </xf>
    <xf numFmtId="0" fontId="21" fillId="0" borderId="0" xfId="2" applyFont="1" applyAlignment="1">
      <alignment horizontal="center" vertical="center" wrapText="1"/>
    </xf>
    <xf numFmtId="49" fontId="20" fillId="0" borderId="3" xfId="6" applyNumberFormat="1" applyFont="1" applyBorder="1" applyAlignment="1">
      <alignment horizontal="left" vertical="center" wrapText="1"/>
    </xf>
    <xf numFmtId="49" fontId="20" fillId="0" borderId="5" xfId="6" applyNumberFormat="1" applyFont="1" applyBorder="1" applyAlignment="1">
      <alignment horizontal="left" vertical="center" wrapText="1"/>
    </xf>
    <xf numFmtId="0" fontId="103" fillId="0" borderId="2" xfId="2789" applyFont="1" applyBorder="1" applyAlignment="1">
      <alignment horizontal="center" vertical="center" wrapText="1"/>
    </xf>
    <xf numFmtId="0" fontId="103" fillId="0" borderId="2" xfId="4816" applyFont="1" applyFill="1" applyBorder="1" applyAlignment="1">
      <alignment horizontal="center" vertical="center" wrapText="1"/>
    </xf>
    <xf numFmtId="0" fontId="115" fillId="0" borderId="0" xfId="4816" applyFont="1" applyFill="1" applyAlignment="1">
      <alignment horizontal="center" vertical="center" wrapText="1"/>
    </xf>
    <xf numFmtId="0" fontId="112" fillId="0" borderId="0" xfId="4816" applyFont="1" applyFill="1" applyAlignment="1">
      <alignment horizontal="center" vertical="center" wrapText="1"/>
    </xf>
    <xf numFmtId="0" fontId="117" fillId="0" borderId="0" xfId="4816" applyFont="1" applyFill="1" applyAlignment="1">
      <alignment horizontal="center" vertical="center" wrapText="1"/>
    </xf>
    <xf numFmtId="0" fontId="110" fillId="0" borderId="1" xfId="4816" applyFont="1" applyFill="1" applyBorder="1" applyAlignment="1">
      <alignment horizontal="right" vertical="center"/>
    </xf>
    <xf numFmtId="0" fontId="103" fillId="0" borderId="2" xfId="0" applyFont="1" applyFill="1" applyBorder="1" applyAlignment="1">
      <alignment horizontal="center" vertical="center" wrapText="1"/>
    </xf>
    <xf numFmtId="0" fontId="231" fillId="0" borderId="0" xfId="0" applyFont="1" applyFill="1" applyAlignment="1">
      <alignment horizontal="center" vertical="center" wrapText="1"/>
    </xf>
    <xf numFmtId="0" fontId="112" fillId="0" borderId="0" xfId="0" applyFont="1" applyFill="1" applyAlignment="1">
      <alignment horizontal="center" vertical="center" wrapText="1"/>
    </xf>
    <xf numFmtId="0" fontId="117" fillId="0" borderId="0" xfId="0" applyFont="1" applyFill="1" applyAlignment="1">
      <alignment horizontal="center" vertical="center" wrapText="1"/>
    </xf>
    <xf numFmtId="0" fontId="110" fillId="0" borderId="1" xfId="0" applyFont="1" applyFill="1" applyBorder="1" applyAlignment="1">
      <alignment horizontal="right" vertical="center"/>
    </xf>
    <xf numFmtId="0" fontId="103" fillId="0" borderId="41" xfId="0" applyFont="1" applyFill="1" applyBorder="1" applyAlignment="1">
      <alignment horizontal="center" vertical="center" wrapText="1"/>
    </xf>
    <xf numFmtId="0" fontId="103" fillId="0" borderId="57" xfId="0" applyFont="1" applyFill="1" applyBorder="1" applyAlignment="1">
      <alignment horizontal="center" vertical="center" wrapText="1"/>
    </xf>
    <xf numFmtId="0" fontId="103" fillId="0" borderId="43" xfId="0" applyFont="1" applyFill="1" applyBorder="1" applyAlignment="1">
      <alignment horizontal="center" vertical="center" wrapText="1"/>
    </xf>
    <xf numFmtId="0" fontId="103" fillId="0" borderId="58" xfId="0" applyFont="1" applyFill="1" applyBorder="1" applyAlignment="1">
      <alignment horizontal="center" vertical="center" wrapText="1"/>
    </xf>
  </cellXfs>
  <cellStyles count="7004">
    <cellStyle name="_x0001_" xfId="78"/>
    <cellStyle name="          _x000a__x000a_shell=progman.exe_x000a__x000a_m" xfId="2794"/>
    <cellStyle name="          _x000d__x000a_shell=progman.exe_x000d__x000a_m" xfId="79"/>
    <cellStyle name="          _x000d__x000a_shell=progman.exe_x000d__x000a_m 2" xfId="80"/>
    <cellStyle name="          _x000d__x000a_shell=progman.exe_x000d__x000a_m 3" xfId="81"/>
    <cellStyle name="          _x005f_x000d__x005f_x000a_shell=progman.exe_x005f_x000d__x005f_x000a_m" xfId="2795"/>
    <cellStyle name="_x000a__x000a_JournalTemplate=C:\COMFO\CTALK\JOURSTD.TPL_x000a__x000a_LbStateAddress=3 3 0 251 1 89 2 311_x000a__x000a_LbStateJou" xfId="2796"/>
    <cellStyle name="_x000d__x000a_JournalTemplate=C:\COMFO\CTALK\JOURSTD.TPL_x000d__x000a_LbStateAddress=3 3 0 251 1 89 2 311_x000d__x000a_LbStateJou" xfId="2797"/>
    <cellStyle name="#,##0" xfId="82"/>
    <cellStyle name="#,##0 2" xfId="83"/>
    <cellStyle name="#,##0 3" xfId="84"/>
    <cellStyle name="#,##0 4" xfId="85"/>
    <cellStyle name="%" xfId="6171"/>
    <cellStyle name="." xfId="86"/>
    <cellStyle name=". 2" xfId="87"/>
    <cellStyle name=". 3" xfId="2798"/>
    <cellStyle name=".d©y" xfId="88"/>
    <cellStyle name=".d©y 2" xfId="89"/>
    <cellStyle name="??" xfId="90"/>
    <cellStyle name="?? [ - ??1" xfId="6172"/>
    <cellStyle name="?? [ - ??2" xfId="6173"/>
    <cellStyle name="?? [ - ??3" xfId="6174"/>
    <cellStyle name="?? [ - ??4" xfId="6175"/>
    <cellStyle name="?? [ - ??5" xfId="6176"/>
    <cellStyle name="?? [ - ??6" xfId="6177"/>
    <cellStyle name="?? [ - ??7" xfId="6178"/>
    <cellStyle name="?? [ - ??8" xfId="6179"/>
    <cellStyle name="?? [0.00]_        " xfId="6180"/>
    <cellStyle name="?? [0]" xfId="91"/>
    <cellStyle name="?? [0] 2" xfId="92"/>
    <cellStyle name="?? [0] 3" xfId="93"/>
    <cellStyle name="?? 10" xfId="94"/>
    <cellStyle name="?? 100" xfId="95"/>
    <cellStyle name="?? 101" xfId="96"/>
    <cellStyle name="?? 102" xfId="97"/>
    <cellStyle name="?? 103" xfId="98"/>
    <cellStyle name="?? 104" xfId="99"/>
    <cellStyle name="?? 105" xfId="100"/>
    <cellStyle name="?? 106" xfId="101"/>
    <cellStyle name="?? 107" xfId="102"/>
    <cellStyle name="?? 108" xfId="103"/>
    <cellStyle name="?? 109" xfId="104"/>
    <cellStyle name="?? 11" xfId="105"/>
    <cellStyle name="?? 110" xfId="106"/>
    <cellStyle name="?? 111" xfId="107"/>
    <cellStyle name="?? 112" xfId="108"/>
    <cellStyle name="?? 113" xfId="109"/>
    <cellStyle name="?? 114" xfId="110"/>
    <cellStyle name="?? 115" xfId="111"/>
    <cellStyle name="?? 116" xfId="112"/>
    <cellStyle name="?? 117" xfId="113"/>
    <cellStyle name="?? 118" xfId="114"/>
    <cellStyle name="?? 119" xfId="115"/>
    <cellStyle name="?? 12" xfId="116"/>
    <cellStyle name="?? 120" xfId="117"/>
    <cellStyle name="?? 121" xfId="118"/>
    <cellStyle name="?? 122" xfId="119"/>
    <cellStyle name="?? 123" xfId="120"/>
    <cellStyle name="?? 124" xfId="121"/>
    <cellStyle name="?? 125" xfId="122"/>
    <cellStyle name="?? 126" xfId="123"/>
    <cellStyle name="?? 127" xfId="124"/>
    <cellStyle name="?? 128" xfId="125"/>
    <cellStyle name="?? 129" xfId="126"/>
    <cellStyle name="?? 13" xfId="127"/>
    <cellStyle name="?? 130" xfId="128"/>
    <cellStyle name="?? 131" xfId="129"/>
    <cellStyle name="?? 132" xfId="130"/>
    <cellStyle name="?? 133" xfId="131"/>
    <cellStyle name="?? 134" xfId="132"/>
    <cellStyle name="?? 135" xfId="133"/>
    <cellStyle name="?? 136" xfId="134"/>
    <cellStyle name="?? 137" xfId="135"/>
    <cellStyle name="?? 138" xfId="136"/>
    <cellStyle name="?? 139" xfId="137"/>
    <cellStyle name="?? 14" xfId="138"/>
    <cellStyle name="?? 140" xfId="139"/>
    <cellStyle name="?? 141" xfId="140"/>
    <cellStyle name="?? 142" xfId="141"/>
    <cellStyle name="?? 143" xfId="142"/>
    <cellStyle name="?? 144" xfId="143"/>
    <cellStyle name="?? 145" xfId="144"/>
    <cellStyle name="?? 146" xfId="145"/>
    <cellStyle name="?? 147" xfId="146"/>
    <cellStyle name="?? 148" xfId="147"/>
    <cellStyle name="?? 149" xfId="148"/>
    <cellStyle name="?? 15" xfId="149"/>
    <cellStyle name="?? 150" xfId="150"/>
    <cellStyle name="?? 151" xfId="151"/>
    <cellStyle name="?? 152" xfId="152"/>
    <cellStyle name="?? 153" xfId="153"/>
    <cellStyle name="?? 154" xfId="154"/>
    <cellStyle name="?? 155" xfId="155"/>
    <cellStyle name="?? 156" xfId="156"/>
    <cellStyle name="?? 157" xfId="157"/>
    <cellStyle name="?? 158" xfId="158"/>
    <cellStyle name="?? 159" xfId="159"/>
    <cellStyle name="?? 16" xfId="160"/>
    <cellStyle name="?? 160" xfId="161"/>
    <cellStyle name="?? 161" xfId="162"/>
    <cellStyle name="?? 162" xfId="163"/>
    <cellStyle name="?? 163" xfId="164"/>
    <cellStyle name="?? 164" xfId="165"/>
    <cellStyle name="?? 165" xfId="166"/>
    <cellStyle name="?? 166" xfId="167"/>
    <cellStyle name="?? 167" xfId="168"/>
    <cellStyle name="?? 168" xfId="169"/>
    <cellStyle name="?? 169" xfId="170"/>
    <cellStyle name="?? 17" xfId="171"/>
    <cellStyle name="?? 170" xfId="172"/>
    <cellStyle name="?? 171" xfId="173"/>
    <cellStyle name="?? 172" xfId="174"/>
    <cellStyle name="?? 173" xfId="175"/>
    <cellStyle name="?? 174" xfId="176"/>
    <cellStyle name="?? 175" xfId="177"/>
    <cellStyle name="?? 176" xfId="178"/>
    <cellStyle name="?? 177" xfId="179"/>
    <cellStyle name="?? 178" xfId="180"/>
    <cellStyle name="?? 179" xfId="181"/>
    <cellStyle name="?? 18" xfId="182"/>
    <cellStyle name="?? 180" xfId="183"/>
    <cellStyle name="?? 181" xfId="184"/>
    <cellStyle name="?? 182" xfId="185"/>
    <cellStyle name="?? 183" xfId="186"/>
    <cellStyle name="?? 184" xfId="187"/>
    <cellStyle name="?? 185" xfId="188"/>
    <cellStyle name="?? 186" xfId="189"/>
    <cellStyle name="?? 187" xfId="190"/>
    <cellStyle name="?? 188" xfId="191"/>
    <cellStyle name="?? 189" xfId="192"/>
    <cellStyle name="?? 19" xfId="193"/>
    <cellStyle name="?? 190" xfId="194"/>
    <cellStyle name="?? 191" xfId="195"/>
    <cellStyle name="?? 192" xfId="196"/>
    <cellStyle name="?? 193" xfId="197"/>
    <cellStyle name="?? 194" xfId="198"/>
    <cellStyle name="?? 195" xfId="199"/>
    <cellStyle name="?? 196" xfId="200"/>
    <cellStyle name="?? 197" xfId="201"/>
    <cellStyle name="?? 198" xfId="202"/>
    <cellStyle name="?? 199" xfId="203"/>
    <cellStyle name="?? 2" xfId="204"/>
    <cellStyle name="?? 20" xfId="205"/>
    <cellStyle name="?? 200" xfId="206"/>
    <cellStyle name="?? 201" xfId="207"/>
    <cellStyle name="?? 202" xfId="208"/>
    <cellStyle name="?? 203" xfId="209"/>
    <cellStyle name="?? 204" xfId="210"/>
    <cellStyle name="?? 205" xfId="211"/>
    <cellStyle name="?? 206" xfId="212"/>
    <cellStyle name="?? 207" xfId="213"/>
    <cellStyle name="?? 208" xfId="214"/>
    <cellStyle name="?? 209" xfId="215"/>
    <cellStyle name="?? 21" xfId="216"/>
    <cellStyle name="?? 210" xfId="217"/>
    <cellStyle name="?? 211" xfId="218"/>
    <cellStyle name="?? 212" xfId="219"/>
    <cellStyle name="?? 213" xfId="220"/>
    <cellStyle name="?? 214" xfId="221"/>
    <cellStyle name="?? 215" xfId="222"/>
    <cellStyle name="?? 216" xfId="223"/>
    <cellStyle name="?? 217" xfId="224"/>
    <cellStyle name="?? 218" xfId="225"/>
    <cellStyle name="?? 219" xfId="226"/>
    <cellStyle name="?? 22" xfId="227"/>
    <cellStyle name="?? 220" xfId="228"/>
    <cellStyle name="?? 221" xfId="229"/>
    <cellStyle name="?? 222" xfId="230"/>
    <cellStyle name="?? 223" xfId="231"/>
    <cellStyle name="?? 224" xfId="232"/>
    <cellStyle name="?? 225" xfId="233"/>
    <cellStyle name="?? 226" xfId="234"/>
    <cellStyle name="?? 227" xfId="235"/>
    <cellStyle name="?? 228" xfId="236"/>
    <cellStyle name="?? 229" xfId="237"/>
    <cellStyle name="?? 23" xfId="238"/>
    <cellStyle name="?? 230" xfId="239"/>
    <cellStyle name="?? 231" xfId="240"/>
    <cellStyle name="?? 232" xfId="241"/>
    <cellStyle name="?? 233" xfId="242"/>
    <cellStyle name="?? 234" xfId="243"/>
    <cellStyle name="?? 235" xfId="244"/>
    <cellStyle name="?? 236" xfId="245"/>
    <cellStyle name="?? 237" xfId="246"/>
    <cellStyle name="?? 238" xfId="247"/>
    <cellStyle name="?? 239" xfId="248"/>
    <cellStyle name="?? 24" xfId="249"/>
    <cellStyle name="?? 240" xfId="250"/>
    <cellStyle name="?? 241" xfId="251"/>
    <cellStyle name="?? 242" xfId="252"/>
    <cellStyle name="?? 25" xfId="253"/>
    <cellStyle name="?? 26" xfId="254"/>
    <cellStyle name="?? 27" xfId="255"/>
    <cellStyle name="?? 28" xfId="256"/>
    <cellStyle name="?? 29" xfId="257"/>
    <cellStyle name="?? 3" xfId="258"/>
    <cellStyle name="?? 30" xfId="259"/>
    <cellStyle name="?? 31" xfId="260"/>
    <cellStyle name="?? 32" xfId="261"/>
    <cellStyle name="?? 33" xfId="262"/>
    <cellStyle name="?? 34" xfId="263"/>
    <cellStyle name="?? 35" xfId="264"/>
    <cellStyle name="?? 36" xfId="265"/>
    <cellStyle name="?? 37" xfId="266"/>
    <cellStyle name="?? 38" xfId="267"/>
    <cellStyle name="?? 39" xfId="268"/>
    <cellStyle name="?? 4" xfId="269"/>
    <cellStyle name="?? 40" xfId="270"/>
    <cellStyle name="?? 41" xfId="271"/>
    <cellStyle name="?? 42" xfId="272"/>
    <cellStyle name="?? 43" xfId="273"/>
    <cellStyle name="?? 44" xfId="274"/>
    <cellStyle name="?? 45" xfId="275"/>
    <cellStyle name="?? 46" xfId="276"/>
    <cellStyle name="?? 47" xfId="277"/>
    <cellStyle name="?? 48" xfId="278"/>
    <cellStyle name="?? 49" xfId="279"/>
    <cellStyle name="?? 5" xfId="280"/>
    <cellStyle name="?? 50" xfId="281"/>
    <cellStyle name="?? 51" xfId="282"/>
    <cellStyle name="?? 52" xfId="283"/>
    <cellStyle name="?? 53" xfId="284"/>
    <cellStyle name="?? 54" xfId="285"/>
    <cellStyle name="?? 55" xfId="286"/>
    <cellStyle name="?? 56" xfId="287"/>
    <cellStyle name="?? 57" xfId="288"/>
    <cellStyle name="?? 58" xfId="289"/>
    <cellStyle name="?? 59" xfId="290"/>
    <cellStyle name="?? 6" xfId="291"/>
    <cellStyle name="?? 60" xfId="292"/>
    <cellStyle name="?? 61" xfId="293"/>
    <cellStyle name="?? 62" xfId="294"/>
    <cellStyle name="?? 63" xfId="295"/>
    <cellStyle name="?? 64" xfId="296"/>
    <cellStyle name="?? 65" xfId="297"/>
    <cellStyle name="?? 66" xfId="298"/>
    <cellStyle name="?? 67" xfId="299"/>
    <cellStyle name="?? 68" xfId="300"/>
    <cellStyle name="?? 69" xfId="301"/>
    <cellStyle name="?? 7" xfId="302"/>
    <cellStyle name="?? 70" xfId="303"/>
    <cellStyle name="?? 71" xfId="304"/>
    <cellStyle name="?? 72" xfId="305"/>
    <cellStyle name="?? 73" xfId="306"/>
    <cellStyle name="?? 74" xfId="307"/>
    <cellStyle name="?? 75" xfId="308"/>
    <cellStyle name="?? 76" xfId="309"/>
    <cellStyle name="?? 77" xfId="310"/>
    <cellStyle name="?? 78" xfId="311"/>
    <cellStyle name="?? 79" xfId="312"/>
    <cellStyle name="?? 8" xfId="313"/>
    <cellStyle name="?? 80" xfId="314"/>
    <cellStyle name="?? 81" xfId="315"/>
    <cellStyle name="?? 82" xfId="316"/>
    <cellStyle name="?? 83" xfId="317"/>
    <cellStyle name="?? 84" xfId="318"/>
    <cellStyle name="?? 85" xfId="319"/>
    <cellStyle name="?? 86" xfId="320"/>
    <cellStyle name="?? 87" xfId="321"/>
    <cellStyle name="?? 88" xfId="322"/>
    <cellStyle name="?? 89" xfId="323"/>
    <cellStyle name="?? 9" xfId="324"/>
    <cellStyle name="?? 90" xfId="325"/>
    <cellStyle name="?? 91" xfId="326"/>
    <cellStyle name="?? 92" xfId="327"/>
    <cellStyle name="?? 93" xfId="328"/>
    <cellStyle name="?? 94" xfId="329"/>
    <cellStyle name="?? 95" xfId="330"/>
    <cellStyle name="?? 96" xfId="331"/>
    <cellStyle name="?? 97" xfId="332"/>
    <cellStyle name="?? 98" xfId="333"/>
    <cellStyle name="?? 99" xfId="334"/>
    <cellStyle name="?_x001d_??%U©÷u&amp;H©÷9_x0008_? s_x000a__x0007__x0001__x0001_" xfId="335"/>
    <cellStyle name="?_x001d_??%U©÷u&amp;H©÷9_x0008_? s_x000a__x0007__x0001__x0001_ 10" xfId="2799"/>
    <cellStyle name="?_x001d_??%U©÷u&amp;H©÷9_x0008_? s_x000a__x0007__x0001__x0001_ 11" xfId="2800"/>
    <cellStyle name="?_x001d_??%U©÷u&amp;H©÷9_x0008_? s_x000a__x0007__x0001__x0001_ 12" xfId="2801"/>
    <cellStyle name="?_x001d_??%U©÷u&amp;H©÷9_x0008_? s_x000a__x0007__x0001__x0001_ 13" xfId="2802"/>
    <cellStyle name="?_x001d_??%U©÷u&amp;H©÷9_x0008_? s_x000a__x0007__x0001__x0001_ 14" xfId="2803"/>
    <cellStyle name="?_x001d_??%U©÷u&amp;H©÷9_x0008_? s_x000a__x0007__x0001__x0001_ 15" xfId="2804"/>
    <cellStyle name="?_x001d_??%U©÷u&amp;H©÷9_x0008_? s_x000a__x0007__x0001__x0001_ 2" xfId="2805"/>
    <cellStyle name="?_x001d_??%U©÷u&amp;H©÷9_x0008_? s_x000a__x0007__x0001__x0001_ 3" xfId="2806"/>
    <cellStyle name="?_x001d_??%U©÷u&amp;H©÷9_x0008_? s_x000a__x0007__x0001__x0001_ 4" xfId="2807"/>
    <cellStyle name="?_x001d_??%U©÷u&amp;H©÷9_x0008_? s_x000a__x0007__x0001__x0001_ 5" xfId="2808"/>
    <cellStyle name="?_x001d_??%U©÷u&amp;H©÷9_x0008_? s_x000a__x0007__x0001__x0001_ 6" xfId="2809"/>
    <cellStyle name="?_x001d_??%U©÷u&amp;H©÷9_x0008_? s_x000a__x0007__x0001__x0001_ 7" xfId="2810"/>
    <cellStyle name="?_x001d_??%U©÷u&amp;H©÷9_x0008_? s_x000a__x0007__x0001__x0001_ 8" xfId="2811"/>
    <cellStyle name="?_x001d_??%U©÷u&amp;H©÷9_x0008_? s_x000a__x0007__x0001__x0001_ 9" xfId="2812"/>
    <cellStyle name="?_x001d_??%U©÷u&amp;H©÷9_x0008_?_x0009_s_x000a__x0007__x0001__x0001_" xfId="6181"/>
    <cellStyle name="?_x001d_??%U©÷u&amp;H©÷9_x0008_?_x0009_s_x000a__x0007__x0001__x0001_?_x0002_???????????????_x0001_(_x0002_u_x000d_?????_x001f_????????_x0007_????????????????!???????????           ?????           ?????????_x000d_C:\WINDOWS\country.sys_x000d_??????????????????????????????????????????????????????????????????????????????????????????????" xfId="6182"/>
    <cellStyle name="?_x001d_??%U©÷u&amp;H©÷9_x0008_?_x0009_s_x000a__x0007__x0001__x0001__da sua - 4 DU TOAN CAU BAN KENH MUONG LO" xfId="6183"/>
    <cellStyle name="???? [0.00]_      " xfId="2813"/>
    <cellStyle name="??????" xfId="336"/>
    <cellStyle name="?????? 2" xfId="337"/>
    <cellStyle name="????[0]_Sheet1" xfId="338"/>
    <cellStyle name="????_      " xfId="2814"/>
    <cellStyle name="???[0]_?? DI" xfId="339"/>
    <cellStyle name="???_?? DI" xfId="340"/>
    <cellStyle name="?_x0010__x0001_??Pr" xfId="6184"/>
    <cellStyle name="??[0]_BRE" xfId="341"/>
    <cellStyle name="??_      " xfId="2815"/>
    <cellStyle name="??9JS—_x0008_??????????????????H_x0001_????&lt;i·0??????????_x0007_?_x0010__x0001_??Thongso??9JS—_x0008_??????????????????‚_x0001_?" xfId="6185"/>
    <cellStyle name="??A? [0]_laroux_1_¢¬???¢â? " xfId="342"/>
    <cellStyle name="??A?_laroux_1_¢¬???¢â? " xfId="343"/>
    <cellStyle name="_x0001_??Thanh_phan?9š" xfId="6186"/>
    <cellStyle name="?_x005f_x001d_??%U©÷u&amp;H©÷9_x005f_x0008_? s_x005f_x000a__x005f_x0007__x005f_x0001__x005f_x0001_" xfId="2816"/>
    <cellStyle name="?_x005f_x001d_??%U©÷u&amp;H©÷9_x005f_x0008_?_x005f_x0009_s_x005f_x000a__x005f_x0007__x005f_x0001__x005f_x0001_" xfId="2817"/>
    <cellStyle name="?_x005f_x005f_x005f_x001d_??%U©÷u&amp;H©÷9_x005f_x005f_x005f_x0008_? s_x005f_x005f_x005f_x000a__x005f_x005f_x005f_x0007__x005f_x005f_x005f_x0001__x005f_x005f_x005f_x0001_" xfId="2818"/>
    <cellStyle name="?¡±¢¥?_?¨ù??¢´¢¥_¢¬???¢â? " xfId="344"/>
    <cellStyle name="?10" xfId="6187"/>
    <cellStyle name="?13" xfId="6188"/>
    <cellStyle name="?ðÇ%U?&amp;H?_x0008_?s_x000a__x0007__x0001__x0001_" xfId="345"/>
    <cellStyle name="?ðÇ%U?&amp;H?_x0008_?s_x000a__x0007__x0001__x0001_ 10" xfId="2819"/>
    <cellStyle name="?ðÇ%U?&amp;H?_x0008_?s_x000a__x0007__x0001__x0001_ 11" xfId="2820"/>
    <cellStyle name="?ðÇ%U?&amp;H?_x0008_?s_x000a__x0007__x0001__x0001_ 12" xfId="2821"/>
    <cellStyle name="?ðÇ%U?&amp;H?_x0008_?s_x000a__x0007__x0001__x0001_ 13" xfId="2822"/>
    <cellStyle name="?ðÇ%U?&amp;H?_x0008_?s_x000a__x0007__x0001__x0001_ 14" xfId="2823"/>
    <cellStyle name="?ðÇ%U?&amp;H?_x0008_?s_x000a__x0007__x0001__x0001_ 15" xfId="2824"/>
    <cellStyle name="?ðÇ%U?&amp;H?_x0008_?s_x000a__x0007__x0001__x0001_ 2" xfId="2825"/>
    <cellStyle name="?ðÇ%U?&amp;H?_x0008_?s_x000a__x0007__x0001__x0001_ 3" xfId="2826"/>
    <cellStyle name="?ðÇ%U?&amp;H?_x0008_?s_x000a__x0007__x0001__x0001_ 4" xfId="2827"/>
    <cellStyle name="?ðÇ%U?&amp;H?_x0008_?s_x000a__x0007__x0001__x0001_ 5" xfId="2828"/>
    <cellStyle name="?ðÇ%U?&amp;H?_x0008_?s_x000a__x0007__x0001__x0001_ 6" xfId="2829"/>
    <cellStyle name="?ðÇ%U?&amp;H?_x0008_?s_x000a__x0007__x0001__x0001_ 7" xfId="2830"/>
    <cellStyle name="?ðÇ%U?&amp;H?_x0008_?s_x000a__x0007__x0001__x0001_ 8" xfId="2831"/>
    <cellStyle name="?ðÇ%U?&amp;H?_x0008_?s_x000a__x0007__x0001__x0001_ 9" xfId="2832"/>
    <cellStyle name="?ðÇ%U?&amp;H?_x0008_?s_x000a__x0007__x0001__x0001_?_x0002_ÿÿÿÿÿÿÿÿÿÿÿÿÿÿÿ_x0001_(_x0002_?€????ÿÿÿÿ????_x0007_??????????????????????????           ?????           ?????????_x000d_C:\WINDOWS\country.sys_x000d_??????????????????????????????????????????????????????????????????????????????????????????????" xfId="6189"/>
    <cellStyle name="?ðÇ%U?&amp;H?_x0008_?s_x000a__x0007__x0001__x0001_?_x0002_ÿÿÿÿÿÿÿÿÿÿÿÿÿÿÿ_x0001_(_x0002_?????ÿÿÿÿ????_x0007_??????????????????????????           ?????           ?????????_x000d_C:\WINDOWS\country.sys_x000d_??????????????????????????????????????????????????????????????????????????????????????????????" xfId="6190"/>
    <cellStyle name="?ðÇ%U?&amp;H?_x005f_x0008_?s_x005f_x000a__x005f_x0007__x005f_x0001__x005f_x0001_" xfId="2833"/>
    <cellStyle name="?I?I?_x0001_??j?_x0008_?h_x0001__x000c__x000c__x0002__x0002__x000c_!Comma [0]_Chi phÝ kh¸c_B¶ng 1 (2)?G_x001d_Comma [0]_Chi phÝ kh¸c_B¶ng 2?G$Comma [0]_Ch" xfId="6191"/>
    <cellStyle name="?Sums?9^R—_x0008_????????????????????N_x0004__x0002__x0003_1?_x0014_" xfId="6192"/>
    <cellStyle name="@ET_Style?.font5" xfId="2834"/>
    <cellStyle name="[0]_Chi phÝ kh¸c_V" xfId="2835"/>
    <cellStyle name="_!1 1 bao cao giao KH ve HTCMT vung TNB   12-12-2011" xfId="2836"/>
    <cellStyle name="_1 TONG HOP - CA NA" xfId="346"/>
    <cellStyle name="_123_DONG_THANH_Moi" xfId="2837"/>
    <cellStyle name="_123_DONG_THANH_Moi_!1 1 bao cao giao KH ve HTCMT vung TNB   12-12-2011" xfId="2838"/>
    <cellStyle name="_123_DONG_THANH_Moi_KH TPCP vung TNB (03-1-2012)" xfId="2839"/>
    <cellStyle name="_Au-De cuong va du toan Cau Số 2 phuoc long" xfId="6193"/>
    <cellStyle name="_Au-De_cuong_va_du_toan_Hoa_Binh" xfId="6194"/>
    <cellStyle name="_Bang Chi tieu (2)" xfId="347"/>
    <cellStyle name="_Bang Chi tieu (2)?_x001c_Comma [0]_Chi phÝ kh¸c_Book1?!Comma [0]_Chi phÝ kh¸c_Liªn ChiÓu?b_x001e_Comma [0]_Chi" xfId="6195"/>
    <cellStyle name="_Bang Chi tieu (2)?_x001c_Comma [0]_Chi phÝ kh¸c_Book1?!Comma [0]_Chi phÝ kh¸c_Liªn ChiÓu?b_x001e_Comma [0]_Chi_STANDARD FILE" xfId="6196"/>
    <cellStyle name="_Bang Chi tieu (2)_STANDARD FILE" xfId="6197"/>
    <cellStyle name="_Bao Gia 08" xfId="6198"/>
    <cellStyle name="_BAO GIA NGAY 24-10-08 (co dam)" xfId="348"/>
    <cellStyle name="_BC  NAM 2007" xfId="2840"/>
    <cellStyle name="_BC CV 6403 BKHĐT" xfId="2841"/>
    <cellStyle name="_BC thuc hien KH 2009" xfId="2842"/>
    <cellStyle name="_BC thuc hien KH 2009_15_10_2013 BC nhu cau von doi ung ODA (2014-2016) ngay 15102013 Sua" xfId="2843"/>
    <cellStyle name="_BC thuc hien KH 2009_BC nhu cau von doi ung ODA nganh NN (BKH)" xfId="2844"/>
    <cellStyle name="_BC thuc hien KH 2009_BC nhu cau von doi ung ODA nganh NN (BKH)_05-12  KH trung han 2016-2020 - Liem Thinh edited" xfId="2845"/>
    <cellStyle name="_BC thuc hien KH 2009_BC nhu cau von doi ung ODA nganh NN (BKH)_Copy of 05-12  KH trung han 2016-2020 - Liem Thinh edited (1)" xfId="2846"/>
    <cellStyle name="_BC thuc hien KH 2009_BC Tai co cau (bieu TH)" xfId="2847"/>
    <cellStyle name="_BC thuc hien KH 2009_BC Tai co cau (bieu TH)_05-12  KH trung han 2016-2020 - Liem Thinh edited" xfId="2848"/>
    <cellStyle name="_BC thuc hien KH 2009_BC Tai co cau (bieu TH)_Copy of 05-12  KH trung han 2016-2020 - Liem Thinh edited (1)" xfId="2849"/>
    <cellStyle name="_BC thuc hien KH 2009_DK 2014-2015 final" xfId="2850"/>
    <cellStyle name="_BC thuc hien KH 2009_DK 2014-2015 final_05-12  KH trung han 2016-2020 - Liem Thinh edited" xfId="2851"/>
    <cellStyle name="_BC thuc hien KH 2009_DK 2014-2015 final_Copy of 05-12  KH trung han 2016-2020 - Liem Thinh edited (1)" xfId="2852"/>
    <cellStyle name="_BC thuc hien KH 2009_DK 2014-2015 new" xfId="2853"/>
    <cellStyle name="_BC thuc hien KH 2009_DK 2014-2015 new_05-12  KH trung han 2016-2020 - Liem Thinh edited" xfId="2854"/>
    <cellStyle name="_BC thuc hien KH 2009_DK 2014-2015 new_Copy of 05-12  KH trung han 2016-2020 - Liem Thinh edited (1)" xfId="2855"/>
    <cellStyle name="_BC thuc hien KH 2009_DK KH CBDT 2014 11-11-2013" xfId="2856"/>
    <cellStyle name="_BC thuc hien KH 2009_DK KH CBDT 2014 11-11-2013(1)" xfId="2857"/>
    <cellStyle name="_BC thuc hien KH 2009_DK KH CBDT 2014 11-11-2013(1)_05-12  KH trung han 2016-2020 - Liem Thinh edited" xfId="2858"/>
    <cellStyle name="_BC thuc hien KH 2009_DK KH CBDT 2014 11-11-2013(1)_Copy of 05-12  KH trung han 2016-2020 - Liem Thinh edited (1)" xfId="2859"/>
    <cellStyle name="_BC thuc hien KH 2009_DK KH CBDT 2014 11-11-2013_05-12  KH trung han 2016-2020 - Liem Thinh edited" xfId="2860"/>
    <cellStyle name="_BC thuc hien KH 2009_DK KH CBDT 2014 11-11-2013_Copy of 05-12  KH trung han 2016-2020 - Liem Thinh edited (1)" xfId="2861"/>
    <cellStyle name="_BC thuc hien KH 2009_KH 2011-2015" xfId="2862"/>
    <cellStyle name="_BC thuc hien KH 2009_tai co cau dau tu (tong hop)1" xfId="2863"/>
    <cellStyle name="_BEN TRE" xfId="2864"/>
    <cellStyle name="_Bieu mau cong trinh khoi cong moi 3-4" xfId="2865"/>
    <cellStyle name="_Bieu Tay Nam Bo 25-11" xfId="2866"/>
    <cellStyle name="_Bieu3ODA" xfId="2867"/>
    <cellStyle name="_Bieu3ODA_1" xfId="2868"/>
    <cellStyle name="_Bieu4HTMT" xfId="2869"/>
    <cellStyle name="_Bieu4HTMT_!1 1 bao cao giao KH ve HTCMT vung TNB   12-12-2011" xfId="2870"/>
    <cellStyle name="_Bieu4HTMT_KH TPCP vung TNB (03-1-2012)" xfId="2871"/>
    <cellStyle name="_Book1" xfId="349"/>
    <cellStyle name="_Book1 2" xfId="350"/>
    <cellStyle name="_Book1_!1 1 bao cao giao KH ve HTCMT vung TNB   12-12-2011" xfId="2872"/>
    <cellStyle name="_Book1_1" xfId="2873"/>
    <cellStyle name="_Book1_1_STANDARD FILE" xfId="6199"/>
    <cellStyle name="_Book1_BC-QT-WB-dthao" xfId="2874"/>
    <cellStyle name="_Book1_BC-QT-WB-dthao_05-12  KH trung han 2016-2020 - Liem Thinh edited" xfId="2875"/>
    <cellStyle name="_Book1_BC-QT-WB-dthao_Copy of 05-12  KH trung han 2016-2020 - Liem Thinh edited (1)" xfId="2876"/>
    <cellStyle name="_Book1_BC-QT-WB-dthao_KH TPCP 2016-2020 (tong hop)" xfId="2877"/>
    <cellStyle name="_Book1_Bieu3ODA" xfId="2878"/>
    <cellStyle name="_Book1_Bieu4HTMT" xfId="2879"/>
    <cellStyle name="_Book1_Bieu4HTMT_!1 1 bao cao giao KH ve HTCMT vung TNB   12-12-2011" xfId="2880"/>
    <cellStyle name="_Book1_Bieu4HTMT_KH TPCP vung TNB (03-1-2012)" xfId="2881"/>
    <cellStyle name="_Book1_bo sung von KCH nam 2010 va Du an tre kho khan" xfId="2882"/>
    <cellStyle name="_Book1_bo sung von KCH nam 2010 va Du an tre kho khan_!1 1 bao cao giao KH ve HTCMT vung TNB   12-12-2011" xfId="2883"/>
    <cellStyle name="_Book1_bo sung von KCH nam 2010 va Du an tre kho khan_KH TPCP vung TNB (03-1-2012)" xfId="2884"/>
    <cellStyle name="_Book1_cong hang rao" xfId="2885"/>
    <cellStyle name="_Book1_cong hang rao_!1 1 bao cao giao KH ve HTCMT vung TNB   12-12-2011" xfId="2886"/>
    <cellStyle name="_Book1_cong hang rao_KH TPCP vung TNB (03-1-2012)" xfId="2887"/>
    <cellStyle name="_Book1_danh muc chuan bi dau tu 2011 ngay 07-6-2011" xfId="2888"/>
    <cellStyle name="_Book1_danh muc chuan bi dau tu 2011 ngay 07-6-2011_!1 1 bao cao giao KH ve HTCMT vung TNB   12-12-2011" xfId="2889"/>
    <cellStyle name="_Book1_danh muc chuan bi dau tu 2011 ngay 07-6-2011_KH TPCP vung TNB (03-1-2012)" xfId="2890"/>
    <cellStyle name="_Book1_Danh muc pbo nguon von XSKT, XDCB nam 2009 chuyen qua nam 2010" xfId="2891"/>
    <cellStyle name="_Book1_Danh muc pbo nguon von XSKT, XDCB nam 2009 chuyen qua nam 2010_!1 1 bao cao giao KH ve HTCMT vung TNB   12-12-2011" xfId="2892"/>
    <cellStyle name="_Book1_Danh muc pbo nguon von XSKT, XDCB nam 2009 chuyen qua nam 2010_KH TPCP vung TNB (03-1-2012)" xfId="2893"/>
    <cellStyle name="_Book1_dieu chinh KH 2011 ngay 26-5-2011111" xfId="2894"/>
    <cellStyle name="_Book1_dieu chinh KH 2011 ngay 26-5-2011111_!1 1 bao cao giao KH ve HTCMT vung TNB   12-12-2011" xfId="2895"/>
    <cellStyle name="_Book1_dieu chinh KH 2011 ngay 26-5-2011111_KH TPCP vung TNB (03-1-2012)" xfId="2896"/>
    <cellStyle name="_Book1_DS KCH PHAN BO VON NSDP NAM 2010" xfId="2897"/>
    <cellStyle name="_Book1_DS KCH PHAN BO VON NSDP NAM 2010_!1 1 bao cao giao KH ve HTCMT vung TNB   12-12-2011" xfId="2898"/>
    <cellStyle name="_Book1_DS KCH PHAN BO VON NSDP NAM 2010_KH TPCP vung TNB (03-1-2012)" xfId="2899"/>
    <cellStyle name="_Book1_giao KH 2011 ngay 10-12-2010" xfId="2900"/>
    <cellStyle name="_Book1_giao KH 2011 ngay 10-12-2010_!1 1 bao cao giao KH ve HTCMT vung TNB   12-12-2011" xfId="2901"/>
    <cellStyle name="_Book1_giao KH 2011 ngay 10-12-2010_KH TPCP vung TNB (03-1-2012)" xfId="2902"/>
    <cellStyle name="_Book1_IN" xfId="2903"/>
    <cellStyle name="_Book1_Kh ql62 (2010) 11-09" xfId="351"/>
    <cellStyle name="_Book1_KH TPCP vung TNB (03-1-2012)" xfId="2905"/>
    <cellStyle name="_Book1_Khung 2012" xfId="2906"/>
    <cellStyle name="_Book1_kien giang 2" xfId="2904"/>
    <cellStyle name="_Book1_phu luc tong ket tinh hinh TH giai doan 03-10 (ngay 30)" xfId="2907"/>
    <cellStyle name="_Book1_phu luc tong ket tinh hinh TH giai doan 03-10 (ngay 30)_!1 1 bao cao giao KH ve HTCMT vung TNB   12-12-2011" xfId="2908"/>
    <cellStyle name="_Book1_phu luc tong ket tinh hinh TH giai doan 03-10 (ngay 30)_KH TPCP vung TNB (03-1-2012)" xfId="2909"/>
    <cellStyle name="_Book1_STANDARD FILE" xfId="6200"/>
    <cellStyle name="_Book1_TKHC-THOIQUAN-05-04-2004" xfId="6201"/>
    <cellStyle name="_Book1_TKHC-THOIQUAN-05-04-2004_STANDARD FILE" xfId="6202"/>
    <cellStyle name="_C CHIN TUYEN" xfId="6203"/>
    <cellStyle name="_C CHIN TUYEN_STANDARD FILE" xfId="6204"/>
    <cellStyle name="_C.cong+B.luong-Sanluong" xfId="352"/>
    <cellStyle name="_CHI PHI KS GDTK KENH CAU SO 2-PL" xfId="6207"/>
    <cellStyle name="_CHI PHI KS GDTK KENH HOA BINH" xfId="6208"/>
    <cellStyle name="_cong hang rao" xfId="2910"/>
    <cellStyle name="_Copy of CAU CHIN TUYEN" xfId="6205"/>
    <cellStyle name="_Copy of CAU CHIN TUYEN_STANDARD FILE" xfId="6206"/>
    <cellStyle name="_dien chieu sang" xfId="2911"/>
    <cellStyle name="_DK KH 2009" xfId="2912"/>
    <cellStyle name="_DK KH 2009_15_10_2013 BC nhu cau von doi ung ODA (2014-2016) ngay 15102013 Sua" xfId="2913"/>
    <cellStyle name="_DK KH 2009_BC nhu cau von doi ung ODA nganh NN (BKH)" xfId="2914"/>
    <cellStyle name="_DK KH 2009_BC nhu cau von doi ung ODA nganh NN (BKH)_05-12  KH trung han 2016-2020 - Liem Thinh edited" xfId="2915"/>
    <cellStyle name="_DK KH 2009_BC nhu cau von doi ung ODA nganh NN (BKH)_Copy of 05-12  KH trung han 2016-2020 - Liem Thinh edited (1)" xfId="2916"/>
    <cellStyle name="_DK KH 2009_BC Tai co cau (bieu TH)" xfId="2917"/>
    <cellStyle name="_DK KH 2009_BC Tai co cau (bieu TH)_05-12  KH trung han 2016-2020 - Liem Thinh edited" xfId="2918"/>
    <cellStyle name="_DK KH 2009_BC Tai co cau (bieu TH)_Copy of 05-12  KH trung han 2016-2020 - Liem Thinh edited (1)" xfId="2919"/>
    <cellStyle name="_DK KH 2009_DK 2014-2015 final" xfId="2920"/>
    <cellStyle name="_DK KH 2009_DK 2014-2015 final_05-12  KH trung han 2016-2020 - Liem Thinh edited" xfId="2921"/>
    <cellStyle name="_DK KH 2009_DK 2014-2015 final_Copy of 05-12  KH trung han 2016-2020 - Liem Thinh edited (1)" xfId="2922"/>
    <cellStyle name="_DK KH 2009_DK 2014-2015 new" xfId="2923"/>
    <cellStyle name="_DK KH 2009_DK 2014-2015 new_05-12  KH trung han 2016-2020 - Liem Thinh edited" xfId="2924"/>
    <cellStyle name="_DK KH 2009_DK 2014-2015 new_Copy of 05-12  KH trung han 2016-2020 - Liem Thinh edited (1)" xfId="2925"/>
    <cellStyle name="_DK KH 2009_DK KH CBDT 2014 11-11-2013" xfId="2926"/>
    <cellStyle name="_DK KH 2009_DK KH CBDT 2014 11-11-2013(1)" xfId="2927"/>
    <cellStyle name="_DK KH 2009_DK KH CBDT 2014 11-11-2013(1)_05-12  KH trung han 2016-2020 - Liem Thinh edited" xfId="2928"/>
    <cellStyle name="_DK KH 2009_DK KH CBDT 2014 11-11-2013(1)_Copy of 05-12  KH trung han 2016-2020 - Liem Thinh edited (1)" xfId="2929"/>
    <cellStyle name="_DK KH 2009_DK KH CBDT 2014 11-11-2013_05-12  KH trung han 2016-2020 - Liem Thinh edited" xfId="2930"/>
    <cellStyle name="_DK KH 2009_DK KH CBDT 2014 11-11-2013_Copy of 05-12  KH trung han 2016-2020 - Liem Thinh edited (1)" xfId="2931"/>
    <cellStyle name="_DK KH 2009_KH 2011-2015" xfId="2932"/>
    <cellStyle name="_DK KH 2009_tai co cau dau tu (tong hop)1" xfId="2933"/>
    <cellStyle name="_DK KH 2010" xfId="2934"/>
    <cellStyle name="_DK KH 2010 (BKH)" xfId="2935"/>
    <cellStyle name="_DK KH 2010_15_10_2013 BC nhu cau von doi ung ODA (2014-2016) ngay 15102013 Sua" xfId="2936"/>
    <cellStyle name="_DK KH 2010_BC nhu cau von doi ung ODA nganh NN (BKH)" xfId="2937"/>
    <cellStyle name="_DK KH 2010_BC nhu cau von doi ung ODA nganh NN (BKH)_05-12  KH trung han 2016-2020 - Liem Thinh edited" xfId="2938"/>
    <cellStyle name="_DK KH 2010_BC nhu cau von doi ung ODA nganh NN (BKH)_Copy of 05-12  KH trung han 2016-2020 - Liem Thinh edited (1)" xfId="2939"/>
    <cellStyle name="_DK KH 2010_BC Tai co cau (bieu TH)" xfId="2940"/>
    <cellStyle name="_DK KH 2010_BC Tai co cau (bieu TH)_05-12  KH trung han 2016-2020 - Liem Thinh edited" xfId="2941"/>
    <cellStyle name="_DK KH 2010_BC Tai co cau (bieu TH)_Copy of 05-12  KH trung han 2016-2020 - Liem Thinh edited (1)" xfId="2942"/>
    <cellStyle name="_DK KH 2010_DK 2014-2015 final" xfId="2943"/>
    <cellStyle name="_DK KH 2010_DK 2014-2015 final_05-12  KH trung han 2016-2020 - Liem Thinh edited" xfId="2944"/>
    <cellStyle name="_DK KH 2010_DK 2014-2015 final_Copy of 05-12  KH trung han 2016-2020 - Liem Thinh edited (1)" xfId="2945"/>
    <cellStyle name="_DK KH 2010_DK 2014-2015 new" xfId="2946"/>
    <cellStyle name="_DK KH 2010_DK 2014-2015 new_05-12  KH trung han 2016-2020 - Liem Thinh edited" xfId="2947"/>
    <cellStyle name="_DK KH 2010_DK 2014-2015 new_Copy of 05-12  KH trung han 2016-2020 - Liem Thinh edited (1)" xfId="2948"/>
    <cellStyle name="_DK KH 2010_DK KH CBDT 2014 11-11-2013" xfId="2949"/>
    <cellStyle name="_DK KH 2010_DK KH CBDT 2014 11-11-2013(1)" xfId="2950"/>
    <cellStyle name="_DK KH 2010_DK KH CBDT 2014 11-11-2013(1)_05-12  KH trung han 2016-2020 - Liem Thinh edited" xfId="2951"/>
    <cellStyle name="_DK KH 2010_DK KH CBDT 2014 11-11-2013(1)_Copy of 05-12  KH trung han 2016-2020 - Liem Thinh edited (1)" xfId="2952"/>
    <cellStyle name="_DK KH 2010_DK KH CBDT 2014 11-11-2013_05-12  KH trung han 2016-2020 - Liem Thinh edited" xfId="2953"/>
    <cellStyle name="_DK KH 2010_DK KH CBDT 2014 11-11-2013_Copy of 05-12  KH trung han 2016-2020 - Liem Thinh edited (1)" xfId="2954"/>
    <cellStyle name="_DK KH 2010_KH 2011-2015" xfId="2955"/>
    <cellStyle name="_DK KH 2010_tai co cau dau tu (tong hop)1" xfId="2956"/>
    <cellStyle name="_DK TPCP 2010" xfId="2957"/>
    <cellStyle name="_DMdieuchinh _1c" xfId="6209"/>
    <cellStyle name="_DMdieuchinh _1c_STANDARD FILE" xfId="6210"/>
    <cellStyle name="_DO-D1500-KHONG CO TRONG DT" xfId="353"/>
    <cellStyle name="_Dong Thap" xfId="2958"/>
    <cellStyle name="_DT CCAU SO 2" xfId="6211"/>
    <cellStyle name="_DT CCAU SO 2_STANDARD FILE" xfId="6212"/>
    <cellStyle name="_DTRTra10-06" xfId="6213"/>
    <cellStyle name="_DTRTra10-06_da sua - 4 DU TOAN CAU BAN KENH MUONG LO" xfId="6214"/>
    <cellStyle name="_DTRTra10-06_duong giong nhan ganh hao - cong ngang duong" xfId="6215"/>
    <cellStyle name="_DTRTra10-06_Duong Giong Nhan Ganh Hao - Duong giao thong" xfId="6216"/>
    <cellStyle name="_DTRTra10-06_KL-DH" xfId="6217"/>
    <cellStyle name="_DTRTra10-06_KL-DH_da sua - 4 DU TOAN CAU BAN KENH MUONG LO" xfId="6218"/>
    <cellStyle name="_DTRTra10-06_KL-DH_DT CONG-thamdinh" xfId="6219"/>
    <cellStyle name="_DTRTra10-06_KL-DHDM" xfId="6220"/>
    <cellStyle name="_DTRTra10-06_KL-DHDM_da sua - 4 DU TOAN CAU BAN KENH MUONG LO" xfId="6221"/>
    <cellStyle name="_DTRTra10-06_KL-DHDM_DT CONG-thamdinh" xfId="6222"/>
    <cellStyle name="_DTRTra10-06_KL-DHK" xfId="6223"/>
    <cellStyle name="_DTRTra10-06_KL-DHK_da sua - 4 DU TOAN CAU BAN KENH MUONG LO" xfId="6224"/>
    <cellStyle name="_DTRTra10-06_KL-DHK_DT CONG-thamdinh" xfId="6225"/>
    <cellStyle name="_DU TOAN bo bao ba lang" xfId="6226"/>
    <cellStyle name="_DU TOAN bo bao ba lang_STANDARD FILE" xfId="6227"/>
    <cellStyle name="_Du toan Mau" xfId="6228"/>
    <cellStyle name="_Du toan Mau_STANDARD FILE" xfId="6229"/>
    <cellStyle name="_Duyet TK thay đôi" xfId="354"/>
    <cellStyle name="_Duyet TK thay đôi 2" xfId="355"/>
    <cellStyle name="_Duyet TK thay đôi_!1 1 bao cao giao KH ve HTCMT vung TNB   12-12-2011" xfId="2959"/>
    <cellStyle name="_Duyet TK thay đôi_Bieu4HTMT" xfId="2960"/>
    <cellStyle name="_Duyet TK thay đôi_Bieu4HTMT_!1 1 bao cao giao KH ve HTCMT vung TNB   12-12-2011" xfId="2961"/>
    <cellStyle name="_Duyet TK thay đôi_Bieu4HTMT_KH TPCP vung TNB (03-1-2012)" xfId="2962"/>
    <cellStyle name="_Duyet TK thay đôi_KH TPCP vung TNB (03-1-2012)" xfId="2963"/>
    <cellStyle name="_GOITHAUSO2" xfId="356"/>
    <cellStyle name="_GOITHAUSO3" xfId="357"/>
    <cellStyle name="_GOITHAUSO4" xfId="358"/>
    <cellStyle name="_GT21_ CONG TIEU Þ60" xfId="6230"/>
    <cellStyle name="_GT21_ CONG TIEU Þ60_STANDARD FILE" xfId="6231"/>
    <cellStyle name="_GTGT 2003" xfId="2964"/>
    <cellStyle name="_Gui VU KH 5-5-09" xfId="2965"/>
    <cellStyle name="_Gui VU KH 5-5-09_05-12  KH trung han 2016-2020 - Liem Thinh edited" xfId="2966"/>
    <cellStyle name="_Gui VU KH 5-5-09_Copy of 05-12  KH trung han 2016-2020 - Liem Thinh edited (1)" xfId="2967"/>
    <cellStyle name="_Gui VU KH 5-5-09_KH TPCP 2016-2020 (tong hop)" xfId="2968"/>
    <cellStyle name="_GVL4" xfId="6232"/>
    <cellStyle name="_GVLmoi" xfId="6233"/>
    <cellStyle name="_HaHoa_TDT_DienCSang" xfId="359"/>
    <cellStyle name="_HaHoa_TDT_DienCSang 2" xfId="360"/>
    <cellStyle name="_HaHoa19-5-07" xfId="361"/>
    <cellStyle name="_HaHoa19-5-07 2" xfId="362"/>
    <cellStyle name="_Huong CHI tieu Nhiem vu CTMTQG 2014(1)" xfId="363"/>
    <cellStyle name="_IN" xfId="2969"/>
    <cellStyle name="_IN_!1 1 bao cao giao KH ve HTCMT vung TNB   12-12-2011" xfId="2970"/>
    <cellStyle name="_IN_KH TPCP vung TNB (03-1-2012)" xfId="2971"/>
    <cellStyle name="_k2+700" xfId="6234"/>
    <cellStyle name="_KE KHAI THUE GTGT 2004" xfId="2972"/>
    <cellStyle name="_KE KHAI THUE GTGT 2004_BCTC2004" xfId="2973"/>
    <cellStyle name="_KE LUONG THUC" xfId="6235"/>
    <cellStyle name="_KE LUONG THUC111" xfId="6236"/>
    <cellStyle name="_KH 2009" xfId="3483"/>
    <cellStyle name="_KH 2009_15_10_2013 BC nhu cau von doi ung ODA (2014-2016) ngay 15102013 Sua" xfId="3484"/>
    <cellStyle name="_KH 2009_BC nhu cau von doi ung ODA nganh NN (BKH)" xfId="3485"/>
    <cellStyle name="_KH 2009_BC nhu cau von doi ung ODA nganh NN (BKH)_05-12  KH trung han 2016-2020 - Liem Thinh edited" xfId="3486"/>
    <cellStyle name="_KH 2009_BC nhu cau von doi ung ODA nganh NN (BKH)_Copy of 05-12  KH trung han 2016-2020 - Liem Thinh edited (1)" xfId="3487"/>
    <cellStyle name="_KH 2009_BC Tai co cau (bieu TH)" xfId="3488"/>
    <cellStyle name="_KH 2009_BC Tai co cau (bieu TH)_05-12  KH trung han 2016-2020 - Liem Thinh edited" xfId="3489"/>
    <cellStyle name="_KH 2009_BC Tai co cau (bieu TH)_Copy of 05-12  KH trung han 2016-2020 - Liem Thinh edited (1)" xfId="3490"/>
    <cellStyle name="_KH 2009_DK 2014-2015 final" xfId="3491"/>
    <cellStyle name="_KH 2009_DK 2014-2015 final_05-12  KH trung han 2016-2020 - Liem Thinh edited" xfId="3492"/>
    <cellStyle name="_KH 2009_DK 2014-2015 final_Copy of 05-12  KH trung han 2016-2020 - Liem Thinh edited (1)" xfId="3493"/>
    <cellStyle name="_KH 2009_DK 2014-2015 new" xfId="3494"/>
    <cellStyle name="_KH 2009_DK 2014-2015 new_05-12  KH trung han 2016-2020 - Liem Thinh edited" xfId="3495"/>
    <cellStyle name="_KH 2009_DK 2014-2015 new_Copy of 05-12  KH trung han 2016-2020 - Liem Thinh edited (1)" xfId="3496"/>
    <cellStyle name="_KH 2009_DK KH CBDT 2014 11-11-2013" xfId="3497"/>
    <cellStyle name="_KH 2009_DK KH CBDT 2014 11-11-2013(1)" xfId="3498"/>
    <cellStyle name="_KH 2009_DK KH CBDT 2014 11-11-2013(1)_05-12  KH trung han 2016-2020 - Liem Thinh edited" xfId="3499"/>
    <cellStyle name="_KH 2009_DK KH CBDT 2014 11-11-2013(1)_Copy of 05-12  KH trung han 2016-2020 - Liem Thinh edited (1)" xfId="3500"/>
    <cellStyle name="_KH 2009_DK KH CBDT 2014 11-11-2013_05-12  KH trung han 2016-2020 - Liem Thinh edited" xfId="3501"/>
    <cellStyle name="_KH 2009_DK KH CBDT 2014 11-11-2013_Copy of 05-12  KH trung han 2016-2020 - Liem Thinh edited (1)" xfId="3502"/>
    <cellStyle name="_KH 2009_KH 2011-2015" xfId="3503"/>
    <cellStyle name="_KH 2009_tai co cau dau tu (tong hop)1" xfId="3504"/>
    <cellStyle name="_KH 2012 (TPCP) Bac Lieu (25-12-2011)" xfId="3505"/>
    <cellStyle name="_Kh ql62 (2010) 11-09" xfId="420"/>
    <cellStyle name="_KH TPCP 2010 17-3-10" xfId="3506"/>
    <cellStyle name="_KH TPCP vung TNB (03-1-2012)" xfId="3507"/>
    <cellStyle name="_KH ung von cap bach 2009-Cuc NTTS de nghi (sua)" xfId="3508"/>
    <cellStyle name="_KH.DTC.gd2016-2020 tinh (T2-2015)" xfId="421"/>
    <cellStyle name="_Khung 2012" xfId="3509"/>
    <cellStyle name="_Khung nam 2010" xfId="3510"/>
    <cellStyle name="_x0001__kien giang 2" xfId="2974"/>
    <cellStyle name="_KT (2)" xfId="364"/>
    <cellStyle name="_KT (2) 2" xfId="2975"/>
    <cellStyle name="_KT (2)_05-12  KH trung han 2016-2020 - Liem Thinh edited" xfId="2976"/>
    <cellStyle name="_KT (2)_1" xfId="365"/>
    <cellStyle name="_KT (2)_1 2" xfId="2977"/>
    <cellStyle name="_KT (2)_1_05-12  KH trung han 2016-2020 - Liem Thinh edited" xfId="2978"/>
    <cellStyle name="_KT (2)_1_Copy of 05-12  KH trung han 2016-2020 - Liem Thinh edited (1)" xfId="2979"/>
    <cellStyle name="_KT (2)_1_KH TPCP 2016-2020 (tong hop)" xfId="2980"/>
    <cellStyle name="_KT (2)_1_Lora-tungchau" xfId="2981"/>
    <cellStyle name="_KT (2)_1_Lora-tungchau 2" xfId="2982"/>
    <cellStyle name="_KT (2)_1_Lora-tungchau_05-12  KH trung han 2016-2020 - Liem Thinh edited" xfId="2983"/>
    <cellStyle name="_KT (2)_1_Lora-tungchau_Copy of 05-12  KH trung han 2016-2020 - Liem Thinh edited (1)" xfId="2984"/>
    <cellStyle name="_KT (2)_1_Lora-tungchau_KH TPCP 2016-2020 (tong hop)" xfId="2985"/>
    <cellStyle name="_KT (2)_1_Qt-HT3PQ1(CauKho)" xfId="2986"/>
    <cellStyle name="_KT (2)_1_STANDARD FILE" xfId="6237"/>
    <cellStyle name="_KT (2)_2" xfId="366"/>
    <cellStyle name="_KT (2)_2_C CHIN TUYEN" xfId="6238"/>
    <cellStyle name="_KT (2)_2_C CHIN TUYEN_STANDARD FILE" xfId="6239"/>
    <cellStyle name="_KT (2)_2_Copy of CAU CHIN TUYEN" xfId="6240"/>
    <cellStyle name="_KT (2)_2_Copy of CAU CHIN TUYEN_STANDARD FILE" xfId="6241"/>
    <cellStyle name="_KT (2)_2_DT CCAU SO 2" xfId="6242"/>
    <cellStyle name="_KT (2)_2_DT CCAU SO 2_STANDARD FILE" xfId="6243"/>
    <cellStyle name="_KT (2)_2_DU TOAN bo bao ba lang" xfId="6244"/>
    <cellStyle name="_KT (2)_2_DU TOAN bo bao ba lang_STANDARD FILE" xfId="6245"/>
    <cellStyle name="_KT (2)_2_Du toan Mau" xfId="6246"/>
    <cellStyle name="_KT (2)_2_Du toan Mau_STANDARD FILE" xfId="6247"/>
    <cellStyle name="_KT (2)_2_GT21_ CONG TIEU Þ60" xfId="6248"/>
    <cellStyle name="_KT (2)_2_GT21_ CONG TIEU Þ60_STANDARD FILE" xfId="6249"/>
    <cellStyle name="_KT (2)_2_GVL4" xfId="6250"/>
    <cellStyle name="_KT (2)_2_GVL4_STANDARD FILE" xfId="6251"/>
    <cellStyle name="_KT (2)_2_GVLmoi" xfId="6252"/>
    <cellStyle name="_KT (2)_2_GVLmoi_STANDARD FILE" xfId="6253"/>
    <cellStyle name="_KT (2)_2_k2+700" xfId="6254"/>
    <cellStyle name="_KT (2)_2_k2+700_STANDARD FILE" xfId="6255"/>
    <cellStyle name="_KT (2)_2_KE LUONG THUC" xfId="6256"/>
    <cellStyle name="_KT (2)_2_KE LUONG THUC_STANDARD FILE" xfId="6257"/>
    <cellStyle name="_KT (2)_2_KE LUONG THUC111" xfId="6258"/>
    <cellStyle name="_KT (2)_2_KE LUONG THUC111_STANDARD FILE" xfId="6259"/>
    <cellStyle name="_KT (2)_2_STANDARD FILE" xfId="6260"/>
    <cellStyle name="_KT (2)_2_STKL KE BAC LIEU" xfId="6261"/>
    <cellStyle name="_KT (2)_2_STKL KE BAC LIEU_STANDARD FILE" xfId="6262"/>
    <cellStyle name="_KT (2)_2_TG-TH" xfId="367"/>
    <cellStyle name="_KT (2)_2_TG-TH 2" xfId="2987"/>
    <cellStyle name="_KT (2)_2_TG-TH_05-12  KH trung han 2016-2020 - Liem Thinh edited" xfId="2988"/>
    <cellStyle name="_KT (2)_2_TG-TH_ApGiaVatTu_cayxanh_latgach" xfId="2989"/>
    <cellStyle name="_KT (2)_2_TG-TH_BANG TONG HOP TINH HINH THANH QUYET TOAN (MOI I)" xfId="368"/>
    <cellStyle name="_KT (2)_2_TG-TH_BAO CAO KLCT PT2000" xfId="2990"/>
    <cellStyle name="_KT (2)_2_TG-TH_BAO CAO PT2000" xfId="2991"/>
    <cellStyle name="_KT (2)_2_TG-TH_BAO CAO PT2000_Book1" xfId="2992"/>
    <cellStyle name="_KT (2)_2_TG-TH_Bao cao XDCB 2001 - T11 KH dieu chinh 20-11-THAI" xfId="2993"/>
    <cellStyle name="_KT (2)_2_TG-TH_BAO GIA NGAY 24-10-08 (co dam)" xfId="369"/>
    <cellStyle name="_KT (2)_2_TG-TH_BC  NAM 2007" xfId="2994"/>
    <cellStyle name="_KT (2)_2_TG-TH_BC CV 6403 BKHĐT" xfId="2995"/>
    <cellStyle name="_KT (2)_2_TG-TH_BC NQ11-CP - chinh sua lai" xfId="2996"/>
    <cellStyle name="_KT (2)_2_TG-TH_BC NQ11-CP-Quynh sau bieu so3" xfId="2997"/>
    <cellStyle name="_KT (2)_2_TG-TH_BC_NQ11-CP_-_Thao_sua_lai" xfId="2998"/>
    <cellStyle name="_KT (2)_2_TG-TH_Bieu mau cong trinh khoi cong moi 3-4" xfId="2999"/>
    <cellStyle name="_KT (2)_2_TG-TH_Bieu3ODA" xfId="3000"/>
    <cellStyle name="_KT (2)_2_TG-TH_Bieu3ODA_1" xfId="3001"/>
    <cellStyle name="_KT (2)_2_TG-TH_Bieu4HTMT" xfId="3002"/>
    <cellStyle name="_KT (2)_2_TG-TH_bo sung von KCH nam 2010 va Du an tre kho khan" xfId="3003"/>
    <cellStyle name="_KT (2)_2_TG-TH_Book1" xfId="370"/>
    <cellStyle name="_KT (2)_2_TG-TH_Book1 2" xfId="3004"/>
    <cellStyle name="_KT (2)_2_TG-TH_Book1_1" xfId="371"/>
    <cellStyle name="_KT (2)_2_TG-TH_Book1_1 2" xfId="3005"/>
    <cellStyle name="_KT (2)_2_TG-TH_Book1_1_BC CV 6403 BKHĐT" xfId="3006"/>
    <cellStyle name="_KT (2)_2_TG-TH_Book1_1_Bieu mau cong trinh khoi cong moi 3-4" xfId="3007"/>
    <cellStyle name="_KT (2)_2_TG-TH_Book1_1_Bieu3ODA" xfId="3008"/>
    <cellStyle name="_KT (2)_2_TG-TH_Book1_1_Bieu4HTMT" xfId="3009"/>
    <cellStyle name="_KT (2)_2_TG-TH_Book1_1_Book1" xfId="3010"/>
    <cellStyle name="_KT (2)_2_TG-TH_Book1_1_Luy ke von ung nam 2011 -Thoa gui ngay 12-8-2012" xfId="3011"/>
    <cellStyle name="_KT (2)_2_TG-TH_Book1_1_STANDARD FILE" xfId="6263"/>
    <cellStyle name="_KT (2)_2_TG-TH_Book1_2" xfId="3012"/>
    <cellStyle name="_KT (2)_2_TG-TH_Book1_2 2" xfId="3013"/>
    <cellStyle name="_KT (2)_2_TG-TH_Book1_2_BC CV 6403 BKHĐT" xfId="3014"/>
    <cellStyle name="_KT (2)_2_TG-TH_Book1_2_Bieu3ODA" xfId="3015"/>
    <cellStyle name="_KT (2)_2_TG-TH_Book1_2_Luy ke von ung nam 2011 -Thoa gui ngay 12-8-2012" xfId="3016"/>
    <cellStyle name="_KT (2)_2_TG-TH_Book1_3" xfId="3017"/>
    <cellStyle name="_KT (2)_2_TG-TH_Book1_3 2" xfId="3018"/>
    <cellStyle name="_KT (2)_2_TG-TH_Book1_BC CV 6403 BKHĐT" xfId="3019"/>
    <cellStyle name="_KT (2)_2_TG-TH_Book1_Bieu mau cong trinh khoi cong moi 3-4" xfId="3020"/>
    <cellStyle name="_KT (2)_2_TG-TH_Book1_Bieu3ODA" xfId="3021"/>
    <cellStyle name="_KT (2)_2_TG-TH_Book1_Bieu4HTMT" xfId="3022"/>
    <cellStyle name="_KT (2)_2_TG-TH_Book1_bo sung von KCH nam 2010 va Du an tre kho khan" xfId="3023"/>
    <cellStyle name="_KT (2)_2_TG-TH_Book1_Book1" xfId="3024"/>
    <cellStyle name="_KT (2)_2_TG-TH_Book1_C CHIN TUYEN" xfId="6264"/>
    <cellStyle name="_KT (2)_2_TG-TH_Book1_C CHIN TUYEN_STANDARD FILE" xfId="6265"/>
    <cellStyle name="_KT (2)_2_TG-TH_Book1_Copy of CAU CHIN TUYEN" xfId="6266"/>
    <cellStyle name="_KT (2)_2_TG-TH_Book1_Copy of CAU CHIN TUYEN_STANDARD FILE" xfId="6267"/>
    <cellStyle name="_KT (2)_2_TG-TH_Book1_danh muc chuan bi dau tu 2011 ngay 07-6-2011" xfId="3025"/>
    <cellStyle name="_KT (2)_2_TG-TH_Book1_Danh muc pbo nguon von XSKT, XDCB nam 2009 chuyen qua nam 2010" xfId="3026"/>
    <cellStyle name="_KT (2)_2_TG-TH_Book1_dieu chinh KH 2011 ngay 26-5-2011111" xfId="3027"/>
    <cellStyle name="_KT (2)_2_TG-TH_Book1_DS KCH PHAN BO VON NSDP NAM 2010" xfId="3028"/>
    <cellStyle name="_KT (2)_2_TG-TH_Book1_DT CCAU SO 2" xfId="6268"/>
    <cellStyle name="_KT (2)_2_TG-TH_Book1_DT CCAU SO 2_STANDARD FILE" xfId="6269"/>
    <cellStyle name="_KT (2)_2_TG-TH_Book1_DU TOAN bo bao ba lang" xfId="6270"/>
    <cellStyle name="_KT (2)_2_TG-TH_Book1_DU TOAN bo bao ba lang_STANDARD FILE" xfId="6271"/>
    <cellStyle name="_KT (2)_2_TG-TH_Book1_Du toan Mau" xfId="6272"/>
    <cellStyle name="_KT (2)_2_TG-TH_Book1_Du toan Mau_STANDARD FILE" xfId="6273"/>
    <cellStyle name="_KT (2)_2_TG-TH_Book1_giao KH 2011 ngay 10-12-2010" xfId="3029"/>
    <cellStyle name="_KT (2)_2_TG-TH_Book1_GT21_ CONG TIEU Þ60" xfId="6274"/>
    <cellStyle name="_KT (2)_2_TG-TH_Book1_GT21_ CONG TIEU Þ60_STANDARD FILE" xfId="6275"/>
    <cellStyle name="_KT (2)_2_TG-TH_Book1_Luy ke von ung nam 2011 -Thoa gui ngay 12-8-2012" xfId="3030"/>
    <cellStyle name="_KT (2)_2_TG-TH_Book1_STANDARD FILE" xfId="6276"/>
    <cellStyle name="_KT (2)_2_TG-TH_Book1_THDT" xfId="6281"/>
    <cellStyle name="_KT (2)_2_TG-TH_Book1_THDT_STANDARD FILE" xfId="6282"/>
    <cellStyle name="_KT (2)_2_TG-TH_Book1_THDTGOI 21" xfId="6283"/>
    <cellStyle name="_KT (2)_2_TG-TH_Book1_THDTGOI 21_STANDARD FILE" xfId="6284"/>
    <cellStyle name="_KT (2)_2_TG-TH_Book1_THONG KE THEP" xfId="6285"/>
    <cellStyle name="_KT (2)_2_TG-TH_Book1_THONG KE THEP_STANDARD FILE" xfId="6286"/>
    <cellStyle name="_KT (2)_2_TG-TH_Book1_TKHC-THOIQUAN-05-04-2004" xfId="6277"/>
    <cellStyle name="_KT (2)_2_TG-TH_Book1_TKHC-THOIQUAN-05-04-2004_STANDARD FILE" xfId="6278"/>
    <cellStyle name="_KT (2)_2_TG-TH_Book1_TONG DU TOAN VINH LONG-PA1" xfId="6279"/>
    <cellStyle name="_KT (2)_2_TG-TH_Book1_TONG DU TOAN VINH LONG-PA1_STANDARD FILE" xfId="6280"/>
    <cellStyle name="_KT (2)_2_TG-TH_C CHIN TUYEN" xfId="6287"/>
    <cellStyle name="_KT (2)_2_TG-TH_C CHIN TUYEN_STANDARD FILE" xfId="6288"/>
    <cellStyle name="_KT (2)_2_TG-TH_CAU Khanh Nam(Thi Cong)" xfId="372"/>
    <cellStyle name="_KT (2)_2_TG-TH_ChiHuong_ApGia" xfId="3033"/>
    <cellStyle name="_KT (2)_2_TG-TH_CoCauPhi (version 1)" xfId="3031"/>
    <cellStyle name="_KT (2)_2_TG-TH_Copy of 05-12  KH trung han 2016-2020 - Liem Thinh edited (1)" xfId="3032"/>
    <cellStyle name="_KT (2)_2_TG-TH_Copy of CAU CHIN TUYEN" xfId="6289"/>
    <cellStyle name="_KT (2)_2_TG-TH_Copy of CAU CHIN TUYEN_STANDARD FILE" xfId="6290"/>
    <cellStyle name="_KT (2)_2_TG-TH_danh muc chuan bi dau tu 2011 ngay 07-6-2011" xfId="3034"/>
    <cellStyle name="_KT (2)_2_TG-TH_Danh muc pbo nguon von XSKT, XDCB nam 2009 chuyen qua nam 2010" xfId="3035"/>
    <cellStyle name="_KT (2)_2_TG-TH_DAU NOI PL-CL TAI PHU LAMHC" xfId="3036"/>
    <cellStyle name="_KT (2)_2_TG-TH_dieu chinh KH 2011 ngay 26-5-2011111" xfId="3037"/>
    <cellStyle name="_KT (2)_2_TG-TH_DS KCH PHAN BO VON NSDP NAM 2010" xfId="3038"/>
    <cellStyle name="_KT (2)_2_TG-TH_DT CCAU SO 2" xfId="6291"/>
    <cellStyle name="_KT (2)_2_TG-TH_DT CCAU SO 2_STANDARD FILE" xfId="6292"/>
    <cellStyle name="_KT (2)_2_TG-TH_DTCDT MR.2N110.HOCMON.TDTOAN.CCUNG" xfId="3039"/>
    <cellStyle name="_KT (2)_2_TG-TH_DU TOAN bo bao ba lang" xfId="6293"/>
    <cellStyle name="_KT (2)_2_TG-TH_DU TOAN bo bao ba lang_STANDARD FILE" xfId="6294"/>
    <cellStyle name="_KT (2)_2_TG-TH_Du toan Mau" xfId="6295"/>
    <cellStyle name="_KT (2)_2_TG-TH_Du toan Mau_STANDARD FILE" xfId="6296"/>
    <cellStyle name="_KT (2)_2_TG-TH_DU TRU VAT TU" xfId="373"/>
    <cellStyle name="_KT (2)_2_TG-TH_giao KH 2011 ngay 10-12-2010" xfId="3041"/>
    <cellStyle name="_KT (2)_2_TG-TH_GT21_ CONG TIEU Þ60" xfId="6297"/>
    <cellStyle name="_KT (2)_2_TG-TH_GT21_ CONG TIEU Þ60_STANDARD FILE" xfId="6298"/>
    <cellStyle name="_KT (2)_2_TG-TH_GTGT 2003" xfId="3040"/>
    <cellStyle name="_KT (2)_2_TG-TH_GVL4" xfId="6299"/>
    <cellStyle name="_KT (2)_2_TG-TH_GVL4_STANDARD FILE" xfId="6300"/>
    <cellStyle name="_KT (2)_2_TG-TH_GVLmoi" xfId="6301"/>
    <cellStyle name="_KT (2)_2_TG-TH_GVLmoi_STANDARD FILE" xfId="6302"/>
    <cellStyle name="_KT (2)_2_TG-TH_k2+700" xfId="6303"/>
    <cellStyle name="_KT (2)_2_TG-TH_k2+700_STANDARD FILE" xfId="6304"/>
    <cellStyle name="_KT (2)_2_TG-TH_KE KHAI THUE GTGT 2004" xfId="3042"/>
    <cellStyle name="_KT (2)_2_TG-TH_KE KHAI THUE GTGT 2004_BCTC2004" xfId="3043"/>
    <cellStyle name="_KT (2)_2_TG-TH_KE LUONG THUC" xfId="6305"/>
    <cellStyle name="_KT (2)_2_TG-TH_KE LUONG THUC_STANDARD FILE" xfId="6306"/>
    <cellStyle name="_KT (2)_2_TG-TH_KE LUONG THUC111" xfId="6307"/>
    <cellStyle name="_KT (2)_2_TG-TH_KE LUONG THUC111_STANDARD FILE" xfId="6308"/>
    <cellStyle name="_KT (2)_2_TG-TH_KH TPCP 2016-2020 (tong hop)" xfId="3045"/>
    <cellStyle name="_KT (2)_2_TG-TH_KH TPCP vung TNB (03-1-2012)" xfId="3046"/>
    <cellStyle name="_KT (2)_2_TG-TH_kien giang 2" xfId="3044"/>
    <cellStyle name="_KT (2)_2_TG-TH_Lora-tungchau" xfId="3047"/>
    <cellStyle name="_KT (2)_2_TG-TH_Luy ke von ung nam 2011 -Thoa gui ngay 12-8-2012" xfId="3048"/>
    <cellStyle name="_KT (2)_2_TG-TH_NhanCong" xfId="3050"/>
    <cellStyle name="_KT (2)_2_TG-TH_N-X-T-04" xfId="3049"/>
    <cellStyle name="_KT (2)_2_TG-TH_PGIA-phieu tham tra Kho bac" xfId="3051"/>
    <cellStyle name="_KT (2)_2_TG-TH_phu luc tong ket tinh hinh TH giai doan 03-10 (ngay 30)" xfId="3056"/>
    <cellStyle name="_KT (2)_2_TG-TH_PT02-02" xfId="3052"/>
    <cellStyle name="_KT (2)_2_TG-TH_PT02-02_Book1" xfId="3053"/>
    <cellStyle name="_KT (2)_2_TG-TH_PT02-03" xfId="3054"/>
    <cellStyle name="_KT (2)_2_TG-TH_PT02-03_Book1" xfId="3055"/>
    <cellStyle name="_KT (2)_2_TG-TH_Qt-HT3PQ1(CauKho)" xfId="3057"/>
    <cellStyle name="_KT (2)_2_TG-TH_Sheet1" xfId="3058"/>
    <cellStyle name="_KT (2)_2_TG-TH_STANDARD FILE" xfId="6309"/>
    <cellStyle name="_KT (2)_2_TG-TH_STKL KE BAC LIEU" xfId="6310"/>
    <cellStyle name="_KT (2)_2_TG-TH_STKL KE BAC LIEU_STANDARD FILE" xfId="6311"/>
    <cellStyle name="_KT (2)_2_TG-TH_THDT" xfId="6316"/>
    <cellStyle name="_KT (2)_2_TG-TH_THDT_1" xfId="6317"/>
    <cellStyle name="_KT (2)_2_TG-TH_THDT_1_STANDARD FILE" xfId="6318"/>
    <cellStyle name="_KT (2)_2_TG-TH_THDT_STANDARD FILE" xfId="6319"/>
    <cellStyle name="_KT (2)_2_TG-TH_THONG KE THEP" xfId="6320"/>
    <cellStyle name="_KT (2)_2_TG-TH_THONG KE THEP_STANDARD FILE" xfId="6321"/>
    <cellStyle name="_KT (2)_2_TG-TH_TK152-04" xfId="3059"/>
    <cellStyle name="_KT (2)_2_TG-TH_TKHC-THOIQUAN-05-04-2004" xfId="6312"/>
    <cellStyle name="_KT (2)_2_TG-TH_TKHC-THOIQUAN-05-04-2004_STANDARD FILE" xfId="6313"/>
    <cellStyle name="_KT (2)_2_TG-TH_TMDTPA1" xfId="6314"/>
    <cellStyle name="_KT (2)_2_TG-TH_TMDTPA1_STANDARD FILE" xfId="6315"/>
    <cellStyle name="_KT (2)_2_TG-TH_ÿÿÿÿÿ" xfId="374"/>
    <cellStyle name="_KT (2)_2_TG-TH_ÿÿÿÿÿ_Bieu mau cong trinh khoi cong moi 3-4" xfId="3060"/>
    <cellStyle name="_KT (2)_2_TG-TH_ÿÿÿÿÿ_Bieu3ODA" xfId="3061"/>
    <cellStyle name="_KT (2)_2_TG-TH_ÿÿÿÿÿ_Bieu4HTMT" xfId="3062"/>
    <cellStyle name="_KT (2)_2_TG-TH_ÿÿÿÿÿ_KH TPCP vung TNB (03-1-2012)" xfId="3064"/>
    <cellStyle name="_KT (2)_2_TG-TH_ÿÿÿÿÿ_kien giang 2" xfId="3063"/>
    <cellStyle name="_KT (2)_2_THDT" xfId="6324"/>
    <cellStyle name="_KT (2)_2_THDT_1" xfId="6325"/>
    <cellStyle name="_KT (2)_2_THDT_1_STANDARD FILE" xfId="6326"/>
    <cellStyle name="_KT (2)_2_THDT_STANDARD FILE" xfId="6327"/>
    <cellStyle name="_KT (2)_2_THONG KE THEP" xfId="6328"/>
    <cellStyle name="_KT (2)_2_THONG KE THEP_STANDARD FILE" xfId="6329"/>
    <cellStyle name="_KT (2)_2_TMDTPA1" xfId="6322"/>
    <cellStyle name="_KT (2)_2_TMDTPA1_STANDARD FILE" xfId="6323"/>
    <cellStyle name="_KT (2)_3" xfId="375"/>
    <cellStyle name="_KT (2)_3_STANDARD FILE" xfId="6330"/>
    <cellStyle name="_KT (2)_3_TG-TH" xfId="376"/>
    <cellStyle name="_KT (2)_3_TG-TH 2" xfId="3065"/>
    <cellStyle name="_KT (2)_3_TG-TH_05-12  KH trung han 2016-2020 - Liem Thinh edited" xfId="3066"/>
    <cellStyle name="_KT (2)_3_TG-TH_BC  NAM 2007" xfId="3067"/>
    <cellStyle name="_KT (2)_3_TG-TH_Bieu mau cong trinh khoi cong moi 3-4" xfId="3068"/>
    <cellStyle name="_KT (2)_3_TG-TH_Bieu3ODA" xfId="3069"/>
    <cellStyle name="_KT (2)_3_TG-TH_Bieu3ODA_1" xfId="3070"/>
    <cellStyle name="_KT (2)_3_TG-TH_Bieu4HTMT" xfId="3071"/>
    <cellStyle name="_KT (2)_3_TG-TH_bo sung von KCH nam 2010 va Du an tre kho khan" xfId="3072"/>
    <cellStyle name="_KT (2)_3_TG-TH_Book1" xfId="3073"/>
    <cellStyle name="_KT (2)_3_TG-TH_Book1 2" xfId="3074"/>
    <cellStyle name="_KT (2)_3_TG-TH_Book1_1" xfId="6331"/>
    <cellStyle name="_KT (2)_3_TG-TH_Book1_1_STANDARD FILE" xfId="6332"/>
    <cellStyle name="_KT (2)_3_TG-TH_Book1_BC-QT-WB-dthao" xfId="3075"/>
    <cellStyle name="_KT (2)_3_TG-TH_Book1_BC-QT-WB-dthao_05-12  KH trung han 2016-2020 - Liem Thinh edited" xfId="3076"/>
    <cellStyle name="_KT (2)_3_TG-TH_Book1_BC-QT-WB-dthao_Copy of 05-12  KH trung han 2016-2020 - Liem Thinh edited (1)" xfId="3077"/>
    <cellStyle name="_KT (2)_3_TG-TH_Book1_BC-QT-WB-dthao_KH TPCP 2016-2020 (tong hop)" xfId="3078"/>
    <cellStyle name="_KT (2)_3_TG-TH_Book1_KH TPCP vung TNB (03-1-2012)" xfId="3080"/>
    <cellStyle name="_KT (2)_3_TG-TH_Book1_kien giang 2" xfId="3079"/>
    <cellStyle name="_KT (2)_3_TG-TH_Book1_STANDARD FILE" xfId="6333"/>
    <cellStyle name="_KT (2)_3_TG-TH_Book1_TKHC-THOIQUAN-05-04-2004" xfId="6334"/>
    <cellStyle name="_KT (2)_3_TG-TH_Book1_TKHC-THOIQUAN-05-04-2004_STANDARD FILE" xfId="6335"/>
    <cellStyle name="_KT (2)_3_TG-TH_C CHIN TUYEN" xfId="6336"/>
    <cellStyle name="_KT (2)_3_TG-TH_C CHIN TUYEN_STANDARD FILE" xfId="6337"/>
    <cellStyle name="_KT (2)_3_TG-TH_Copy of 05-12  KH trung han 2016-2020 - Liem Thinh edited (1)" xfId="3081"/>
    <cellStyle name="_KT (2)_3_TG-TH_Copy of CAU CHIN TUYEN" xfId="6338"/>
    <cellStyle name="_KT (2)_3_TG-TH_Copy of CAU CHIN TUYEN_STANDARD FILE" xfId="6339"/>
    <cellStyle name="_KT (2)_3_TG-TH_danh muc chuan bi dau tu 2011 ngay 07-6-2011" xfId="3082"/>
    <cellStyle name="_KT (2)_3_TG-TH_Danh muc pbo nguon von XSKT, XDCB nam 2009 chuyen qua nam 2010" xfId="3083"/>
    <cellStyle name="_KT (2)_3_TG-TH_dieu chinh KH 2011 ngay 26-5-2011111" xfId="3084"/>
    <cellStyle name="_KT (2)_3_TG-TH_DS KCH PHAN BO VON NSDP NAM 2010" xfId="3085"/>
    <cellStyle name="_KT (2)_3_TG-TH_DT CCAU SO 2" xfId="6340"/>
    <cellStyle name="_KT (2)_3_TG-TH_DT CCAU SO 2_STANDARD FILE" xfId="6341"/>
    <cellStyle name="_KT (2)_3_TG-TH_DU TOAN bo bao ba lang" xfId="6342"/>
    <cellStyle name="_KT (2)_3_TG-TH_DU TOAN bo bao ba lang_STANDARD FILE" xfId="6343"/>
    <cellStyle name="_KT (2)_3_TG-TH_Du toan Mau" xfId="6344"/>
    <cellStyle name="_KT (2)_3_TG-TH_Du toan Mau_STANDARD FILE" xfId="6345"/>
    <cellStyle name="_KT (2)_3_TG-TH_giao KH 2011 ngay 10-12-2010" xfId="3087"/>
    <cellStyle name="_KT (2)_3_TG-TH_GT21_ CONG TIEU Þ60" xfId="6346"/>
    <cellStyle name="_KT (2)_3_TG-TH_GT21_ CONG TIEU Þ60_STANDARD FILE" xfId="6347"/>
    <cellStyle name="_KT (2)_3_TG-TH_GTGT 2003" xfId="3086"/>
    <cellStyle name="_KT (2)_3_TG-TH_GVL4" xfId="6348"/>
    <cellStyle name="_KT (2)_3_TG-TH_GVL4_STANDARD FILE" xfId="6349"/>
    <cellStyle name="_KT (2)_3_TG-TH_GVLmoi" xfId="6350"/>
    <cellStyle name="_KT (2)_3_TG-TH_GVLmoi_STANDARD FILE" xfId="6351"/>
    <cellStyle name="_KT (2)_3_TG-TH_k2+700" xfId="6352"/>
    <cellStyle name="_KT (2)_3_TG-TH_k2+700_STANDARD FILE" xfId="6353"/>
    <cellStyle name="_KT (2)_3_TG-TH_KE KHAI THUE GTGT 2004" xfId="3088"/>
    <cellStyle name="_KT (2)_3_TG-TH_KE KHAI THUE GTGT 2004_BCTC2004" xfId="3089"/>
    <cellStyle name="_KT (2)_3_TG-TH_KE LUONG THUC" xfId="6354"/>
    <cellStyle name="_KT (2)_3_TG-TH_KE LUONG THUC_STANDARD FILE" xfId="6355"/>
    <cellStyle name="_KT (2)_3_TG-TH_KE LUONG THUC111" xfId="6356"/>
    <cellStyle name="_KT (2)_3_TG-TH_KE LUONG THUC111_STANDARD FILE" xfId="6357"/>
    <cellStyle name="_KT (2)_3_TG-TH_KH TPCP 2016-2020 (tong hop)" xfId="3091"/>
    <cellStyle name="_KT (2)_3_TG-TH_KH TPCP vung TNB (03-1-2012)" xfId="3092"/>
    <cellStyle name="_KT (2)_3_TG-TH_kien giang 2" xfId="3090"/>
    <cellStyle name="_KT (2)_3_TG-TH_Lora-tungchau" xfId="3093"/>
    <cellStyle name="_KT (2)_3_TG-TH_Lora-tungchau 2" xfId="3094"/>
    <cellStyle name="_KT (2)_3_TG-TH_Lora-tungchau_05-12  KH trung han 2016-2020 - Liem Thinh edited" xfId="3095"/>
    <cellStyle name="_KT (2)_3_TG-TH_Lora-tungchau_Copy of 05-12  KH trung han 2016-2020 - Liem Thinh edited (1)" xfId="3096"/>
    <cellStyle name="_KT (2)_3_TG-TH_Lora-tungchau_KH TPCP 2016-2020 (tong hop)" xfId="3097"/>
    <cellStyle name="_KT (2)_3_TG-TH_N-X-T-04" xfId="3098"/>
    <cellStyle name="_KT (2)_3_TG-TH_PERSONAL" xfId="377"/>
    <cellStyle name="_KT (2)_3_TG-TH_PERSONAL_BC CV 6403 BKHĐT" xfId="3099"/>
    <cellStyle name="_KT (2)_3_TG-TH_PERSONAL_Bieu mau cong trinh khoi cong moi 3-4" xfId="3100"/>
    <cellStyle name="_KT (2)_3_TG-TH_PERSONAL_Bieu3ODA" xfId="3101"/>
    <cellStyle name="_KT (2)_3_TG-TH_PERSONAL_Bieu4HTMT" xfId="3102"/>
    <cellStyle name="_KT (2)_3_TG-TH_PERSONAL_Book1" xfId="378"/>
    <cellStyle name="_KT (2)_3_TG-TH_PERSONAL_Book1 2" xfId="3103"/>
    <cellStyle name="_KT (2)_3_TG-TH_PERSONAL_Book1_STANDARD FILE" xfId="6358"/>
    <cellStyle name="_KT (2)_3_TG-TH_PERSONAL_HTQ.8 GD1" xfId="3104"/>
    <cellStyle name="_KT (2)_3_TG-TH_PERSONAL_HTQ.8 GD1_05-12  KH trung han 2016-2020 - Liem Thinh edited" xfId="3105"/>
    <cellStyle name="_KT (2)_3_TG-TH_PERSONAL_HTQ.8 GD1_Copy of 05-12  KH trung han 2016-2020 - Liem Thinh edited (1)" xfId="3106"/>
    <cellStyle name="_KT (2)_3_TG-TH_PERSONAL_HTQ.8 GD1_KH TPCP 2016-2020 (tong hop)" xfId="3107"/>
    <cellStyle name="_KT (2)_3_TG-TH_PERSONAL_Luy ke von ung nam 2011 -Thoa gui ngay 12-8-2012" xfId="3108"/>
    <cellStyle name="_KT (2)_3_TG-TH_PERSONAL_STANDARD FILE" xfId="6359"/>
    <cellStyle name="_KT (2)_3_TG-TH_PERSONAL_Tong hop KHCB 2001" xfId="379"/>
    <cellStyle name="_KT (2)_3_TG-TH_PERSONAL_Tong hop KHCB 2001_STANDARD FILE" xfId="6360"/>
    <cellStyle name="_KT (2)_3_TG-TH_Qt-HT3PQ1(CauKho)" xfId="3109"/>
    <cellStyle name="_KT (2)_3_TG-TH_STANDARD FILE" xfId="6361"/>
    <cellStyle name="_KT (2)_3_TG-TH_STKL KE BAC LIEU" xfId="6362"/>
    <cellStyle name="_KT (2)_3_TG-TH_STKL KE BAC LIEU_STANDARD FILE" xfId="6363"/>
    <cellStyle name="_KT (2)_3_TG-TH_THDT" xfId="6368"/>
    <cellStyle name="_KT (2)_3_TG-TH_THDT_1" xfId="6369"/>
    <cellStyle name="_KT (2)_3_TG-TH_THDT_1_STANDARD FILE" xfId="6370"/>
    <cellStyle name="_KT (2)_3_TG-TH_THDT_STANDARD FILE" xfId="6371"/>
    <cellStyle name="_KT (2)_3_TG-TH_THONG KE THEP" xfId="6372"/>
    <cellStyle name="_KT (2)_3_TG-TH_THONG KE THEP_STANDARD FILE" xfId="6373"/>
    <cellStyle name="_KT (2)_3_TG-TH_TK152-04" xfId="3110"/>
    <cellStyle name="_KT (2)_3_TG-TH_TKHC-THOIQUAN-05-04-2004" xfId="6364"/>
    <cellStyle name="_KT (2)_3_TG-TH_TKHC-THOIQUAN-05-04-2004_STANDARD FILE" xfId="6365"/>
    <cellStyle name="_KT (2)_3_TG-TH_TMDTPA1" xfId="6366"/>
    <cellStyle name="_KT (2)_3_TG-TH_TMDTPA1_STANDARD FILE" xfId="6367"/>
    <cellStyle name="_KT (2)_3_TG-TH_ÿÿÿÿÿ" xfId="3111"/>
    <cellStyle name="_KT (2)_3_TG-TH_ÿÿÿÿÿ_KH TPCP vung TNB (03-1-2012)" xfId="3113"/>
    <cellStyle name="_KT (2)_3_TG-TH_ÿÿÿÿÿ_kien giang 2" xfId="3112"/>
    <cellStyle name="_KT (2)_4" xfId="380"/>
    <cellStyle name="_KT (2)_4 2" xfId="3114"/>
    <cellStyle name="_KT (2)_4_05-12  KH trung han 2016-2020 - Liem Thinh edited" xfId="3115"/>
    <cellStyle name="_KT (2)_4_ApGiaVatTu_cayxanh_latgach" xfId="3116"/>
    <cellStyle name="_KT (2)_4_BANG TONG HOP TINH HINH THANH QUYET TOAN (MOI I)" xfId="381"/>
    <cellStyle name="_KT (2)_4_BAO CAO KLCT PT2000" xfId="3117"/>
    <cellStyle name="_KT (2)_4_BAO CAO PT2000" xfId="3118"/>
    <cellStyle name="_KT (2)_4_BAO CAO PT2000_Book1" xfId="3119"/>
    <cellStyle name="_KT (2)_4_Bao cao XDCB 2001 - T11 KH dieu chinh 20-11-THAI" xfId="3120"/>
    <cellStyle name="_KT (2)_4_BAO GIA NGAY 24-10-08 (co dam)" xfId="382"/>
    <cellStyle name="_KT (2)_4_BC  NAM 2007" xfId="3121"/>
    <cellStyle name="_KT (2)_4_BC CV 6403 BKHĐT" xfId="3122"/>
    <cellStyle name="_KT (2)_4_BC NQ11-CP - chinh sua lai" xfId="3123"/>
    <cellStyle name="_KT (2)_4_BC NQ11-CP-Quynh sau bieu so3" xfId="3124"/>
    <cellStyle name="_KT (2)_4_BC_NQ11-CP_-_Thao_sua_lai" xfId="3125"/>
    <cellStyle name="_KT (2)_4_Bieu mau cong trinh khoi cong moi 3-4" xfId="3126"/>
    <cellStyle name="_KT (2)_4_Bieu3ODA" xfId="3127"/>
    <cellStyle name="_KT (2)_4_Bieu3ODA_1" xfId="3128"/>
    <cellStyle name="_KT (2)_4_Bieu4HTMT" xfId="3129"/>
    <cellStyle name="_KT (2)_4_bo sung von KCH nam 2010 va Du an tre kho khan" xfId="3130"/>
    <cellStyle name="_KT (2)_4_Book1" xfId="383"/>
    <cellStyle name="_KT (2)_4_Book1 2" xfId="3131"/>
    <cellStyle name="_KT (2)_4_Book1_1" xfId="384"/>
    <cellStyle name="_KT (2)_4_Book1_1 2" xfId="3132"/>
    <cellStyle name="_KT (2)_4_Book1_1_BC CV 6403 BKHĐT" xfId="3133"/>
    <cellStyle name="_KT (2)_4_Book1_1_Bieu mau cong trinh khoi cong moi 3-4" xfId="3134"/>
    <cellStyle name="_KT (2)_4_Book1_1_Bieu3ODA" xfId="3135"/>
    <cellStyle name="_KT (2)_4_Book1_1_Bieu4HTMT" xfId="3136"/>
    <cellStyle name="_KT (2)_4_Book1_1_Book1" xfId="3137"/>
    <cellStyle name="_KT (2)_4_Book1_1_Luy ke von ung nam 2011 -Thoa gui ngay 12-8-2012" xfId="3138"/>
    <cellStyle name="_KT (2)_4_Book1_1_STANDARD FILE" xfId="6374"/>
    <cellStyle name="_KT (2)_4_Book1_2" xfId="3139"/>
    <cellStyle name="_KT (2)_4_Book1_2 2" xfId="3140"/>
    <cellStyle name="_KT (2)_4_Book1_2_BC CV 6403 BKHĐT" xfId="3141"/>
    <cellStyle name="_KT (2)_4_Book1_2_Bieu3ODA" xfId="3142"/>
    <cellStyle name="_KT (2)_4_Book1_2_Luy ke von ung nam 2011 -Thoa gui ngay 12-8-2012" xfId="3143"/>
    <cellStyle name="_KT (2)_4_Book1_3" xfId="3144"/>
    <cellStyle name="_KT (2)_4_Book1_3 2" xfId="3145"/>
    <cellStyle name="_KT (2)_4_Book1_BC CV 6403 BKHĐT" xfId="3146"/>
    <cellStyle name="_KT (2)_4_Book1_Bieu mau cong trinh khoi cong moi 3-4" xfId="3147"/>
    <cellStyle name="_KT (2)_4_Book1_Bieu3ODA" xfId="3148"/>
    <cellStyle name="_KT (2)_4_Book1_Bieu4HTMT" xfId="3149"/>
    <cellStyle name="_KT (2)_4_Book1_bo sung von KCH nam 2010 va Du an tre kho khan" xfId="3150"/>
    <cellStyle name="_KT (2)_4_Book1_Book1" xfId="3151"/>
    <cellStyle name="_KT (2)_4_Book1_C CHIN TUYEN" xfId="6375"/>
    <cellStyle name="_KT (2)_4_Book1_C CHIN TUYEN_STANDARD FILE" xfId="6376"/>
    <cellStyle name="_KT (2)_4_Book1_Copy of CAU CHIN TUYEN" xfId="6377"/>
    <cellStyle name="_KT (2)_4_Book1_Copy of CAU CHIN TUYEN_STANDARD FILE" xfId="6378"/>
    <cellStyle name="_KT (2)_4_Book1_danh muc chuan bi dau tu 2011 ngay 07-6-2011" xfId="3152"/>
    <cellStyle name="_KT (2)_4_Book1_Danh muc pbo nguon von XSKT, XDCB nam 2009 chuyen qua nam 2010" xfId="3153"/>
    <cellStyle name="_KT (2)_4_Book1_dieu chinh KH 2011 ngay 26-5-2011111" xfId="3154"/>
    <cellStyle name="_KT (2)_4_Book1_DS KCH PHAN BO VON NSDP NAM 2010" xfId="3155"/>
    <cellStyle name="_KT (2)_4_Book1_DT CCAU SO 2" xfId="6379"/>
    <cellStyle name="_KT (2)_4_Book1_DT CCAU SO 2_STANDARD FILE" xfId="6380"/>
    <cellStyle name="_KT (2)_4_Book1_DU TOAN bo bao ba lang" xfId="6381"/>
    <cellStyle name="_KT (2)_4_Book1_DU TOAN bo bao ba lang_STANDARD FILE" xfId="6382"/>
    <cellStyle name="_KT (2)_4_Book1_Du toan Mau" xfId="6383"/>
    <cellStyle name="_KT (2)_4_Book1_Du toan Mau_STANDARD FILE" xfId="6384"/>
    <cellStyle name="_KT (2)_4_Book1_giao KH 2011 ngay 10-12-2010" xfId="3156"/>
    <cellStyle name="_KT (2)_4_Book1_GT21_ CONG TIEU Þ60" xfId="6385"/>
    <cellStyle name="_KT (2)_4_Book1_GT21_ CONG TIEU Þ60_STANDARD FILE" xfId="6386"/>
    <cellStyle name="_KT (2)_4_Book1_Luy ke von ung nam 2011 -Thoa gui ngay 12-8-2012" xfId="3157"/>
    <cellStyle name="_KT (2)_4_Book1_STANDARD FILE" xfId="6387"/>
    <cellStyle name="_KT (2)_4_Book1_THDT" xfId="6392"/>
    <cellStyle name="_KT (2)_4_Book1_THDT_STANDARD FILE" xfId="6393"/>
    <cellStyle name="_KT (2)_4_Book1_THDTGOI 21" xfId="6394"/>
    <cellStyle name="_KT (2)_4_Book1_THDTGOI 21_STANDARD FILE" xfId="6395"/>
    <cellStyle name="_KT (2)_4_Book1_THONG KE THEP" xfId="6396"/>
    <cellStyle name="_KT (2)_4_Book1_THONG KE THEP_STANDARD FILE" xfId="6397"/>
    <cellStyle name="_KT (2)_4_Book1_TKHC-THOIQUAN-05-04-2004" xfId="6388"/>
    <cellStyle name="_KT (2)_4_Book1_TKHC-THOIQUAN-05-04-2004_STANDARD FILE" xfId="6389"/>
    <cellStyle name="_KT (2)_4_Book1_TONG DU TOAN VINH LONG-PA1" xfId="6390"/>
    <cellStyle name="_KT (2)_4_Book1_TONG DU TOAN VINH LONG-PA1_STANDARD FILE" xfId="6391"/>
    <cellStyle name="_KT (2)_4_C CHIN TUYEN" xfId="6398"/>
    <cellStyle name="_KT (2)_4_C CHIN TUYEN_STANDARD FILE" xfId="6399"/>
    <cellStyle name="_KT (2)_4_CAU Khanh Nam(Thi Cong)" xfId="385"/>
    <cellStyle name="_KT (2)_4_ChiHuong_ApGia" xfId="3160"/>
    <cellStyle name="_KT (2)_4_CoCauPhi (version 1)" xfId="3158"/>
    <cellStyle name="_KT (2)_4_Copy of 05-12  KH trung han 2016-2020 - Liem Thinh edited (1)" xfId="3159"/>
    <cellStyle name="_KT (2)_4_Copy of CAU CHIN TUYEN" xfId="6400"/>
    <cellStyle name="_KT (2)_4_Copy of CAU CHIN TUYEN_STANDARD FILE" xfId="6401"/>
    <cellStyle name="_KT (2)_4_danh muc chuan bi dau tu 2011 ngay 07-6-2011" xfId="3161"/>
    <cellStyle name="_KT (2)_4_Danh muc pbo nguon von XSKT, XDCB nam 2009 chuyen qua nam 2010" xfId="3162"/>
    <cellStyle name="_KT (2)_4_DAU NOI PL-CL TAI PHU LAMHC" xfId="3163"/>
    <cellStyle name="_KT (2)_4_dieu chinh KH 2011 ngay 26-5-2011111" xfId="3164"/>
    <cellStyle name="_KT (2)_4_DS KCH PHAN BO VON NSDP NAM 2010" xfId="3165"/>
    <cellStyle name="_KT (2)_4_DT CCAU SO 2" xfId="6402"/>
    <cellStyle name="_KT (2)_4_DT CCAU SO 2_STANDARD FILE" xfId="6403"/>
    <cellStyle name="_KT (2)_4_DTCDT MR.2N110.HOCMON.TDTOAN.CCUNG" xfId="3166"/>
    <cellStyle name="_KT (2)_4_DU TOAN bo bao ba lang" xfId="6404"/>
    <cellStyle name="_KT (2)_4_DU TOAN bo bao ba lang_STANDARD FILE" xfId="6405"/>
    <cellStyle name="_KT (2)_4_Du toan Mau" xfId="6406"/>
    <cellStyle name="_KT (2)_4_Du toan Mau_STANDARD FILE" xfId="6407"/>
    <cellStyle name="_KT (2)_4_DU TRU VAT TU" xfId="386"/>
    <cellStyle name="_KT (2)_4_giao KH 2011 ngay 10-12-2010" xfId="3168"/>
    <cellStyle name="_KT (2)_4_GT21_ CONG TIEU Þ60" xfId="6408"/>
    <cellStyle name="_KT (2)_4_GT21_ CONG TIEU Þ60_STANDARD FILE" xfId="6409"/>
    <cellStyle name="_KT (2)_4_GTGT 2003" xfId="3167"/>
    <cellStyle name="_KT (2)_4_GVL4" xfId="6410"/>
    <cellStyle name="_KT (2)_4_GVL4_STANDARD FILE" xfId="6411"/>
    <cellStyle name="_KT (2)_4_GVLmoi" xfId="6412"/>
    <cellStyle name="_KT (2)_4_GVLmoi_STANDARD FILE" xfId="6413"/>
    <cellStyle name="_KT (2)_4_k2+700" xfId="6414"/>
    <cellStyle name="_KT (2)_4_k2+700_STANDARD FILE" xfId="6415"/>
    <cellStyle name="_KT (2)_4_KE KHAI THUE GTGT 2004" xfId="3169"/>
    <cellStyle name="_KT (2)_4_KE KHAI THUE GTGT 2004_BCTC2004" xfId="3170"/>
    <cellStyle name="_KT (2)_4_KE LUONG THUC" xfId="6416"/>
    <cellStyle name="_KT (2)_4_KE LUONG THUC_STANDARD FILE" xfId="6417"/>
    <cellStyle name="_KT (2)_4_KE LUONG THUC111" xfId="6418"/>
    <cellStyle name="_KT (2)_4_KE LUONG THUC111_STANDARD FILE" xfId="6419"/>
    <cellStyle name="_KT (2)_4_KH TPCP 2016-2020 (tong hop)" xfId="3172"/>
    <cellStyle name="_KT (2)_4_KH TPCP vung TNB (03-1-2012)" xfId="3173"/>
    <cellStyle name="_KT (2)_4_kien giang 2" xfId="3171"/>
    <cellStyle name="_KT (2)_4_Lora-tungchau" xfId="3174"/>
    <cellStyle name="_KT (2)_4_Luy ke von ung nam 2011 -Thoa gui ngay 12-8-2012" xfId="3175"/>
    <cellStyle name="_KT (2)_4_NhanCong" xfId="3177"/>
    <cellStyle name="_KT (2)_4_N-X-T-04" xfId="3176"/>
    <cellStyle name="_KT (2)_4_PGIA-phieu tham tra Kho bac" xfId="3178"/>
    <cellStyle name="_KT (2)_4_phu luc tong ket tinh hinh TH giai doan 03-10 (ngay 30)" xfId="3183"/>
    <cellStyle name="_KT (2)_4_PT02-02" xfId="3179"/>
    <cellStyle name="_KT (2)_4_PT02-02_Book1" xfId="3180"/>
    <cellStyle name="_KT (2)_4_PT02-03" xfId="3181"/>
    <cellStyle name="_KT (2)_4_PT02-03_Book1" xfId="3182"/>
    <cellStyle name="_KT (2)_4_Qt-HT3PQ1(CauKho)" xfId="3184"/>
    <cellStyle name="_KT (2)_4_Sheet1" xfId="3185"/>
    <cellStyle name="_KT (2)_4_STANDARD FILE" xfId="6420"/>
    <cellStyle name="_KT (2)_4_STKL KE BAC LIEU" xfId="6421"/>
    <cellStyle name="_KT (2)_4_STKL KE BAC LIEU_STANDARD FILE" xfId="6422"/>
    <cellStyle name="_KT (2)_4_TG-TH" xfId="387"/>
    <cellStyle name="_KT (2)_4_TG-TH_C CHIN TUYEN" xfId="6423"/>
    <cellStyle name="_KT (2)_4_TG-TH_C CHIN TUYEN_STANDARD FILE" xfId="6424"/>
    <cellStyle name="_KT (2)_4_TG-TH_Copy of CAU CHIN TUYEN" xfId="6425"/>
    <cellStyle name="_KT (2)_4_TG-TH_Copy of CAU CHIN TUYEN_STANDARD FILE" xfId="6426"/>
    <cellStyle name="_KT (2)_4_TG-TH_DT CCAU SO 2" xfId="6427"/>
    <cellStyle name="_KT (2)_4_TG-TH_DT CCAU SO 2_STANDARD FILE" xfId="6428"/>
    <cellStyle name="_KT (2)_4_TG-TH_DU TOAN bo bao ba lang" xfId="6429"/>
    <cellStyle name="_KT (2)_4_TG-TH_DU TOAN bo bao ba lang_STANDARD FILE" xfId="6430"/>
    <cellStyle name="_KT (2)_4_TG-TH_Du toan Mau" xfId="6431"/>
    <cellStyle name="_KT (2)_4_TG-TH_Du toan Mau_STANDARD FILE" xfId="6432"/>
    <cellStyle name="_KT (2)_4_TG-TH_GT21_ CONG TIEU Þ60" xfId="6433"/>
    <cellStyle name="_KT (2)_4_TG-TH_GT21_ CONG TIEU Þ60_STANDARD FILE" xfId="6434"/>
    <cellStyle name="_KT (2)_4_TG-TH_GVL4" xfId="6435"/>
    <cellStyle name="_KT (2)_4_TG-TH_GVL4_STANDARD FILE" xfId="6436"/>
    <cellStyle name="_KT (2)_4_TG-TH_GVLmoi" xfId="6437"/>
    <cellStyle name="_KT (2)_4_TG-TH_GVLmoi_STANDARD FILE" xfId="6438"/>
    <cellStyle name="_KT (2)_4_TG-TH_k2+700" xfId="6439"/>
    <cellStyle name="_KT (2)_4_TG-TH_k2+700_STANDARD FILE" xfId="6440"/>
    <cellStyle name="_KT (2)_4_TG-TH_KE LUONG THUC" xfId="6441"/>
    <cellStyle name="_KT (2)_4_TG-TH_KE LUONG THUC_STANDARD FILE" xfId="6442"/>
    <cellStyle name="_KT (2)_4_TG-TH_KE LUONG THUC111" xfId="6443"/>
    <cellStyle name="_KT (2)_4_TG-TH_KE LUONG THUC111_STANDARD FILE" xfId="6444"/>
    <cellStyle name="_KT (2)_4_TG-TH_STANDARD FILE" xfId="6445"/>
    <cellStyle name="_KT (2)_4_TG-TH_STKL KE BAC LIEU" xfId="6446"/>
    <cellStyle name="_KT (2)_4_TG-TH_STKL KE BAC LIEU_STANDARD FILE" xfId="6447"/>
    <cellStyle name="_KT (2)_4_TG-TH_THDT" xfId="6450"/>
    <cellStyle name="_KT (2)_4_TG-TH_THDT_1" xfId="6451"/>
    <cellStyle name="_KT (2)_4_TG-TH_THDT_1_STANDARD FILE" xfId="6452"/>
    <cellStyle name="_KT (2)_4_TG-TH_THDT_STANDARD FILE" xfId="6453"/>
    <cellStyle name="_KT (2)_4_TG-TH_THONG KE THEP" xfId="6454"/>
    <cellStyle name="_KT (2)_4_TG-TH_THONG KE THEP_STANDARD FILE" xfId="6455"/>
    <cellStyle name="_KT (2)_4_TG-TH_TMDTPA1" xfId="6448"/>
    <cellStyle name="_KT (2)_4_TG-TH_TMDTPA1_STANDARD FILE" xfId="6449"/>
    <cellStyle name="_KT (2)_4_THDT" xfId="6460"/>
    <cellStyle name="_KT (2)_4_THDT_1" xfId="6461"/>
    <cellStyle name="_KT (2)_4_THDT_1_STANDARD FILE" xfId="6462"/>
    <cellStyle name="_KT (2)_4_THDT_STANDARD FILE" xfId="6463"/>
    <cellStyle name="_KT (2)_4_THONG KE THEP" xfId="6464"/>
    <cellStyle name="_KT (2)_4_THONG KE THEP_STANDARD FILE" xfId="6465"/>
    <cellStyle name="_KT (2)_4_TK152-04" xfId="3186"/>
    <cellStyle name="_KT (2)_4_TKHC-THOIQUAN-05-04-2004" xfId="6456"/>
    <cellStyle name="_KT (2)_4_TKHC-THOIQUAN-05-04-2004_STANDARD FILE" xfId="6457"/>
    <cellStyle name="_KT (2)_4_TMDTPA1" xfId="6458"/>
    <cellStyle name="_KT (2)_4_TMDTPA1_STANDARD FILE" xfId="6459"/>
    <cellStyle name="_KT (2)_4_ÿÿÿÿÿ" xfId="388"/>
    <cellStyle name="_KT (2)_4_ÿÿÿÿÿ_Bieu mau cong trinh khoi cong moi 3-4" xfId="3187"/>
    <cellStyle name="_KT (2)_4_ÿÿÿÿÿ_Bieu3ODA" xfId="3188"/>
    <cellStyle name="_KT (2)_4_ÿÿÿÿÿ_Bieu4HTMT" xfId="3189"/>
    <cellStyle name="_KT (2)_4_ÿÿÿÿÿ_KH TPCP vung TNB (03-1-2012)" xfId="3191"/>
    <cellStyle name="_KT (2)_4_ÿÿÿÿÿ_kien giang 2" xfId="3190"/>
    <cellStyle name="_KT (2)_5" xfId="389"/>
    <cellStyle name="_KT (2)_5 2" xfId="3192"/>
    <cellStyle name="_KT (2)_5_05-12  KH trung han 2016-2020 - Liem Thinh edited" xfId="3193"/>
    <cellStyle name="_KT (2)_5_ApGiaVatTu_cayxanh_latgach" xfId="3194"/>
    <cellStyle name="_KT (2)_5_BANG TONG HOP TINH HINH THANH QUYET TOAN (MOI I)" xfId="390"/>
    <cellStyle name="_KT (2)_5_BAO CAO KLCT PT2000" xfId="3195"/>
    <cellStyle name="_KT (2)_5_BAO CAO PT2000" xfId="3196"/>
    <cellStyle name="_KT (2)_5_BAO CAO PT2000_Book1" xfId="3197"/>
    <cellStyle name="_KT (2)_5_Bao cao XDCB 2001 - T11 KH dieu chinh 20-11-THAI" xfId="3198"/>
    <cellStyle name="_KT (2)_5_BAO GIA NGAY 24-10-08 (co dam)" xfId="391"/>
    <cellStyle name="_KT (2)_5_BC  NAM 2007" xfId="3199"/>
    <cellStyle name="_KT (2)_5_BC CV 6403 BKHĐT" xfId="3200"/>
    <cellStyle name="_KT (2)_5_BC NQ11-CP - chinh sua lai" xfId="3201"/>
    <cellStyle name="_KT (2)_5_BC NQ11-CP-Quynh sau bieu so3" xfId="3202"/>
    <cellStyle name="_KT (2)_5_BC_NQ11-CP_-_Thao_sua_lai" xfId="3203"/>
    <cellStyle name="_KT (2)_5_Bieu mau cong trinh khoi cong moi 3-4" xfId="3204"/>
    <cellStyle name="_KT (2)_5_Bieu3ODA" xfId="3205"/>
    <cellStyle name="_KT (2)_5_Bieu3ODA_1" xfId="3206"/>
    <cellStyle name="_KT (2)_5_Bieu4HTMT" xfId="3207"/>
    <cellStyle name="_KT (2)_5_bo sung von KCH nam 2010 va Du an tre kho khan" xfId="3208"/>
    <cellStyle name="_KT (2)_5_Book1" xfId="392"/>
    <cellStyle name="_KT (2)_5_Book1 2" xfId="3209"/>
    <cellStyle name="_KT (2)_5_Book1_1" xfId="393"/>
    <cellStyle name="_KT (2)_5_Book1_1 2" xfId="3210"/>
    <cellStyle name="_KT (2)_5_Book1_1_BC CV 6403 BKHĐT" xfId="3211"/>
    <cellStyle name="_KT (2)_5_Book1_1_Bieu mau cong trinh khoi cong moi 3-4" xfId="3212"/>
    <cellStyle name="_KT (2)_5_Book1_1_Bieu3ODA" xfId="3213"/>
    <cellStyle name="_KT (2)_5_Book1_1_Bieu4HTMT" xfId="3214"/>
    <cellStyle name="_KT (2)_5_Book1_1_Book1" xfId="3215"/>
    <cellStyle name="_KT (2)_5_Book1_1_Luy ke von ung nam 2011 -Thoa gui ngay 12-8-2012" xfId="3216"/>
    <cellStyle name="_KT (2)_5_Book1_1_STANDARD FILE" xfId="6466"/>
    <cellStyle name="_KT (2)_5_Book1_2" xfId="3217"/>
    <cellStyle name="_KT (2)_5_Book1_2 2" xfId="3218"/>
    <cellStyle name="_KT (2)_5_Book1_2_BC CV 6403 BKHĐT" xfId="3219"/>
    <cellStyle name="_KT (2)_5_Book1_2_Bieu3ODA" xfId="3220"/>
    <cellStyle name="_KT (2)_5_Book1_2_Luy ke von ung nam 2011 -Thoa gui ngay 12-8-2012" xfId="3221"/>
    <cellStyle name="_KT (2)_5_Book1_3" xfId="3222"/>
    <cellStyle name="_KT (2)_5_Book1_BC CV 6403 BKHĐT" xfId="3223"/>
    <cellStyle name="_KT (2)_5_Book1_BC-QT-WB-dthao" xfId="3224"/>
    <cellStyle name="_KT (2)_5_Book1_Bieu mau cong trinh khoi cong moi 3-4" xfId="3225"/>
    <cellStyle name="_KT (2)_5_Book1_Bieu3ODA" xfId="3226"/>
    <cellStyle name="_KT (2)_5_Book1_Bieu4HTMT" xfId="3227"/>
    <cellStyle name="_KT (2)_5_Book1_bo sung von KCH nam 2010 va Du an tre kho khan" xfId="3228"/>
    <cellStyle name="_KT (2)_5_Book1_Book1" xfId="3229"/>
    <cellStyle name="_KT (2)_5_Book1_C CHIN TUYEN" xfId="6467"/>
    <cellStyle name="_KT (2)_5_Book1_C CHIN TUYEN_STANDARD FILE" xfId="6468"/>
    <cellStyle name="_KT (2)_5_Book1_Copy of CAU CHIN TUYEN" xfId="6469"/>
    <cellStyle name="_KT (2)_5_Book1_Copy of CAU CHIN TUYEN_STANDARD FILE" xfId="6470"/>
    <cellStyle name="_KT (2)_5_Book1_danh muc chuan bi dau tu 2011 ngay 07-6-2011" xfId="3230"/>
    <cellStyle name="_KT (2)_5_Book1_Danh muc pbo nguon von XSKT, XDCB nam 2009 chuyen qua nam 2010" xfId="3231"/>
    <cellStyle name="_KT (2)_5_Book1_dieu chinh KH 2011 ngay 26-5-2011111" xfId="3232"/>
    <cellStyle name="_KT (2)_5_Book1_DS KCH PHAN BO VON NSDP NAM 2010" xfId="3233"/>
    <cellStyle name="_KT (2)_5_Book1_DT CCAU SO 2" xfId="6471"/>
    <cellStyle name="_KT (2)_5_Book1_DT CCAU SO 2_STANDARD FILE" xfId="6472"/>
    <cellStyle name="_KT (2)_5_Book1_DU TOAN bo bao ba lang" xfId="6473"/>
    <cellStyle name="_KT (2)_5_Book1_DU TOAN bo bao ba lang_STANDARD FILE" xfId="6474"/>
    <cellStyle name="_KT (2)_5_Book1_Du toan Mau" xfId="6475"/>
    <cellStyle name="_KT (2)_5_Book1_Du toan Mau_STANDARD FILE" xfId="6476"/>
    <cellStyle name="_KT (2)_5_Book1_giao KH 2011 ngay 10-12-2010" xfId="3234"/>
    <cellStyle name="_KT (2)_5_Book1_GT21_ CONG TIEU Þ60" xfId="6477"/>
    <cellStyle name="_KT (2)_5_Book1_GT21_ CONG TIEU Þ60_STANDARD FILE" xfId="6478"/>
    <cellStyle name="_KT (2)_5_Book1_Luy ke von ung nam 2011 -Thoa gui ngay 12-8-2012" xfId="3235"/>
    <cellStyle name="_KT (2)_5_Book1_STANDARD FILE" xfId="6479"/>
    <cellStyle name="_KT (2)_5_Book1_THDT" xfId="6484"/>
    <cellStyle name="_KT (2)_5_Book1_THDT_STANDARD FILE" xfId="6485"/>
    <cellStyle name="_KT (2)_5_Book1_THDTGOI 21" xfId="6486"/>
    <cellStyle name="_KT (2)_5_Book1_THDTGOI 21_STANDARD FILE" xfId="6487"/>
    <cellStyle name="_KT (2)_5_Book1_THONG KE THEP" xfId="6488"/>
    <cellStyle name="_KT (2)_5_Book1_THONG KE THEP_STANDARD FILE" xfId="6489"/>
    <cellStyle name="_KT (2)_5_Book1_TKHC-THOIQUAN-05-04-2004" xfId="6480"/>
    <cellStyle name="_KT (2)_5_Book1_TKHC-THOIQUAN-05-04-2004_STANDARD FILE" xfId="6481"/>
    <cellStyle name="_KT (2)_5_Book1_TONG DU TOAN VINH LONG-PA1" xfId="6482"/>
    <cellStyle name="_KT (2)_5_Book1_TONG DU TOAN VINH LONG-PA1_STANDARD FILE" xfId="6483"/>
    <cellStyle name="_KT (2)_5_C CHIN TUYEN" xfId="6490"/>
    <cellStyle name="_KT (2)_5_C CHIN TUYEN_STANDARD FILE" xfId="6491"/>
    <cellStyle name="_KT (2)_5_CAU Khanh Nam(Thi Cong)" xfId="394"/>
    <cellStyle name="_KT (2)_5_ChiHuong_ApGia" xfId="3238"/>
    <cellStyle name="_KT (2)_5_CoCauPhi (version 1)" xfId="3236"/>
    <cellStyle name="_KT (2)_5_Copy of 05-12  KH trung han 2016-2020 - Liem Thinh edited (1)" xfId="3237"/>
    <cellStyle name="_KT (2)_5_Copy of CAU CHIN TUYEN" xfId="6492"/>
    <cellStyle name="_KT (2)_5_Copy of CAU CHIN TUYEN_STANDARD FILE" xfId="6493"/>
    <cellStyle name="_KT (2)_5_danh muc chuan bi dau tu 2011 ngay 07-6-2011" xfId="3239"/>
    <cellStyle name="_KT (2)_5_Danh muc pbo nguon von XSKT, XDCB nam 2009 chuyen qua nam 2010" xfId="3240"/>
    <cellStyle name="_KT (2)_5_DAU NOI PL-CL TAI PHU LAMHC" xfId="3241"/>
    <cellStyle name="_KT (2)_5_dieu chinh KH 2011 ngay 26-5-2011111" xfId="3242"/>
    <cellStyle name="_KT (2)_5_DS KCH PHAN BO VON NSDP NAM 2010" xfId="3243"/>
    <cellStyle name="_KT (2)_5_DT CCAU SO 2" xfId="6494"/>
    <cellStyle name="_KT (2)_5_DT CCAU SO 2_STANDARD FILE" xfId="6495"/>
    <cellStyle name="_KT (2)_5_DTCDT MR.2N110.HOCMON.TDTOAN.CCUNG" xfId="3244"/>
    <cellStyle name="_KT (2)_5_DU TOAN bo bao ba lang" xfId="6496"/>
    <cellStyle name="_KT (2)_5_DU TOAN bo bao ba lang_STANDARD FILE" xfId="6497"/>
    <cellStyle name="_KT (2)_5_Du toan Mau" xfId="6498"/>
    <cellStyle name="_KT (2)_5_Du toan Mau_STANDARD FILE" xfId="6499"/>
    <cellStyle name="_KT (2)_5_DU TRU VAT TU" xfId="395"/>
    <cellStyle name="_KT (2)_5_giao KH 2011 ngay 10-12-2010" xfId="3246"/>
    <cellStyle name="_KT (2)_5_GT21_ CONG TIEU Þ60" xfId="6500"/>
    <cellStyle name="_KT (2)_5_GT21_ CONG TIEU Þ60_STANDARD FILE" xfId="6501"/>
    <cellStyle name="_KT (2)_5_GTGT 2003" xfId="3245"/>
    <cellStyle name="_KT (2)_5_GVL4" xfId="6502"/>
    <cellStyle name="_KT (2)_5_GVL4_STANDARD FILE" xfId="6503"/>
    <cellStyle name="_KT (2)_5_GVLmoi" xfId="6504"/>
    <cellStyle name="_KT (2)_5_GVLmoi_STANDARD FILE" xfId="6505"/>
    <cellStyle name="_KT (2)_5_k2+700" xfId="6506"/>
    <cellStyle name="_KT (2)_5_k2+700_STANDARD FILE" xfId="6507"/>
    <cellStyle name="_KT (2)_5_KE KHAI THUE GTGT 2004" xfId="3247"/>
    <cellStyle name="_KT (2)_5_KE KHAI THUE GTGT 2004_BCTC2004" xfId="3248"/>
    <cellStyle name="_KT (2)_5_KE LUONG THUC" xfId="6508"/>
    <cellStyle name="_KT (2)_5_KE LUONG THUC_STANDARD FILE" xfId="6509"/>
    <cellStyle name="_KT (2)_5_KE LUONG THUC111" xfId="6510"/>
    <cellStyle name="_KT (2)_5_KE LUONG THUC111_STANDARD FILE" xfId="6511"/>
    <cellStyle name="_KT (2)_5_KH TPCP 2016-2020 (tong hop)" xfId="3250"/>
    <cellStyle name="_KT (2)_5_KH TPCP vung TNB (03-1-2012)" xfId="3251"/>
    <cellStyle name="_KT (2)_5_kien giang 2" xfId="3249"/>
    <cellStyle name="_KT (2)_5_Lora-tungchau" xfId="3252"/>
    <cellStyle name="_KT (2)_5_Luy ke von ung nam 2011 -Thoa gui ngay 12-8-2012" xfId="3253"/>
    <cellStyle name="_KT (2)_5_NhanCong" xfId="3255"/>
    <cellStyle name="_KT (2)_5_N-X-T-04" xfId="3254"/>
    <cellStyle name="_KT (2)_5_PGIA-phieu tham tra Kho bac" xfId="3256"/>
    <cellStyle name="_KT (2)_5_phu luc tong ket tinh hinh TH giai doan 03-10 (ngay 30)" xfId="3261"/>
    <cellStyle name="_KT (2)_5_PT02-02" xfId="3257"/>
    <cellStyle name="_KT (2)_5_PT02-02_Book1" xfId="3258"/>
    <cellStyle name="_KT (2)_5_PT02-03" xfId="3259"/>
    <cellStyle name="_KT (2)_5_PT02-03_Book1" xfId="3260"/>
    <cellStyle name="_KT (2)_5_Qt-HT3PQ1(CauKho)" xfId="3262"/>
    <cellStyle name="_KT (2)_5_Sheet1" xfId="3263"/>
    <cellStyle name="_KT (2)_5_STANDARD FILE" xfId="6512"/>
    <cellStyle name="_KT (2)_5_STKL KE BAC LIEU" xfId="6513"/>
    <cellStyle name="_KT (2)_5_STKL KE BAC LIEU_STANDARD FILE" xfId="6514"/>
    <cellStyle name="_KT (2)_5_THDT" xfId="6519"/>
    <cellStyle name="_KT (2)_5_THDT_1" xfId="6520"/>
    <cellStyle name="_KT (2)_5_THDT_1_STANDARD FILE" xfId="6521"/>
    <cellStyle name="_KT (2)_5_THDT_STANDARD FILE" xfId="6522"/>
    <cellStyle name="_KT (2)_5_THONG KE THEP" xfId="6523"/>
    <cellStyle name="_KT (2)_5_THONG KE THEP_STANDARD FILE" xfId="6524"/>
    <cellStyle name="_KT (2)_5_TK152-04" xfId="3264"/>
    <cellStyle name="_KT (2)_5_TKHC-THOIQUAN-05-04-2004" xfId="6515"/>
    <cellStyle name="_KT (2)_5_TKHC-THOIQUAN-05-04-2004_STANDARD FILE" xfId="6516"/>
    <cellStyle name="_KT (2)_5_TMDTPA1" xfId="6517"/>
    <cellStyle name="_KT (2)_5_TMDTPA1_STANDARD FILE" xfId="6518"/>
    <cellStyle name="_KT (2)_5_ÿÿÿÿÿ" xfId="396"/>
    <cellStyle name="_KT (2)_5_ÿÿÿÿÿ_Bieu mau cong trinh khoi cong moi 3-4" xfId="3265"/>
    <cellStyle name="_KT (2)_5_ÿÿÿÿÿ_Bieu3ODA" xfId="3266"/>
    <cellStyle name="_KT (2)_5_ÿÿÿÿÿ_Bieu4HTMT" xfId="3267"/>
    <cellStyle name="_KT (2)_5_ÿÿÿÿÿ_KH TPCP vung TNB (03-1-2012)" xfId="3269"/>
    <cellStyle name="_KT (2)_5_ÿÿÿÿÿ_kien giang 2" xfId="3268"/>
    <cellStyle name="_KT (2)_BC  NAM 2007" xfId="3270"/>
    <cellStyle name="_KT (2)_Bieu mau cong trinh khoi cong moi 3-4" xfId="3271"/>
    <cellStyle name="_KT (2)_Bieu3ODA" xfId="3272"/>
    <cellStyle name="_KT (2)_Bieu3ODA_1" xfId="3273"/>
    <cellStyle name="_KT (2)_Bieu4HTMT" xfId="3274"/>
    <cellStyle name="_KT (2)_bo sung von KCH nam 2010 va Du an tre kho khan" xfId="3275"/>
    <cellStyle name="_KT (2)_Book1" xfId="3276"/>
    <cellStyle name="_KT (2)_Book1 2" xfId="3277"/>
    <cellStyle name="_KT (2)_Book1_1" xfId="6525"/>
    <cellStyle name="_KT (2)_Book1_1_STANDARD FILE" xfId="6526"/>
    <cellStyle name="_KT (2)_Book1_BC-QT-WB-dthao" xfId="3278"/>
    <cellStyle name="_KT (2)_Book1_BC-QT-WB-dthao_05-12  KH trung han 2016-2020 - Liem Thinh edited" xfId="3279"/>
    <cellStyle name="_KT (2)_Book1_BC-QT-WB-dthao_Copy of 05-12  KH trung han 2016-2020 - Liem Thinh edited (1)" xfId="3280"/>
    <cellStyle name="_KT (2)_Book1_BC-QT-WB-dthao_KH TPCP 2016-2020 (tong hop)" xfId="3281"/>
    <cellStyle name="_KT (2)_Book1_KH TPCP vung TNB (03-1-2012)" xfId="3283"/>
    <cellStyle name="_KT (2)_Book1_kien giang 2" xfId="3282"/>
    <cellStyle name="_KT (2)_Book1_STANDARD FILE" xfId="6527"/>
    <cellStyle name="_KT (2)_Book1_TKHC-THOIQUAN-05-04-2004" xfId="6528"/>
    <cellStyle name="_KT (2)_Book1_TKHC-THOIQUAN-05-04-2004_STANDARD FILE" xfId="6529"/>
    <cellStyle name="_KT (2)_C CHIN TUYEN" xfId="6530"/>
    <cellStyle name="_KT (2)_C CHIN TUYEN_STANDARD FILE" xfId="6531"/>
    <cellStyle name="_KT (2)_Copy of 05-12  KH trung han 2016-2020 - Liem Thinh edited (1)" xfId="3284"/>
    <cellStyle name="_KT (2)_Copy of CAU CHIN TUYEN" xfId="6532"/>
    <cellStyle name="_KT (2)_Copy of CAU CHIN TUYEN_STANDARD FILE" xfId="6533"/>
    <cellStyle name="_KT (2)_danh muc chuan bi dau tu 2011 ngay 07-6-2011" xfId="3285"/>
    <cellStyle name="_KT (2)_Danh muc pbo nguon von XSKT, XDCB nam 2009 chuyen qua nam 2010" xfId="3286"/>
    <cellStyle name="_KT (2)_dieu chinh KH 2011 ngay 26-5-2011111" xfId="3287"/>
    <cellStyle name="_KT (2)_DS KCH PHAN BO VON NSDP NAM 2010" xfId="3288"/>
    <cellStyle name="_KT (2)_DT CCAU SO 2" xfId="6534"/>
    <cellStyle name="_KT (2)_DT CCAU SO 2_STANDARD FILE" xfId="6535"/>
    <cellStyle name="_KT (2)_DU TOAN bo bao ba lang" xfId="6536"/>
    <cellStyle name="_KT (2)_DU TOAN bo bao ba lang_STANDARD FILE" xfId="6537"/>
    <cellStyle name="_KT (2)_Du toan Mau" xfId="6538"/>
    <cellStyle name="_KT (2)_Du toan Mau_STANDARD FILE" xfId="6539"/>
    <cellStyle name="_KT (2)_giao KH 2011 ngay 10-12-2010" xfId="3290"/>
    <cellStyle name="_KT (2)_GT21_ CONG TIEU Þ60" xfId="6540"/>
    <cellStyle name="_KT (2)_GT21_ CONG TIEU Þ60_STANDARD FILE" xfId="6541"/>
    <cellStyle name="_KT (2)_GTGT 2003" xfId="3289"/>
    <cellStyle name="_KT (2)_GVL4" xfId="6542"/>
    <cellStyle name="_KT (2)_GVL4_STANDARD FILE" xfId="6543"/>
    <cellStyle name="_KT (2)_GVLmoi" xfId="6544"/>
    <cellStyle name="_KT (2)_GVLmoi_STANDARD FILE" xfId="6545"/>
    <cellStyle name="_KT (2)_k2+700" xfId="6546"/>
    <cellStyle name="_KT (2)_k2+700_STANDARD FILE" xfId="6547"/>
    <cellStyle name="_KT (2)_KE KHAI THUE GTGT 2004" xfId="3291"/>
    <cellStyle name="_KT (2)_KE KHAI THUE GTGT 2004_BCTC2004" xfId="3292"/>
    <cellStyle name="_KT (2)_KE LUONG THUC" xfId="6548"/>
    <cellStyle name="_KT (2)_KE LUONG THUC_STANDARD FILE" xfId="6549"/>
    <cellStyle name="_KT (2)_KE LUONG THUC111" xfId="6550"/>
    <cellStyle name="_KT (2)_KE LUONG THUC111_STANDARD FILE" xfId="6551"/>
    <cellStyle name="_KT (2)_KH TPCP 2016-2020 (tong hop)" xfId="3294"/>
    <cellStyle name="_KT (2)_KH TPCP vung TNB (03-1-2012)" xfId="3295"/>
    <cellStyle name="_KT (2)_kien giang 2" xfId="3293"/>
    <cellStyle name="_KT (2)_Lora-tungchau" xfId="3296"/>
    <cellStyle name="_KT (2)_Lora-tungchau 2" xfId="3297"/>
    <cellStyle name="_KT (2)_Lora-tungchau_05-12  KH trung han 2016-2020 - Liem Thinh edited" xfId="3298"/>
    <cellStyle name="_KT (2)_Lora-tungchau_Copy of 05-12  KH trung han 2016-2020 - Liem Thinh edited (1)" xfId="3299"/>
    <cellStyle name="_KT (2)_Lora-tungchau_KH TPCP 2016-2020 (tong hop)" xfId="3300"/>
    <cellStyle name="_KT (2)_N-X-T-04" xfId="3301"/>
    <cellStyle name="_KT (2)_PERSONAL" xfId="397"/>
    <cellStyle name="_KT (2)_PERSONAL_BC CV 6403 BKHĐT" xfId="3302"/>
    <cellStyle name="_KT (2)_PERSONAL_Bieu mau cong trinh khoi cong moi 3-4" xfId="3303"/>
    <cellStyle name="_KT (2)_PERSONAL_Bieu3ODA" xfId="3304"/>
    <cellStyle name="_KT (2)_PERSONAL_Bieu4HTMT" xfId="3305"/>
    <cellStyle name="_KT (2)_PERSONAL_Book1" xfId="398"/>
    <cellStyle name="_KT (2)_PERSONAL_Book1 2" xfId="3306"/>
    <cellStyle name="_KT (2)_PERSONAL_Book1_STANDARD FILE" xfId="6552"/>
    <cellStyle name="_KT (2)_PERSONAL_HTQ.8 GD1" xfId="3307"/>
    <cellStyle name="_KT (2)_PERSONAL_HTQ.8 GD1_05-12  KH trung han 2016-2020 - Liem Thinh edited" xfId="3308"/>
    <cellStyle name="_KT (2)_PERSONAL_HTQ.8 GD1_Copy of 05-12  KH trung han 2016-2020 - Liem Thinh edited (1)" xfId="3309"/>
    <cellStyle name="_KT (2)_PERSONAL_HTQ.8 GD1_KH TPCP 2016-2020 (tong hop)" xfId="3310"/>
    <cellStyle name="_KT (2)_PERSONAL_Luy ke von ung nam 2011 -Thoa gui ngay 12-8-2012" xfId="3311"/>
    <cellStyle name="_KT (2)_PERSONAL_STANDARD FILE" xfId="6553"/>
    <cellStyle name="_KT (2)_PERSONAL_Tong hop KHCB 2001" xfId="399"/>
    <cellStyle name="_KT (2)_PERSONAL_Tong hop KHCB 2001_STANDARD FILE" xfId="6554"/>
    <cellStyle name="_KT (2)_Qt-HT3PQ1(CauKho)" xfId="3312"/>
    <cellStyle name="_KT (2)_STANDARD FILE" xfId="6555"/>
    <cellStyle name="_KT (2)_STKL KE BAC LIEU" xfId="6556"/>
    <cellStyle name="_KT (2)_STKL KE BAC LIEU_STANDARD FILE" xfId="6557"/>
    <cellStyle name="_KT (2)_TG-TH" xfId="400"/>
    <cellStyle name="_KT (2)_TG-TH_STANDARD FILE" xfId="6558"/>
    <cellStyle name="_KT (2)_THDT" xfId="6563"/>
    <cellStyle name="_KT (2)_THDT_1" xfId="6564"/>
    <cellStyle name="_KT (2)_THDT_1_STANDARD FILE" xfId="6565"/>
    <cellStyle name="_KT (2)_THDT_STANDARD FILE" xfId="6566"/>
    <cellStyle name="_KT (2)_THONG KE THEP" xfId="6567"/>
    <cellStyle name="_KT (2)_THONG KE THEP_STANDARD FILE" xfId="6568"/>
    <cellStyle name="_KT (2)_TK152-04" xfId="3313"/>
    <cellStyle name="_KT (2)_TKHC-THOIQUAN-05-04-2004" xfId="6559"/>
    <cellStyle name="_KT (2)_TKHC-THOIQUAN-05-04-2004_STANDARD FILE" xfId="6560"/>
    <cellStyle name="_KT (2)_TMDTPA1" xfId="6561"/>
    <cellStyle name="_KT (2)_TMDTPA1_STANDARD FILE" xfId="6562"/>
    <cellStyle name="_KT (2)_ÿÿÿÿÿ" xfId="3314"/>
    <cellStyle name="_KT (2)_ÿÿÿÿÿ_KH TPCP vung TNB (03-1-2012)" xfId="3316"/>
    <cellStyle name="_KT (2)_ÿÿÿÿÿ_kien giang 2" xfId="3315"/>
    <cellStyle name="_KT_TG" xfId="401"/>
    <cellStyle name="_KT_TG_1" xfId="402"/>
    <cellStyle name="_KT_TG_1 2" xfId="3317"/>
    <cellStyle name="_KT_TG_1_05-12  KH trung han 2016-2020 - Liem Thinh edited" xfId="3318"/>
    <cellStyle name="_KT_TG_1_ApGiaVatTu_cayxanh_latgach" xfId="3319"/>
    <cellStyle name="_KT_TG_1_BANG TONG HOP TINH HINH THANH QUYET TOAN (MOI I)" xfId="403"/>
    <cellStyle name="_KT_TG_1_BAO CAO KLCT PT2000" xfId="3320"/>
    <cellStyle name="_KT_TG_1_BAO CAO PT2000" xfId="3321"/>
    <cellStyle name="_KT_TG_1_BAO CAO PT2000_Book1" xfId="3322"/>
    <cellStyle name="_KT_TG_1_Bao cao XDCB 2001 - T11 KH dieu chinh 20-11-THAI" xfId="3323"/>
    <cellStyle name="_KT_TG_1_BAO GIA NGAY 24-10-08 (co dam)" xfId="404"/>
    <cellStyle name="_KT_TG_1_BC  NAM 2007" xfId="3324"/>
    <cellStyle name="_KT_TG_1_BC CV 6403 BKHĐT" xfId="3325"/>
    <cellStyle name="_KT_TG_1_BC NQ11-CP - chinh sua lai" xfId="3326"/>
    <cellStyle name="_KT_TG_1_BC NQ11-CP-Quynh sau bieu so3" xfId="3327"/>
    <cellStyle name="_KT_TG_1_BC_NQ11-CP_-_Thao_sua_lai" xfId="3328"/>
    <cellStyle name="_KT_TG_1_Bieu mau cong trinh khoi cong moi 3-4" xfId="3329"/>
    <cellStyle name="_KT_TG_1_Bieu3ODA" xfId="3330"/>
    <cellStyle name="_KT_TG_1_Bieu3ODA_1" xfId="3331"/>
    <cellStyle name="_KT_TG_1_Bieu4HTMT" xfId="3332"/>
    <cellStyle name="_KT_TG_1_bo sung von KCH nam 2010 va Du an tre kho khan" xfId="3333"/>
    <cellStyle name="_KT_TG_1_Book1" xfId="405"/>
    <cellStyle name="_KT_TG_1_Book1 2" xfId="3334"/>
    <cellStyle name="_KT_TG_1_Book1_1" xfId="406"/>
    <cellStyle name="_KT_TG_1_Book1_1 2" xfId="3335"/>
    <cellStyle name="_KT_TG_1_Book1_1_BC CV 6403 BKHĐT" xfId="3336"/>
    <cellStyle name="_KT_TG_1_Book1_1_Bieu mau cong trinh khoi cong moi 3-4" xfId="3337"/>
    <cellStyle name="_KT_TG_1_Book1_1_Bieu3ODA" xfId="3338"/>
    <cellStyle name="_KT_TG_1_Book1_1_Bieu4HTMT" xfId="3339"/>
    <cellStyle name="_KT_TG_1_Book1_1_Book1" xfId="3340"/>
    <cellStyle name="_KT_TG_1_Book1_1_Luy ke von ung nam 2011 -Thoa gui ngay 12-8-2012" xfId="3341"/>
    <cellStyle name="_KT_TG_1_Book1_1_STANDARD FILE" xfId="6569"/>
    <cellStyle name="_KT_TG_1_Book1_2" xfId="3342"/>
    <cellStyle name="_KT_TG_1_Book1_2 2" xfId="3343"/>
    <cellStyle name="_KT_TG_1_Book1_2_BC CV 6403 BKHĐT" xfId="3344"/>
    <cellStyle name="_KT_TG_1_Book1_2_Bieu3ODA" xfId="3345"/>
    <cellStyle name="_KT_TG_1_Book1_2_Luy ke von ung nam 2011 -Thoa gui ngay 12-8-2012" xfId="3346"/>
    <cellStyle name="_KT_TG_1_Book1_3" xfId="3347"/>
    <cellStyle name="_KT_TG_1_Book1_BC CV 6403 BKHĐT" xfId="3348"/>
    <cellStyle name="_KT_TG_1_Book1_BC-QT-WB-dthao" xfId="3349"/>
    <cellStyle name="_KT_TG_1_Book1_Bieu mau cong trinh khoi cong moi 3-4" xfId="3350"/>
    <cellStyle name="_KT_TG_1_Book1_Bieu3ODA" xfId="3351"/>
    <cellStyle name="_KT_TG_1_Book1_Bieu4HTMT" xfId="3352"/>
    <cellStyle name="_KT_TG_1_Book1_bo sung von KCH nam 2010 va Du an tre kho khan" xfId="3353"/>
    <cellStyle name="_KT_TG_1_Book1_Book1" xfId="3354"/>
    <cellStyle name="_KT_TG_1_Book1_C CHIN TUYEN" xfId="6570"/>
    <cellStyle name="_KT_TG_1_Book1_C CHIN TUYEN_STANDARD FILE" xfId="6571"/>
    <cellStyle name="_KT_TG_1_Book1_Copy of CAU CHIN TUYEN" xfId="6572"/>
    <cellStyle name="_KT_TG_1_Book1_Copy of CAU CHIN TUYEN_STANDARD FILE" xfId="6573"/>
    <cellStyle name="_KT_TG_1_Book1_danh muc chuan bi dau tu 2011 ngay 07-6-2011" xfId="3355"/>
    <cellStyle name="_KT_TG_1_Book1_Danh muc pbo nguon von XSKT, XDCB nam 2009 chuyen qua nam 2010" xfId="3356"/>
    <cellStyle name="_KT_TG_1_Book1_dieu chinh KH 2011 ngay 26-5-2011111" xfId="3357"/>
    <cellStyle name="_KT_TG_1_Book1_DS KCH PHAN BO VON NSDP NAM 2010" xfId="3358"/>
    <cellStyle name="_KT_TG_1_Book1_DT CCAU SO 2" xfId="6574"/>
    <cellStyle name="_KT_TG_1_Book1_DT CCAU SO 2_STANDARD FILE" xfId="6575"/>
    <cellStyle name="_KT_TG_1_Book1_DU TOAN bo bao ba lang" xfId="6576"/>
    <cellStyle name="_KT_TG_1_Book1_DU TOAN bo bao ba lang_STANDARD FILE" xfId="6577"/>
    <cellStyle name="_KT_TG_1_Book1_Du toan Mau" xfId="6578"/>
    <cellStyle name="_KT_TG_1_Book1_Du toan Mau_STANDARD FILE" xfId="6579"/>
    <cellStyle name="_KT_TG_1_Book1_giao KH 2011 ngay 10-12-2010" xfId="3359"/>
    <cellStyle name="_KT_TG_1_Book1_GT21_ CONG TIEU Þ60" xfId="6580"/>
    <cellStyle name="_KT_TG_1_Book1_GT21_ CONG TIEU Þ60_STANDARD FILE" xfId="6581"/>
    <cellStyle name="_KT_TG_1_Book1_Luy ke von ung nam 2011 -Thoa gui ngay 12-8-2012" xfId="3360"/>
    <cellStyle name="_KT_TG_1_Book1_STANDARD FILE" xfId="6582"/>
    <cellStyle name="_KT_TG_1_Book1_THDT" xfId="6587"/>
    <cellStyle name="_KT_TG_1_Book1_THDT_STANDARD FILE" xfId="6588"/>
    <cellStyle name="_KT_TG_1_Book1_THDTGOI 21" xfId="6589"/>
    <cellStyle name="_KT_TG_1_Book1_THDTGOI 21_STANDARD FILE" xfId="6590"/>
    <cellStyle name="_KT_TG_1_Book1_THONG KE THEP" xfId="6591"/>
    <cellStyle name="_KT_TG_1_Book1_THONG KE THEP_STANDARD FILE" xfId="6592"/>
    <cellStyle name="_KT_TG_1_Book1_TKHC-THOIQUAN-05-04-2004" xfId="6583"/>
    <cellStyle name="_KT_TG_1_Book1_TKHC-THOIQUAN-05-04-2004_STANDARD FILE" xfId="6584"/>
    <cellStyle name="_KT_TG_1_Book1_TONG DU TOAN VINH LONG-PA1" xfId="6585"/>
    <cellStyle name="_KT_TG_1_Book1_TONG DU TOAN VINH LONG-PA1_STANDARD FILE" xfId="6586"/>
    <cellStyle name="_KT_TG_1_C CHIN TUYEN" xfId="6593"/>
    <cellStyle name="_KT_TG_1_C CHIN TUYEN_STANDARD FILE" xfId="6594"/>
    <cellStyle name="_KT_TG_1_CAU Khanh Nam(Thi Cong)" xfId="407"/>
    <cellStyle name="_KT_TG_1_ChiHuong_ApGia" xfId="3363"/>
    <cellStyle name="_KT_TG_1_CoCauPhi (version 1)" xfId="3361"/>
    <cellStyle name="_KT_TG_1_Copy of 05-12  KH trung han 2016-2020 - Liem Thinh edited (1)" xfId="3362"/>
    <cellStyle name="_KT_TG_1_Copy of CAU CHIN TUYEN" xfId="6595"/>
    <cellStyle name="_KT_TG_1_Copy of CAU CHIN TUYEN_STANDARD FILE" xfId="6596"/>
    <cellStyle name="_KT_TG_1_danh muc chuan bi dau tu 2011 ngay 07-6-2011" xfId="3364"/>
    <cellStyle name="_KT_TG_1_Danh muc pbo nguon von XSKT, XDCB nam 2009 chuyen qua nam 2010" xfId="3365"/>
    <cellStyle name="_KT_TG_1_DAU NOI PL-CL TAI PHU LAMHC" xfId="3366"/>
    <cellStyle name="_KT_TG_1_dieu chinh KH 2011 ngay 26-5-2011111" xfId="3367"/>
    <cellStyle name="_KT_TG_1_DS KCH PHAN BO VON NSDP NAM 2010" xfId="3368"/>
    <cellStyle name="_KT_TG_1_DT CCAU SO 2" xfId="6597"/>
    <cellStyle name="_KT_TG_1_DT CCAU SO 2_STANDARD FILE" xfId="6598"/>
    <cellStyle name="_KT_TG_1_DTCDT MR.2N110.HOCMON.TDTOAN.CCUNG" xfId="3369"/>
    <cellStyle name="_KT_TG_1_DU TOAN bo bao ba lang" xfId="6599"/>
    <cellStyle name="_KT_TG_1_DU TOAN bo bao ba lang_STANDARD FILE" xfId="6600"/>
    <cellStyle name="_KT_TG_1_Du toan Mau" xfId="6601"/>
    <cellStyle name="_KT_TG_1_Du toan Mau_STANDARD FILE" xfId="6602"/>
    <cellStyle name="_KT_TG_1_DU TRU VAT TU" xfId="408"/>
    <cellStyle name="_KT_TG_1_giao KH 2011 ngay 10-12-2010" xfId="3371"/>
    <cellStyle name="_KT_TG_1_GT21_ CONG TIEU Þ60" xfId="6603"/>
    <cellStyle name="_KT_TG_1_GT21_ CONG TIEU Þ60_STANDARD FILE" xfId="6604"/>
    <cellStyle name="_KT_TG_1_GTGT 2003" xfId="3370"/>
    <cellStyle name="_KT_TG_1_GVL4" xfId="6605"/>
    <cellStyle name="_KT_TG_1_GVL4_STANDARD FILE" xfId="6606"/>
    <cellStyle name="_KT_TG_1_GVLmoi" xfId="6607"/>
    <cellStyle name="_KT_TG_1_GVLmoi_STANDARD FILE" xfId="6608"/>
    <cellStyle name="_KT_TG_1_k2+700" xfId="6609"/>
    <cellStyle name="_KT_TG_1_k2+700_STANDARD FILE" xfId="6610"/>
    <cellStyle name="_KT_TG_1_KE KHAI THUE GTGT 2004" xfId="3372"/>
    <cellStyle name="_KT_TG_1_KE KHAI THUE GTGT 2004_BCTC2004" xfId="3373"/>
    <cellStyle name="_KT_TG_1_KE LUONG THUC" xfId="6611"/>
    <cellStyle name="_KT_TG_1_KE LUONG THUC_STANDARD FILE" xfId="6612"/>
    <cellStyle name="_KT_TG_1_KE LUONG THUC111" xfId="6613"/>
    <cellStyle name="_KT_TG_1_KE LUONG THUC111_STANDARD FILE" xfId="6614"/>
    <cellStyle name="_KT_TG_1_KH TPCP 2016-2020 (tong hop)" xfId="3375"/>
    <cellStyle name="_KT_TG_1_KH TPCP vung TNB (03-1-2012)" xfId="3376"/>
    <cellStyle name="_KT_TG_1_kien giang 2" xfId="3374"/>
    <cellStyle name="_KT_TG_1_Lora-tungchau" xfId="3377"/>
    <cellStyle name="_KT_TG_1_Luy ke von ung nam 2011 -Thoa gui ngay 12-8-2012" xfId="3378"/>
    <cellStyle name="_KT_TG_1_NhanCong" xfId="3380"/>
    <cellStyle name="_KT_TG_1_N-X-T-04" xfId="3379"/>
    <cellStyle name="_KT_TG_1_PGIA-phieu tham tra Kho bac" xfId="3381"/>
    <cellStyle name="_KT_TG_1_phu luc tong ket tinh hinh TH giai doan 03-10 (ngay 30)" xfId="3386"/>
    <cellStyle name="_KT_TG_1_PT02-02" xfId="3382"/>
    <cellStyle name="_KT_TG_1_PT02-02_Book1" xfId="3383"/>
    <cellStyle name="_KT_TG_1_PT02-03" xfId="3384"/>
    <cellStyle name="_KT_TG_1_PT02-03_Book1" xfId="3385"/>
    <cellStyle name="_KT_TG_1_Qt-HT3PQ1(CauKho)" xfId="3387"/>
    <cellStyle name="_KT_TG_1_Sheet1" xfId="3388"/>
    <cellStyle name="_KT_TG_1_STANDARD FILE" xfId="6615"/>
    <cellStyle name="_KT_TG_1_STKL KE BAC LIEU" xfId="6616"/>
    <cellStyle name="_KT_TG_1_STKL KE BAC LIEU_STANDARD FILE" xfId="6617"/>
    <cellStyle name="_KT_TG_1_THDT" xfId="6622"/>
    <cellStyle name="_KT_TG_1_THDT_1" xfId="6623"/>
    <cellStyle name="_KT_TG_1_THDT_1_STANDARD FILE" xfId="6624"/>
    <cellStyle name="_KT_TG_1_THDT_STANDARD FILE" xfId="6625"/>
    <cellStyle name="_KT_TG_1_THONG KE THEP" xfId="6626"/>
    <cellStyle name="_KT_TG_1_THONG KE THEP_STANDARD FILE" xfId="6627"/>
    <cellStyle name="_KT_TG_1_TK152-04" xfId="3389"/>
    <cellStyle name="_KT_TG_1_TKHC-THOIQUAN-05-04-2004" xfId="6618"/>
    <cellStyle name="_KT_TG_1_TKHC-THOIQUAN-05-04-2004_STANDARD FILE" xfId="6619"/>
    <cellStyle name="_KT_TG_1_TMDTPA1" xfId="6620"/>
    <cellStyle name="_KT_TG_1_TMDTPA1_STANDARD FILE" xfId="6621"/>
    <cellStyle name="_KT_TG_1_ÿÿÿÿÿ" xfId="409"/>
    <cellStyle name="_KT_TG_1_ÿÿÿÿÿ_Bieu mau cong trinh khoi cong moi 3-4" xfId="3390"/>
    <cellStyle name="_KT_TG_1_ÿÿÿÿÿ_Bieu3ODA" xfId="3391"/>
    <cellStyle name="_KT_TG_1_ÿÿÿÿÿ_Bieu4HTMT" xfId="3392"/>
    <cellStyle name="_KT_TG_1_ÿÿÿÿÿ_KH TPCP vung TNB (03-1-2012)" xfId="3394"/>
    <cellStyle name="_KT_TG_1_ÿÿÿÿÿ_kien giang 2" xfId="3393"/>
    <cellStyle name="_KT_TG_2" xfId="410"/>
    <cellStyle name="_KT_TG_2 2" xfId="3395"/>
    <cellStyle name="_KT_TG_2_05-12  KH trung han 2016-2020 - Liem Thinh edited" xfId="3396"/>
    <cellStyle name="_KT_TG_2_ApGiaVatTu_cayxanh_latgach" xfId="3397"/>
    <cellStyle name="_KT_TG_2_BANG TONG HOP TINH HINH THANH QUYET TOAN (MOI I)" xfId="411"/>
    <cellStyle name="_KT_TG_2_BAO CAO KLCT PT2000" xfId="3398"/>
    <cellStyle name="_KT_TG_2_BAO CAO PT2000" xfId="3399"/>
    <cellStyle name="_KT_TG_2_BAO CAO PT2000_Book1" xfId="3400"/>
    <cellStyle name="_KT_TG_2_Bao cao XDCB 2001 - T11 KH dieu chinh 20-11-THAI" xfId="3401"/>
    <cellStyle name="_KT_TG_2_BAO GIA NGAY 24-10-08 (co dam)" xfId="412"/>
    <cellStyle name="_KT_TG_2_BC  NAM 2007" xfId="3402"/>
    <cellStyle name="_KT_TG_2_BC CV 6403 BKHĐT" xfId="3403"/>
    <cellStyle name="_KT_TG_2_BC NQ11-CP - chinh sua lai" xfId="3404"/>
    <cellStyle name="_KT_TG_2_BC NQ11-CP-Quynh sau bieu so3" xfId="3405"/>
    <cellStyle name="_KT_TG_2_BC_NQ11-CP_-_Thao_sua_lai" xfId="3406"/>
    <cellStyle name="_KT_TG_2_Bieu mau cong trinh khoi cong moi 3-4" xfId="3407"/>
    <cellStyle name="_KT_TG_2_Bieu3ODA" xfId="3408"/>
    <cellStyle name="_KT_TG_2_Bieu3ODA_1" xfId="3409"/>
    <cellStyle name="_KT_TG_2_Bieu4HTMT" xfId="3410"/>
    <cellStyle name="_KT_TG_2_bo sung von KCH nam 2010 va Du an tre kho khan" xfId="3411"/>
    <cellStyle name="_KT_TG_2_Book1" xfId="413"/>
    <cellStyle name="_KT_TG_2_Book1 2" xfId="3412"/>
    <cellStyle name="_KT_TG_2_Book1_1" xfId="414"/>
    <cellStyle name="_KT_TG_2_Book1_1 2" xfId="3413"/>
    <cellStyle name="_KT_TG_2_Book1_1_BC CV 6403 BKHĐT" xfId="3414"/>
    <cellStyle name="_KT_TG_2_Book1_1_Bieu mau cong trinh khoi cong moi 3-4" xfId="3415"/>
    <cellStyle name="_KT_TG_2_Book1_1_Bieu3ODA" xfId="3416"/>
    <cellStyle name="_KT_TG_2_Book1_1_Bieu4HTMT" xfId="3417"/>
    <cellStyle name="_KT_TG_2_Book1_1_Book1" xfId="3418"/>
    <cellStyle name="_KT_TG_2_Book1_1_Luy ke von ung nam 2011 -Thoa gui ngay 12-8-2012" xfId="3419"/>
    <cellStyle name="_KT_TG_2_Book1_1_STANDARD FILE" xfId="6628"/>
    <cellStyle name="_KT_TG_2_Book1_2" xfId="3420"/>
    <cellStyle name="_KT_TG_2_Book1_2 2" xfId="3421"/>
    <cellStyle name="_KT_TG_2_Book1_2_BC CV 6403 BKHĐT" xfId="3422"/>
    <cellStyle name="_KT_TG_2_Book1_2_Bieu3ODA" xfId="3423"/>
    <cellStyle name="_KT_TG_2_Book1_2_Luy ke von ung nam 2011 -Thoa gui ngay 12-8-2012" xfId="3424"/>
    <cellStyle name="_KT_TG_2_Book1_3" xfId="3425"/>
    <cellStyle name="_KT_TG_2_Book1_3 2" xfId="3426"/>
    <cellStyle name="_KT_TG_2_Book1_BC CV 6403 BKHĐT" xfId="3427"/>
    <cellStyle name="_KT_TG_2_Book1_Bieu mau cong trinh khoi cong moi 3-4" xfId="3428"/>
    <cellStyle name="_KT_TG_2_Book1_Bieu3ODA" xfId="3429"/>
    <cellStyle name="_KT_TG_2_Book1_Bieu4HTMT" xfId="3430"/>
    <cellStyle name="_KT_TG_2_Book1_bo sung von KCH nam 2010 va Du an tre kho khan" xfId="3431"/>
    <cellStyle name="_KT_TG_2_Book1_Book1" xfId="3432"/>
    <cellStyle name="_KT_TG_2_Book1_C CHIN TUYEN" xfId="6629"/>
    <cellStyle name="_KT_TG_2_Book1_C CHIN TUYEN_STANDARD FILE" xfId="6630"/>
    <cellStyle name="_KT_TG_2_Book1_Copy of CAU CHIN TUYEN" xfId="6631"/>
    <cellStyle name="_KT_TG_2_Book1_Copy of CAU CHIN TUYEN_STANDARD FILE" xfId="6632"/>
    <cellStyle name="_KT_TG_2_Book1_danh muc chuan bi dau tu 2011 ngay 07-6-2011" xfId="3433"/>
    <cellStyle name="_KT_TG_2_Book1_Danh muc pbo nguon von XSKT, XDCB nam 2009 chuyen qua nam 2010" xfId="3434"/>
    <cellStyle name="_KT_TG_2_Book1_dieu chinh KH 2011 ngay 26-5-2011111" xfId="3435"/>
    <cellStyle name="_KT_TG_2_Book1_DS KCH PHAN BO VON NSDP NAM 2010" xfId="3436"/>
    <cellStyle name="_KT_TG_2_Book1_DT CCAU SO 2" xfId="6633"/>
    <cellStyle name="_KT_TG_2_Book1_DT CCAU SO 2_STANDARD FILE" xfId="6634"/>
    <cellStyle name="_KT_TG_2_Book1_DU TOAN bo bao ba lang" xfId="6635"/>
    <cellStyle name="_KT_TG_2_Book1_DU TOAN bo bao ba lang_STANDARD FILE" xfId="6636"/>
    <cellStyle name="_KT_TG_2_Book1_Du toan Mau" xfId="6637"/>
    <cellStyle name="_KT_TG_2_Book1_Du toan Mau_STANDARD FILE" xfId="6638"/>
    <cellStyle name="_KT_TG_2_Book1_giao KH 2011 ngay 10-12-2010" xfId="3437"/>
    <cellStyle name="_KT_TG_2_Book1_GT21_ CONG TIEU Þ60" xfId="6639"/>
    <cellStyle name="_KT_TG_2_Book1_GT21_ CONG TIEU Þ60_STANDARD FILE" xfId="6640"/>
    <cellStyle name="_KT_TG_2_Book1_Luy ke von ung nam 2011 -Thoa gui ngay 12-8-2012" xfId="3438"/>
    <cellStyle name="_KT_TG_2_Book1_STANDARD FILE" xfId="6641"/>
    <cellStyle name="_KT_TG_2_Book1_THDT" xfId="6646"/>
    <cellStyle name="_KT_TG_2_Book1_THDT_STANDARD FILE" xfId="6647"/>
    <cellStyle name="_KT_TG_2_Book1_THDTGOI 21" xfId="6648"/>
    <cellStyle name="_KT_TG_2_Book1_THDTGOI 21_STANDARD FILE" xfId="6649"/>
    <cellStyle name="_KT_TG_2_Book1_THONG KE THEP" xfId="6650"/>
    <cellStyle name="_KT_TG_2_Book1_THONG KE THEP_STANDARD FILE" xfId="6651"/>
    <cellStyle name="_KT_TG_2_Book1_TKHC-THOIQUAN-05-04-2004" xfId="6642"/>
    <cellStyle name="_KT_TG_2_Book1_TKHC-THOIQUAN-05-04-2004_STANDARD FILE" xfId="6643"/>
    <cellStyle name="_KT_TG_2_Book1_TONG DU TOAN VINH LONG-PA1" xfId="6644"/>
    <cellStyle name="_KT_TG_2_Book1_TONG DU TOAN VINH LONG-PA1_STANDARD FILE" xfId="6645"/>
    <cellStyle name="_KT_TG_2_C CHIN TUYEN" xfId="6652"/>
    <cellStyle name="_KT_TG_2_C CHIN TUYEN_STANDARD FILE" xfId="6653"/>
    <cellStyle name="_KT_TG_2_CAU Khanh Nam(Thi Cong)" xfId="415"/>
    <cellStyle name="_KT_TG_2_ChiHuong_ApGia" xfId="3441"/>
    <cellStyle name="_KT_TG_2_CoCauPhi (version 1)" xfId="3439"/>
    <cellStyle name="_KT_TG_2_Copy of 05-12  KH trung han 2016-2020 - Liem Thinh edited (1)" xfId="3440"/>
    <cellStyle name="_KT_TG_2_Copy of CAU CHIN TUYEN" xfId="6654"/>
    <cellStyle name="_KT_TG_2_Copy of CAU CHIN TUYEN_STANDARD FILE" xfId="6655"/>
    <cellStyle name="_KT_TG_2_danh muc chuan bi dau tu 2011 ngay 07-6-2011" xfId="3442"/>
    <cellStyle name="_KT_TG_2_Danh muc pbo nguon von XSKT, XDCB nam 2009 chuyen qua nam 2010" xfId="3443"/>
    <cellStyle name="_KT_TG_2_DAU NOI PL-CL TAI PHU LAMHC" xfId="3444"/>
    <cellStyle name="_KT_TG_2_dieu chinh KH 2011 ngay 26-5-2011111" xfId="3445"/>
    <cellStyle name="_KT_TG_2_DS KCH PHAN BO VON NSDP NAM 2010" xfId="3446"/>
    <cellStyle name="_KT_TG_2_DT CCAU SO 2" xfId="6656"/>
    <cellStyle name="_KT_TG_2_DT CCAU SO 2_STANDARD FILE" xfId="6657"/>
    <cellStyle name="_KT_TG_2_DTCDT MR.2N110.HOCMON.TDTOAN.CCUNG" xfId="3447"/>
    <cellStyle name="_KT_TG_2_DU TOAN bo bao ba lang" xfId="6658"/>
    <cellStyle name="_KT_TG_2_DU TOAN bo bao ba lang_STANDARD FILE" xfId="6659"/>
    <cellStyle name="_KT_TG_2_Du toan Mau" xfId="6660"/>
    <cellStyle name="_KT_TG_2_Du toan Mau_STANDARD FILE" xfId="6661"/>
    <cellStyle name="_KT_TG_2_DU TRU VAT TU" xfId="416"/>
    <cellStyle name="_KT_TG_2_giao KH 2011 ngay 10-12-2010" xfId="3449"/>
    <cellStyle name="_KT_TG_2_GT21_ CONG TIEU Þ60" xfId="6662"/>
    <cellStyle name="_KT_TG_2_GT21_ CONG TIEU Þ60_STANDARD FILE" xfId="6663"/>
    <cellStyle name="_KT_TG_2_GTGT 2003" xfId="3448"/>
    <cellStyle name="_KT_TG_2_GVL4" xfId="6664"/>
    <cellStyle name="_KT_TG_2_GVL4_STANDARD FILE" xfId="6665"/>
    <cellStyle name="_KT_TG_2_GVLmoi" xfId="6666"/>
    <cellStyle name="_KT_TG_2_GVLmoi_STANDARD FILE" xfId="6667"/>
    <cellStyle name="_KT_TG_2_k2+700" xfId="6668"/>
    <cellStyle name="_KT_TG_2_k2+700_STANDARD FILE" xfId="6669"/>
    <cellStyle name="_KT_TG_2_KE KHAI THUE GTGT 2004" xfId="3450"/>
    <cellStyle name="_KT_TG_2_KE KHAI THUE GTGT 2004_BCTC2004" xfId="3451"/>
    <cellStyle name="_KT_TG_2_KE LUONG THUC" xfId="6670"/>
    <cellStyle name="_KT_TG_2_KE LUONG THUC_STANDARD FILE" xfId="6671"/>
    <cellStyle name="_KT_TG_2_KE LUONG THUC111" xfId="6672"/>
    <cellStyle name="_KT_TG_2_KE LUONG THUC111_STANDARD FILE" xfId="6673"/>
    <cellStyle name="_KT_TG_2_KH TPCP 2016-2020 (tong hop)" xfId="3453"/>
    <cellStyle name="_KT_TG_2_KH TPCP vung TNB (03-1-2012)" xfId="3454"/>
    <cellStyle name="_KT_TG_2_kien giang 2" xfId="3452"/>
    <cellStyle name="_KT_TG_2_Lora-tungchau" xfId="3455"/>
    <cellStyle name="_KT_TG_2_Luy ke von ung nam 2011 -Thoa gui ngay 12-8-2012" xfId="3456"/>
    <cellStyle name="_KT_TG_2_NhanCong" xfId="3458"/>
    <cellStyle name="_KT_TG_2_N-X-T-04" xfId="3457"/>
    <cellStyle name="_KT_TG_2_PGIA-phieu tham tra Kho bac" xfId="3459"/>
    <cellStyle name="_KT_TG_2_phu luc tong ket tinh hinh TH giai doan 03-10 (ngay 30)" xfId="3464"/>
    <cellStyle name="_KT_TG_2_PT02-02" xfId="3460"/>
    <cellStyle name="_KT_TG_2_PT02-02_Book1" xfId="3461"/>
    <cellStyle name="_KT_TG_2_PT02-03" xfId="3462"/>
    <cellStyle name="_KT_TG_2_PT02-03_Book1" xfId="3463"/>
    <cellStyle name="_KT_TG_2_Qt-HT3PQ1(CauKho)" xfId="3465"/>
    <cellStyle name="_KT_TG_2_Sheet1" xfId="3466"/>
    <cellStyle name="_KT_TG_2_STANDARD FILE" xfId="6674"/>
    <cellStyle name="_KT_TG_2_STKL KE BAC LIEU" xfId="6675"/>
    <cellStyle name="_KT_TG_2_STKL KE BAC LIEU_STANDARD FILE" xfId="6676"/>
    <cellStyle name="_KT_TG_2_THDT" xfId="6681"/>
    <cellStyle name="_KT_TG_2_THDT_1" xfId="6682"/>
    <cellStyle name="_KT_TG_2_THDT_1_STANDARD FILE" xfId="6683"/>
    <cellStyle name="_KT_TG_2_THDT_STANDARD FILE" xfId="6684"/>
    <cellStyle name="_KT_TG_2_THONG KE THEP" xfId="6685"/>
    <cellStyle name="_KT_TG_2_THONG KE THEP_STANDARD FILE" xfId="6686"/>
    <cellStyle name="_KT_TG_2_TK152-04" xfId="3467"/>
    <cellStyle name="_KT_TG_2_TKHC-THOIQUAN-05-04-2004" xfId="6677"/>
    <cellStyle name="_KT_TG_2_TKHC-THOIQUAN-05-04-2004_STANDARD FILE" xfId="6678"/>
    <cellStyle name="_KT_TG_2_TMDTPA1" xfId="6679"/>
    <cellStyle name="_KT_TG_2_TMDTPA1_STANDARD FILE" xfId="6680"/>
    <cellStyle name="_KT_TG_2_ÿÿÿÿÿ" xfId="417"/>
    <cellStyle name="_KT_TG_2_ÿÿÿÿÿ_Bieu mau cong trinh khoi cong moi 3-4" xfId="3468"/>
    <cellStyle name="_KT_TG_2_ÿÿÿÿÿ_Bieu3ODA" xfId="3469"/>
    <cellStyle name="_KT_TG_2_ÿÿÿÿÿ_Bieu4HTMT" xfId="3470"/>
    <cellStyle name="_KT_TG_2_ÿÿÿÿÿ_KH TPCP vung TNB (03-1-2012)" xfId="3472"/>
    <cellStyle name="_KT_TG_2_ÿÿÿÿÿ_kien giang 2" xfId="3471"/>
    <cellStyle name="_KT_TG_3" xfId="418"/>
    <cellStyle name="_KT_TG_3_STANDARD FILE" xfId="6687"/>
    <cellStyle name="_KT_TG_4" xfId="419"/>
    <cellStyle name="_KT_TG_4 2" xfId="3473"/>
    <cellStyle name="_KT_TG_4_05-12  KH trung han 2016-2020 - Liem Thinh edited" xfId="3474"/>
    <cellStyle name="_KT_TG_4_Copy of 05-12  KH trung han 2016-2020 - Liem Thinh edited (1)" xfId="3475"/>
    <cellStyle name="_KT_TG_4_KH TPCP 2016-2020 (tong hop)" xfId="3476"/>
    <cellStyle name="_KT_TG_4_Lora-tungchau" xfId="3477"/>
    <cellStyle name="_KT_TG_4_Lora-tungchau 2" xfId="3478"/>
    <cellStyle name="_KT_TG_4_Lora-tungchau_05-12  KH trung han 2016-2020 - Liem Thinh edited" xfId="3479"/>
    <cellStyle name="_KT_TG_4_Lora-tungchau_Copy of 05-12  KH trung han 2016-2020 - Liem Thinh edited (1)" xfId="3480"/>
    <cellStyle name="_KT_TG_4_Lora-tungchau_KH TPCP 2016-2020 (tong hop)" xfId="3481"/>
    <cellStyle name="_KT_TG_4_Qt-HT3PQ1(CauKho)" xfId="3482"/>
    <cellStyle name="_KT_TG_4_STANDARD FILE" xfId="6688"/>
    <cellStyle name="_KT_TG_C CHIN TUYEN" xfId="6689"/>
    <cellStyle name="_KT_TG_C CHIN TUYEN_STANDARD FILE" xfId="6690"/>
    <cellStyle name="_KT_TG_Copy of CAU CHIN TUYEN" xfId="6691"/>
    <cellStyle name="_KT_TG_Copy of CAU CHIN TUYEN_STANDARD FILE" xfId="6692"/>
    <cellStyle name="_KT_TG_DT CCAU SO 2" xfId="6693"/>
    <cellStyle name="_KT_TG_DT CCAU SO 2_STANDARD FILE" xfId="6694"/>
    <cellStyle name="_KT_TG_DU TOAN bo bao ba lang" xfId="6695"/>
    <cellStyle name="_KT_TG_DU TOAN bo bao ba lang_STANDARD FILE" xfId="6696"/>
    <cellStyle name="_KT_TG_Du toan Mau" xfId="6697"/>
    <cellStyle name="_KT_TG_Du toan Mau_STANDARD FILE" xfId="6698"/>
    <cellStyle name="_KT_TG_GT21_ CONG TIEU Þ60" xfId="6699"/>
    <cellStyle name="_KT_TG_GT21_ CONG TIEU Þ60_STANDARD FILE" xfId="6700"/>
    <cellStyle name="_KT_TG_GVL4" xfId="6701"/>
    <cellStyle name="_KT_TG_GVL4_STANDARD FILE" xfId="6702"/>
    <cellStyle name="_KT_TG_GVLmoi" xfId="6703"/>
    <cellStyle name="_KT_TG_GVLmoi_STANDARD FILE" xfId="6704"/>
    <cellStyle name="_KT_TG_k2+700" xfId="6705"/>
    <cellStyle name="_KT_TG_k2+700_STANDARD FILE" xfId="6706"/>
    <cellStyle name="_KT_TG_KE LUONG THUC" xfId="6707"/>
    <cellStyle name="_KT_TG_KE LUONG THUC_STANDARD FILE" xfId="6708"/>
    <cellStyle name="_KT_TG_KE LUONG THUC111" xfId="6709"/>
    <cellStyle name="_KT_TG_KE LUONG THUC111_STANDARD FILE" xfId="6710"/>
    <cellStyle name="_KT_TG_STANDARD FILE" xfId="6711"/>
    <cellStyle name="_KT_TG_STKL KE BAC LIEU" xfId="6712"/>
    <cellStyle name="_KT_TG_STKL KE BAC LIEU_STANDARD FILE" xfId="6713"/>
    <cellStyle name="_KT_TG_THDT" xfId="6716"/>
    <cellStyle name="_KT_TG_THDT_1" xfId="6717"/>
    <cellStyle name="_KT_TG_THDT_1_STANDARD FILE" xfId="6718"/>
    <cellStyle name="_KT_TG_THDT_STANDARD FILE" xfId="6719"/>
    <cellStyle name="_KT_TG_THONG KE THEP" xfId="6720"/>
    <cellStyle name="_KT_TG_THONG KE THEP_STANDARD FILE" xfId="6721"/>
    <cellStyle name="_KT_TG_TMDTPA1" xfId="6714"/>
    <cellStyle name="_KT_TG_TMDTPA1_STANDARD FILE" xfId="6715"/>
    <cellStyle name="_Lora-tungchau" xfId="3511"/>
    <cellStyle name="_Lora-tungchau 2" xfId="3512"/>
    <cellStyle name="_Lora-tungchau_05-12  KH trung han 2016-2020 - Liem Thinh edited" xfId="3513"/>
    <cellStyle name="_Lora-tungchau_Copy of 05-12  KH trung han 2016-2020 - Liem Thinh edited (1)" xfId="3514"/>
    <cellStyle name="_Lora-tungchau_KH TPCP 2016-2020 (tong hop)" xfId="3515"/>
    <cellStyle name="_Luy ke von ung nam 2011 -Thoa gui ngay 12-8-2012" xfId="3516"/>
    <cellStyle name="_mau so 3" xfId="422"/>
    <cellStyle name="_MauThanTKKT-goi7-DonGia2143(vl t7)" xfId="423"/>
    <cellStyle name="_MauThanTKKT-goi7-DonGia2143(vl t7) 2" xfId="424"/>
    <cellStyle name="_MauThanTKKT-goi7-DonGia2143(vl t7)_!1 1 bao cao giao KH ve HTCMT vung TNB   12-12-2011" xfId="3517"/>
    <cellStyle name="_MauThanTKKT-goi7-DonGia2143(vl t7)_Bieu4HTMT" xfId="3518"/>
    <cellStyle name="_MauThanTKKT-goi7-DonGia2143(vl t7)_Bieu4HTMT_!1 1 bao cao giao KH ve HTCMT vung TNB   12-12-2011" xfId="3519"/>
    <cellStyle name="_MauThanTKKT-goi7-DonGia2143(vl t7)_Bieu4HTMT_KH TPCP vung TNB (03-1-2012)" xfId="3520"/>
    <cellStyle name="_MauThanTKKT-goi7-DonGia2143(vl t7)_KH TPCP vung TNB (03-1-2012)" xfId="3521"/>
    <cellStyle name="_Nhu cau von ung truoc 2011 Tha h Hoa + Nge An gui TW" xfId="3523"/>
    <cellStyle name="_Nhu cau von ung truoc 2011 Tha h Hoa + Nge An gui TW_!1 1 bao cao giao KH ve HTCMT vung TNB   12-12-2011" xfId="3524"/>
    <cellStyle name="_Nhu cau von ung truoc 2011 Tha h Hoa + Nge An gui TW_Bieu4HTMT" xfId="3525"/>
    <cellStyle name="_Nhu cau von ung truoc 2011 Tha h Hoa + Nge An gui TW_Bieu4HTMT_!1 1 bao cao giao KH ve HTCMT vung TNB   12-12-2011" xfId="3526"/>
    <cellStyle name="_Nhu cau von ung truoc 2011 Tha h Hoa + Nge An gui TW_Bieu4HTMT_KH TPCP vung TNB (03-1-2012)" xfId="3527"/>
    <cellStyle name="_Nhu cau von ung truoc 2011 Tha h Hoa + Nge An gui TW_KH TPCP vung TNB (03-1-2012)" xfId="3528"/>
    <cellStyle name="_N-X-T-04" xfId="3522"/>
    <cellStyle name="_PERSONAL" xfId="425"/>
    <cellStyle name="_PERSONAL_BC CV 6403 BKHĐT" xfId="3529"/>
    <cellStyle name="_PERSONAL_Bieu mau cong trinh khoi cong moi 3-4" xfId="3530"/>
    <cellStyle name="_PERSONAL_Bieu3ODA" xfId="3531"/>
    <cellStyle name="_PERSONAL_Bieu4HTMT" xfId="3532"/>
    <cellStyle name="_PERSONAL_Book1" xfId="426"/>
    <cellStyle name="_PERSONAL_Book1 2" xfId="3533"/>
    <cellStyle name="_PERSONAL_Book1_STANDARD FILE" xfId="6722"/>
    <cellStyle name="_PERSONAL_HTQ.8 GD1" xfId="3534"/>
    <cellStyle name="_PERSONAL_HTQ.8 GD1_05-12  KH trung han 2016-2020 - Liem Thinh edited" xfId="3535"/>
    <cellStyle name="_PERSONAL_HTQ.8 GD1_Copy of 05-12  KH trung han 2016-2020 - Liem Thinh edited (1)" xfId="3536"/>
    <cellStyle name="_PERSONAL_HTQ.8 GD1_KH TPCP 2016-2020 (tong hop)" xfId="3537"/>
    <cellStyle name="_PERSONAL_Luy ke von ung nam 2011 -Thoa gui ngay 12-8-2012" xfId="3538"/>
    <cellStyle name="_PERSONAL_STANDARD FILE" xfId="6723"/>
    <cellStyle name="_PERSONAL_Tong hop KHCB 2001" xfId="427"/>
    <cellStyle name="_PERSONAL_Tong hop KHCB 2001_STANDARD FILE" xfId="6724"/>
    <cellStyle name="_Phan bo KH 2009 TPCP" xfId="3539"/>
    <cellStyle name="_Phan XD" xfId="6725"/>
    <cellStyle name="_Phan XD_da sua - 4 DU TOAN CAU BAN KENH MUONG LO" xfId="6726"/>
    <cellStyle name="_Phan XD_duong giong nhan ganh hao - cong ngang duong" xfId="6727"/>
    <cellStyle name="_Phan XD_Duong Giong Nhan Ganh Hao - Duong giao thong" xfId="6728"/>
    <cellStyle name="_Phan XD_KL-DH" xfId="6729"/>
    <cellStyle name="_Phan XD_KL-DH_da sua - 4 DU TOAN CAU BAN KENH MUONG LO" xfId="6730"/>
    <cellStyle name="_Phan XD_KL-DH_DT CONG-thamdinh" xfId="6731"/>
    <cellStyle name="_Phan XD_KL-DHDM" xfId="6732"/>
    <cellStyle name="_Phan XD_KL-DHDM_da sua - 4 DU TOAN CAU BAN KENH MUONG LO" xfId="6733"/>
    <cellStyle name="_Phan XD_KL-DHDM_DT CONG-thamdinh" xfId="6734"/>
    <cellStyle name="_Phan XD_KL-DHK" xfId="6735"/>
    <cellStyle name="_Phan XD_KL-DHK_da sua - 4 DU TOAN CAU BAN KENH MUONG LO" xfId="6736"/>
    <cellStyle name="_Phan XD_KL-DHK_DT CONG-thamdinh" xfId="6737"/>
    <cellStyle name="_phong bo mon22" xfId="3540"/>
    <cellStyle name="_phong bo mon22_!1 1 bao cao giao KH ve HTCMT vung TNB   12-12-2011" xfId="3541"/>
    <cellStyle name="_phong bo mon22_KH TPCP vung TNB (03-1-2012)" xfId="3542"/>
    <cellStyle name="_Phu luc 2 (Bieu 2) TH KH 2010" xfId="3543"/>
    <cellStyle name="_phu luc tong ket tinh hinh TH giai doan 03-10 (ngay 30)" xfId="3544"/>
    <cellStyle name="_Phuluckinhphi_DC_lan 4_YL" xfId="3545"/>
    <cellStyle name="_Q TOAN  SCTX QL.62 QUI I ( oanh)" xfId="428"/>
    <cellStyle name="_Q TOAN  SCTX QL.62 QUI II ( oanh)" xfId="429"/>
    <cellStyle name="_QT SCTXQL62_QT1 (Cty QL)" xfId="430"/>
    <cellStyle name="_Qt-HT3PQ1(CauKho)" xfId="3546"/>
    <cellStyle name="_Sheet1" xfId="431"/>
    <cellStyle name="_Sheet2" xfId="432"/>
    <cellStyle name="_x0001__STANDARD FILE" xfId="6738"/>
    <cellStyle name="_STKL KE BAC LIEU" xfId="6739"/>
    <cellStyle name="_sua dtoankenh Dong" xfId="6740"/>
    <cellStyle name="_sua dtoankenh Dong_da sua - 4 DU TOAN CAU BAN KENH MUONG LO" xfId="6741"/>
    <cellStyle name="_sua dtoankenh Dong_duong giong nhan ganh hao - cong ngang duong" xfId="6742"/>
    <cellStyle name="_sua dtoankenh Dong_Duong Giong Nhan Ganh Hao - Duong giao thong" xfId="6743"/>
    <cellStyle name="_TG-TH" xfId="433"/>
    <cellStyle name="_TG-TH_1" xfId="434"/>
    <cellStyle name="_TG-TH_1 2" xfId="3547"/>
    <cellStyle name="_TG-TH_1_05-12  KH trung han 2016-2020 - Liem Thinh edited" xfId="3548"/>
    <cellStyle name="_TG-TH_1_ApGiaVatTu_cayxanh_latgach" xfId="3549"/>
    <cellStyle name="_TG-TH_1_BANG TONG HOP TINH HINH THANH QUYET TOAN (MOI I)" xfId="435"/>
    <cellStyle name="_TG-TH_1_BAO CAO KLCT PT2000" xfId="3550"/>
    <cellStyle name="_TG-TH_1_BAO CAO PT2000" xfId="3551"/>
    <cellStyle name="_TG-TH_1_BAO CAO PT2000_Book1" xfId="3552"/>
    <cellStyle name="_TG-TH_1_Bao cao XDCB 2001 - T11 KH dieu chinh 20-11-THAI" xfId="3553"/>
    <cellStyle name="_TG-TH_1_BAO GIA NGAY 24-10-08 (co dam)" xfId="436"/>
    <cellStyle name="_TG-TH_1_BC  NAM 2007" xfId="3554"/>
    <cellStyle name="_TG-TH_1_BC CV 6403 BKHĐT" xfId="3555"/>
    <cellStyle name="_TG-TH_1_BC NQ11-CP - chinh sua lai" xfId="3556"/>
    <cellStyle name="_TG-TH_1_BC NQ11-CP-Quynh sau bieu so3" xfId="3557"/>
    <cellStyle name="_TG-TH_1_BC_NQ11-CP_-_Thao_sua_lai" xfId="3558"/>
    <cellStyle name="_TG-TH_1_Bieu mau cong trinh khoi cong moi 3-4" xfId="3559"/>
    <cellStyle name="_TG-TH_1_Bieu3ODA" xfId="3560"/>
    <cellStyle name="_TG-TH_1_Bieu3ODA_1" xfId="3561"/>
    <cellStyle name="_TG-TH_1_Bieu4HTMT" xfId="3562"/>
    <cellStyle name="_TG-TH_1_bo sung von KCH nam 2010 va Du an tre kho khan" xfId="3563"/>
    <cellStyle name="_TG-TH_1_Book1" xfId="437"/>
    <cellStyle name="_TG-TH_1_Book1 2" xfId="3564"/>
    <cellStyle name="_TG-TH_1_Book1_1" xfId="438"/>
    <cellStyle name="_TG-TH_1_Book1_1 2" xfId="3565"/>
    <cellStyle name="_TG-TH_1_Book1_1_BC CV 6403 BKHĐT" xfId="3566"/>
    <cellStyle name="_TG-TH_1_Book1_1_Bieu mau cong trinh khoi cong moi 3-4" xfId="3567"/>
    <cellStyle name="_TG-TH_1_Book1_1_Bieu3ODA" xfId="3568"/>
    <cellStyle name="_TG-TH_1_Book1_1_Bieu4HTMT" xfId="3569"/>
    <cellStyle name="_TG-TH_1_Book1_1_Book1" xfId="3570"/>
    <cellStyle name="_TG-TH_1_Book1_1_Luy ke von ung nam 2011 -Thoa gui ngay 12-8-2012" xfId="3571"/>
    <cellStyle name="_TG-TH_1_Book1_1_STANDARD FILE" xfId="6744"/>
    <cellStyle name="_TG-TH_1_Book1_2" xfId="3572"/>
    <cellStyle name="_TG-TH_1_Book1_2 2" xfId="3573"/>
    <cellStyle name="_TG-TH_1_Book1_2_BC CV 6403 BKHĐT" xfId="3574"/>
    <cellStyle name="_TG-TH_1_Book1_2_Bieu3ODA" xfId="3575"/>
    <cellStyle name="_TG-TH_1_Book1_2_Luy ke von ung nam 2011 -Thoa gui ngay 12-8-2012" xfId="3576"/>
    <cellStyle name="_TG-TH_1_Book1_3" xfId="3577"/>
    <cellStyle name="_TG-TH_1_Book1_BC CV 6403 BKHĐT" xfId="3578"/>
    <cellStyle name="_TG-TH_1_Book1_BC-QT-WB-dthao" xfId="3579"/>
    <cellStyle name="_TG-TH_1_Book1_Bieu mau cong trinh khoi cong moi 3-4" xfId="3580"/>
    <cellStyle name="_TG-TH_1_Book1_Bieu3ODA" xfId="3581"/>
    <cellStyle name="_TG-TH_1_Book1_Bieu4HTMT" xfId="3582"/>
    <cellStyle name="_TG-TH_1_Book1_bo sung von KCH nam 2010 va Du an tre kho khan" xfId="3583"/>
    <cellStyle name="_TG-TH_1_Book1_Book1" xfId="3584"/>
    <cellStyle name="_TG-TH_1_Book1_C CHIN TUYEN" xfId="6745"/>
    <cellStyle name="_TG-TH_1_Book1_C CHIN TUYEN_STANDARD FILE" xfId="6746"/>
    <cellStyle name="_TG-TH_1_Book1_Copy of CAU CHIN TUYEN" xfId="6747"/>
    <cellStyle name="_TG-TH_1_Book1_Copy of CAU CHIN TUYEN_STANDARD FILE" xfId="6748"/>
    <cellStyle name="_TG-TH_1_Book1_danh muc chuan bi dau tu 2011 ngay 07-6-2011" xfId="3585"/>
    <cellStyle name="_TG-TH_1_Book1_Danh muc pbo nguon von XSKT, XDCB nam 2009 chuyen qua nam 2010" xfId="3586"/>
    <cellStyle name="_TG-TH_1_Book1_dieu chinh KH 2011 ngay 26-5-2011111" xfId="3587"/>
    <cellStyle name="_TG-TH_1_Book1_DS KCH PHAN BO VON NSDP NAM 2010" xfId="3588"/>
    <cellStyle name="_TG-TH_1_Book1_DT CCAU SO 2" xfId="6749"/>
    <cellStyle name="_TG-TH_1_Book1_DT CCAU SO 2_STANDARD FILE" xfId="6750"/>
    <cellStyle name="_TG-TH_1_Book1_DU TOAN bo bao ba lang" xfId="6751"/>
    <cellStyle name="_TG-TH_1_Book1_DU TOAN bo bao ba lang_STANDARD FILE" xfId="6752"/>
    <cellStyle name="_TG-TH_1_Book1_Du toan Mau" xfId="6753"/>
    <cellStyle name="_TG-TH_1_Book1_Du toan Mau_STANDARD FILE" xfId="6754"/>
    <cellStyle name="_TG-TH_1_Book1_giao KH 2011 ngay 10-12-2010" xfId="3589"/>
    <cellStyle name="_TG-TH_1_Book1_GT21_ CONG TIEU Þ60" xfId="6755"/>
    <cellStyle name="_TG-TH_1_Book1_GT21_ CONG TIEU Þ60_STANDARD FILE" xfId="6756"/>
    <cellStyle name="_TG-TH_1_Book1_Luy ke von ung nam 2011 -Thoa gui ngay 12-8-2012" xfId="3590"/>
    <cellStyle name="_TG-TH_1_Book1_STANDARD FILE" xfId="6757"/>
    <cellStyle name="_TG-TH_1_Book1_THDT" xfId="6762"/>
    <cellStyle name="_TG-TH_1_Book1_THDT_STANDARD FILE" xfId="6763"/>
    <cellStyle name="_TG-TH_1_Book1_THDTGOI 21" xfId="6764"/>
    <cellStyle name="_TG-TH_1_Book1_THDTGOI 21_STANDARD FILE" xfId="6765"/>
    <cellStyle name="_TG-TH_1_Book1_THONG KE THEP" xfId="6766"/>
    <cellStyle name="_TG-TH_1_Book1_THONG KE THEP_STANDARD FILE" xfId="6767"/>
    <cellStyle name="_TG-TH_1_Book1_TKHC-THOIQUAN-05-04-2004" xfId="6758"/>
    <cellStyle name="_TG-TH_1_Book1_TKHC-THOIQUAN-05-04-2004_STANDARD FILE" xfId="6759"/>
    <cellStyle name="_TG-TH_1_Book1_TONG DU TOAN VINH LONG-PA1" xfId="6760"/>
    <cellStyle name="_TG-TH_1_Book1_TONG DU TOAN VINH LONG-PA1_STANDARD FILE" xfId="6761"/>
    <cellStyle name="_TG-TH_1_C CHIN TUYEN" xfId="6768"/>
    <cellStyle name="_TG-TH_1_C CHIN TUYEN_STANDARD FILE" xfId="6769"/>
    <cellStyle name="_TG-TH_1_CAU Khanh Nam(Thi Cong)" xfId="439"/>
    <cellStyle name="_TG-TH_1_ChiHuong_ApGia" xfId="3593"/>
    <cellStyle name="_TG-TH_1_CoCauPhi (version 1)" xfId="3591"/>
    <cellStyle name="_TG-TH_1_Copy of 05-12  KH trung han 2016-2020 - Liem Thinh edited (1)" xfId="3592"/>
    <cellStyle name="_TG-TH_1_Copy of CAU CHIN TUYEN" xfId="6770"/>
    <cellStyle name="_TG-TH_1_Copy of CAU CHIN TUYEN_STANDARD FILE" xfId="6771"/>
    <cellStyle name="_TG-TH_1_danh muc chuan bi dau tu 2011 ngay 07-6-2011" xfId="3594"/>
    <cellStyle name="_TG-TH_1_Danh muc pbo nguon von XSKT, XDCB nam 2009 chuyen qua nam 2010" xfId="3595"/>
    <cellStyle name="_TG-TH_1_DAU NOI PL-CL TAI PHU LAMHC" xfId="3596"/>
    <cellStyle name="_TG-TH_1_dieu chinh KH 2011 ngay 26-5-2011111" xfId="3597"/>
    <cellStyle name="_TG-TH_1_DS KCH PHAN BO VON NSDP NAM 2010" xfId="3598"/>
    <cellStyle name="_TG-TH_1_DT CCAU SO 2" xfId="6772"/>
    <cellStyle name="_TG-TH_1_DT CCAU SO 2_STANDARD FILE" xfId="6773"/>
    <cellStyle name="_TG-TH_1_DTCDT MR.2N110.HOCMON.TDTOAN.CCUNG" xfId="3599"/>
    <cellStyle name="_TG-TH_1_DU TOAN bo bao ba lang" xfId="6774"/>
    <cellStyle name="_TG-TH_1_DU TOAN bo bao ba lang_STANDARD FILE" xfId="6775"/>
    <cellStyle name="_TG-TH_1_Du toan Mau" xfId="6776"/>
    <cellStyle name="_TG-TH_1_Du toan Mau_STANDARD FILE" xfId="6777"/>
    <cellStyle name="_TG-TH_1_DU TRU VAT TU" xfId="440"/>
    <cellStyle name="_TG-TH_1_giao KH 2011 ngay 10-12-2010" xfId="3601"/>
    <cellStyle name="_TG-TH_1_GT21_ CONG TIEU Þ60" xfId="6778"/>
    <cellStyle name="_TG-TH_1_GT21_ CONG TIEU Þ60_STANDARD FILE" xfId="6779"/>
    <cellStyle name="_TG-TH_1_GTGT 2003" xfId="3600"/>
    <cellStyle name="_TG-TH_1_GVL4" xfId="6780"/>
    <cellStyle name="_TG-TH_1_GVL4_STANDARD FILE" xfId="6781"/>
    <cellStyle name="_TG-TH_1_GVLmoi" xfId="6782"/>
    <cellStyle name="_TG-TH_1_GVLmoi_STANDARD FILE" xfId="6783"/>
    <cellStyle name="_TG-TH_1_k2+700" xfId="6784"/>
    <cellStyle name="_TG-TH_1_k2+700_STANDARD FILE" xfId="6785"/>
    <cellStyle name="_TG-TH_1_KE KHAI THUE GTGT 2004" xfId="3602"/>
    <cellStyle name="_TG-TH_1_KE KHAI THUE GTGT 2004_BCTC2004" xfId="3603"/>
    <cellStyle name="_TG-TH_1_KE LUONG THUC" xfId="6786"/>
    <cellStyle name="_TG-TH_1_KE LUONG THUC_STANDARD FILE" xfId="6787"/>
    <cellStyle name="_TG-TH_1_KE LUONG THUC111" xfId="6788"/>
    <cellStyle name="_TG-TH_1_KE LUONG THUC111_STANDARD FILE" xfId="6789"/>
    <cellStyle name="_TG-TH_1_KH TPCP 2016-2020 (tong hop)" xfId="3605"/>
    <cellStyle name="_TG-TH_1_KH TPCP vung TNB (03-1-2012)" xfId="3606"/>
    <cellStyle name="_TG-TH_1_kien giang 2" xfId="3604"/>
    <cellStyle name="_TG-TH_1_Lora-tungchau" xfId="3607"/>
    <cellStyle name="_TG-TH_1_Luy ke von ung nam 2011 -Thoa gui ngay 12-8-2012" xfId="3608"/>
    <cellStyle name="_TG-TH_1_NhanCong" xfId="3610"/>
    <cellStyle name="_TG-TH_1_N-X-T-04" xfId="3609"/>
    <cellStyle name="_TG-TH_1_PGIA-phieu tham tra Kho bac" xfId="3611"/>
    <cellStyle name="_TG-TH_1_phu luc tong ket tinh hinh TH giai doan 03-10 (ngay 30)" xfId="3616"/>
    <cellStyle name="_TG-TH_1_PT02-02" xfId="3612"/>
    <cellStyle name="_TG-TH_1_PT02-02_Book1" xfId="3613"/>
    <cellStyle name="_TG-TH_1_PT02-03" xfId="3614"/>
    <cellStyle name="_TG-TH_1_PT02-03_Book1" xfId="3615"/>
    <cellStyle name="_TG-TH_1_Qt-HT3PQ1(CauKho)" xfId="3617"/>
    <cellStyle name="_TG-TH_1_Sheet1" xfId="3618"/>
    <cellStyle name="_TG-TH_1_STANDARD FILE" xfId="6790"/>
    <cellStyle name="_TG-TH_1_STKL KE BAC LIEU" xfId="6791"/>
    <cellStyle name="_TG-TH_1_STKL KE BAC LIEU_STANDARD FILE" xfId="6792"/>
    <cellStyle name="_TG-TH_1_THDT" xfId="6797"/>
    <cellStyle name="_TG-TH_1_THDT_1" xfId="6798"/>
    <cellStyle name="_TG-TH_1_THDT_1_STANDARD FILE" xfId="6799"/>
    <cellStyle name="_TG-TH_1_THDT_STANDARD FILE" xfId="6800"/>
    <cellStyle name="_TG-TH_1_THONG KE THEP" xfId="6801"/>
    <cellStyle name="_TG-TH_1_THONG KE THEP_STANDARD FILE" xfId="6802"/>
    <cellStyle name="_TG-TH_1_TK152-04" xfId="3619"/>
    <cellStyle name="_TG-TH_1_TKHC-THOIQUAN-05-04-2004" xfId="6793"/>
    <cellStyle name="_TG-TH_1_TKHC-THOIQUAN-05-04-2004_STANDARD FILE" xfId="6794"/>
    <cellStyle name="_TG-TH_1_TMDTPA1" xfId="6795"/>
    <cellStyle name="_TG-TH_1_TMDTPA1_STANDARD FILE" xfId="6796"/>
    <cellStyle name="_TG-TH_1_ÿÿÿÿÿ" xfId="441"/>
    <cellStyle name="_TG-TH_1_ÿÿÿÿÿ_Bieu mau cong trinh khoi cong moi 3-4" xfId="3620"/>
    <cellStyle name="_TG-TH_1_ÿÿÿÿÿ_Bieu3ODA" xfId="3621"/>
    <cellStyle name="_TG-TH_1_ÿÿÿÿÿ_Bieu4HTMT" xfId="3622"/>
    <cellStyle name="_TG-TH_1_ÿÿÿÿÿ_KH TPCP vung TNB (03-1-2012)" xfId="3624"/>
    <cellStyle name="_TG-TH_1_ÿÿÿÿÿ_kien giang 2" xfId="3623"/>
    <cellStyle name="_TG-TH_2" xfId="442"/>
    <cellStyle name="_TG-TH_2 2" xfId="3625"/>
    <cellStyle name="_TG-TH_2_05-12  KH trung han 2016-2020 - Liem Thinh edited" xfId="3626"/>
    <cellStyle name="_TG-TH_2_ApGiaVatTu_cayxanh_latgach" xfId="3627"/>
    <cellStyle name="_TG-TH_2_BANG TONG HOP TINH HINH THANH QUYET TOAN (MOI I)" xfId="443"/>
    <cellStyle name="_TG-TH_2_BAO CAO KLCT PT2000" xfId="3628"/>
    <cellStyle name="_TG-TH_2_BAO CAO PT2000" xfId="3629"/>
    <cellStyle name="_TG-TH_2_BAO CAO PT2000_Book1" xfId="3630"/>
    <cellStyle name="_TG-TH_2_Bao cao XDCB 2001 - T11 KH dieu chinh 20-11-THAI" xfId="3631"/>
    <cellStyle name="_TG-TH_2_BAO GIA NGAY 24-10-08 (co dam)" xfId="444"/>
    <cellStyle name="_TG-TH_2_BC  NAM 2007" xfId="3632"/>
    <cellStyle name="_TG-TH_2_BC CV 6403 BKHĐT" xfId="3633"/>
    <cellStyle name="_TG-TH_2_BC NQ11-CP - chinh sua lai" xfId="3634"/>
    <cellStyle name="_TG-TH_2_BC NQ11-CP-Quynh sau bieu so3" xfId="3635"/>
    <cellStyle name="_TG-TH_2_BC_NQ11-CP_-_Thao_sua_lai" xfId="3636"/>
    <cellStyle name="_TG-TH_2_Bieu mau cong trinh khoi cong moi 3-4" xfId="3637"/>
    <cellStyle name="_TG-TH_2_Bieu3ODA" xfId="3638"/>
    <cellStyle name="_TG-TH_2_Bieu3ODA_1" xfId="3639"/>
    <cellStyle name="_TG-TH_2_Bieu4HTMT" xfId="3640"/>
    <cellStyle name="_TG-TH_2_bo sung von KCH nam 2010 va Du an tre kho khan" xfId="3641"/>
    <cellStyle name="_TG-TH_2_Book1" xfId="445"/>
    <cellStyle name="_TG-TH_2_Book1 2" xfId="3642"/>
    <cellStyle name="_TG-TH_2_Book1_1" xfId="446"/>
    <cellStyle name="_TG-TH_2_Book1_1 2" xfId="3643"/>
    <cellStyle name="_TG-TH_2_Book1_1_BC CV 6403 BKHĐT" xfId="3644"/>
    <cellStyle name="_TG-TH_2_Book1_1_Bieu mau cong trinh khoi cong moi 3-4" xfId="3645"/>
    <cellStyle name="_TG-TH_2_Book1_1_Bieu3ODA" xfId="3646"/>
    <cellStyle name="_TG-TH_2_Book1_1_Bieu4HTMT" xfId="3647"/>
    <cellStyle name="_TG-TH_2_Book1_1_Book1" xfId="3648"/>
    <cellStyle name="_TG-TH_2_Book1_1_Luy ke von ung nam 2011 -Thoa gui ngay 12-8-2012" xfId="3649"/>
    <cellStyle name="_TG-TH_2_Book1_1_STANDARD FILE" xfId="6803"/>
    <cellStyle name="_TG-TH_2_Book1_2" xfId="3650"/>
    <cellStyle name="_TG-TH_2_Book1_2 2" xfId="3651"/>
    <cellStyle name="_TG-TH_2_Book1_2_BC CV 6403 BKHĐT" xfId="3652"/>
    <cellStyle name="_TG-TH_2_Book1_2_Bieu3ODA" xfId="3653"/>
    <cellStyle name="_TG-TH_2_Book1_2_Luy ke von ung nam 2011 -Thoa gui ngay 12-8-2012" xfId="3654"/>
    <cellStyle name="_TG-TH_2_Book1_3" xfId="3655"/>
    <cellStyle name="_TG-TH_2_Book1_3 2" xfId="3656"/>
    <cellStyle name="_TG-TH_2_Book1_BC CV 6403 BKHĐT" xfId="3657"/>
    <cellStyle name="_TG-TH_2_Book1_Bieu mau cong trinh khoi cong moi 3-4" xfId="3658"/>
    <cellStyle name="_TG-TH_2_Book1_Bieu3ODA" xfId="3659"/>
    <cellStyle name="_TG-TH_2_Book1_Bieu4HTMT" xfId="3660"/>
    <cellStyle name="_TG-TH_2_Book1_bo sung von KCH nam 2010 va Du an tre kho khan" xfId="3661"/>
    <cellStyle name="_TG-TH_2_Book1_Book1" xfId="3662"/>
    <cellStyle name="_TG-TH_2_Book1_C CHIN TUYEN" xfId="6804"/>
    <cellStyle name="_TG-TH_2_Book1_C CHIN TUYEN_STANDARD FILE" xfId="6805"/>
    <cellStyle name="_TG-TH_2_Book1_Copy of CAU CHIN TUYEN" xfId="6806"/>
    <cellStyle name="_TG-TH_2_Book1_Copy of CAU CHIN TUYEN_STANDARD FILE" xfId="6807"/>
    <cellStyle name="_TG-TH_2_Book1_danh muc chuan bi dau tu 2011 ngay 07-6-2011" xfId="3663"/>
    <cellStyle name="_TG-TH_2_Book1_Danh muc pbo nguon von XSKT, XDCB nam 2009 chuyen qua nam 2010" xfId="3664"/>
    <cellStyle name="_TG-TH_2_Book1_dieu chinh KH 2011 ngay 26-5-2011111" xfId="3665"/>
    <cellStyle name="_TG-TH_2_Book1_DS KCH PHAN BO VON NSDP NAM 2010" xfId="3666"/>
    <cellStyle name="_TG-TH_2_Book1_DT CCAU SO 2" xfId="6808"/>
    <cellStyle name="_TG-TH_2_Book1_DT CCAU SO 2_STANDARD FILE" xfId="6809"/>
    <cellStyle name="_TG-TH_2_Book1_DU TOAN bo bao ba lang" xfId="6810"/>
    <cellStyle name="_TG-TH_2_Book1_DU TOAN bo bao ba lang_STANDARD FILE" xfId="6811"/>
    <cellStyle name="_TG-TH_2_Book1_Du toan Mau" xfId="6812"/>
    <cellStyle name="_TG-TH_2_Book1_Du toan Mau_STANDARD FILE" xfId="6813"/>
    <cellStyle name="_TG-TH_2_Book1_giao KH 2011 ngay 10-12-2010" xfId="3667"/>
    <cellStyle name="_TG-TH_2_Book1_GT21_ CONG TIEU Þ60" xfId="6814"/>
    <cellStyle name="_TG-TH_2_Book1_GT21_ CONG TIEU Þ60_STANDARD FILE" xfId="6815"/>
    <cellStyle name="_TG-TH_2_Book1_Luy ke von ung nam 2011 -Thoa gui ngay 12-8-2012" xfId="3668"/>
    <cellStyle name="_TG-TH_2_Book1_STANDARD FILE" xfId="6816"/>
    <cellStyle name="_TG-TH_2_Book1_THDT" xfId="6821"/>
    <cellStyle name="_TG-TH_2_Book1_THDT_STANDARD FILE" xfId="6822"/>
    <cellStyle name="_TG-TH_2_Book1_THDTGOI 21" xfId="6823"/>
    <cellStyle name="_TG-TH_2_Book1_THDTGOI 21_STANDARD FILE" xfId="6824"/>
    <cellStyle name="_TG-TH_2_Book1_THONG KE THEP" xfId="6825"/>
    <cellStyle name="_TG-TH_2_Book1_THONG KE THEP_STANDARD FILE" xfId="6826"/>
    <cellStyle name="_TG-TH_2_Book1_TKHC-THOIQUAN-05-04-2004" xfId="6817"/>
    <cellStyle name="_TG-TH_2_Book1_TKHC-THOIQUAN-05-04-2004_STANDARD FILE" xfId="6818"/>
    <cellStyle name="_TG-TH_2_Book1_TONG DU TOAN VINH LONG-PA1" xfId="6819"/>
    <cellStyle name="_TG-TH_2_Book1_TONG DU TOAN VINH LONG-PA1_STANDARD FILE" xfId="6820"/>
    <cellStyle name="_TG-TH_2_C CHIN TUYEN" xfId="6827"/>
    <cellStyle name="_TG-TH_2_C CHIN TUYEN_STANDARD FILE" xfId="6828"/>
    <cellStyle name="_TG-TH_2_CAU Khanh Nam(Thi Cong)" xfId="447"/>
    <cellStyle name="_TG-TH_2_ChiHuong_ApGia" xfId="3671"/>
    <cellStyle name="_TG-TH_2_CoCauPhi (version 1)" xfId="3669"/>
    <cellStyle name="_TG-TH_2_Copy of 05-12  KH trung han 2016-2020 - Liem Thinh edited (1)" xfId="3670"/>
    <cellStyle name="_TG-TH_2_Copy of CAU CHIN TUYEN" xfId="6829"/>
    <cellStyle name="_TG-TH_2_Copy of CAU CHIN TUYEN_STANDARD FILE" xfId="6830"/>
    <cellStyle name="_TG-TH_2_danh muc chuan bi dau tu 2011 ngay 07-6-2011" xfId="3672"/>
    <cellStyle name="_TG-TH_2_Danh muc pbo nguon von XSKT, XDCB nam 2009 chuyen qua nam 2010" xfId="3673"/>
    <cellStyle name="_TG-TH_2_DAU NOI PL-CL TAI PHU LAMHC" xfId="3674"/>
    <cellStyle name="_TG-TH_2_dieu chinh KH 2011 ngay 26-5-2011111" xfId="3675"/>
    <cellStyle name="_TG-TH_2_DS KCH PHAN BO VON NSDP NAM 2010" xfId="3676"/>
    <cellStyle name="_TG-TH_2_DT CCAU SO 2" xfId="6831"/>
    <cellStyle name="_TG-TH_2_DT CCAU SO 2_STANDARD FILE" xfId="6832"/>
    <cellStyle name="_TG-TH_2_DTCDT MR.2N110.HOCMON.TDTOAN.CCUNG" xfId="3677"/>
    <cellStyle name="_TG-TH_2_DU TOAN bo bao ba lang" xfId="6833"/>
    <cellStyle name="_TG-TH_2_DU TOAN bo bao ba lang_STANDARD FILE" xfId="6834"/>
    <cellStyle name="_TG-TH_2_Du toan Mau" xfId="6835"/>
    <cellStyle name="_TG-TH_2_Du toan Mau_STANDARD FILE" xfId="6836"/>
    <cellStyle name="_TG-TH_2_DU TRU VAT TU" xfId="448"/>
    <cellStyle name="_TG-TH_2_giao KH 2011 ngay 10-12-2010" xfId="3679"/>
    <cellStyle name="_TG-TH_2_GT21_ CONG TIEU Þ60" xfId="6837"/>
    <cellStyle name="_TG-TH_2_GT21_ CONG TIEU Þ60_STANDARD FILE" xfId="6838"/>
    <cellStyle name="_TG-TH_2_GTGT 2003" xfId="3678"/>
    <cellStyle name="_TG-TH_2_GVL4" xfId="6839"/>
    <cellStyle name="_TG-TH_2_GVL4_STANDARD FILE" xfId="6840"/>
    <cellStyle name="_TG-TH_2_GVLmoi" xfId="6841"/>
    <cellStyle name="_TG-TH_2_GVLmoi_STANDARD FILE" xfId="6842"/>
    <cellStyle name="_TG-TH_2_k2+700" xfId="6843"/>
    <cellStyle name="_TG-TH_2_k2+700_STANDARD FILE" xfId="6844"/>
    <cellStyle name="_TG-TH_2_KE KHAI THUE GTGT 2004" xfId="3680"/>
    <cellStyle name="_TG-TH_2_KE KHAI THUE GTGT 2004_BCTC2004" xfId="3681"/>
    <cellStyle name="_TG-TH_2_KE LUONG THUC" xfId="6845"/>
    <cellStyle name="_TG-TH_2_KE LUONG THUC_STANDARD FILE" xfId="6846"/>
    <cellStyle name="_TG-TH_2_KE LUONG THUC111" xfId="6847"/>
    <cellStyle name="_TG-TH_2_KE LUONG THUC111_STANDARD FILE" xfId="6848"/>
    <cellStyle name="_TG-TH_2_KH TPCP 2016-2020 (tong hop)" xfId="3683"/>
    <cellStyle name="_TG-TH_2_KH TPCP vung TNB (03-1-2012)" xfId="3684"/>
    <cellStyle name="_TG-TH_2_kien giang 2" xfId="3682"/>
    <cellStyle name="_TG-TH_2_Lora-tungchau" xfId="3685"/>
    <cellStyle name="_TG-TH_2_Luy ke von ung nam 2011 -Thoa gui ngay 12-8-2012" xfId="3686"/>
    <cellStyle name="_TG-TH_2_NhanCong" xfId="3688"/>
    <cellStyle name="_TG-TH_2_N-X-T-04" xfId="3687"/>
    <cellStyle name="_TG-TH_2_PGIA-phieu tham tra Kho bac" xfId="3689"/>
    <cellStyle name="_TG-TH_2_phu luc tong ket tinh hinh TH giai doan 03-10 (ngay 30)" xfId="3694"/>
    <cellStyle name="_TG-TH_2_PT02-02" xfId="3690"/>
    <cellStyle name="_TG-TH_2_PT02-02_Book1" xfId="3691"/>
    <cellStyle name="_TG-TH_2_PT02-03" xfId="3692"/>
    <cellStyle name="_TG-TH_2_PT02-03_Book1" xfId="3693"/>
    <cellStyle name="_TG-TH_2_Qt-HT3PQ1(CauKho)" xfId="3695"/>
    <cellStyle name="_TG-TH_2_Sheet1" xfId="3696"/>
    <cellStyle name="_TG-TH_2_STANDARD FILE" xfId="6849"/>
    <cellStyle name="_TG-TH_2_STKL KE BAC LIEU" xfId="6850"/>
    <cellStyle name="_TG-TH_2_STKL KE BAC LIEU_STANDARD FILE" xfId="6851"/>
    <cellStyle name="_TG-TH_2_THDT" xfId="6856"/>
    <cellStyle name="_TG-TH_2_THDT_1" xfId="6857"/>
    <cellStyle name="_TG-TH_2_THDT_1_STANDARD FILE" xfId="6858"/>
    <cellStyle name="_TG-TH_2_THDT_STANDARD FILE" xfId="6859"/>
    <cellStyle name="_TG-TH_2_THONG KE THEP" xfId="6860"/>
    <cellStyle name="_TG-TH_2_THONG KE THEP_STANDARD FILE" xfId="6861"/>
    <cellStyle name="_TG-TH_2_TK152-04" xfId="3697"/>
    <cellStyle name="_TG-TH_2_TKHC-THOIQUAN-05-04-2004" xfId="6852"/>
    <cellStyle name="_TG-TH_2_TKHC-THOIQUAN-05-04-2004_STANDARD FILE" xfId="6853"/>
    <cellStyle name="_TG-TH_2_TMDTPA1" xfId="6854"/>
    <cellStyle name="_TG-TH_2_TMDTPA1_STANDARD FILE" xfId="6855"/>
    <cellStyle name="_TG-TH_2_ÿÿÿÿÿ" xfId="449"/>
    <cellStyle name="_TG-TH_2_ÿÿÿÿÿ_Bieu mau cong trinh khoi cong moi 3-4" xfId="3698"/>
    <cellStyle name="_TG-TH_2_ÿÿÿÿÿ_Bieu3ODA" xfId="3699"/>
    <cellStyle name="_TG-TH_2_ÿÿÿÿÿ_Bieu4HTMT" xfId="3700"/>
    <cellStyle name="_TG-TH_2_ÿÿÿÿÿ_KH TPCP vung TNB (03-1-2012)" xfId="3702"/>
    <cellStyle name="_TG-TH_2_ÿÿÿÿÿ_kien giang 2" xfId="3701"/>
    <cellStyle name="_TG-TH_3" xfId="450"/>
    <cellStyle name="_TG-TH_3 2" xfId="3703"/>
    <cellStyle name="_TG-TH_3_05-12  KH trung han 2016-2020 - Liem Thinh edited" xfId="3704"/>
    <cellStyle name="_TG-TH_3_Copy of 05-12  KH trung han 2016-2020 - Liem Thinh edited (1)" xfId="3705"/>
    <cellStyle name="_TG-TH_3_KH TPCP 2016-2020 (tong hop)" xfId="3706"/>
    <cellStyle name="_TG-TH_3_Lora-tungchau" xfId="3707"/>
    <cellStyle name="_TG-TH_3_Lora-tungchau 2" xfId="3708"/>
    <cellStyle name="_TG-TH_3_Lora-tungchau_05-12  KH trung han 2016-2020 - Liem Thinh edited" xfId="3709"/>
    <cellStyle name="_TG-TH_3_Lora-tungchau_Copy of 05-12  KH trung han 2016-2020 - Liem Thinh edited (1)" xfId="3710"/>
    <cellStyle name="_TG-TH_3_Lora-tungchau_KH TPCP 2016-2020 (tong hop)" xfId="3711"/>
    <cellStyle name="_TG-TH_3_Qt-HT3PQ1(CauKho)" xfId="3712"/>
    <cellStyle name="_TG-TH_3_STANDARD FILE" xfId="6862"/>
    <cellStyle name="_TG-TH_4" xfId="451"/>
    <cellStyle name="_TG-TH_4_C CHIN TUYEN" xfId="6863"/>
    <cellStyle name="_TG-TH_4_C CHIN TUYEN_STANDARD FILE" xfId="6864"/>
    <cellStyle name="_TG-TH_4_Copy of CAU CHIN TUYEN" xfId="6865"/>
    <cellStyle name="_TG-TH_4_Copy of CAU CHIN TUYEN_STANDARD FILE" xfId="6866"/>
    <cellStyle name="_TG-TH_4_DT CCAU SO 2" xfId="6867"/>
    <cellStyle name="_TG-TH_4_DT CCAU SO 2_STANDARD FILE" xfId="6868"/>
    <cellStyle name="_TG-TH_4_DU TOAN bo bao ba lang" xfId="6869"/>
    <cellStyle name="_TG-TH_4_DU TOAN bo bao ba lang_STANDARD FILE" xfId="6870"/>
    <cellStyle name="_TG-TH_4_Du toan Mau" xfId="6871"/>
    <cellStyle name="_TG-TH_4_Du toan Mau_STANDARD FILE" xfId="6872"/>
    <cellStyle name="_TG-TH_4_GT21_ CONG TIEU Þ60" xfId="6873"/>
    <cellStyle name="_TG-TH_4_GT21_ CONG TIEU Þ60_STANDARD FILE" xfId="6874"/>
    <cellStyle name="_TG-TH_4_GVL4" xfId="6875"/>
    <cellStyle name="_TG-TH_4_GVL4_STANDARD FILE" xfId="6876"/>
    <cellStyle name="_TG-TH_4_GVLmoi" xfId="6877"/>
    <cellStyle name="_TG-TH_4_GVLmoi_STANDARD FILE" xfId="6878"/>
    <cellStyle name="_TG-TH_4_k2+700" xfId="6879"/>
    <cellStyle name="_TG-TH_4_k2+700_STANDARD FILE" xfId="6880"/>
    <cellStyle name="_TG-TH_4_KE LUONG THUC" xfId="6881"/>
    <cellStyle name="_TG-TH_4_KE LUONG THUC_STANDARD FILE" xfId="6882"/>
    <cellStyle name="_TG-TH_4_KE LUONG THUC111" xfId="6883"/>
    <cellStyle name="_TG-TH_4_KE LUONG THUC111_STANDARD FILE" xfId="6884"/>
    <cellStyle name="_TG-TH_4_STANDARD FILE" xfId="6885"/>
    <cellStyle name="_TG-TH_4_STKL KE BAC LIEU" xfId="6886"/>
    <cellStyle name="_TG-TH_4_STKL KE BAC LIEU_STANDARD FILE" xfId="6887"/>
    <cellStyle name="_TG-TH_4_THDT" xfId="6890"/>
    <cellStyle name="_TG-TH_4_THDT_1" xfId="6891"/>
    <cellStyle name="_TG-TH_4_THDT_1_STANDARD FILE" xfId="6892"/>
    <cellStyle name="_TG-TH_4_THDT_STANDARD FILE" xfId="6893"/>
    <cellStyle name="_TG-TH_4_THONG KE THEP" xfId="6894"/>
    <cellStyle name="_TG-TH_4_THONG KE THEP_STANDARD FILE" xfId="6895"/>
    <cellStyle name="_TG-TH_4_TMDTPA1" xfId="6888"/>
    <cellStyle name="_TG-TH_4_TMDTPA1_STANDARD FILE" xfId="6889"/>
    <cellStyle name="_TG-TH_STANDARD FILE" xfId="6896"/>
    <cellStyle name="_TH KH 2010" xfId="3720"/>
    <cellStyle name="_THDT" xfId="6911"/>
    <cellStyle name="_THDT_1" xfId="6912"/>
    <cellStyle name="_THDT_1_STANDARD FILE" xfId="6913"/>
    <cellStyle name="_THDT_TMDTPA1" xfId="6914"/>
    <cellStyle name="_THDT_TMDTPA1_STANDARD FILE" xfId="6915"/>
    <cellStyle name="_THDTGOI 21" xfId="6916"/>
    <cellStyle name="_THONG KE THEP" xfId="6917"/>
    <cellStyle name="_THONG KE THEP_STANDARD FILE" xfId="6918"/>
    <cellStyle name="_TK152-04" xfId="3713"/>
    <cellStyle name="_TKHC-THOIQUAN-05-04-2004" xfId="6898"/>
    <cellStyle name="_TKHC-THOIQUAN-05-04-2004_STANDARD FILE" xfId="6899"/>
    <cellStyle name="_TKP Cam Dong sua" xfId="6897"/>
    <cellStyle name="_TMDTPA1" xfId="6900"/>
    <cellStyle name="_TONG DU TOAN VINH LONG-PA1" xfId="6901"/>
    <cellStyle name="_TONG DU TOAN VINH LONG-PA1_da sua - 4 DU TOAN CAU BAN KENH MUONG LO" xfId="6902"/>
    <cellStyle name="_TONG DU TOAN VINH LONG-PA1_duong giong nhan ganh hao - cong ngang duong" xfId="6903"/>
    <cellStyle name="_TONG DU TOAN VINH LONG-PA1_Duong Giong Nhan Ganh Hao - Duong giao thong" xfId="6904"/>
    <cellStyle name="_Tong dutoan PP LAHAI" xfId="452"/>
    <cellStyle name="_Tong hop may cheu nganh 1" xfId="6905"/>
    <cellStyle name="_Tong hop may cheu nganh 1_4 XA DE BAO NGOAI" xfId="6906"/>
    <cellStyle name="_Tong hop may cheu nganh 1_4 XA DE BAO NGOAI (Tien)" xfId="6907"/>
    <cellStyle name="_Tong hop may cheu nganh 1_CONG 9 NHUONG" xfId="6908"/>
    <cellStyle name="_Tong hop may cheu nganh 1_GIA VAT LIEU DEN HIEN TRUONG" xfId="6909"/>
    <cellStyle name="_Tong hop may cheu nganh 1_THANDINH_NCBB SONG MAYPHOP(gia cat Vung Liem)" xfId="6910"/>
    <cellStyle name="_TPCP GT-24-5-Mien Nui" xfId="3714"/>
    <cellStyle name="_TPCP GT-24-5-Mien Nui_!1 1 bao cao giao KH ve HTCMT vung TNB   12-12-2011" xfId="3715"/>
    <cellStyle name="_TPCP GT-24-5-Mien Nui_Bieu4HTMT" xfId="3716"/>
    <cellStyle name="_TPCP GT-24-5-Mien Nui_Bieu4HTMT_!1 1 bao cao giao KH ve HTCMT vung TNB   12-12-2011" xfId="3717"/>
    <cellStyle name="_TPCP GT-24-5-Mien Nui_Bieu4HTMT_KH TPCP vung TNB (03-1-2012)" xfId="3718"/>
    <cellStyle name="_TPCP GT-24-5-Mien Nui_KH TPCP vung TNB (03-1-2012)" xfId="3719"/>
    <cellStyle name="_ung truoc 2011 NSTW Thanh Hoa + Nge An gui Thu 12-5" xfId="3721"/>
    <cellStyle name="_ung truoc 2011 NSTW Thanh Hoa + Nge An gui Thu 12-5_!1 1 bao cao giao KH ve HTCMT vung TNB   12-12-2011" xfId="3722"/>
    <cellStyle name="_ung truoc 2011 NSTW Thanh Hoa + Nge An gui Thu 12-5_Bieu4HTMT" xfId="3723"/>
    <cellStyle name="_ung truoc 2011 NSTW Thanh Hoa + Nge An gui Thu 12-5_Bieu4HTMT_!1 1 bao cao giao KH ve HTCMT vung TNB   12-12-2011" xfId="3724"/>
    <cellStyle name="_ung truoc 2011 NSTW Thanh Hoa + Nge An gui Thu 12-5_Bieu4HTMT_KH TPCP vung TNB (03-1-2012)" xfId="3725"/>
    <cellStyle name="_ung truoc 2011 NSTW Thanh Hoa + Nge An gui Thu 12-5_KH TPCP vung TNB (03-1-2012)" xfId="3726"/>
    <cellStyle name="_ung truoc cua long an (6-5-2010)" xfId="3727"/>
    <cellStyle name="_Ung von nam 2011 vung TNB - Doan Cong tac (12-5-2010)" xfId="3728"/>
    <cellStyle name="_Ung von nam 2011 vung TNB - Doan Cong tac (12-5-2010)_!1 1 bao cao giao KH ve HTCMT vung TNB   12-12-2011" xfId="3729"/>
    <cellStyle name="_Ung von nam 2011 vung TNB - Doan Cong tac (12-5-2010)_Bieu4HTMT" xfId="3730"/>
    <cellStyle name="_Ung von nam 2011 vung TNB - Doan Cong tac (12-5-2010)_Bieu4HTMT_!1 1 bao cao giao KH ve HTCMT vung TNB   12-12-2011" xfId="3731"/>
    <cellStyle name="_Ung von nam 2011 vung TNB - Doan Cong tac (12-5-2010)_Bieu4HTMT_KH TPCP vung TNB (03-1-2012)" xfId="3732"/>
    <cellStyle name="_Ung von nam 2011 vung TNB - Doan Cong tac (12-5-2010)_Chuẩn bị đầu tư 2011 (sep Hung)_KH 2012 (T3-2013)" xfId="3739"/>
    <cellStyle name="_Ung von nam 2011 vung TNB - Doan Cong tac (12-5-2010)_Cong trinh co y kien LD_Dang_NN_2011-Tay nguyen-9-10" xfId="3733"/>
    <cellStyle name="_Ung von nam 2011 vung TNB - Doan Cong tac (12-5-2010)_Cong trinh co y kien LD_Dang_NN_2011-Tay nguyen-9-10_!1 1 bao cao giao KH ve HTCMT vung TNB   12-12-2011" xfId="3734"/>
    <cellStyle name="_Ung von nam 2011 vung TNB - Doan Cong tac (12-5-2010)_Cong trinh co y kien LD_Dang_NN_2011-Tay nguyen-9-10_Bieu4HTMT" xfId="3735"/>
    <cellStyle name="_Ung von nam 2011 vung TNB - Doan Cong tac (12-5-2010)_Cong trinh co y kien LD_Dang_NN_2011-Tay nguyen-9-10_Bieu4HTMT_!1 1 bao cao giao KH ve HTCMT vung TNB   12-12-2011" xfId="3736"/>
    <cellStyle name="_Ung von nam 2011 vung TNB - Doan Cong tac (12-5-2010)_Cong trinh co y kien LD_Dang_NN_2011-Tay nguyen-9-10_Bieu4HTMT_KH TPCP vung TNB (03-1-2012)" xfId="3737"/>
    <cellStyle name="_Ung von nam 2011 vung TNB - Doan Cong tac (12-5-2010)_Cong trinh co y kien LD_Dang_NN_2011-Tay nguyen-9-10_KH TPCP vung TNB (03-1-2012)" xfId="3738"/>
    <cellStyle name="_Ung von nam 2011 vung TNB - Doan Cong tac (12-5-2010)_KH TPCP vung TNB (03-1-2012)" xfId="3740"/>
    <cellStyle name="_Ung von nam 2011 vung TNB - Doan Cong tac (12-5-2010)_TN - Ho tro khac 2011" xfId="3741"/>
    <cellStyle name="_Ung von nam 2011 vung TNB - Doan Cong tac (12-5-2010)_TN - Ho tro khac 2011_!1 1 bao cao giao KH ve HTCMT vung TNB   12-12-2011" xfId="3742"/>
    <cellStyle name="_Ung von nam 2011 vung TNB - Doan Cong tac (12-5-2010)_TN - Ho tro khac 2011_Bieu4HTMT" xfId="3743"/>
    <cellStyle name="_Ung von nam 2011 vung TNB - Doan Cong tac (12-5-2010)_TN - Ho tro khac 2011_Bieu4HTMT_!1 1 bao cao giao KH ve HTCMT vung TNB   12-12-2011" xfId="3744"/>
    <cellStyle name="_Ung von nam 2011 vung TNB - Doan Cong tac (12-5-2010)_TN - Ho tro khac 2011_Bieu4HTMT_KH TPCP vung TNB (03-1-2012)" xfId="3745"/>
    <cellStyle name="_Ung von nam 2011 vung TNB - Doan Cong tac (12-5-2010)_TN - Ho tro khac 2011_KH TPCP vung TNB (03-1-2012)" xfId="3746"/>
    <cellStyle name="_Von dau tu 2006-2020 (TL chien luoc)" xfId="3747"/>
    <cellStyle name="_Von dau tu 2006-2020 (TL chien luoc)_15_10_2013 BC nhu cau von doi ung ODA (2014-2016) ngay 15102013 Sua" xfId="3748"/>
    <cellStyle name="_Von dau tu 2006-2020 (TL chien luoc)_BC nhu cau von doi ung ODA nganh NN (BKH)" xfId="3749"/>
    <cellStyle name="_Von dau tu 2006-2020 (TL chien luoc)_BC nhu cau von doi ung ODA nganh NN (BKH)_05-12  KH trung han 2016-2020 - Liem Thinh edited" xfId="3750"/>
    <cellStyle name="_Von dau tu 2006-2020 (TL chien luoc)_BC nhu cau von doi ung ODA nganh NN (BKH)_Copy of 05-12  KH trung han 2016-2020 - Liem Thinh edited (1)" xfId="3751"/>
    <cellStyle name="_Von dau tu 2006-2020 (TL chien luoc)_BC Tai co cau (bieu TH)" xfId="3752"/>
    <cellStyle name="_Von dau tu 2006-2020 (TL chien luoc)_BC Tai co cau (bieu TH)_05-12  KH trung han 2016-2020 - Liem Thinh edited" xfId="3753"/>
    <cellStyle name="_Von dau tu 2006-2020 (TL chien luoc)_BC Tai co cau (bieu TH)_Copy of 05-12  KH trung han 2016-2020 - Liem Thinh edited (1)" xfId="3754"/>
    <cellStyle name="_Von dau tu 2006-2020 (TL chien luoc)_DK 2014-2015 final" xfId="3755"/>
    <cellStyle name="_Von dau tu 2006-2020 (TL chien luoc)_DK 2014-2015 final_05-12  KH trung han 2016-2020 - Liem Thinh edited" xfId="3756"/>
    <cellStyle name="_Von dau tu 2006-2020 (TL chien luoc)_DK 2014-2015 final_Copy of 05-12  KH trung han 2016-2020 - Liem Thinh edited (1)" xfId="3757"/>
    <cellStyle name="_Von dau tu 2006-2020 (TL chien luoc)_DK 2014-2015 new" xfId="3758"/>
    <cellStyle name="_Von dau tu 2006-2020 (TL chien luoc)_DK 2014-2015 new_05-12  KH trung han 2016-2020 - Liem Thinh edited" xfId="3759"/>
    <cellStyle name="_Von dau tu 2006-2020 (TL chien luoc)_DK 2014-2015 new_Copy of 05-12  KH trung han 2016-2020 - Liem Thinh edited (1)" xfId="3760"/>
    <cellStyle name="_Von dau tu 2006-2020 (TL chien luoc)_DK KH CBDT 2014 11-11-2013" xfId="3761"/>
    <cellStyle name="_Von dau tu 2006-2020 (TL chien luoc)_DK KH CBDT 2014 11-11-2013(1)" xfId="3762"/>
    <cellStyle name="_Von dau tu 2006-2020 (TL chien luoc)_DK KH CBDT 2014 11-11-2013(1)_05-12  KH trung han 2016-2020 - Liem Thinh edited" xfId="3763"/>
    <cellStyle name="_Von dau tu 2006-2020 (TL chien luoc)_DK KH CBDT 2014 11-11-2013(1)_Copy of 05-12  KH trung han 2016-2020 - Liem Thinh edited (1)" xfId="3764"/>
    <cellStyle name="_Von dau tu 2006-2020 (TL chien luoc)_DK KH CBDT 2014 11-11-2013_05-12  KH trung han 2016-2020 - Liem Thinh edited" xfId="3765"/>
    <cellStyle name="_Von dau tu 2006-2020 (TL chien luoc)_DK KH CBDT 2014 11-11-2013_Copy of 05-12  KH trung han 2016-2020 - Liem Thinh edited (1)" xfId="3766"/>
    <cellStyle name="_Von dau tu 2006-2020 (TL chien luoc)_KH 2011-2015" xfId="3767"/>
    <cellStyle name="_Von dau tu 2006-2020 (TL chien luoc)_tai co cau dau tu (tong hop)1" xfId="3768"/>
    <cellStyle name="_x005f_x0001_" xfId="3769"/>
    <cellStyle name="_x005f_x0001__!1 1 bao cao giao KH ve HTCMT vung TNB   12-12-2011" xfId="3770"/>
    <cellStyle name="_x005f_x0001__kien giang 2" xfId="3771"/>
    <cellStyle name="_x005f_x000d__x005f_x000a_JournalTemplate=C:\COMFO\CTALK\JOURSTD.TPL_x005f_x000d__x005f_x000a_LbStateAddress=3 3 0 251 1 89 2 311_x005f_x000d__x005f_x000a_LbStateJou" xfId="3772"/>
    <cellStyle name="_x005f_x005f_x005f_x0001_" xfId="3773"/>
    <cellStyle name="_x005f_x005f_x005f_x0001__!1 1 bao cao giao KH ve HTCMT vung TNB   12-12-2011" xfId="3774"/>
    <cellStyle name="_x005f_x005f_x005f_x0001__kien giang 2" xfId="3775"/>
    <cellStyle name="_x005f_x005f_x005f_x000d__x005f_x005f_x005f_x000a_JournalTemplate=C:\COMFO\CTALK\JOURSTD.TPL_x005f_x005f_x005f_x000d__x005f_x005f_x005f_x000a_LbStateAddress=3 3 0 251 1 89 2 311_x005f_x005f_x005f_x000d__x005f_x005f_x005f_x000a_LbStateJou" xfId="3776"/>
    <cellStyle name="_XDCB thang 12.2010" xfId="3777"/>
    <cellStyle name="_XN-TV1_d" xfId="6919"/>
    <cellStyle name="_XN-TV1_d_da sua - 4 DU TOAN CAU BAN KENH MUONG LO" xfId="6920"/>
    <cellStyle name="_XN-TV1_d_duong giong nhan ganh hao - cong ngang duong" xfId="6921"/>
    <cellStyle name="_XN-TV1_d_Duong Giong Nhan Ganh Hao - Duong giao thong" xfId="6922"/>
    <cellStyle name="_XN-TV1_d_KL-DH" xfId="6923"/>
    <cellStyle name="_XN-TV1_d_KL-DH_da sua - 4 DU TOAN CAU BAN KENH MUONG LO" xfId="6924"/>
    <cellStyle name="_XN-TV1_d_KL-DH_DT CONG-thamdinh" xfId="6925"/>
    <cellStyle name="_XN-TV1_d_KL-DHDM" xfId="6926"/>
    <cellStyle name="_XN-TV1_d_KL-DHDM_da sua - 4 DU TOAN CAU BAN KENH MUONG LO" xfId="6927"/>
    <cellStyle name="_XN-TV1_d_KL-DHDM_DT CONG-thamdinh" xfId="6928"/>
    <cellStyle name="_XN-TV1_d_KL-DHK" xfId="6929"/>
    <cellStyle name="_XN-TV1_d_KL-DHK_da sua - 4 DU TOAN CAU BAN KENH MUONG LO" xfId="6930"/>
    <cellStyle name="_XN-TV1_d_KL-DHK_DT CONG-thamdinh" xfId="6931"/>
    <cellStyle name="_ÿÿÿÿÿ" xfId="453"/>
    <cellStyle name="_ÿÿÿÿÿ 2" xfId="454"/>
    <cellStyle name="_ÿÿÿÿÿ_Bieu mau cong trinh khoi cong moi 3-4" xfId="3778"/>
    <cellStyle name="_ÿÿÿÿÿ_Bieu mau cong trinh khoi cong moi 3-4_!1 1 bao cao giao KH ve HTCMT vung TNB   12-12-2011" xfId="3779"/>
    <cellStyle name="_ÿÿÿÿÿ_Bieu mau cong trinh khoi cong moi 3-4_KH TPCP vung TNB (03-1-2012)" xfId="3780"/>
    <cellStyle name="_ÿÿÿÿÿ_Bieu3ODA" xfId="3781"/>
    <cellStyle name="_ÿÿÿÿÿ_Bieu3ODA_!1 1 bao cao giao KH ve HTCMT vung TNB   12-12-2011" xfId="3782"/>
    <cellStyle name="_ÿÿÿÿÿ_Bieu3ODA_KH TPCP vung TNB (03-1-2012)" xfId="3783"/>
    <cellStyle name="_ÿÿÿÿÿ_Bieu4HTMT" xfId="3784"/>
    <cellStyle name="_ÿÿÿÿÿ_Bieu4HTMT_!1 1 bao cao giao KH ve HTCMT vung TNB   12-12-2011" xfId="3785"/>
    <cellStyle name="_ÿÿÿÿÿ_Bieu4HTMT_KH TPCP vung TNB (03-1-2012)" xfId="3786"/>
    <cellStyle name="_ÿÿÿÿÿ_Kh ql62 (2010) 11-09" xfId="455"/>
    <cellStyle name="_ÿÿÿÿÿ_KH TPCP vung TNB (03-1-2012)" xfId="3788"/>
    <cellStyle name="_ÿÿÿÿÿ_Khung 2012" xfId="3789"/>
    <cellStyle name="_ÿÿÿÿÿ_kien giang 2" xfId="3787"/>
    <cellStyle name="~1" xfId="456"/>
    <cellStyle name="~1 2" xfId="457"/>
    <cellStyle name="~1?_x000d_Comma [0]_I.1?b_x000d_Comma [0]_I.3?b_x000c_Comma [0]_II?_x0012_Comma [0]_larou" xfId="6932"/>
    <cellStyle name="~1_STANDARD FILE" xfId="6933"/>
    <cellStyle name="’Ê‰Ý [0.00]_laroux" xfId="3790"/>
    <cellStyle name="’Ê‰Ý_laroux" xfId="3791"/>
    <cellStyle name="¤@¯ë_CHI PHI QUAN LY 1-00" xfId="3792"/>
    <cellStyle name="»õ±Ò[0]_Sheet1" xfId="458"/>
    <cellStyle name="»õ±Ò_Sheet1" xfId="459"/>
    <cellStyle name="•W?_Format" xfId="460"/>
    <cellStyle name="•W€_’·Šú‰p•¶" xfId="461"/>
    <cellStyle name="•W_’·Šú‰p•¶" xfId="462"/>
    <cellStyle name="W_MARINE" xfId="463"/>
    <cellStyle name="0" xfId="464"/>
    <cellStyle name="0 2" xfId="465"/>
    <cellStyle name="0,0_x000a__x000a_NA_x000a__x000a_" xfId="3793"/>
    <cellStyle name="0,0_x000d__x000a_NA_x000d__x000a_" xfId="3794"/>
    <cellStyle name="0,0_x000d__x000a_NA_x000d__x000a_ 2" xfId="3795"/>
    <cellStyle name="0,0_x000d__x000a_NA_x000d__x000a__Thanh hoa chinh thuc 28-2" xfId="3796"/>
    <cellStyle name="0,0_x005f_x000d__x005f_x000a_NA_x005f_x000d__x005f_x000a_" xfId="3797"/>
    <cellStyle name="0.0" xfId="466"/>
    <cellStyle name="0.0 2" xfId="467"/>
    <cellStyle name="0.0 3" xfId="468"/>
    <cellStyle name="0.0 4" xfId="469"/>
    <cellStyle name="0.00" xfId="470"/>
    <cellStyle name="0.00 2" xfId="471"/>
    <cellStyle name="0.00 3" xfId="472"/>
    <cellStyle name="0.00 4" xfId="473"/>
    <cellStyle name="1" xfId="474"/>
    <cellStyle name="1 2" xfId="475"/>
    <cellStyle name="1 3" xfId="476"/>
    <cellStyle name="1 4" xfId="477"/>
    <cellStyle name="1?b_x000d_Comma [0]_CPK?b_x0011_Comma [0]_CP" xfId="6934"/>
    <cellStyle name="1_!1 1 bao cao giao KH ve HTCMT vung TNB   12-12-2011" xfId="3798"/>
    <cellStyle name="1_BAO GIA NGAY 24-10-08 (co dam)" xfId="478"/>
    <cellStyle name="1_BAO GIA NGAY 24-10-08 (co dam) 2" xfId="479"/>
    <cellStyle name="1_Bieu4HTMT" xfId="3799"/>
    <cellStyle name="1_Book1" xfId="480"/>
    <cellStyle name="1_Book1 2" xfId="481"/>
    <cellStyle name="1_Book1_1" xfId="482"/>
    <cellStyle name="1_Book1_1 2" xfId="483"/>
    <cellStyle name="1_Book1_1_!1 1 bao cao giao KH ve HTCMT vung TNB   12-12-2011" xfId="3800"/>
    <cellStyle name="1_Book1_1_Bieu4HTMT" xfId="3801"/>
    <cellStyle name="1_Book1_1_Bieu4HTMT_!1 1 bao cao giao KH ve HTCMT vung TNB   12-12-2011" xfId="3802"/>
    <cellStyle name="1_Book1_1_Bieu4HTMT_KH TPCP vung TNB (03-1-2012)" xfId="3803"/>
    <cellStyle name="1_Book1_1_KH TPCP vung TNB (03-1-2012)" xfId="3804"/>
    <cellStyle name="1_Cau thuy dien Ban La (Cu Anh)" xfId="484"/>
    <cellStyle name="1_Cau thuy dien Ban La (Cu Anh) 2" xfId="485"/>
    <cellStyle name="1_Cau thuy dien Ban La (Cu Anh)_!1 1 bao cao giao KH ve HTCMT vung TNB   12-12-2011" xfId="3805"/>
    <cellStyle name="1_Cau thuy dien Ban La (Cu Anh)_Bieu4HTMT" xfId="3806"/>
    <cellStyle name="1_Cau thuy dien Ban La (Cu Anh)_Bieu4HTMT_!1 1 bao cao giao KH ve HTCMT vung TNB   12-12-2011" xfId="3807"/>
    <cellStyle name="1_Cau thuy dien Ban La (Cu Anh)_Bieu4HTMT_KH TPCP vung TNB (03-1-2012)" xfId="3808"/>
    <cellStyle name="1_Cau thuy dien Ban La (Cu Anh)_KH TPCP vung TNB (03-1-2012)" xfId="3809"/>
    <cellStyle name="1_Cong trinh co y kien LD_Dang_NN_2011-Tay nguyen-9-10" xfId="3810"/>
    <cellStyle name="1_da sua - 4 DU TOAN CAU BAN KENH MUONG LO" xfId="6935"/>
    <cellStyle name="1_DT KSTK CHUAN 1" xfId="6936"/>
    <cellStyle name="1_Du toan 558 (Km17+508.12 - Km 22)" xfId="486"/>
    <cellStyle name="1_Du toan 558 (Km17+508.12 - Km 22) 2" xfId="487"/>
    <cellStyle name="1_Du toan 558 (Km17+508.12 - Km 22)_!1 1 bao cao giao KH ve HTCMT vung TNB   12-12-2011" xfId="3811"/>
    <cellStyle name="1_Du toan 558 (Km17+508.12 - Km 22)_Bieu4HTMT" xfId="3812"/>
    <cellStyle name="1_Du toan 558 (Km17+508.12 - Km 22)_Bieu4HTMT_!1 1 bao cao giao KH ve HTCMT vung TNB   12-12-2011" xfId="3813"/>
    <cellStyle name="1_Du toan 558 (Km17+508.12 - Km 22)_Bieu4HTMT_KH TPCP vung TNB (03-1-2012)" xfId="3814"/>
    <cellStyle name="1_Du toan 558 (Km17+508.12 - Km 22)_KH TPCP vung TNB (03-1-2012)" xfId="3815"/>
    <cellStyle name="1_duong giong nhan ganh hao - cong ngang duong" xfId="6937"/>
    <cellStyle name="1_duong giong nhan ganh hao - cong ngang duong_STANDARD FILE" xfId="6938"/>
    <cellStyle name="1_Duong Giong Nhan Ganh Hao - Duong giao thong" xfId="6939"/>
    <cellStyle name="1_Gia_VLQL48_duyet " xfId="488"/>
    <cellStyle name="1_Gia_VLQL48_duyet  2" xfId="489"/>
    <cellStyle name="1_Gia_VLQL48_duyet _!1 1 bao cao giao KH ve HTCMT vung TNB   12-12-2011" xfId="3816"/>
    <cellStyle name="1_Gia_VLQL48_duyet _Bieu4HTMT" xfId="3817"/>
    <cellStyle name="1_Gia_VLQL48_duyet _Bieu4HTMT_!1 1 bao cao giao KH ve HTCMT vung TNB   12-12-2011" xfId="3818"/>
    <cellStyle name="1_Gia_VLQL48_duyet _Bieu4HTMT_KH TPCP vung TNB (03-1-2012)" xfId="3819"/>
    <cellStyle name="1_Gia_VLQL48_duyet _KH TPCP vung TNB (03-1-2012)" xfId="3820"/>
    <cellStyle name="1_KenhBacKrongpach-(sua)" xfId="6940"/>
    <cellStyle name="1_KenhBacKrongpach-(sua)_STANDARD FILE" xfId="6941"/>
    <cellStyle name="1_Kh ql62 (2010) 11-09" xfId="492"/>
    <cellStyle name="1_Kh ql62 (2010) 11-09 2" xfId="493"/>
    <cellStyle name="1_KH TPCP vung TNB (03-1-2012)" xfId="3826"/>
    <cellStyle name="1_Khung 2012" xfId="3827"/>
    <cellStyle name="1_KL-DH" xfId="6942"/>
    <cellStyle name="1_KL-DH_STANDARD FILE" xfId="6943"/>
    <cellStyle name="1_KL-DHDM" xfId="6944"/>
    <cellStyle name="1_KL-DHDM_STANDARD FILE" xfId="6945"/>
    <cellStyle name="1_KL-DHK" xfId="6946"/>
    <cellStyle name="1_KL-DHK_STANDARD FILE" xfId="6947"/>
    <cellStyle name="1_KlQdinhduyet" xfId="490"/>
    <cellStyle name="1_KlQdinhduyet 2" xfId="491"/>
    <cellStyle name="1_KlQdinhduyet_!1 1 bao cao giao KH ve HTCMT vung TNB   12-12-2011" xfId="3821"/>
    <cellStyle name="1_KlQdinhduyet_Bieu4HTMT" xfId="3822"/>
    <cellStyle name="1_KlQdinhduyet_Bieu4HTMT_!1 1 bao cao giao KH ve HTCMT vung TNB   12-12-2011" xfId="3823"/>
    <cellStyle name="1_KlQdinhduyet_Bieu4HTMT_KH TPCP vung TNB (03-1-2012)" xfId="3824"/>
    <cellStyle name="1_KlQdinhduyet_KH TPCP vung TNB (03-1-2012)" xfId="3825"/>
    <cellStyle name="1_TN - Ho tro khac 2011" xfId="3828"/>
    <cellStyle name="1_TRUNG PMU 5" xfId="3829"/>
    <cellStyle name="1_ÿÿÿÿÿ" xfId="494"/>
    <cellStyle name="1_ÿÿÿÿÿ 2" xfId="495"/>
    <cellStyle name="1_ÿÿÿÿÿ_Bieu tong hop nhu cau ung 2011 da chon loc -Mien nui" xfId="3830"/>
    <cellStyle name="1_ÿÿÿÿÿ_Bieu tong hop nhu cau ung 2011 da chon loc -Mien nui 2" xfId="3831"/>
    <cellStyle name="1_ÿÿÿÿÿ_Kh ql62 (2010) 11-09" xfId="496"/>
    <cellStyle name="1_ÿÿÿÿÿ_Kh ql62 (2010) 11-09 2" xfId="497"/>
    <cellStyle name="1_ÿÿÿÿÿ_Khung 2012" xfId="3832"/>
    <cellStyle name="12.75" xfId="6948"/>
    <cellStyle name="15" xfId="3833"/>
    <cellStyle name="18" xfId="498"/>
    <cellStyle name="¹éºÐÀ²_      " xfId="499"/>
    <cellStyle name="2" xfId="500"/>
    <cellStyle name="2 2" xfId="501"/>
    <cellStyle name="2 3" xfId="502"/>
    <cellStyle name="2 4" xfId="503"/>
    <cellStyle name="2_4 XA DE BAO NGOAI" xfId="6949"/>
    <cellStyle name="2_4 XA DE BAO NGOAI (Tien)" xfId="6950"/>
    <cellStyle name="2_Book1" xfId="504"/>
    <cellStyle name="2_Book1 2" xfId="505"/>
    <cellStyle name="2_Book1_1" xfId="506"/>
    <cellStyle name="2_Book1_1 2" xfId="507"/>
    <cellStyle name="2_Book1_1_!1 1 bao cao giao KH ve HTCMT vung TNB   12-12-2011" xfId="3834"/>
    <cellStyle name="2_Book1_1_Bieu4HTMT" xfId="3835"/>
    <cellStyle name="2_Book1_1_Bieu4HTMT_!1 1 bao cao giao KH ve HTCMT vung TNB   12-12-2011" xfId="3836"/>
    <cellStyle name="2_Book1_1_Bieu4HTMT_KH TPCP vung TNB (03-1-2012)" xfId="3837"/>
    <cellStyle name="2_Book1_1_KH TPCP vung TNB (03-1-2012)" xfId="3838"/>
    <cellStyle name="2_Cau thuy dien Ban La (Cu Anh)" xfId="508"/>
    <cellStyle name="2_Cau thuy dien Ban La (Cu Anh) 2" xfId="509"/>
    <cellStyle name="2_Cau thuy dien Ban La (Cu Anh)_!1 1 bao cao giao KH ve HTCMT vung TNB   12-12-2011" xfId="3839"/>
    <cellStyle name="2_Cau thuy dien Ban La (Cu Anh)_Bieu4HTMT" xfId="3840"/>
    <cellStyle name="2_Cau thuy dien Ban La (Cu Anh)_Bieu4HTMT_!1 1 bao cao giao KH ve HTCMT vung TNB   12-12-2011" xfId="3841"/>
    <cellStyle name="2_Cau thuy dien Ban La (Cu Anh)_Bieu4HTMT_KH TPCP vung TNB (03-1-2012)" xfId="3842"/>
    <cellStyle name="2_Cau thuy dien Ban La (Cu Anh)_KH TPCP vung TNB (03-1-2012)" xfId="3843"/>
    <cellStyle name="2_CONG 9 NHUONG" xfId="6951"/>
    <cellStyle name="2_Du toan 558 (Km17+508.12 - Km 22)" xfId="510"/>
    <cellStyle name="2_Du toan 558 (Km17+508.12 - Km 22) 2" xfId="511"/>
    <cellStyle name="2_Du toan 558 (Km17+508.12 - Km 22)_!1 1 bao cao giao KH ve HTCMT vung TNB   12-12-2011" xfId="3844"/>
    <cellStyle name="2_Du toan 558 (Km17+508.12 - Km 22)_Bieu4HTMT" xfId="3845"/>
    <cellStyle name="2_Du toan 558 (Km17+508.12 - Km 22)_Bieu4HTMT_!1 1 bao cao giao KH ve HTCMT vung TNB   12-12-2011" xfId="3846"/>
    <cellStyle name="2_Du toan 558 (Km17+508.12 - Km 22)_Bieu4HTMT_KH TPCP vung TNB (03-1-2012)" xfId="3847"/>
    <cellStyle name="2_Du toan 558 (Km17+508.12 - Km 22)_KH TPCP vung TNB (03-1-2012)" xfId="3848"/>
    <cellStyle name="2_GIA VAT LIEU DEN HIEN TRUONG" xfId="6952"/>
    <cellStyle name="2_Gia_VLQL48_duyet " xfId="512"/>
    <cellStyle name="2_Gia_VLQL48_duyet  2" xfId="513"/>
    <cellStyle name="2_Gia_VLQL48_duyet _!1 1 bao cao giao KH ve HTCMT vung TNB   12-12-2011" xfId="3849"/>
    <cellStyle name="2_Gia_VLQL48_duyet _Bieu4HTMT" xfId="3850"/>
    <cellStyle name="2_Gia_VLQL48_duyet _Bieu4HTMT_!1 1 bao cao giao KH ve HTCMT vung TNB   12-12-2011" xfId="3851"/>
    <cellStyle name="2_Gia_VLQL48_duyet _Bieu4HTMT_KH TPCP vung TNB (03-1-2012)" xfId="3852"/>
    <cellStyle name="2_Gia_VLQL48_duyet _KH TPCP vung TNB (03-1-2012)" xfId="3853"/>
    <cellStyle name="2_KlQdinhduyet" xfId="514"/>
    <cellStyle name="2_KlQdinhduyet 2" xfId="515"/>
    <cellStyle name="2_KlQdinhduyet_!1 1 bao cao giao KH ve HTCMT vung TNB   12-12-2011" xfId="3854"/>
    <cellStyle name="2_KlQdinhduyet_Bieu4HTMT" xfId="3855"/>
    <cellStyle name="2_KlQdinhduyet_Bieu4HTMT_!1 1 bao cao giao KH ve HTCMT vung TNB   12-12-2011" xfId="3856"/>
    <cellStyle name="2_KlQdinhduyet_Bieu4HTMT_KH TPCP vung TNB (03-1-2012)" xfId="3857"/>
    <cellStyle name="2_KlQdinhduyet_KH TPCP vung TNB (03-1-2012)" xfId="3858"/>
    <cellStyle name="2_THANDINH_NCBB SONG MAYPHOP(gia cat Vung Liem)" xfId="6953"/>
    <cellStyle name="2_TRUNG PMU 5" xfId="3859"/>
    <cellStyle name="2_ÿÿÿÿÿ" xfId="516"/>
    <cellStyle name="2_ÿÿÿÿÿ 2" xfId="517"/>
    <cellStyle name="2_ÿÿÿÿÿ_Bieu tong hop nhu cau ung 2011 da chon loc -Mien nui" xfId="3860"/>
    <cellStyle name="2_ÿÿÿÿÿ_Bieu tong hop nhu cau ung 2011 da chon loc -Mien nui 2" xfId="3861"/>
    <cellStyle name="20" xfId="6954"/>
    <cellStyle name="20% - Accent1 2" xfId="518"/>
    <cellStyle name="20% - Accent1 2 2" xfId="2355"/>
    <cellStyle name="20% - Accent1 2 3" xfId="2409"/>
    <cellStyle name="20% - Accent1 3" xfId="519"/>
    <cellStyle name="20% - Accent1 4" xfId="520"/>
    <cellStyle name="20% - Accent2 2" xfId="521"/>
    <cellStyle name="20% - Accent2 2 2" xfId="2354"/>
    <cellStyle name="20% - Accent2 2 3" xfId="2394"/>
    <cellStyle name="20% - Accent2 3" xfId="522"/>
    <cellStyle name="20% - Accent2 4" xfId="523"/>
    <cellStyle name="20% - Accent3 2" xfId="524"/>
    <cellStyle name="20% - Accent3 2 2" xfId="2353"/>
    <cellStyle name="20% - Accent3 2 3" xfId="2396"/>
    <cellStyle name="20% - Accent3 3" xfId="525"/>
    <cellStyle name="20% - Accent3 4" xfId="526"/>
    <cellStyle name="20% - Accent4 2" xfId="527"/>
    <cellStyle name="20% - Accent4 2 2" xfId="2352"/>
    <cellStyle name="20% - Accent4 2 3" xfId="2395"/>
    <cellStyle name="20% - Accent4 3" xfId="528"/>
    <cellStyle name="20% - Accent4 4" xfId="529"/>
    <cellStyle name="20% - Accent5 2" xfId="530"/>
    <cellStyle name="20% - Accent5 2 2" xfId="2351"/>
    <cellStyle name="20% - Accent5 2 3" xfId="2374"/>
    <cellStyle name="20% - Accent5 3" xfId="531"/>
    <cellStyle name="20% - Accent5 4" xfId="532"/>
    <cellStyle name="20% - Accent6 2" xfId="533"/>
    <cellStyle name="20% - Accent6 2 2" xfId="2350"/>
    <cellStyle name="20% - Accent6 2 3" xfId="2367"/>
    <cellStyle name="20% - Accent6 3" xfId="534"/>
    <cellStyle name="20% - Accent6 4" xfId="535"/>
    <cellStyle name="20% - Nhấn1" xfId="6955"/>
    <cellStyle name="20% - Nhấn2" xfId="6956"/>
    <cellStyle name="20% - Nhấn3" xfId="6957"/>
    <cellStyle name="20% - Nhấn4" xfId="6958"/>
    <cellStyle name="20% - Nhấn5" xfId="6959"/>
    <cellStyle name="20% - Nhấn6" xfId="6960"/>
    <cellStyle name="-2001" xfId="536"/>
    <cellStyle name="-2001 2" xfId="537"/>
    <cellStyle name="3" xfId="538"/>
    <cellStyle name="3 2" xfId="539"/>
    <cellStyle name="3 3" xfId="540"/>
    <cellStyle name="3 4" xfId="541"/>
    <cellStyle name="3_4 XA DE BAO NGOAI" xfId="6961"/>
    <cellStyle name="3_4 XA DE BAO NGOAI (Tien)" xfId="6962"/>
    <cellStyle name="3_Book1" xfId="542"/>
    <cellStyle name="3_Book1 2" xfId="543"/>
    <cellStyle name="3_Book1_1" xfId="544"/>
    <cellStyle name="3_Book1_1 2" xfId="545"/>
    <cellStyle name="3_Book1_1_!1 1 bao cao giao KH ve HTCMT vung TNB   12-12-2011" xfId="3862"/>
    <cellStyle name="3_Book1_1_Bieu4HTMT" xfId="3863"/>
    <cellStyle name="3_Book1_1_Bieu4HTMT_!1 1 bao cao giao KH ve HTCMT vung TNB   12-12-2011" xfId="3864"/>
    <cellStyle name="3_Book1_1_Bieu4HTMT_KH TPCP vung TNB (03-1-2012)" xfId="3865"/>
    <cellStyle name="3_Book1_1_KH TPCP vung TNB (03-1-2012)" xfId="3866"/>
    <cellStyle name="3_Cau thuy dien Ban La (Cu Anh)" xfId="546"/>
    <cellStyle name="3_Cau thuy dien Ban La (Cu Anh) 2" xfId="547"/>
    <cellStyle name="3_Cau thuy dien Ban La (Cu Anh)_!1 1 bao cao giao KH ve HTCMT vung TNB   12-12-2011" xfId="3867"/>
    <cellStyle name="3_Cau thuy dien Ban La (Cu Anh)_Bieu4HTMT" xfId="3868"/>
    <cellStyle name="3_Cau thuy dien Ban La (Cu Anh)_Bieu4HTMT_!1 1 bao cao giao KH ve HTCMT vung TNB   12-12-2011" xfId="3869"/>
    <cellStyle name="3_Cau thuy dien Ban La (Cu Anh)_Bieu4HTMT_KH TPCP vung TNB (03-1-2012)" xfId="3870"/>
    <cellStyle name="3_Cau thuy dien Ban La (Cu Anh)_KH TPCP vung TNB (03-1-2012)" xfId="3871"/>
    <cellStyle name="3_CONG 9 NHUONG" xfId="6963"/>
    <cellStyle name="3_Du toan 558 (Km17+508.12 - Km 22)" xfId="548"/>
    <cellStyle name="3_Du toan 558 (Km17+508.12 - Km 22) 2" xfId="549"/>
    <cellStyle name="3_Du toan 558 (Km17+508.12 - Km 22)_!1 1 bao cao giao KH ve HTCMT vung TNB   12-12-2011" xfId="3872"/>
    <cellStyle name="3_Du toan 558 (Km17+508.12 - Km 22)_Bieu4HTMT" xfId="3873"/>
    <cellStyle name="3_Du toan 558 (Km17+508.12 - Km 22)_Bieu4HTMT_!1 1 bao cao giao KH ve HTCMT vung TNB   12-12-2011" xfId="3874"/>
    <cellStyle name="3_Du toan 558 (Km17+508.12 - Km 22)_Bieu4HTMT_KH TPCP vung TNB (03-1-2012)" xfId="3875"/>
    <cellStyle name="3_Du toan 558 (Km17+508.12 - Km 22)_KH TPCP vung TNB (03-1-2012)" xfId="3876"/>
    <cellStyle name="3_GIA VAT LIEU DEN HIEN TRUONG" xfId="6964"/>
    <cellStyle name="3_Gia_VLQL48_duyet " xfId="550"/>
    <cellStyle name="3_Gia_VLQL48_duyet  2" xfId="551"/>
    <cellStyle name="3_Gia_VLQL48_duyet _!1 1 bao cao giao KH ve HTCMT vung TNB   12-12-2011" xfId="3877"/>
    <cellStyle name="3_Gia_VLQL48_duyet _Bieu4HTMT" xfId="3878"/>
    <cellStyle name="3_Gia_VLQL48_duyet _Bieu4HTMT_!1 1 bao cao giao KH ve HTCMT vung TNB   12-12-2011" xfId="3879"/>
    <cellStyle name="3_Gia_VLQL48_duyet _Bieu4HTMT_KH TPCP vung TNB (03-1-2012)" xfId="3880"/>
    <cellStyle name="3_Gia_VLQL48_duyet _KH TPCP vung TNB (03-1-2012)" xfId="3881"/>
    <cellStyle name="3_KlQdinhduyet" xfId="552"/>
    <cellStyle name="3_KlQdinhduyet 2" xfId="553"/>
    <cellStyle name="3_KlQdinhduyet_!1 1 bao cao giao KH ve HTCMT vung TNB   12-12-2011" xfId="3882"/>
    <cellStyle name="3_KlQdinhduyet_Bieu4HTMT" xfId="3883"/>
    <cellStyle name="3_KlQdinhduyet_Bieu4HTMT_!1 1 bao cao giao KH ve HTCMT vung TNB   12-12-2011" xfId="3884"/>
    <cellStyle name="3_KlQdinhduyet_Bieu4HTMT_KH TPCP vung TNB (03-1-2012)" xfId="3885"/>
    <cellStyle name="3_KlQdinhduyet_KH TPCP vung TNB (03-1-2012)" xfId="3886"/>
    <cellStyle name="3_THANDINH_NCBB SONG MAYPHOP(gia cat Vung Liem)" xfId="6965"/>
    <cellStyle name="3_ÿÿÿÿÿ" xfId="554"/>
    <cellStyle name="3_ÿÿÿÿÿ 2" xfId="555"/>
    <cellStyle name="³£¹æ_GZ TV" xfId="556"/>
    <cellStyle name="4" xfId="557"/>
    <cellStyle name="4 2" xfId="558"/>
    <cellStyle name="4 3" xfId="559"/>
    <cellStyle name="4 4" xfId="560"/>
    <cellStyle name="4_Book1" xfId="561"/>
    <cellStyle name="4_Book1 2" xfId="562"/>
    <cellStyle name="4_Book1_1" xfId="563"/>
    <cellStyle name="4_Book1_1 2" xfId="564"/>
    <cellStyle name="4_Book1_1_!1 1 bao cao giao KH ve HTCMT vung TNB   12-12-2011" xfId="3887"/>
    <cellStyle name="4_Book1_1_Bieu4HTMT" xfId="3888"/>
    <cellStyle name="4_Book1_1_Bieu4HTMT_!1 1 bao cao giao KH ve HTCMT vung TNB   12-12-2011" xfId="3889"/>
    <cellStyle name="4_Book1_1_Bieu4HTMT_KH TPCP vung TNB (03-1-2012)" xfId="3890"/>
    <cellStyle name="4_Book1_1_KH TPCP vung TNB (03-1-2012)" xfId="3891"/>
    <cellStyle name="4_Cau thuy dien Ban La (Cu Anh)" xfId="565"/>
    <cellStyle name="4_Cau thuy dien Ban La (Cu Anh) 2" xfId="566"/>
    <cellStyle name="4_Cau thuy dien Ban La (Cu Anh)_!1 1 bao cao giao KH ve HTCMT vung TNB   12-12-2011" xfId="3892"/>
    <cellStyle name="4_Cau thuy dien Ban La (Cu Anh)_Bieu4HTMT" xfId="3893"/>
    <cellStyle name="4_Cau thuy dien Ban La (Cu Anh)_Bieu4HTMT_!1 1 bao cao giao KH ve HTCMT vung TNB   12-12-2011" xfId="3894"/>
    <cellStyle name="4_Cau thuy dien Ban La (Cu Anh)_Bieu4HTMT_KH TPCP vung TNB (03-1-2012)" xfId="3895"/>
    <cellStyle name="4_Cau thuy dien Ban La (Cu Anh)_KH TPCP vung TNB (03-1-2012)" xfId="3896"/>
    <cellStyle name="4_Du toan 558 (Km17+508.12 - Km 22)" xfId="567"/>
    <cellStyle name="4_Du toan 558 (Km17+508.12 - Km 22) 2" xfId="568"/>
    <cellStyle name="4_Du toan 558 (Km17+508.12 - Km 22)_!1 1 bao cao giao KH ve HTCMT vung TNB   12-12-2011" xfId="3897"/>
    <cellStyle name="4_Du toan 558 (Km17+508.12 - Km 22)_Bieu4HTMT" xfId="3898"/>
    <cellStyle name="4_Du toan 558 (Km17+508.12 - Km 22)_Bieu4HTMT_!1 1 bao cao giao KH ve HTCMT vung TNB   12-12-2011" xfId="3899"/>
    <cellStyle name="4_Du toan 558 (Km17+508.12 - Km 22)_Bieu4HTMT_KH TPCP vung TNB (03-1-2012)" xfId="3900"/>
    <cellStyle name="4_Du toan 558 (Km17+508.12 - Km 22)_KH TPCP vung TNB (03-1-2012)" xfId="3901"/>
    <cellStyle name="4_Gia_VLQL48_duyet " xfId="569"/>
    <cellStyle name="4_Gia_VLQL48_duyet  2" xfId="570"/>
    <cellStyle name="4_Gia_VLQL48_duyet _!1 1 bao cao giao KH ve HTCMT vung TNB   12-12-2011" xfId="3902"/>
    <cellStyle name="4_Gia_VLQL48_duyet _Bieu4HTMT" xfId="3903"/>
    <cellStyle name="4_Gia_VLQL48_duyet _Bieu4HTMT_!1 1 bao cao giao KH ve HTCMT vung TNB   12-12-2011" xfId="3904"/>
    <cellStyle name="4_Gia_VLQL48_duyet _Bieu4HTMT_KH TPCP vung TNB (03-1-2012)" xfId="3905"/>
    <cellStyle name="4_Gia_VLQL48_duyet _KH TPCP vung TNB (03-1-2012)" xfId="3906"/>
    <cellStyle name="4_KlQdinhduyet" xfId="571"/>
    <cellStyle name="4_KlQdinhduyet 2" xfId="572"/>
    <cellStyle name="4_KlQdinhduyet_!1 1 bao cao giao KH ve HTCMT vung TNB   12-12-2011" xfId="3907"/>
    <cellStyle name="4_KlQdinhduyet_Bieu4HTMT" xfId="3908"/>
    <cellStyle name="4_KlQdinhduyet_Bieu4HTMT_!1 1 bao cao giao KH ve HTCMT vung TNB   12-12-2011" xfId="3909"/>
    <cellStyle name="4_KlQdinhduyet_Bieu4HTMT_KH TPCP vung TNB (03-1-2012)" xfId="3910"/>
    <cellStyle name="4_KlQdinhduyet_KH TPCP vung TNB (03-1-2012)" xfId="3911"/>
    <cellStyle name="4_ÿÿÿÿÿ" xfId="573"/>
    <cellStyle name="4_ÿÿÿÿÿ 2" xfId="574"/>
    <cellStyle name="40% - Accent1 2" xfId="575"/>
    <cellStyle name="40% - Accent1 2 2" xfId="2429"/>
    <cellStyle name="40% - Accent1 2 3" xfId="2400"/>
    <cellStyle name="40% - Accent1 3" xfId="576"/>
    <cellStyle name="40% - Accent1 4" xfId="577"/>
    <cellStyle name="40% - Accent2 2" xfId="578"/>
    <cellStyle name="40% - Accent2 2 2" xfId="2349"/>
    <cellStyle name="40% - Accent2 2 3" xfId="2375"/>
    <cellStyle name="40% - Accent2 3" xfId="579"/>
    <cellStyle name="40% - Accent2 4" xfId="580"/>
    <cellStyle name="40% - Accent3 2" xfId="581"/>
    <cellStyle name="40% - Accent3 2 2" xfId="2347"/>
    <cellStyle name="40% - Accent3 2 3" xfId="2402"/>
    <cellStyle name="40% - Accent3 3" xfId="582"/>
    <cellStyle name="40% - Accent3 4" xfId="583"/>
    <cellStyle name="40% - Accent4 2" xfId="584"/>
    <cellStyle name="40% - Accent4 2 2" xfId="2346"/>
    <cellStyle name="40% - Accent4 2 3" xfId="2398"/>
    <cellStyle name="40% - Accent4 3" xfId="585"/>
    <cellStyle name="40% - Accent4 4" xfId="586"/>
    <cellStyle name="40% - Accent5 2" xfId="587"/>
    <cellStyle name="40% - Accent5 2 2" xfId="2345"/>
    <cellStyle name="40% - Accent5 2 3" xfId="2380"/>
    <cellStyle name="40% - Accent5 3" xfId="588"/>
    <cellStyle name="40% - Accent5 4" xfId="589"/>
    <cellStyle name="40% - Accent6 2" xfId="590"/>
    <cellStyle name="40% - Accent6 2 2" xfId="2344"/>
    <cellStyle name="40% - Accent6 2 3" xfId="2384"/>
    <cellStyle name="40% - Accent6 3" xfId="591"/>
    <cellStyle name="40% - Accent6 4" xfId="592"/>
    <cellStyle name="40% - Nhấn1" xfId="6966"/>
    <cellStyle name="40% - Nhấn2" xfId="6967"/>
    <cellStyle name="40% - Nhấn3" xfId="6968"/>
    <cellStyle name="40% - Nhấn4" xfId="6969"/>
    <cellStyle name="40% - Nhấn5" xfId="6970"/>
    <cellStyle name="40% - Nhấn6" xfId="6971"/>
    <cellStyle name="52" xfId="3912"/>
    <cellStyle name="6" xfId="593"/>
    <cellStyle name="6 2" xfId="594"/>
    <cellStyle name="6 3" xfId="595"/>
    <cellStyle name="6 4" xfId="596"/>
    <cellStyle name="6???_x0002_¯ög6hÅ‡6???_x0002_¹?ß_x0008_,Ñ‡6???_x0002_…#×&gt;Ò ‡6???_x0002_é_x0007_ß_x0008__x001c__x000b__x001e_?????_x000a_?_x0001_???????_x0014_?_x0001_???????_x001e_?fB_x000f_c????_x0018_I¿_x0008_v_x0010_‡6Ö_x0002_Ÿ6????ía??_x0012_c??????????????_x0001_?????????_x0001_?_x0001_?_x0001_?" xfId="6972"/>
    <cellStyle name="6???_x0002_¯ög6hÅ‡6???_x0002_¹?ß_x0008_,Ñ‡6???_x0002_…#×&gt;Ò ‡6???_x0002_é_x0007_ß_x0008__x001c__x000b__x001e_?????_x000a_?_x0001_???????_x0014_?_x0001_???????_x001e_?fB_x000f_c????_x0018_I¿_x0008_v_x0010_‡6Ö_x0002_Ÿ6????_x0015_l??Õm??????????????_x0001_?????????_x0001_?_x0001_?_x0001_?" xfId="6973"/>
    <cellStyle name="6_15_10_2013 BC nhu cau von doi ung ODA (2014-2016) ngay 15102013 Sua" xfId="3913"/>
    <cellStyle name="6_4 XA DE BAO NGOAI" xfId="6974"/>
    <cellStyle name="6_4 XA DE BAO NGOAI (Tien)" xfId="6975"/>
    <cellStyle name="6_BC nhu cau von doi ung ODA nganh NN (BKH)" xfId="3914"/>
    <cellStyle name="6_BC nhu cau von doi ung ODA nganh NN (BKH)_05-12  KH trung han 2016-2020 - Liem Thinh edited" xfId="3915"/>
    <cellStyle name="6_BC nhu cau von doi ung ODA nganh NN (BKH)_Copy of 05-12  KH trung han 2016-2020 - Liem Thinh edited (1)" xfId="3916"/>
    <cellStyle name="6_BC Tai co cau (bieu TH)" xfId="3917"/>
    <cellStyle name="6_BC Tai co cau (bieu TH)_05-12  KH trung han 2016-2020 - Liem Thinh edited" xfId="3918"/>
    <cellStyle name="6_BC Tai co cau (bieu TH)_Copy of 05-12  KH trung han 2016-2020 - Liem Thinh edited (1)" xfId="3919"/>
    <cellStyle name="6_CONG 9 NHUONG" xfId="6976"/>
    <cellStyle name="6_Cong trinh co y kien LD_Dang_NN_2011-Tay nguyen-9-10" xfId="3920"/>
    <cellStyle name="6_Cong trinh co y kien LD_Dang_NN_2011-Tay nguyen-9-10_!1 1 bao cao giao KH ve HTCMT vung TNB   12-12-2011" xfId="3921"/>
    <cellStyle name="6_Cong trinh co y kien LD_Dang_NN_2011-Tay nguyen-9-10_Bieu4HTMT" xfId="3922"/>
    <cellStyle name="6_Cong trinh co y kien LD_Dang_NN_2011-Tay nguyen-9-10_Bieu4HTMT_!1 1 bao cao giao KH ve HTCMT vung TNB   12-12-2011" xfId="3923"/>
    <cellStyle name="6_Cong trinh co y kien LD_Dang_NN_2011-Tay nguyen-9-10_Bieu4HTMT_KH TPCP vung TNB (03-1-2012)" xfId="3924"/>
    <cellStyle name="6_Cong trinh co y kien LD_Dang_NN_2011-Tay nguyen-9-10_KH TPCP vung TNB (03-1-2012)" xfId="3925"/>
    <cellStyle name="6_DK 2014-2015 final" xfId="3926"/>
    <cellStyle name="6_DK 2014-2015 final_05-12  KH trung han 2016-2020 - Liem Thinh edited" xfId="3927"/>
    <cellStyle name="6_DK 2014-2015 final_Copy of 05-12  KH trung han 2016-2020 - Liem Thinh edited (1)" xfId="3928"/>
    <cellStyle name="6_DK 2014-2015 new" xfId="3929"/>
    <cellStyle name="6_DK 2014-2015 new_05-12  KH trung han 2016-2020 - Liem Thinh edited" xfId="3930"/>
    <cellStyle name="6_DK 2014-2015 new_Copy of 05-12  KH trung han 2016-2020 - Liem Thinh edited (1)" xfId="3931"/>
    <cellStyle name="6_DK KH CBDT 2014 11-11-2013" xfId="3932"/>
    <cellStyle name="6_DK KH CBDT 2014 11-11-2013(1)" xfId="3933"/>
    <cellStyle name="6_DK KH CBDT 2014 11-11-2013(1)_05-12  KH trung han 2016-2020 - Liem Thinh edited" xfId="3934"/>
    <cellStyle name="6_DK KH CBDT 2014 11-11-2013(1)_Copy of 05-12  KH trung han 2016-2020 - Liem Thinh edited (1)" xfId="3935"/>
    <cellStyle name="6_DK KH CBDT 2014 11-11-2013_05-12  KH trung han 2016-2020 - Liem Thinh edited" xfId="3936"/>
    <cellStyle name="6_DK KH CBDT 2014 11-11-2013_Copy of 05-12  KH trung han 2016-2020 - Liem Thinh edited (1)" xfId="3937"/>
    <cellStyle name="6_GIA VAT LIEU DEN HIEN TRUONG" xfId="6977"/>
    <cellStyle name="6_GiaM 062005" xfId="6978"/>
    <cellStyle name="6_KH 2011-2015" xfId="3938"/>
    <cellStyle name="6_tai co cau dau tu (tong hop)1" xfId="3939"/>
    <cellStyle name="6_THANDINH_NCBB SONG MAYPHOP(gia cat Vung Liem)" xfId="6979"/>
    <cellStyle name="6_TN - Ho tro khac 2011" xfId="3940"/>
    <cellStyle name="6_TN - Ho tro khac 2011_!1 1 bao cao giao KH ve HTCMT vung TNB   12-12-2011" xfId="3941"/>
    <cellStyle name="6_TN - Ho tro khac 2011_Bieu4HTMT" xfId="3942"/>
    <cellStyle name="6_TN - Ho tro khac 2011_Bieu4HTMT_!1 1 bao cao giao KH ve HTCMT vung TNB   12-12-2011" xfId="3943"/>
    <cellStyle name="6_TN - Ho tro khac 2011_Bieu4HTMT_KH TPCP vung TNB (03-1-2012)" xfId="3944"/>
    <cellStyle name="6_TN - Ho tro khac 2011_KH TPCP vung TNB (03-1-2012)" xfId="3945"/>
    <cellStyle name="60% - Accent1 2" xfId="597"/>
    <cellStyle name="60% - Accent1 2 2" xfId="2343"/>
    <cellStyle name="60% - Accent1 2 3" xfId="2399"/>
    <cellStyle name="60% - Accent1 3" xfId="598"/>
    <cellStyle name="60% - Accent1 4" xfId="599"/>
    <cellStyle name="60% - Accent2 2" xfId="600"/>
    <cellStyle name="60% - Accent2 2 2" xfId="2342"/>
    <cellStyle name="60% - Accent2 2 3" xfId="2404"/>
    <cellStyle name="60% - Accent2 3" xfId="601"/>
    <cellStyle name="60% - Accent2 4" xfId="602"/>
    <cellStyle name="60% - Accent3 2" xfId="603"/>
    <cellStyle name="60% - Accent3 2 2" xfId="2424"/>
    <cellStyle name="60% - Accent3 2 3" xfId="2413"/>
    <cellStyle name="60% - Accent3 3" xfId="604"/>
    <cellStyle name="60% - Accent3 4" xfId="605"/>
    <cellStyle name="60% - Accent4 2" xfId="606"/>
    <cellStyle name="60% - Accent4 2 2" xfId="2341"/>
    <cellStyle name="60% - Accent4 2 3" xfId="2377"/>
    <cellStyle name="60% - Accent4 3" xfId="607"/>
    <cellStyle name="60% - Accent4 4" xfId="608"/>
    <cellStyle name="60% - Accent5 2" xfId="609"/>
    <cellStyle name="60% - Accent5 2 2" xfId="2340"/>
    <cellStyle name="60% - Accent5 2 3" xfId="2407"/>
    <cellStyle name="60% - Accent5 3" xfId="610"/>
    <cellStyle name="60% - Accent5 4" xfId="611"/>
    <cellStyle name="60% - Accent6 2" xfId="612"/>
    <cellStyle name="60% - Accent6 2 2" xfId="2339"/>
    <cellStyle name="60% - Accent6 2 3" xfId="2393"/>
    <cellStyle name="60% - Accent6 3" xfId="613"/>
    <cellStyle name="60% - Accent6 4" xfId="614"/>
    <cellStyle name="60% - Nhấn1" xfId="6980"/>
    <cellStyle name="60% - Nhấn2" xfId="6981"/>
    <cellStyle name="60% - Nhấn3" xfId="6982"/>
    <cellStyle name="60% - Nhấn4" xfId="6983"/>
    <cellStyle name="60% - Nhấn5" xfId="6984"/>
    <cellStyle name="60% - Nhấn6" xfId="6985"/>
    <cellStyle name="9" xfId="615"/>
    <cellStyle name="9 2" xfId="616"/>
    <cellStyle name="9_!1 1 bao cao giao KH ve HTCMT vung TNB   12-12-2011" xfId="3946"/>
    <cellStyle name="9_Bieu4HTMT" xfId="3947"/>
    <cellStyle name="9_Bieu4HTMT_!1 1 bao cao giao KH ve HTCMT vung TNB   12-12-2011" xfId="3948"/>
    <cellStyle name="9_Bieu4HTMT_KH TPCP vung TNB (03-1-2012)" xfId="3949"/>
    <cellStyle name="9_KH TPCP vung TNB (03-1-2012)" xfId="3950"/>
    <cellStyle name="a" xfId="6986"/>
    <cellStyle name="Accent1 2" xfId="617"/>
    <cellStyle name="Accent1 2 2" xfId="2338"/>
    <cellStyle name="Accent1 2 3" xfId="2405"/>
    <cellStyle name="Accent1 3" xfId="618"/>
    <cellStyle name="Accent1 4" xfId="619"/>
    <cellStyle name="Accent2 2" xfId="620"/>
    <cellStyle name="Accent2 2 2" xfId="2337"/>
    <cellStyle name="Accent2 2 3" xfId="2397"/>
    <cellStyle name="Accent2 3" xfId="621"/>
    <cellStyle name="Accent2 4" xfId="622"/>
    <cellStyle name="Accent3 2" xfId="623"/>
    <cellStyle name="Accent3 2 2" xfId="2336"/>
    <cellStyle name="Accent3 2 3" xfId="2392"/>
    <cellStyle name="Accent3 3" xfId="624"/>
    <cellStyle name="Accent3 4" xfId="625"/>
    <cellStyle name="Accent4 2" xfId="626"/>
    <cellStyle name="Accent4 2 2" xfId="2423"/>
    <cellStyle name="Accent4 2 3" xfId="2406"/>
    <cellStyle name="Accent4 3" xfId="627"/>
    <cellStyle name="Accent4 4" xfId="628"/>
    <cellStyle name="Accent5 2" xfId="629"/>
    <cellStyle name="Accent5 2 2" xfId="2335"/>
    <cellStyle name="Accent5 2 3" xfId="2391"/>
    <cellStyle name="Accent5 3" xfId="630"/>
    <cellStyle name="Accent5 4" xfId="631"/>
    <cellStyle name="Accent6 2" xfId="632"/>
    <cellStyle name="Accent6 2 2" xfId="2334"/>
    <cellStyle name="Accent6 2 3" xfId="2371"/>
    <cellStyle name="Accent6 3" xfId="633"/>
    <cellStyle name="Accent6 4" xfId="634"/>
    <cellStyle name="ÅëÈ­ [0]" xfId="6987"/>
    <cellStyle name="AeE­ [0]_INQUIRY ¿?¾÷AßAø " xfId="635"/>
    <cellStyle name="ÅëÈ­ [0]_L601CPT" xfId="636"/>
    <cellStyle name="ÅëÈ­_      " xfId="637"/>
    <cellStyle name="AeE­_INQUIRY ¿?¾÷AßAø " xfId="638"/>
    <cellStyle name="ÅëÈ­_L601CPT" xfId="639"/>
    <cellStyle name="Al" xfId="6988"/>
    <cellStyle name="args.style" xfId="640"/>
    <cellStyle name="args.style 2" xfId="3951"/>
    <cellStyle name="at" xfId="641"/>
    <cellStyle name="at 2" xfId="642"/>
    <cellStyle name="ÄÞ¸¶ [0]" xfId="6989"/>
    <cellStyle name="AÞ¸¶ [0]_INQUIRY ¿?¾÷AßAø " xfId="643"/>
    <cellStyle name="ÄÞ¸¶ [0]_L601CPT" xfId="6990"/>
    <cellStyle name="ÄÞ¸¶_      " xfId="644"/>
    <cellStyle name="AÞ¸¶_INQUIRY ¿?¾÷AßAø " xfId="645"/>
    <cellStyle name="ÄÞ¸¶_L601CPT" xfId="6991"/>
    <cellStyle name="AutoFormat Options" xfId="646"/>
    <cellStyle name="AutoFormat Options 2" xfId="3952"/>
    <cellStyle name="Bad 2" xfId="647"/>
    <cellStyle name="Bad 2 2" xfId="2333"/>
    <cellStyle name="Bad 2 3" xfId="2390"/>
    <cellStyle name="Bad 3" xfId="648"/>
    <cellStyle name="Bad 4" xfId="649"/>
    <cellStyle name="BILL제목" xfId="6992"/>
    <cellStyle name="Body" xfId="650"/>
    <cellStyle name="Body 2" xfId="651"/>
    <cellStyle name="C?AØ_¿?¾÷CoE² " xfId="652"/>
    <cellStyle name="C~1" xfId="653"/>
    <cellStyle name="C~1 2" xfId="654"/>
    <cellStyle name="Ç¥ÁØ_      " xfId="655"/>
    <cellStyle name="C￥AØ_¿μ¾÷CoE² " xfId="656"/>
    <cellStyle name="Ç¥ÁØ_±¸¹Ì´ëÃ¥" xfId="657"/>
    <cellStyle name="C￥AØ_Sheet1_¿μ¾÷CoE² " xfId="658"/>
    <cellStyle name="Ç¥ÁØ_ÿÿÿÿÿÿ_4_ÃÑÇÕ°è " xfId="3953"/>
    <cellStyle name="Ç§Î»·Ö¸ô[0]_Sheet1" xfId="659"/>
    <cellStyle name="Ç§Î»·Ö¸ô_Sheet1" xfId="660"/>
    <cellStyle name="Calc Currency (0)" xfId="661"/>
    <cellStyle name="Calc Currency (0) 2" xfId="662"/>
    <cellStyle name="Calc Currency (0) 3" xfId="663"/>
    <cellStyle name="Calc Currency (0) 4" xfId="664"/>
    <cellStyle name="Calc Currency (2)" xfId="665"/>
    <cellStyle name="Calc Currency (2) 10" xfId="3954"/>
    <cellStyle name="Calc Currency (2) 11" xfId="3955"/>
    <cellStyle name="Calc Currency (2) 12" xfId="3956"/>
    <cellStyle name="Calc Currency (2) 13" xfId="3957"/>
    <cellStyle name="Calc Currency (2) 14" xfId="3958"/>
    <cellStyle name="Calc Currency (2) 15" xfId="3959"/>
    <cellStyle name="Calc Currency (2) 16" xfId="3960"/>
    <cellStyle name="Calc Currency (2) 2" xfId="666"/>
    <cellStyle name="Calc Currency (2) 3" xfId="3961"/>
    <cellStyle name="Calc Currency (2) 4" xfId="3962"/>
    <cellStyle name="Calc Currency (2) 5" xfId="3963"/>
    <cellStyle name="Calc Currency (2) 6" xfId="3964"/>
    <cellStyle name="Calc Currency (2) 7" xfId="3965"/>
    <cellStyle name="Calc Currency (2) 8" xfId="3966"/>
    <cellStyle name="Calc Currency (2) 9" xfId="3967"/>
    <cellStyle name="Calc Percent (0)" xfId="667"/>
    <cellStyle name="Calc Percent (0) 10" xfId="3968"/>
    <cellStyle name="Calc Percent (0) 11" xfId="3969"/>
    <cellStyle name="Calc Percent (0) 12" xfId="3970"/>
    <cellStyle name="Calc Percent (0) 13" xfId="3971"/>
    <cellStyle name="Calc Percent (0) 14" xfId="3972"/>
    <cellStyle name="Calc Percent (0) 15" xfId="3973"/>
    <cellStyle name="Calc Percent (0) 16" xfId="3974"/>
    <cellStyle name="Calc Percent (0) 2" xfId="3975"/>
    <cellStyle name="Calc Percent (0) 3" xfId="3976"/>
    <cellStyle name="Calc Percent (0) 4" xfId="3977"/>
    <cellStyle name="Calc Percent (0) 5" xfId="3978"/>
    <cellStyle name="Calc Percent (0) 6" xfId="3979"/>
    <cellStyle name="Calc Percent (0) 7" xfId="3980"/>
    <cellStyle name="Calc Percent (0) 8" xfId="3981"/>
    <cellStyle name="Calc Percent (0) 9" xfId="3982"/>
    <cellStyle name="Calc Percent (1)" xfId="668"/>
    <cellStyle name="Calc Percent (1) 10" xfId="3983"/>
    <cellStyle name="Calc Percent (1) 11" xfId="3984"/>
    <cellStyle name="Calc Percent (1) 12" xfId="3985"/>
    <cellStyle name="Calc Percent (1) 13" xfId="3986"/>
    <cellStyle name="Calc Percent (1) 14" xfId="3987"/>
    <cellStyle name="Calc Percent (1) 15" xfId="3988"/>
    <cellStyle name="Calc Percent (1) 16" xfId="3989"/>
    <cellStyle name="Calc Percent (1) 2" xfId="3990"/>
    <cellStyle name="Calc Percent (1) 3" xfId="3991"/>
    <cellStyle name="Calc Percent (1) 4" xfId="3992"/>
    <cellStyle name="Calc Percent (1) 5" xfId="3993"/>
    <cellStyle name="Calc Percent (1) 6" xfId="3994"/>
    <cellStyle name="Calc Percent (1) 7" xfId="3995"/>
    <cellStyle name="Calc Percent (1) 8" xfId="3996"/>
    <cellStyle name="Calc Percent (1) 9" xfId="3997"/>
    <cellStyle name="Calc Percent (2)" xfId="669"/>
    <cellStyle name="Calc Percent (2) 10" xfId="3998"/>
    <cellStyle name="Calc Percent (2) 11" xfId="3999"/>
    <cellStyle name="Calc Percent (2) 12" xfId="4000"/>
    <cellStyle name="Calc Percent (2) 13" xfId="4001"/>
    <cellStyle name="Calc Percent (2) 14" xfId="4002"/>
    <cellStyle name="Calc Percent (2) 15" xfId="4003"/>
    <cellStyle name="Calc Percent (2) 16" xfId="4004"/>
    <cellStyle name="Calc Percent (2) 2" xfId="670"/>
    <cellStyle name="Calc Percent (2) 3" xfId="4005"/>
    <cellStyle name="Calc Percent (2) 4" xfId="4006"/>
    <cellStyle name="Calc Percent (2) 5" xfId="4007"/>
    <cellStyle name="Calc Percent (2) 6" xfId="4008"/>
    <cellStyle name="Calc Percent (2) 7" xfId="4009"/>
    <cellStyle name="Calc Percent (2) 8" xfId="4010"/>
    <cellStyle name="Calc Percent (2) 9" xfId="4011"/>
    <cellStyle name="Calc Units (0)" xfId="671"/>
    <cellStyle name="Calc Units (0) 10" xfId="4012"/>
    <cellStyle name="Calc Units (0) 11" xfId="4013"/>
    <cellStyle name="Calc Units (0) 12" xfId="4014"/>
    <cellStyle name="Calc Units (0) 13" xfId="4015"/>
    <cellStyle name="Calc Units (0) 14" xfId="4016"/>
    <cellStyle name="Calc Units (0) 15" xfId="4017"/>
    <cellStyle name="Calc Units (0) 16" xfId="4018"/>
    <cellStyle name="Calc Units (0) 2" xfId="672"/>
    <cellStyle name="Calc Units (0) 3" xfId="4019"/>
    <cellStyle name="Calc Units (0) 4" xfId="4020"/>
    <cellStyle name="Calc Units (0) 5" xfId="4021"/>
    <cellStyle name="Calc Units (0) 6" xfId="4022"/>
    <cellStyle name="Calc Units (0) 7" xfId="4023"/>
    <cellStyle name="Calc Units (0) 8" xfId="4024"/>
    <cellStyle name="Calc Units (0) 9" xfId="4025"/>
    <cellStyle name="Calc Units (1)" xfId="673"/>
    <cellStyle name="Calc Units (1) 10" xfId="4026"/>
    <cellStyle name="Calc Units (1) 11" xfId="4027"/>
    <cellStyle name="Calc Units (1) 12" xfId="4028"/>
    <cellStyle name="Calc Units (1) 13" xfId="4029"/>
    <cellStyle name="Calc Units (1) 14" xfId="4030"/>
    <cellStyle name="Calc Units (1) 15" xfId="4031"/>
    <cellStyle name="Calc Units (1) 16" xfId="4032"/>
    <cellStyle name="Calc Units (1) 2" xfId="674"/>
    <cellStyle name="Calc Units (1) 3" xfId="4033"/>
    <cellStyle name="Calc Units (1) 4" xfId="4034"/>
    <cellStyle name="Calc Units (1) 5" xfId="4035"/>
    <cellStyle name="Calc Units (1) 6" xfId="4036"/>
    <cellStyle name="Calc Units (1) 7" xfId="4037"/>
    <cellStyle name="Calc Units (1) 8" xfId="4038"/>
    <cellStyle name="Calc Units (1) 9" xfId="4039"/>
    <cellStyle name="Calc Units (2)" xfId="675"/>
    <cellStyle name="Calc Units (2) 10" xfId="4040"/>
    <cellStyle name="Calc Units (2) 11" xfId="4041"/>
    <cellStyle name="Calc Units (2) 12" xfId="4042"/>
    <cellStyle name="Calc Units (2) 13" xfId="4043"/>
    <cellStyle name="Calc Units (2) 14" xfId="4044"/>
    <cellStyle name="Calc Units (2) 15" xfId="4045"/>
    <cellStyle name="Calc Units (2) 16" xfId="4046"/>
    <cellStyle name="Calc Units (2) 2" xfId="676"/>
    <cellStyle name="Calc Units (2) 3" xfId="4047"/>
    <cellStyle name="Calc Units (2) 4" xfId="4048"/>
    <cellStyle name="Calc Units (2) 5" xfId="4049"/>
    <cellStyle name="Calc Units (2) 6" xfId="4050"/>
    <cellStyle name="Calc Units (2) 7" xfId="4051"/>
    <cellStyle name="Calc Units (2) 8" xfId="4052"/>
    <cellStyle name="Calc Units (2) 9" xfId="4053"/>
    <cellStyle name="Calculation 2" xfId="677"/>
    <cellStyle name="Calculation 2 2" xfId="2332"/>
    <cellStyle name="Calculation 2 3" xfId="2385"/>
    <cellStyle name="Calculation 3" xfId="678"/>
    <cellStyle name="Calculation 4" xfId="679"/>
    <cellStyle name="category" xfId="680"/>
    <cellStyle name="category 2" xfId="681"/>
    <cellStyle name="category 3" xfId="682"/>
    <cellStyle name="category 4" xfId="683"/>
    <cellStyle name="CC1" xfId="6993"/>
    <cellStyle name="CC2" xfId="6994"/>
    <cellStyle name="Centered Heading" xfId="4054"/>
    <cellStyle name="Cerrency_Sheet2_XANGDAU" xfId="684"/>
    <cellStyle name="Check Cell 2" xfId="795"/>
    <cellStyle name="Check Cell 2 2" xfId="2329"/>
    <cellStyle name="Check Cell 2 3" xfId="2401"/>
    <cellStyle name="Check Cell 3" xfId="796"/>
    <cellStyle name="Check Cell 4" xfId="797"/>
    <cellStyle name="Chi phÝ kh¸c_Book1" xfId="798"/>
    <cellStyle name="CHUONG" xfId="799"/>
    <cellStyle name="CHUONG 2" xfId="800"/>
    <cellStyle name="Column_Title" xfId="4055"/>
    <cellStyle name="Comma" xfId="1" builtinId="3"/>
    <cellStyle name="Comma  - Style1" xfId="685"/>
    <cellStyle name="Comma  - Style1 2" xfId="686"/>
    <cellStyle name="Comma  - Style2" xfId="687"/>
    <cellStyle name="Comma  - Style2 2" xfId="688"/>
    <cellStyle name="Comma  - Style3" xfId="689"/>
    <cellStyle name="Comma  - Style3 2" xfId="690"/>
    <cellStyle name="Comma  - Style4" xfId="691"/>
    <cellStyle name="Comma  - Style4 2" xfId="692"/>
    <cellStyle name="Comma  - Style5" xfId="693"/>
    <cellStyle name="Comma  - Style5 2" xfId="694"/>
    <cellStyle name="Comma  - Style6" xfId="695"/>
    <cellStyle name="Comma  - Style6 2" xfId="696"/>
    <cellStyle name="Comma  - Style7" xfId="697"/>
    <cellStyle name="Comma  - Style7 2" xfId="698"/>
    <cellStyle name="Comma  - Style8" xfId="699"/>
    <cellStyle name="Comma  - Style8 2" xfId="700"/>
    <cellStyle name="Comma %" xfId="4056"/>
    <cellStyle name="Comma % 10" xfId="4057"/>
    <cellStyle name="Comma % 11" xfId="4058"/>
    <cellStyle name="Comma % 12" xfId="4059"/>
    <cellStyle name="Comma % 13" xfId="4060"/>
    <cellStyle name="Comma % 14" xfId="4061"/>
    <cellStyle name="Comma % 15" xfId="4062"/>
    <cellStyle name="Comma % 2" xfId="4063"/>
    <cellStyle name="Comma % 3" xfId="4064"/>
    <cellStyle name="Comma % 4" xfId="4065"/>
    <cellStyle name="Comma % 5" xfId="4066"/>
    <cellStyle name="Comma % 6" xfId="4067"/>
    <cellStyle name="Comma % 7" xfId="4068"/>
    <cellStyle name="Comma % 8" xfId="4069"/>
    <cellStyle name="Comma % 9" xfId="4070"/>
    <cellStyle name="Comma [0] 10" xfId="4071"/>
    <cellStyle name="Comma [0] 11" xfId="4072"/>
    <cellStyle name="Comma [0] 2" xfId="4073"/>
    <cellStyle name="Comma [0] 2 10" xfId="4074"/>
    <cellStyle name="Comma [0] 2 11" xfId="4075"/>
    <cellStyle name="Comma [0] 2 12" xfId="4076"/>
    <cellStyle name="Comma [0] 2 13" xfId="4077"/>
    <cellStyle name="Comma [0] 2 14" xfId="4078"/>
    <cellStyle name="Comma [0] 2 15" xfId="4079"/>
    <cellStyle name="Comma [0] 2 16" xfId="4080"/>
    <cellStyle name="Comma [0] 2 17" xfId="4081"/>
    <cellStyle name="Comma [0] 2 18" xfId="4082"/>
    <cellStyle name="Comma [0] 2 19" xfId="4083"/>
    <cellStyle name="Comma [0] 2 2" xfId="4084"/>
    <cellStyle name="Comma [0] 2 2 2" xfId="4085"/>
    <cellStyle name="Comma [0] 2 20" xfId="4086"/>
    <cellStyle name="Comma [0] 2 21" xfId="4087"/>
    <cellStyle name="Comma [0] 2 22" xfId="4088"/>
    <cellStyle name="Comma [0] 2 23" xfId="4089"/>
    <cellStyle name="Comma [0] 2 24" xfId="4090"/>
    <cellStyle name="Comma [0] 2 25" xfId="4091"/>
    <cellStyle name="Comma [0] 2 26" xfId="4092"/>
    <cellStyle name="Comma [0] 2 3" xfId="4093"/>
    <cellStyle name="Comma [0] 2 4" xfId="4094"/>
    <cellStyle name="Comma [0] 2 5" xfId="4095"/>
    <cellStyle name="Comma [0] 2 6" xfId="4096"/>
    <cellStyle name="Comma [0] 2 7" xfId="4097"/>
    <cellStyle name="Comma [0] 2 8" xfId="4098"/>
    <cellStyle name="Comma [0] 2 9" xfId="4099"/>
    <cellStyle name="Comma [0] 2_05-12  KH trung han 2016-2020 - Liem Thinh edited" xfId="4100"/>
    <cellStyle name="Comma [0] 3" xfId="4101"/>
    <cellStyle name="Comma [0] 3 2" xfId="4102"/>
    <cellStyle name="Comma [0] 3 3" xfId="4103"/>
    <cellStyle name="Comma [0] 4" xfId="4104"/>
    <cellStyle name="Comma [0] 5" xfId="4105"/>
    <cellStyle name="Comma [0] 6" xfId="4106"/>
    <cellStyle name="Comma [0] 7" xfId="4107"/>
    <cellStyle name="Comma [0] 8" xfId="4108"/>
    <cellStyle name="Comma [0] 9" xfId="4109"/>
    <cellStyle name="Comma [00]" xfId="701"/>
    <cellStyle name="Comma [00] 10" xfId="4110"/>
    <cellStyle name="Comma [00] 11" xfId="4111"/>
    <cellStyle name="Comma [00] 12" xfId="4112"/>
    <cellStyle name="Comma [00] 13" xfId="4113"/>
    <cellStyle name="Comma [00] 14" xfId="4114"/>
    <cellStyle name="Comma [00] 15" xfId="4115"/>
    <cellStyle name="Comma [00] 16" xfId="4116"/>
    <cellStyle name="Comma [00] 2" xfId="702"/>
    <cellStyle name="Comma [00] 3" xfId="4117"/>
    <cellStyle name="Comma [00] 4" xfId="4118"/>
    <cellStyle name="Comma [00] 5" xfId="4119"/>
    <cellStyle name="Comma [00] 6" xfId="4120"/>
    <cellStyle name="Comma [00] 7" xfId="4121"/>
    <cellStyle name="Comma [00] 8" xfId="4122"/>
    <cellStyle name="Comma [00] 9" xfId="4123"/>
    <cellStyle name="Comma 0.0" xfId="4124"/>
    <cellStyle name="Comma 0.0%" xfId="4125"/>
    <cellStyle name="Comma 0.00" xfId="4126"/>
    <cellStyle name="Comma 0.00%" xfId="4127"/>
    <cellStyle name="Comma 0.000" xfId="4128"/>
    <cellStyle name="Comma 0.000%" xfId="4129"/>
    <cellStyle name="Comma 10" xfId="71"/>
    <cellStyle name="Comma 10 10" xfId="9"/>
    <cellStyle name="Comma 10 10 10" xfId="10"/>
    <cellStyle name="Comma 10 10 2" xfId="703"/>
    <cellStyle name="Comma 10 10 2 2" xfId="704"/>
    <cellStyle name="Comma 10 10 3" xfId="705"/>
    <cellStyle name="Comma 10 2" xfId="76"/>
    <cellStyle name="Comma 10 2 2" xfId="4130"/>
    <cellStyle name="Comma 10 3" xfId="2283"/>
    <cellStyle name="Comma 10 3 2" xfId="4131"/>
    <cellStyle name="Comma 10 3 3 2" xfId="4132"/>
    <cellStyle name="Comma 10 4" xfId="2665"/>
    <cellStyle name="Comma 10 4 2" xfId="2724"/>
    <cellStyle name="Comma 11" xfId="706"/>
    <cellStyle name="Comma 11 2" xfId="2303"/>
    <cellStyle name="Comma 11 3" xfId="2666"/>
    <cellStyle name="Comma 11 3 2" xfId="2725"/>
    <cellStyle name="Comma 11 3 3" xfId="4133"/>
    <cellStyle name="Comma 12" xfId="707"/>
    <cellStyle name="Comma 12 2" xfId="11"/>
    <cellStyle name="Comma 12 3" xfId="2418"/>
    <cellStyle name="Comma 12 4" xfId="2667"/>
    <cellStyle name="Comma 12 4 2" xfId="2726"/>
    <cellStyle name="Comma 13" xfId="708"/>
    <cellStyle name="Comma 13 2" xfId="65"/>
    <cellStyle name="Comma 13 2 2" xfId="4134"/>
    <cellStyle name="Comma 13 2 2 2" xfId="4135"/>
    <cellStyle name="Comma 13 2 2 2 2" xfId="4136"/>
    <cellStyle name="Comma 13 2 2 2 3" xfId="4137"/>
    <cellStyle name="Comma 13 2 2 3" xfId="4138"/>
    <cellStyle name="Comma 13 2 2 4" xfId="4139"/>
    <cellStyle name="Comma 13 2 2 5" xfId="4140"/>
    <cellStyle name="Comma 13 2 3" xfId="4141"/>
    <cellStyle name="Comma 13 2 3 2" xfId="4142"/>
    <cellStyle name="Comma 13 2 4" xfId="4143"/>
    <cellStyle name="Comma 13 2 5" xfId="4144"/>
    <cellStyle name="Comma 13 3" xfId="2668"/>
    <cellStyle name="Comma 13 3 2" xfId="2727"/>
    <cellStyle name="Comma 13 4" xfId="4145"/>
    <cellStyle name="Comma 14" xfId="12"/>
    <cellStyle name="Comma 14 2" xfId="13"/>
    <cellStyle name="Comma 14 2 2" xfId="709"/>
    <cellStyle name="Comma 14 3" xfId="710"/>
    <cellStyle name="Comma 14 4" xfId="711"/>
    <cellStyle name="Comma 15" xfId="712"/>
    <cellStyle name="Comma 15 2" xfId="713"/>
    <cellStyle name="Comma 15 2 2" xfId="714"/>
    <cellStyle name="Comma 15 3" xfId="715"/>
    <cellStyle name="Comma 16" xfId="716"/>
    <cellStyle name="Comma 16 2" xfId="2439"/>
    <cellStyle name="Comma 16 3" xfId="2669"/>
    <cellStyle name="Comma 16 3 2" xfId="2728"/>
    <cellStyle name="Comma 16 3 2 2" xfId="4146"/>
    <cellStyle name="Comma 16 3 3" xfId="4147"/>
    <cellStyle name="Comma 16 3 3 2" xfId="4148"/>
    <cellStyle name="Comma 16 3 4" xfId="4149"/>
    <cellStyle name="Comma 17" xfId="717"/>
    <cellStyle name="Comma 17 2" xfId="2284"/>
    <cellStyle name="Comma 17 3" xfId="2670"/>
    <cellStyle name="Comma 17 3 2" xfId="2729"/>
    <cellStyle name="Comma 17 4" xfId="4150"/>
    <cellStyle name="Comma 18" xfId="718"/>
    <cellStyle name="Comma 18 2" xfId="2305"/>
    <cellStyle name="Comma 18 3" xfId="2671"/>
    <cellStyle name="Comma 18 3 2" xfId="2730"/>
    <cellStyle name="Comma 19" xfId="719"/>
    <cellStyle name="Comma 19 2" xfId="2306"/>
    <cellStyle name="Comma 19 3" xfId="2672"/>
    <cellStyle name="Comma 19 3 2" xfId="2731"/>
    <cellStyle name="Comma 2" xfId="14"/>
    <cellStyle name="Comma 2 10" xfId="4151"/>
    <cellStyle name="Comma 2 11" xfId="4152"/>
    <cellStyle name="Comma 2 12" xfId="4153"/>
    <cellStyle name="Comma 2 13" xfId="4154"/>
    <cellStyle name="Comma 2 14" xfId="4155"/>
    <cellStyle name="Comma 2 15" xfId="4156"/>
    <cellStyle name="Comma 2 16" xfId="4157"/>
    <cellStyle name="Comma 2 17" xfId="4158"/>
    <cellStyle name="Comma 2 18" xfId="4159"/>
    <cellStyle name="Comma 2 19" xfId="4160"/>
    <cellStyle name="Comma 2 2" xfId="720"/>
    <cellStyle name="Comma 2 2 10" xfId="4161"/>
    <cellStyle name="Comma 2 2 11" xfId="4162"/>
    <cellStyle name="Comma 2 2 12" xfId="4163"/>
    <cellStyle name="Comma 2 2 13" xfId="4164"/>
    <cellStyle name="Comma 2 2 14" xfId="4165"/>
    <cellStyle name="Comma 2 2 15" xfId="4166"/>
    <cellStyle name="Comma 2 2 16" xfId="4167"/>
    <cellStyle name="Comma 2 2 17" xfId="4168"/>
    <cellStyle name="Comma 2 2 18" xfId="4169"/>
    <cellStyle name="Comma 2 2 19" xfId="4170"/>
    <cellStyle name="Comma 2 2 2" xfId="721"/>
    <cellStyle name="Comma 2 2 2 10" xfId="4171"/>
    <cellStyle name="Comma 2 2 2 11" xfId="4172"/>
    <cellStyle name="Comma 2 2 2 12" xfId="4173"/>
    <cellStyle name="Comma 2 2 2 13" xfId="4174"/>
    <cellStyle name="Comma 2 2 2 14" xfId="4175"/>
    <cellStyle name="Comma 2 2 2 15" xfId="4176"/>
    <cellStyle name="Comma 2 2 2 16" xfId="4177"/>
    <cellStyle name="Comma 2 2 2 17" xfId="4178"/>
    <cellStyle name="Comma 2 2 2 18" xfId="4179"/>
    <cellStyle name="Comma 2 2 2 19" xfId="4180"/>
    <cellStyle name="Comma 2 2 2 2" xfId="4181"/>
    <cellStyle name="Comma 2 2 2 2 2" xfId="4182"/>
    <cellStyle name="Comma 2 2 2 20" xfId="4183"/>
    <cellStyle name="Comma 2 2 2 21" xfId="4184"/>
    <cellStyle name="Comma 2 2 2 22" xfId="4185"/>
    <cellStyle name="Comma 2 2 2 23" xfId="4186"/>
    <cellStyle name="Comma 2 2 2 24" xfId="4187"/>
    <cellStyle name="Comma 2 2 2 3" xfId="4188"/>
    <cellStyle name="Comma 2 2 2 4" xfId="4189"/>
    <cellStyle name="Comma 2 2 2 5" xfId="4190"/>
    <cellStyle name="Comma 2 2 2 6" xfId="4191"/>
    <cellStyle name="Comma 2 2 2 7" xfId="4192"/>
    <cellStyle name="Comma 2 2 2 8" xfId="4193"/>
    <cellStyle name="Comma 2 2 2 9" xfId="4194"/>
    <cellStyle name="Comma 2 2 20" xfId="4195"/>
    <cellStyle name="Comma 2 2 21" xfId="4196"/>
    <cellStyle name="Comma 2 2 22" xfId="4197"/>
    <cellStyle name="Comma 2 2 23" xfId="4198"/>
    <cellStyle name="Comma 2 2 24" xfId="4199"/>
    <cellStyle name="Comma 2 2 24 2" xfId="4200"/>
    <cellStyle name="Comma 2 2 25" xfId="4201"/>
    <cellStyle name="Comma 2 2 3" xfId="722"/>
    <cellStyle name="Comma 2 2 3 2" xfId="4202"/>
    <cellStyle name="Comma 2 2 4" xfId="4203"/>
    <cellStyle name="Comma 2 2 5" xfId="4204"/>
    <cellStyle name="Comma 2 2 6" xfId="4205"/>
    <cellStyle name="Comma 2 2 7" xfId="4206"/>
    <cellStyle name="Comma 2 2 8" xfId="4207"/>
    <cellStyle name="Comma 2 2 9" xfId="4208"/>
    <cellStyle name="Comma 2 2_05-12  KH trung han 2016-2020 - Liem Thinh edited" xfId="4209"/>
    <cellStyle name="Comma 2 20" xfId="4210"/>
    <cellStyle name="Comma 2 21" xfId="4211"/>
    <cellStyle name="Comma 2 22" xfId="4212"/>
    <cellStyle name="Comma 2 23" xfId="4213"/>
    <cellStyle name="Comma 2 24" xfId="4214"/>
    <cellStyle name="Comma 2 25" xfId="4215"/>
    <cellStyle name="Comma 2 26" xfId="4216"/>
    <cellStyle name="Comma 2 26 2" xfId="4217"/>
    <cellStyle name="Comma 2 27" xfId="4218"/>
    <cellStyle name="Comma 2 28" xfId="723"/>
    <cellStyle name="Comma 2 3" xfId="724"/>
    <cellStyle name="Comma 2 3 2" xfId="4219"/>
    <cellStyle name="Comma 2 3 2 2" xfId="4220"/>
    <cellStyle name="Comma 2 3 2 3" xfId="4221"/>
    <cellStyle name="Comma 2 3 3" xfId="4222"/>
    <cellStyle name="Comma 2 4" xfId="725"/>
    <cellStyle name="Comma 2 4 2" xfId="4223"/>
    <cellStyle name="Comma 2 5" xfId="726"/>
    <cellStyle name="Comma 2 5 2" xfId="4224"/>
    <cellStyle name="Comma 2 5 3" xfId="4225"/>
    <cellStyle name="Comma 2 6" xfId="4226"/>
    <cellStyle name="Comma 2 7" xfId="4227"/>
    <cellStyle name="Comma 2 8" xfId="4228"/>
    <cellStyle name="Comma 2 9" xfId="4229"/>
    <cellStyle name="Comma 2_05-12  KH trung han 2016-2020 - Liem Thinh edited" xfId="4230"/>
    <cellStyle name="Comma 20" xfId="727"/>
    <cellStyle name="Comma 20 2" xfId="2427"/>
    <cellStyle name="Comma 20 3" xfId="2673"/>
    <cellStyle name="Comma 20 3 2" xfId="2732"/>
    <cellStyle name="Comma 21" xfId="728"/>
    <cellStyle name="Comma 21 2" xfId="729"/>
    <cellStyle name="Comma 21 2 2" xfId="730"/>
    <cellStyle name="Comma 21 2 2 2" xfId="2428"/>
    <cellStyle name="Comma 21 2 2 3" xfId="2676"/>
    <cellStyle name="Comma 21 2 2 3 2" xfId="2733"/>
    <cellStyle name="Comma 21 2 3" xfId="64"/>
    <cellStyle name="Comma 21 2 4" xfId="2675"/>
    <cellStyle name="Comma 21 2 4 2" xfId="2734"/>
    <cellStyle name="Comma 21 3" xfId="731"/>
    <cellStyle name="Comma 21 3 2" xfId="2277"/>
    <cellStyle name="Comma 21 3 3" xfId="2677"/>
    <cellStyle name="Comma 21 3 3 2" xfId="2735"/>
    <cellStyle name="Comma 21 4" xfId="2307"/>
    <cellStyle name="Comma 21 5" xfId="2674"/>
    <cellStyle name="Comma 21 5 2" xfId="2736"/>
    <cellStyle name="Comma 22" xfId="732"/>
    <cellStyle name="Comma 22 2" xfId="733"/>
    <cellStyle name="Comma 22 2 2" xfId="734"/>
    <cellStyle name="Comma 22 2 2 2" xfId="2438"/>
    <cellStyle name="Comma 22 2 2 3" xfId="2680"/>
    <cellStyle name="Comma 22 2 2 3 2" xfId="2737"/>
    <cellStyle name="Comma 22 2 3" xfId="2289"/>
    <cellStyle name="Comma 22 2 4" xfId="2679"/>
    <cellStyle name="Comma 22 2 4 2" xfId="2738"/>
    <cellStyle name="Comma 22 3" xfId="735"/>
    <cellStyle name="Comma 22 3 2" xfId="2437"/>
    <cellStyle name="Comma 22 3 3" xfId="2681"/>
    <cellStyle name="Comma 22 3 3 2" xfId="2739"/>
    <cellStyle name="Comma 22 4" xfId="63"/>
    <cellStyle name="Comma 22 5" xfId="2678"/>
    <cellStyle name="Comma 22 5 2" xfId="2740"/>
    <cellStyle name="Comma 23" xfId="736"/>
    <cellStyle name="Comma 23 2" xfId="737"/>
    <cellStyle name="Comma 23 2 2" xfId="738"/>
    <cellStyle name="Comma 23 2 2 2" xfId="2310"/>
    <cellStyle name="Comma 23 2 2 3" xfId="2684"/>
    <cellStyle name="Comma 23 2 2 3 2" xfId="2741"/>
    <cellStyle name="Comma 23 2 3" xfId="2309"/>
    <cellStyle name="Comma 23 2 4" xfId="2683"/>
    <cellStyle name="Comma 23 2 4 2" xfId="2742"/>
    <cellStyle name="Comma 23 3" xfId="739"/>
    <cellStyle name="Comma 23 3 2" xfId="2290"/>
    <cellStyle name="Comma 23 3 3" xfId="2685"/>
    <cellStyle name="Comma 23 3 3 2" xfId="2743"/>
    <cellStyle name="Comma 23 4" xfId="2308"/>
    <cellStyle name="Comma 23 5" xfId="2682"/>
    <cellStyle name="Comma 23 5 2" xfId="2744"/>
    <cellStyle name="Comma 24" xfId="740"/>
    <cellStyle name="Comma 24 2" xfId="741"/>
    <cellStyle name="Comma 24 2 2" xfId="742"/>
    <cellStyle name="Comma 24 2 2 2" xfId="2436"/>
    <cellStyle name="Comma 24 2 2 3" xfId="2688"/>
    <cellStyle name="Comma 24 2 2 3 2" xfId="2745"/>
    <cellStyle name="Comma 24 2 3" xfId="61"/>
    <cellStyle name="Comma 24 2 4" xfId="2687"/>
    <cellStyle name="Comma 24 2 4 2" xfId="2746"/>
    <cellStyle name="Comma 24 3" xfId="743"/>
    <cellStyle name="Comma 24 3 2" xfId="2311"/>
    <cellStyle name="Comma 24 3 3" xfId="2689"/>
    <cellStyle name="Comma 24 3 3 2" xfId="2747"/>
    <cellStyle name="Comma 24 4" xfId="62"/>
    <cellStyle name="Comma 24 5" xfId="2686"/>
    <cellStyle name="Comma 24 5 2" xfId="2748"/>
    <cellStyle name="Comma 25" xfId="744"/>
    <cellStyle name="Comma 25 2" xfId="4231"/>
    <cellStyle name="Comma 26" xfId="745"/>
    <cellStyle name="Comma 26 2" xfId="746"/>
    <cellStyle name="Comma 26 2 2" xfId="2312"/>
    <cellStyle name="Comma 26 2 3" xfId="2691"/>
    <cellStyle name="Comma 26 2 3 2" xfId="2749"/>
    <cellStyle name="Comma 26 3" xfId="2435"/>
    <cellStyle name="Comma 26 4" xfId="2690"/>
    <cellStyle name="Comma 26 4 2" xfId="2750"/>
    <cellStyle name="Comma 27" xfId="747"/>
    <cellStyle name="Comma 27 2" xfId="748"/>
    <cellStyle name="Comma 27 2 2" xfId="2278"/>
    <cellStyle name="Comma 27 2 3" xfId="2693"/>
    <cellStyle name="Comma 27 2 3 2" xfId="2751"/>
    <cellStyle name="Comma 27 3" xfId="2313"/>
    <cellStyle name="Comma 27 4" xfId="2692"/>
    <cellStyle name="Comma 27 4 2" xfId="2752"/>
    <cellStyle name="Comma 28" xfId="749"/>
    <cellStyle name="Comma 28 2" xfId="4232"/>
    <cellStyle name="Comma 29" xfId="750"/>
    <cellStyle name="Comma 29 2" xfId="4233"/>
    <cellStyle name="Comma 3" xfId="15"/>
    <cellStyle name="Comma 3 2" xfId="751"/>
    <cellStyle name="Comma 3 2 10" xfId="4234"/>
    <cellStyle name="Comma 3 2 11" xfId="4235"/>
    <cellStyle name="Comma 3 2 12" xfId="4236"/>
    <cellStyle name="Comma 3 2 13" xfId="4237"/>
    <cellStyle name="Comma 3 2 14" xfId="4238"/>
    <cellStyle name="Comma 3 2 15" xfId="4239"/>
    <cellStyle name="Comma 3 2 2" xfId="752"/>
    <cellStyle name="Comma 3 2 2 2" xfId="4240"/>
    <cellStyle name="Comma 3 2 2 3" xfId="4241"/>
    <cellStyle name="Comma 3 2 3" xfId="753"/>
    <cellStyle name="Comma 3 2 3 2" xfId="4242"/>
    <cellStyle name="Comma 3 2 3 3" xfId="4243"/>
    <cellStyle name="Comma 3 2 4" xfId="4244"/>
    <cellStyle name="Comma 3 2 5" xfId="4245"/>
    <cellStyle name="Comma 3 2 6" xfId="4246"/>
    <cellStyle name="Comma 3 2 7" xfId="4247"/>
    <cellStyle name="Comma 3 2 8" xfId="4248"/>
    <cellStyle name="Comma 3 2 9" xfId="4249"/>
    <cellStyle name="Comma 3 3" xfId="754"/>
    <cellStyle name="Comma 3 3 2" xfId="4250"/>
    <cellStyle name="Comma 3 3 3" xfId="4251"/>
    <cellStyle name="Comma 3 4" xfId="755"/>
    <cellStyle name="Comma 3 4 2" xfId="4252"/>
    <cellStyle name="Comma 3 4 3" xfId="4253"/>
    <cellStyle name="Comma 3 5" xfId="756"/>
    <cellStyle name="Comma 3 5 2" xfId="4254"/>
    <cellStyle name="Comma 3 6" xfId="757"/>
    <cellStyle name="Comma 3 6 2" xfId="4255"/>
    <cellStyle name="Comma 3 7" xfId="758"/>
    <cellStyle name="Comma 3_Biểu 14 - KH2015 dự án ODA" xfId="4256"/>
    <cellStyle name="Comma 30" xfId="759"/>
    <cellStyle name="Comma 30 2" xfId="4257"/>
    <cellStyle name="Comma 31" xfId="760"/>
    <cellStyle name="Comma 31 2" xfId="2422"/>
    <cellStyle name="Comma 31 3" xfId="2694"/>
    <cellStyle name="Comma 31 3 2" xfId="2753"/>
    <cellStyle name="Comma 32" xfId="761"/>
    <cellStyle name="Comma 32 2" xfId="2314"/>
    <cellStyle name="Comma 32 2 2" xfId="4258"/>
    <cellStyle name="Comma 32 3" xfId="2695"/>
    <cellStyle name="Comma 32 3 2" xfId="2754"/>
    <cellStyle name="Comma 33" xfId="4259"/>
    <cellStyle name="Comma 33 2" xfId="4260"/>
    <cellStyle name="Comma 34" xfId="4261"/>
    <cellStyle name="Comma 34 2" xfId="4262"/>
    <cellStyle name="Comma 35" xfId="4263"/>
    <cellStyle name="Comma 35 2" xfId="4264"/>
    <cellStyle name="Comma 35 3" xfId="4265"/>
    <cellStyle name="Comma 35 3 2" xfId="4266"/>
    <cellStyle name="Comma 35 4" xfId="4267"/>
    <cellStyle name="Comma 35 4 2" xfId="4268"/>
    <cellStyle name="Comma 36" xfId="4269"/>
    <cellStyle name="Comma 36 2" xfId="4270"/>
    <cellStyle name="Comma 37" xfId="4271"/>
    <cellStyle name="Comma 37 2" xfId="4272"/>
    <cellStyle name="Comma 38" xfId="4273"/>
    <cellStyle name="Comma 39" xfId="4274"/>
    <cellStyle name="Comma 39 2" xfId="4275"/>
    <cellStyle name="Comma 4" xfId="16"/>
    <cellStyle name="Comma 4 10" xfId="4276"/>
    <cellStyle name="Comma 4 11" xfId="4277"/>
    <cellStyle name="Comma 4 12" xfId="4278"/>
    <cellStyle name="Comma 4 13" xfId="4279"/>
    <cellStyle name="Comma 4 14" xfId="4280"/>
    <cellStyle name="Comma 4 15" xfId="4281"/>
    <cellStyle name="Comma 4 16" xfId="4282"/>
    <cellStyle name="Comma 4 17" xfId="4283"/>
    <cellStyle name="Comma 4 18" xfId="4284"/>
    <cellStyle name="Comma 4 19" xfId="4285"/>
    <cellStyle name="Comma 4 2" xfId="762"/>
    <cellStyle name="Comma 4 2 2" xfId="763"/>
    <cellStyle name="Comma 4 2 3" xfId="764"/>
    <cellStyle name="Comma 4 20" xfId="765"/>
    <cellStyle name="Comma 4 3" xfId="766"/>
    <cellStyle name="Comma 4 3 2" xfId="4286"/>
    <cellStyle name="Comma 4 3 2 2" xfId="4287"/>
    <cellStyle name="Comma 4 3 3" xfId="4288"/>
    <cellStyle name="Comma 4 4" xfId="767"/>
    <cellStyle name="Comma 4 4 2" xfId="4289"/>
    <cellStyle name="Comma 4 4 3" xfId="4290"/>
    <cellStyle name="Comma 4 4 4" xfId="4291"/>
    <cellStyle name="Comma 4 5" xfId="768"/>
    <cellStyle name="Comma 4 6" xfId="769"/>
    <cellStyle name="Comma 4 7" xfId="770"/>
    <cellStyle name="Comma 4 8" xfId="4292"/>
    <cellStyle name="Comma 4 9" xfId="4293"/>
    <cellStyle name="Comma 4_THEO DOI THUC HIEN (GỐC 1)" xfId="4294"/>
    <cellStyle name="Comma 40" xfId="4295"/>
    <cellStyle name="Comma 40 2" xfId="4296"/>
    <cellStyle name="Comma 41" xfId="4297"/>
    <cellStyle name="Comma 42" xfId="4298"/>
    <cellStyle name="Comma 43" xfId="4299"/>
    <cellStyle name="Comma 44" xfId="4300"/>
    <cellStyle name="Comma 45" xfId="4301"/>
    <cellStyle name="Comma 46" xfId="4302"/>
    <cellStyle name="Comma 47" xfId="4303"/>
    <cellStyle name="Comma 48" xfId="4304"/>
    <cellStyle name="Comma 49" xfId="4305"/>
    <cellStyle name="Comma 5" xfId="17"/>
    <cellStyle name="Comma 5 10" xfId="4306"/>
    <cellStyle name="Comma 5 11" xfId="4307"/>
    <cellStyle name="Comma 5 12" xfId="4308"/>
    <cellStyle name="Comma 5 13" xfId="4309"/>
    <cellStyle name="Comma 5 14" xfId="4310"/>
    <cellStyle name="Comma 5 15" xfId="4311"/>
    <cellStyle name="Comma 5 16" xfId="4312"/>
    <cellStyle name="Comma 5 17" xfId="4313"/>
    <cellStyle name="Comma 5 17 2" xfId="4314"/>
    <cellStyle name="Comma 5 18" xfId="4315"/>
    <cellStyle name="Comma 5 19" xfId="4316"/>
    <cellStyle name="Comma 5 2" xfId="18"/>
    <cellStyle name="Comma 5 2 2" xfId="4317"/>
    <cellStyle name="Comma 5 20" xfId="4318"/>
    <cellStyle name="Comma 5 3" xfId="771"/>
    <cellStyle name="Comma 5 3 2" xfId="4319"/>
    <cellStyle name="Comma 5 4" xfId="772"/>
    <cellStyle name="Comma 5 4 2" xfId="4320"/>
    <cellStyle name="Comma 5 5" xfId="4321"/>
    <cellStyle name="Comma 5 5 2" xfId="4322"/>
    <cellStyle name="Comma 5 6" xfId="4323"/>
    <cellStyle name="Comma 5 7" xfId="4324"/>
    <cellStyle name="Comma 5 8" xfId="4325"/>
    <cellStyle name="Comma 5 9" xfId="4326"/>
    <cellStyle name="Comma 5_05-12  KH trung han 2016-2020 - Liem Thinh edited" xfId="4327"/>
    <cellStyle name="Comma 50" xfId="4328"/>
    <cellStyle name="Comma 50 2" xfId="4329"/>
    <cellStyle name="Comma 51" xfId="4330"/>
    <cellStyle name="Comma 51 2" xfId="4331"/>
    <cellStyle name="Comma 52" xfId="4332"/>
    <cellStyle name="Comma 53" xfId="4333"/>
    <cellStyle name="Comma 55" xfId="2415"/>
    <cellStyle name="Comma 55 2" xfId="2315"/>
    <cellStyle name="Comma 55 3" xfId="2699"/>
    <cellStyle name="Comma 55 3 2" xfId="2755"/>
    <cellStyle name="Comma 56" xfId="2414"/>
    <cellStyle name="Comma 56 2" xfId="2279"/>
    <cellStyle name="Comma 56 3" xfId="2698"/>
    <cellStyle name="Comma 56 3 2" xfId="2756"/>
    <cellStyle name="Comma 59" xfId="19"/>
    <cellStyle name="Comma 59 2" xfId="2285"/>
    <cellStyle name="Comma 59 3" xfId="2662"/>
    <cellStyle name="Comma 59 3 2" xfId="2757"/>
    <cellStyle name="Comma 6" xfId="20"/>
    <cellStyle name="Comma 6 2" xfId="773"/>
    <cellStyle name="Comma 6 2 2" xfId="4334"/>
    <cellStyle name="Comma 6 3" xfId="774"/>
    <cellStyle name="Comma 6 4" xfId="775"/>
    <cellStyle name="Comma 6 5" xfId="776"/>
    <cellStyle name="Comma 60" xfId="21"/>
    <cellStyle name="Comma 60 2" xfId="2316"/>
    <cellStyle name="Comma 60 3" xfId="2663"/>
    <cellStyle name="Comma 60 3 2" xfId="2758"/>
    <cellStyle name="Comma 7" xfId="22"/>
    <cellStyle name="Comma 7 2" xfId="777"/>
    <cellStyle name="Comma 7 2 2" xfId="778"/>
    <cellStyle name="Comma 7 3" xfId="779"/>
    <cellStyle name="Comma 7 3 2" xfId="4335"/>
    <cellStyle name="Comma 7_20131129 Nhu cau 2014_TPCP ODA (co hoan ung)" xfId="4336"/>
    <cellStyle name="Comma 8" xfId="23"/>
    <cellStyle name="Comma 8 2" xfId="24"/>
    <cellStyle name="Comma 8 2 2" xfId="780"/>
    <cellStyle name="Comma 8 2 3" xfId="781"/>
    <cellStyle name="Comma 8 3" xfId="25"/>
    <cellStyle name="Comma 8 3 2" xfId="782"/>
    <cellStyle name="Comma 8 4" xfId="783"/>
    <cellStyle name="Comma 9" xfId="26"/>
    <cellStyle name="Comma 9 2" xfId="2317"/>
    <cellStyle name="Comma 9 2 2" xfId="4337"/>
    <cellStyle name="Comma 9 2 3" xfId="4338"/>
    <cellStyle name="Comma 9 3" xfId="2664"/>
    <cellStyle name="Comma 9 3 2" xfId="2759"/>
    <cellStyle name="Comma 9 4" xfId="4339"/>
    <cellStyle name="Comma 9 5" xfId="4340"/>
    <cellStyle name="Comma 9 6" xfId="4341"/>
    <cellStyle name="comma zerodec" xfId="784"/>
    <cellStyle name="comma zerodec 2" xfId="785"/>
    <cellStyle name="Comma0" xfId="786"/>
    <cellStyle name="Comma0 - Modelo1" xfId="6995"/>
    <cellStyle name="Comma0 - Style1" xfId="6996"/>
    <cellStyle name="Comma0 10" xfId="4342"/>
    <cellStyle name="Comma0 11" xfId="4343"/>
    <cellStyle name="Comma0 12" xfId="4344"/>
    <cellStyle name="Comma0 13" xfId="4345"/>
    <cellStyle name="Comma0 14" xfId="4346"/>
    <cellStyle name="Comma0 15" xfId="4347"/>
    <cellStyle name="Comma0 16" xfId="4348"/>
    <cellStyle name="Comma0 2" xfId="4349"/>
    <cellStyle name="Comma0 2 2" xfId="4350"/>
    <cellStyle name="Comma0 3" xfId="4351"/>
    <cellStyle name="Comma0 4" xfId="4352"/>
    <cellStyle name="Comma0 5" xfId="4353"/>
    <cellStyle name="Comma0 6" xfId="4354"/>
    <cellStyle name="Comma0 7" xfId="4355"/>
    <cellStyle name="Comma0 8" xfId="4356"/>
    <cellStyle name="Comma0 9" xfId="4357"/>
    <cellStyle name="Comma0_4 XA DE BAO NGOAI" xfId="6997"/>
    <cellStyle name="Comma1 - Modelo2" xfId="6998"/>
    <cellStyle name="Comma1 - Style2" xfId="6999"/>
    <cellStyle name="Commaɟpldt_6" xfId="7000"/>
    <cellStyle name="Company Name" xfId="4358"/>
    <cellStyle name="cong" xfId="4359"/>
    <cellStyle name="Copied" xfId="787"/>
    <cellStyle name="Copied 2" xfId="788"/>
    <cellStyle name="Co聭ma_Sheet1" xfId="4360"/>
    <cellStyle name="CR Comma" xfId="4361"/>
    <cellStyle name="CR Currency" xfId="4362"/>
    <cellStyle name="Credit" xfId="4363"/>
    <cellStyle name="Credit subtotal" xfId="4364"/>
    <cellStyle name="Credit Total" xfId="4365"/>
    <cellStyle name="Cࡵrrency_Sheet1_PRODUCTĠ" xfId="789"/>
    <cellStyle name="CT1" xfId="7001"/>
    <cellStyle name="CT2" xfId="7002"/>
    <cellStyle name="CT4" xfId="7003"/>
    <cellStyle name="Curråncy [0]_FCST_RESULTS" xfId="4366"/>
    <cellStyle name="Currency %" xfId="4367"/>
    <cellStyle name="Currency % 10" xfId="4368"/>
    <cellStyle name="Currency % 11" xfId="4369"/>
    <cellStyle name="Currency % 12" xfId="4370"/>
    <cellStyle name="Currency % 13" xfId="4371"/>
    <cellStyle name="Currency % 14" xfId="4372"/>
    <cellStyle name="Currency % 15" xfId="4373"/>
    <cellStyle name="Currency % 2" xfId="4374"/>
    <cellStyle name="Currency % 3" xfId="4375"/>
    <cellStyle name="Currency % 4" xfId="4376"/>
    <cellStyle name="Currency % 5" xfId="4377"/>
    <cellStyle name="Currency % 6" xfId="4378"/>
    <cellStyle name="Currency % 7" xfId="4379"/>
    <cellStyle name="Currency % 8" xfId="4380"/>
    <cellStyle name="Currency % 9" xfId="4381"/>
    <cellStyle name="Currency %_05-12  KH trung han 2016-2020 - Liem Thinh edited" xfId="4382"/>
    <cellStyle name="Currency [0]ßmud plant bolted_RESULTS" xfId="4383"/>
    <cellStyle name="Currency [00]" xfId="790"/>
    <cellStyle name="Currency [00] 10" xfId="4384"/>
    <cellStyle name="Currency [00] 11" xfId="4385"/>
    <cellStyle name="Currency [00] 12" xfId="4386"/>
    <cellStyle name="Currency [00] 13" xfId="4387"/>
    <cellStyle name="Currency [00] 14" xfId="4388"/>
    <cellStyle name="Currency [00] 15" xfId="4389"/>
    <cellStyle name="Currency [00] 16" xfId="4390"/>
    <cellStyle name="Currency [00] 2" xfId="791"/>
    <cellStyle name="Currency [00] 3" xfId="4391"/>
    <cellStyle name="Currency [00] 4" xfId="4392"/>
    <cellStyle name="Currency [00] 5" xfId="4393"/>
    <cellStyle name="Currency [00] 6" xfId="4394"/>
    <cellStyle name="Currency [00] 7" xfId="4395"/>
    <cellStyle name="Currency [00] 8" xfId="4396"/>
    <cellStyle name="Currency [00] 9" xfId="4397"/>
    <cellStyle name="Currency 0.0" xfId="4398"/>
    <cellStyle name="Currency 0.0%" xfId="4399"/>
    <cellStyle name="Currency 0.00" xfId="4400"/>
    <cellStyle name="Currency 0.00%" xfId="4401"/>
    <cellStyle name="Currency 0.000" xfId="4402"/>
    <cellStyle name="Currency 0.000%" xfId="4403"/>
    <cellStyle name="Currency 2" xfId="4404"/>
    <cellStyle name="Currency 2 10" xfId="4405"/>
    <cellStyle name="Currency 2 11" xfId="4406"/>
    <cellStyle name="Currency 2 12" xfId="4407"/>
    <cellStyle name="Currency 2 13" xfId="4408"/>
    <cellStyle name="Currency 2 14" xfId="4409"/>
    <cellStyle name="Currency 2 15" xfId="4410"/>
    <cellStyle name="Currency 2 16" xfId="4411"/>
    <cellStyle name="Currency 2 2" xfId="4412"/>
    <cellStyle name="Currency 2 3" xfId="4413"/>
    <cellStyle name="Currency 2 4" xfId="4414"/>
    <cellStyle name="Currency 2 5" xfId="4415"/>
    <cellStyle name="Currency 2 6" xfId="4416"/>
    <cellStyle name="Currency 2 7" xfId="4417"/>
    <cellStyle name="Currency 2 8" xfId="4418"/>
    <cellStyle name="Currency 2 9" xfId="4419"/>
    <cellStyle name="Currency![0]_FCSt (2)" xfId="4420"/>
    <cellStyle name="Currency0" xfId="792"/>
    <cellStyle name="Currency0 10" xfId="4421"/>
    <cellStyle name="Currency0 11" xfId="4422"/>
    <cellStyle name="Currency0 12" xfId="4423"/>
    <cellStyle name="Currency0 13" xfId="4424"/>
    <cellStyle name="Currency0 14" xfId="4425"/>
    <cellStyle name="Currency0 15" xfId="4426"/>
    <cellStyle name="Currency0 16" xfId="4427"/>
    <cellStyle name="Currency0 2" xfId="4428"/>
    <cellStyle name="Currency0 2 2" xfId="4429"/>
    <cellStyle name="Currency0 3" xfId="4430"/>
    <cellStyle name="Currency0 4" xfId="4431"/>
    <cellStyle name="Currency0 5" xfId="4432"/>
    <cellStyle name="Currency0 6" xfId="4433"/>
    <cellStyle name="Currency0 7" xfId="4434"/>
    <cellStyle name="Currency0 8" xfId="4435"/>
    <cellStyle name="Currency0 9" xfId="4436"/>
    <cellStyle name="Currency1" xfId="793"/>
    <cellStyle name="Currency1 10" xfId="4437"/>
    <cellStyle name="Currency1 11" xfId="4438"/>
    <cellStyle name="Currency1 12" xfId="4439"/>
    <cellStyle name="Currency1 13" xfId="4440"/>
    <cellStyle name="Currency1 14" xfId="4441"/>
    <cellStyle name="Currency1 15" xfId="4442"/>
    <cellStyle name="Currency1 16" xfId="4443"/>
    <cellStyle name="Currency1 2" xfId="794"/>
    <cellStyle name="Currency1 2 2" xfId="4444"/>
    <cellStyle name="Currency1 3" xfId="4445"/>
    <cellStyle name="Currency1 4" xfId="4446"/>
    <cellStyle name="Currency1 5" xfId="4447"/>
    <cellStyle name="Currency1 6" xfId="4448"/>
    <cellStyle name="Currency1 7" xfId="4449"/>
    <cellStyle name="Currency1 8" xfId="4450"/>
    <cellStyle name="Currency1 9" xfId="4451"/>
    <cellStyle name="D1" xfId="4452"/>
    <cellStyle name="Date" xfId="801"/>
    <cellStyle name="Date 10" xfId="4453"/>
    <cellStyle name="Date 11" xfId="4454"/>
    <cellStyle name="Date 12" xfId="4455"/>
    <cellStyle name="Date 13" xfId="4456"/>
    <cellStyle name="Date 14" xfId="4457"/>
    <cellStyle name="Date 15" xfId="4458"/>
    <cellStyle name="Date 16" xfId="4459"/>
    <cellStyle name="Date 2" xfId="4460"/>
    <cellStyle name="Date 2 2" xfId="4461"/>
    <cellStyle name="Date 3" xfId="4462"/>
    <cellStyle name="Date 4" xfId="4463"/>
    <cellStyle name="Date 5" xfId="4464"/>
    <cellStyle name="Date 6" xfId="4465"/>
    <cellStyle name="Date 7" xfId="4466"/>
    <cellStyle name="Date 8" xfId="4467"/>
    <cellStyle name="Date 9" xfId="4468"/>
    <cellStyle name="Date Short" xfId="802"/>
    <cellStyle name="Date Short 2" xfId="4469"/>
    <cellStyle name="Date_Book1" xfId="4470"/>
    <cellStyle name="Dấu_phảy 2" xfId="4472"/>
    <cellStyle name="DAUDE" xfId="4471"/>
    <cellStyle name="Debit" xfId="4473"/>
    <cellStyle name="Debit subtotal" xfId="4474"/>
    <cellStyle name="Debit Total" xfId="4475"/>
    <cellStyle name="DELTA" xfId="4476"/>
    <cellStyle name="DELTA 10" xfId="4477"/>
    <cellStyle name="DELTA 11" xfId="4478"/>
    <cellStyle name="DELTA 12" xfId="4479"/>
    <cellStyle name="DELTA 13" xfId="4480"/>
    <cellStyle name="DELTA 14" xfId="4481"/>
    <cellStyle name="DELTA 15" xfId="4482"/>
    <cellStyle name="DELTA 2" xfId="4483"/>
    <cellStyle name="DELTA 3" xfId="4484"/>
    <cellStyle name="DELTA 4" xfId="4485"/>
    <cellStyle name="DELTA 5" xfId="4486"/>
    <cellStyle name="DELTA 6" xfId="4487"/>
    <cellStyle name="DELTA 7" xfId="4488"/>
    <cellStyle name="DELTA 8" xfId="4489"/>
    <cellStyle name="DELTA 9" xfId="4490"/>
    <cellStyle name="Dezimal [0]_35ERI8T2gbIEMixb4v26icuOo" xfId="4491"/>
    <cellStyle name="Dezimal_35ERI8T2gbIEMixb4v26icuOo" xfId="4492"/>
    <cellStyle name="Dg" xfId="4493"/>
    <cellStyle name="Dgia" xfId="4494"/>
    <cellStyle name="Dgia 2" xfId="4495"/>
    <cellStyle name="Dollar (zero dec)" xfId="803"/>
    <cellStyle name="Dollar (zero dec) 10" xfId="4496"/>
    <cellStyle name="Dollar (zero dec) 11" xfId="4497"/>
    <cellStyle name="Dollar (zero dec) 12" xfId="4498"/>
    <cellStyle name="Dollar (zero dec) 13" xfId="4499"/>
    <cellStyle name="Dollar (zero dec) 14" xfId="4500"/>
    <cellStyle name="Dollar (zero dec) 15" xfId="4501"/>
    <cellStyle name="Dollar (zero dec) 16" xfId="4502"/>
    <cellStyle name="Dollar (zero dec) 2" xfId="804"/>
    <cellStyle name="Dollar (zero dec) 2 2" xfId="4503"/>
    <cellStyle name="Dollar (zero dec) 3" xfId="4504"/>
    <cellStyle name="Dollar (zero dec) 4" xfId="4505"/>
    <cellStyle name="Dollar (zero dec) 5" xfId="4506"/>
    <cellStyle name="Dollar (zero dec) 6" xfId="4507"/>
    <cellStyle name="Dollar (zero dec) 7" xfId="4508"/>
    <cellStyle name="Dollar (zero dec) 8" xfId="4509"/>
    <cellStyle name="Dollar (zero dec) 9" xfId="4510"/>
    <cellStyle name="Don gia" xfId="4511"/>
    <cellStyle name="Dziesi?tny [0]_Invoices2001Slovakia" xfId="805"/>
    <cellStyle name="Dziesi?tny_Invoices2001Slovakia" xfId="806"/>
    <cellStyle name="Dziesietny [0]_Invoices2001Slovakia" xfId="807"/>
    <cellStyle name="Dziesiętny [0]_Invoices2001Slovakia" xfId="808"/>
    <cellStyle name="Dziesietny [0]_Invoices2001Slovakia 10" xfId="809"/>
    <cellStyle name="Dziesiętny [0]_Invoices2001Slovakia 10" xfId="810"/>
    <cellStyle name="Dziesietny [0]_Invoices2001Slovakia 11" xfId="811"/>
    <cellStyle name="Dziesiętny [0]_Invoices2001Slovakia 11" xfId="812"/>
    <cellStyle name="Dziesietny [0]_Invoices2001Slovakia 12" xfId="813"/>
    <cellStyle name="Dziesiętny [0]_Invoices2001Slovakia 12" xfId="814"/>
    <cellStyle name="Dziesietny [0]_Invoices2001Slovakia 13" xfId="815"/>
    <cellStyle name="Dziesiętny [0]_Invoices2001Slovakia 13" xfId="816"/>
    <cellStyle name="Dziesietny [0]_Invoices2001Slovakia 14" xfId="817"/>
    <cellStyle name="Dziesiętny [0]_Invoices2001Slovakia 14" xfId="818"/>
    <cellStyle name="Dziesietny [0]_Invoices2001Slovakia 15" xfId="819"/>
    <cellStyle name="Dziesiętny [0]_Invoices2001Slovakia 15" xfId="820"/>
    <cellStyle name="Dziesietny [0]_Invoices2001Slovakia 16" xfId="821"/>
    <cellStyle name="Dziesiętny [0]_Invoices2001Slovakia 16" xfId="822"/>
    <cellStyle name="Dziesietny [0]_Invoices2001Slovakia 17" xfId="823"/>
    <cellStyle name="Dziesiętny [0]_Invoices2001Slovakia 17" xfId="824"/>
    <cellStyle name="Dziesietny [0]_Invoices2001Slovakia 18" xfId="825"/>
    <cellStyle name="Dziesiętny [0]_Invoices2001Slovakia 18" xfId="826"/>
    <cellStyle name="Dziesietny [0]_Invoices2001Slovakia 2" xfId="827"/>
    <cellStyle name="Dziesiętny [0]_Invoices2001Slovakia 2" xfId="828"/>
    <cellStyle name="Dziesietny [0]_Invoices2001Slovakia 3" xfId="829"/>
    <cellStyle name="Dziesiętny [0]_Invoices2001Slovakia 3" xfId="830"/>
    <cellStyle name="Dziesietny [0]_Invoices2001Slovakia 4" xfId="831"/>
    <cellStyle name="Dziesiętny [0]_Invoices2001Slovakia 4" xfId="832"/>
    <cellStyle name="Dziesietny [0]_Invoices2001Slovakia 5" xfId="833"/>
    <cellStyle name="Dziesiętny [0]_Invoices2001Slovakia 5" xfId="834"/>
    <cellStyle name="Dziesietny [0]_Invoices2001Slovakia 6" xfId="835"/>
    <cellStyle name="Dziesiętny [0]_Invoices2001Slovakia 6" xfId="836"/>
    <cellStyle name="Dziesietny [0]_Invoices2001Slovakia 7" xfId="837"/>
    <cellStyle name="Dziesiętny [0]_Invoices2001Slovakia 7" xfId="838"/>
    <cellStyle name="Dziesietny [0]_Invoices2001Slovakia 8" xfId="839"/>
    <cellStyle name="Dziesiętny [0]_Invoices2001Slovakia 8" xfId="840"/>
    <cellStyle name="Dziesietny [0]_Invoices2001Slovakia 9" xfId="841"/>
    <cellStyle name="Dziesiętny [0]_Invoices2001Slovakia 9" xfId="842"/>
    <cellStyle name="Dziesietny [0]_Invoices2001Slovakia_01_Nha so 1_Dien" xfId="4512"/>
    <cellStyle name="Dziesiętny [0]_Invoices2001Slovakia_01_Nha so 1_Dien" xfId="4513"/>
    <cellStyle name="Dziesietny [0]_Invoices2001Slovakia_05-12  KH trung han 2016-2020 - Liem Thinh edited" xfId="4514"/>
    <cellStyle name="Dziesiętny [0]_Invoices2001Slovakia_05-12  KH trung han 2016-2020 - Liem Thinh edited" xfId="4515"/>
    <cellStyle name="Dziesietny [0]_Invoices2001Slovakia_10_Nha so 10_Dien1" xfId="4516"/>
    <cellStyle name="Dziesiętny [0]_Invoices2001Slovakia_10_Nha so 10_Dien1" xfId="4517"/>
    <cellStyle name="Dziesietny [0]_Invoices2001Slovakia_Book1" xfId="843"/>
    <cellStyle name="Dziesiętny [0]_Invoices2001Slovakia_Book1" xfId="844"/>
    <cellStyle name="Dziesietny [0]_Invoices2001Slovakia_Book1 10" xfId="845"/>
    <cellStyle name="Dziesiętny [0]_Invoices2001Slovakia_Book1 10" xfId="846"/>
    <cellStyle name="Dziesietny [0]_Invoices2001Slovakia_Book1 11" xfId="847"/>
    <cellStyle name="Dziesiętny [0]_Invoices2001Slovakia_Book1 11" xfId="848"/>
    <cellStyle name="Dziesietny [0]_Invoices2001Slovakia_Book1 12" xfId="849"/>
    <cellStyle name="Dziesiętny [0]_Invoices2001Slovakia_Book1 12" xfId="850"/>
    <cellStyle name="Dziesietny [0]_Invoices2001Slovakia_Book1 13" xfId="851"/>
    <cellStyle name="Dziesiętny [0]_Invoices2001Slovakia_Book1 13" xfId="852"/>
    <cellStyle name="Dziesietny [0]_Invoices2001Slovakia_Book1 14" xfId="853"/>
    <cellStyle name="Dziesiętny [0]_Invoices2001Slovakia_Book1 14" xfId="854"/>
    <cellStyle name="Dziesietny [0]_Invoices2001Slovakia_Book1 15" xfId="855"/>
    <cellStyle name="Dziesiętny [0]_Invoices2001Slovakia_Book1 15" xfId="856"/>
    <cellStyle name="Dziesietny [0]_Invoices2001Slovakia_Book1 16" xfId="857"/>
    <cellStyle name="Dziesiętny [0]_Invoices2001Slovakia_Book1 16" xfId="858"/>
    <cellStyle name="Dziesietny [0]_Invoices2001Slovakia_Book1 17" xfId="859"/>
    <cellStyle name="Dziesiętny [0]_Invoices2001Slovakia_Book1 17" xfId="860"/>
    <cellStyle name="Dziesietny [0]_Invoices2001Slovakia_Book1 18" xfId="861"/>
    <cellStyle name="Dziesiętny [0]_Invoices2001Slovakia_Book1 18" xfId="862"/>
    <cellStyle name="Dziesietny [0]_Invoices2001Slovakia_Book1 2" xfId="863"/>
    <cellStyle name="Dziesiętny [0]_Invoices2001Slovakia_Book1 2" xfId="864"/>
    <cellStyle name="Dziesietny [0]_Invoices2001Slovakia_Book1 3" xfId="865"/>
    <cellStyle name="Dziesiętny [0]_Invoices2001Slovakia_Book1 3" xfId="866"/>
    <cellStyle name="Dziesietny [0]_Invoices2001Slovakia_Book1 4" xfId="867"/>
    <cellStyle name="Dziesiętny [0]_Invoices2001Slovakia_Book1 4" xfId="868"/>
    <cellStyle name="Dziesietny [0]_Invoices2001Slovakia_Book1 5" xfId="869"/>
    <cellStyle name="Dziesiętny [0]_Invoices2001Slovakia_Book1 5" xfId="870"/>
    <cellStyle name="Dziesietny [0]_Invoices2001Slovakia_Book1 6" xfId="871"/>
    <cellStyle name="Dziesiętny [0]_Invoices2001Slovakia_Book1 6" xfId="872"/>
    <cellStyle name="Dziesietny [0]_Invoices2001Slovakia_Book1 7" xfId="873"/>
    <cellStyle name="Dziesiętny [0]_Invoices2001Slovakia_Book1 7" xfId="874"/>
    <cellStyle name="Dziesietny [0]_Invoices2001Slovakia_Book1 8" xfId="875"/>
    <cellStyle name="Dziesiętny [0]_Invoices2001Slovakia_Book1 8" xfId="876"/>
    <cellStyle name="Dziesietny [0]_Invoices2001Slovakia_Book1 9" xfId="877"/>
    <cellStyle name="Dziesiętny [0]_Invoices2001Slovakia_Book1 9" xfId="878"/>
    <cellStyle name="Dziesietny [0]_Invoices2001Slovakia_Book1_1" xfId="4518"/>
    <cellStyle name="Dziesiętny [0]_Invoices2001Slovakia_Book1_1" xfId="4519"/>
    <cellStyle name="Dziesietny [0]_Invoices2001Slovakia_Book1_1_Book1" xfId="4520"/>
    <cellStyle name="Dziesiętny [0]_Invoices2001Slovakia_Book1_1_Book1" xfId="4521"/>
    <cellStyle name="Dziesietny [0]_Invoices2001Slovakia_Book1_2" xfId="4522"/>
    <cellStyle name="Dziesiętny [0]_Invoices2001Slovakia_Book1_2" xfId="4523"/>
    <cellStyle name="Dziesietny [0]_Invoices2001Slovakia_Book1_Nhu cau von ung truoc 2011 Tha h Hoa + Nge An gui TW" xfId="4524"/>
    <cellStyle name="Dziesiętny [0]_Invoices2001Slovakia_Book1_Nhu cau von ung truoc 2011 Tha h Hoa + Nge An gui TW" xfId="4525"/>
    <cellStyle name="Dziesietny [0]_Invoices2001Slovakia_Book1_Tong hop Cac tuyen(9-1-06)" xfId="879"/>
    <cellStyle name="Dziesiętny [0]_Invoices2001Slovakia_Book1_Tong hop Cac tuyen(9-1-06)" xfId="880"/>
    <cellStyle name="Dziesietny [0]_Invoices2001Slovakia_Book1_Tong hop Cac tuyen(9-1-06) 10" xfId="881"/>
    <cellStyle name="Dziesiętny [0]_Invoices2001Slovakia_Book1_Tong hop Cac tuyen(9-1-06) 10" xfId="882"/>
    <cellStyle name="Dziesietny [0]_Invoices2001Slovakia_Book1_Tong hop Cac tuyen(9-1-06) 11" xfId="883"/>
    <cellStyle name="Dziesiętny [0]_Invoices2001Slovakia_Book1_Tong hop Cac tuyen(9-1-06) 11" xfId="884"/>
    <cellStyle name="Dziesietny [0]_Invoices2001Slovakia_Book1_Tong hop Cac tuyen(9-1-06) 12" xfId="885"/>
    <cellStyle name="Dziesiętny [0]_Invoices2001Slovakia_Book1_Tong hop Cac tuyen(9-1-06) 12" xfId="886"/>
    <cellStyle name="Dziesietny [0]_Invoices2001Slovakia_Book1_Tong hop Cac tuyen(9-1-06) 13" xfId="887"/>
    <cellStyle name="Dziesiętny [0]_Invoices2001Slovakia_Book1_Tong hop Cac tuyen(9-1-06) 13" xfId="888"/>
    <cellStyle name="Dziesietny [0]_Invoices2001Slovakia_Book1_Tong hop Cac tuyen(9-1-06) 14" xfId="889"/>
    <cellStyle name="Dziesiętny [0]_Invoices2001Slovakia_Book1_Tong hop Cac tuyen(9-1-06) 14" xfId="890"/>
    <cellStyle name="Dziesietny [0]_Invoices2001Slovakia_Book1_Tong hop Cac tuyen(9-1-06) 15" xfId="891"/>
    <cellStyle name="Dziesiętny [0]_Invoices2001Slovakia_Book1_Tong hop Cac tuyen(9-1-06) 15" xfId="892"/>
    <cellStyle name="Dziesietny [0]_Invoices2001Slovakia_Book1_Tong hop Cac tuyen(9-1-06) 16" xfId="893"/>
    <cellStyle name="Dziesiętny [0]_Invoices2001Slovakia_Book1_Tong hop Cac tuyen(9-1-06) 16" xfId="894"/>
    <cellStyle name="Dziesietny [0]_Invoices2001Slovakia_Book1_Tong hop Cac tuyen(9-1-06) 17" xfId="895"/>
    <cellStyle name="Dziesiętny [0]_Invoices2001Slovakia_Book1_Tong hop Cac tuyen(9-1-06) 17" xfId="896"/>
    <cellStyle name="Dziesietny [0]_Invoices2001Slovakia_Book1_Tong hop Cac tuyen(9-1-06) 18" xfId="897"/>
    <cellStyle name="Dziesiętny [0]_Invoices2001Slovakia_Book1_Tong hop Cac tuyen(9-1-06) 18" xfId="898"/>
    <cellStyle name="Dziesietny [0]_Invoices2001Slovakia_Book1_Tong hop Cac tuyen(9-1-06) 2" xfId="899"/>
    <cellStyle name="Dziesiętny [0]_Invoices2001Slovakia_Book1_Tong hop Cac tuyen(9-1-06) 2" xfId="900"/>
    <cellStyle name="Dziesietny [0]_Invoices2001Slovakia_Book1_Tong hop Cac tuyen(9-1-06) 3" xfId="901"/>
    <cellStyle name="Dziesiętny [0]_Invoices2001Slovakia_Book1_Tong hop Cac tuyen(9-1-06) 3" xfId="902"/>
    <cellStyle name="Dziesietny [0]_Invoices2001Slovakia_Book1_Tong hop Cac tuyen(9-1-06) 4" xfId="903"/>
    <cellStyle name="Dziesiętny [0]_Invoices2001Slovakia_Book1_Tong hop Cac tuyen(9-1-06) 4" xfId="904"/>
    <cellStyle name="Dziesietny [0]_Invoices2001Slovakia_Book1_Tong hop Cac tuyen(9-1-06) 5" xfId="905"/>
    <cellStyle name="Dziesiętny [0]_Invoices2001Slovakia_Book1_Tong hop Cac tuyen(9-1-06) 5" xfId="906"/>
    <cellStyle name="Dziesietny [0]_Invoices2001Slovakia_Book1_Tong hop Cac tuyen(9-1-06) 6" xfId="907"/>
    <cellStyle name="Dziesiętny [0]_Invoices2001Slovakia_Book1_Tong hop Cac tuyen(9-1-06) 6" xfId="908"/>
    <cellStyle name="Dziesietny [0]_Invoices2001Slovakia_Book1_Tong hop Cac tuyen(9-1-06) 7" xfId="909"/>
    <cellStyle name="Dziesiętny [0]_Invoices2001Slovakia_Book1_Tong hop Cac tuyen(9-1-06) 7" xfId="910"/>
    <cellStyle name="Dziesietny [0]_Invoices2001Slovakia_Book1_Tong hop Cac tuyen(9-1-06) 8" xfId="911"/>
    <cellStyle name="Dziesiętny [0]_Invoices2001Slovakia_Book1_Tong hop Cac tuyen(9-1-06) 8" xfId="912"/>
    <cellStyle name="Dziesietny [0]_Invoices2001Slovakia_Book1_Tong hop Cac tuyen(9-1-06) 9" xfId="913"/>
    <cellStyle name="Dziesiętny [0]_Invoices2001Slovakia_Book1_Tong hop Cac tuyen(9-1-06) 9" xfId="914"/>
    <cellStyle name="Dziesietny [0]_Invoices2001Slovakia_Book1_ung truoc 2011 NSTW Thanh Hoa + Nge An gui Thu 12-5" xfId="4526"/>
    <cellStyle name="Dziesiętny [0]_Invoices2001Slovakia_Book1_ung truoc 2011 NSTW Thanh Hoa + Nge An gui Thu 12-5" xfId="4527"/>
    <cellStyle name="Dziesietny [0]_Invoices2001Slovakia_Copy of 05-12  KH trung han 2016-2020 - Liem Thinh edited (1)" xfId="4528"/>
    <cellStyle name="Dziesiętny [0]_Invoices2001Slovakia_Copy of 05-12  KH trung han 2016-2020 - Liem Thinh edited (1)" xfId="4529"/>
    <cellStyle name="Dziesietny [0]_Invoices2001Slovakia_d-uong+TDT" xfId="4530"/>
    <cellStyle name="Dziesiętny [0]_Invoices2001Slovakia_KH TPCP 2016-2020 (tong hop)" xfId="4531"/>
    <cellStyle name="Dziesietny [0]_Invoices2001Slovakia_NHA de xe nguyen du" xfId="4532"/>
    <cellStyle name="Dziesiętny [0]_Invoices2001Slovakia_NHA de xe nguyen du" xfId="4533"/>
    <cellStyle name="Dziesietny [0]_Invoices2001Slovakia_Nhalamviec VTC(25-1-05)" xfId="4534"/>
    <cellStyle name="Dziesiętny [0]_Invoices2001Slovakia_Nhalamviec VTC(25-1-05)" xfId="915"/>
    <cellStyle name="Dziesietny [0]_Invoices2001Slovakia_Nhu cau von ung truoc 2011 Tha h Hoa + Nge An gui TW" xfId="4535"/>
    <cellStyle name="Dziesiętny [0]_Invoices2001Slovakia_TDT KHANH HOA" xfId="916"/>
    <cellStyle name="Dziesietny [0]_Invoices2001Slovakia_TDT KHANH HOA 10" xfId="917"/>
    <cellStyle name="Dziesiętny [0]_Invoices2001Slovakia_TDT KHANH HOA 10" xfId="918"/>
    <cellStyle name="Dziesietny [0]_Invoices2001Slovakia_TDT KHANH HOA 11" xfId="919"/>
    <cellStyle name="Dziesiętny [0]_Invoices2001Slovakia_TDT KHANH HOA 11" xfId="920"/>
    <cellStyle name="Dziesietny [0]_Invoices2001Slovakia_TDT KHANH HOA 12" xfId="921"/>
    <cellStyle name="Dziesiętny [0]_Invoices2001Slovakia_TDT KHANH HOA 12" xfId="922"/>
    <cellStyle name="Dziesietny [0]_Invoices2001Slovakia_TDT KHANH HOA 13" xfId="923"/>
    <cellStyle name="Dziesiętny [0]_Invoices2001Slovakia_TDT KHANH HOA 13" xfId="924"/>
    <cellStyle name="Dziesietny [0]_Invoices2001Slovakia_TDT KHANH HOA 14" xfId="925"/>
    <cellStyle name="Dziesiętny [0]_Invoices2001Slovakia_TDT KHANH HOA 14" xfId="926"/>
    <cellStyle name="Dziesietny [0]_Invoices2001Slovakia_TDT KHANH HOA 15" xfId="927"/>
    <cellStyle name="Dziesiętny [0]_Invoices2001Slovakia_TDT KHANH HOA 15" xfId="928"/>
    <cellStyle name="Dziesietny [0]_Invoices2001Slovakia_TDT KHANH HOA 16" xfId="929"/>
    <cellStyle name="Dziesiętny [0]_Invoices2001Slovakia_TDT KHANH HOA 16" xfId="930"/>
    <cellStyle name="Dziesietny [0]_Invoices2001Slovakia_TDT KHANH HOA 17" xfId="931"/>
    <cellStyle name="Dziesiętny [0]_Invoices2001Slovakia_TDT KHANH HOA 17" xfId="932"/>
    <cellStyle name="Dziesietny [0]_Invoices2001Slovakia_TDT KHANH HOA 18" xfId="933"/>
    <cellStyle name="Dziesiętny [0]_Invoices2001Slovakia_TDT KHANH HOA 18" xfId="934"/>
    <cellStyle name="Dziesietny [0]_Invoices2001Slovakia_TDT KHANH HOA 2" xfId="935"/>
    <cellStyle name="Dziesiętny [0]_Invoices2001Slovakia_TDT KHANH HOA 2" xfId="936"/>
    <cellStyle name="Dziesietny [0]_Invoices2001Slovakia_TDT KHANH HOA 3" xfId="937"/>
    <cellStyle name="Dziesiętny [0]_Invoices2001Slovakia_TDT KHANH HOA 3" xfId="938"/>
    <cellStyle name="Dziesietny [0]_Invoices2001Slovakia_TDT KHANH HOA 4" xfId="939"/>
    <cellStyle name="Dziesiętny [0]_Invoices2001Slovakia_TDT KHANH HOA 4" xfId="940"/>
    <cellStyle name="Dziesietny [0]_Invoices2001Slovakia_TDT KHANH HOA 5" xfId="941"/>
    <cellStyle name="Dziesiętny [0]_Invoices2001Slovakia_TDT KHANH HOA 5" xfId="942"/>
    <cellStyle name="Dziesietny [0]_Invoices2001Slovakia_TDT KHANH HOA 6" xfId="943"/>
    <cellStyle name="Dziesiętny [0]_Invoices2001Slovakia_TDT KHANH HOA 6" xfId="944"/>
    <cellStyle name="Dziesietny [0]_Invoices2001Slovakia_TDT KHANH HOA 7" xfId="945"/>
    <cellStyle name="Dziesiętny [0]_Invoices2001Slovakia_TDT KHANH HOA 7" xfId="946"/>
    <cellStyle name="Dziesietny [0]_Invoices2001Slovakia_TDT KHANH HOA 8" xfId="947"/>
    <cellStyle name="Dziesiętny [0]_Invoices2001Slovakia_TDT KHANH HOA 8" xfId="948"/>
    <cellStyle name="Dziesietny [0]_Invoices2001Slovakia_TDT KHANH HOA 9" xfId="949"/>
    <cellStyle name="Dziesiętny [0]_Invoices2001Slovakia_TDT KHANH HOA 9" xfId="950"/>
    <cellStyle name="Dziesietny [0]_Invoices2001Slovakia_TDT KHANH HOA_Tong hop Cac tuyen(9-1-06)" xfId="951"/>
    <cellStyle name="Dziesiętny [0]_Invoices2001Slovakia_TDT KHANH HOA_Tong hop Cac tuyen(9-1-06)" xfId="952"/>
    <cellStyle name="Dziesietny [0]_Invoices2001Slovakia_TDT KHANH HOA_Tong hop Cac tuyen(9-1-06) 10" xfId="953"/>
    <cellStyle name="Dziesiętny [0]_Invoices2001Slovakia_TDT KHANH HOA_Tong hop Cac tuyen(9-1-06) 10" xfId="954"/>
    <cellStyle name="Dziesietny [0]_Invoices2001Slovakia_TDT KHANH HOA_Tong hop Cac tuyen(9-1-06) 11" xfId="955"/>
    <cellStyle name="Dziesiętny [0]_Invoices2001Slovakia_TDT KHANH HOA_Tong hop Cac tuyen(9-1-06) 11" xfId="956"/>
    <cellStyle name="Dziesietny [0]_Invoices2001Slovakia_TDT KHANH HOA_Tong hop Cac tuyen(9-1-06) 12" xfId="957"/>
    <cellStyle name="Dziesiętny [0]_Invoices2001Slovakia_TDT KHANH HOA_Tong hop Cac tuyen(9-1-06) 12" xfId="958"/>
    <cellStyle name="Dziesietny [0]_Invoices2001Slovakia_TDT KHANH HOA_Tong hop Cac tuyen(9-1-06) 13" xfId="959"/>
    <cellStyle name="Dziesiętny [0]_Invoices2001Slovakia_TDT KHANH HOA_Tong hop Cac tuyen(9-1-06) 13" xfId="960"/>
    <cellStyle name="Dziesietny [0]_Invoices2001Slovakia_TDT KHANH HOA_Tong hop Cac tuyen(9-1-06) 14" xfId="961"/>
    <cellStyle name="Dziesiętny [0]_Invoices2001Slovakia_TDT KHANH HOA_Tong hop Cac tuyen(9-1-06) 14" xfId="962"/>
    <cellStyle name="Dziesietny [0]_Invoices2001Slovakia_TDT KHANH HOA_Tong hop Cac tuyen(9-1-06) 15" xfId="963"/>
    <cellStyle name="Dziesiętny [0]_Invoices2001Slovakia_TDT KHANH HOA_Tong hop Cac tuyen(9-1-06) 15" xfId="964"/>
    <cellStyle name="Dziesietny [0]_Invoices2001Slovakia_TDT KHANH HOA_Tong hop Cac tuyen(9-1-06) 16" xfId="965"/>
    <cellStyle name="Dziesiętny [0]_Invoices2001Slovakia_TDT KHANH HOA_Tong hop Cac tuyen(9-1-06) 16" xfId="966"/>
    <cellStyle name="Dziesietny [0]_Invoices2001Slovakia_TDT KHANH HOA_Tong hop Cac tuyen(9-1-06) 17" xfId="967"/>
    <cellStyle name="Dziesiętny [0]_Invoices2001Slovakia_TDT KHANH HOA_Tong hop Cac tuyen(9-1-06) 17" xfId="968"/>
    <cellStyle name="Dziesietny [0]_Invoices2001Slovakia_TDT KHANH HOA_Tong hop Cac tuyen(9-1-06) 18" xfId="969"/>
    <cellStyle name="Dziesiętny [0]_Invoices2001Slovakia_TDT KHANH HOA_Tong hop Cac tuyen(9-1-06) 18" xfId="970"/>
    <cellStyle name="Dziesietny [0]_Invoices2001Slovakia_TDT KHANH HOA_Tong hop Cac tuyen(9-1-06) 2" xfId="971"/>
    <cellStyle name="Dziesiętny [0]_Invoices2001Slovakia_TDT KHANH HOA_Tong hop Cac tuyen(9-1-06) 2" xfId="972"/>
    <cellStyle name="Dziesietny [0]_Invoices2001Slovakia_TDT KHANH HOA_Tong hop Cac tuyen(9-1-06) 3" xfId="973"/>
    <cellStyle name="Dziesiętny [0]_Invoices2001Slovakia_TDT KHANH HOA_Tong hop Cac tuyen(9-1-06) 3" xfId="974"/>
    <cellStyle name="Dziesietny [0]_Invoices2001Slovakia_TDT KHANH HOA_Tong hop Cac tuyen(9-1-06) 4" xfId="975"/>
    <cellStyle name="Dziesiętny [0]_Invoices2001Slovakia_TDT KHANH HOA_Tong hop Cac tuyen(9-1-06) 4" xfId="976"/>
    <cellStyle name="Dziesietny [0]_Invoices2001Slovakia_TDT KHANH HOA_Tong hop Cac tuyen(9-1-06) 5" xfId="977"/>
    <cellStyle name="Dziesiętny [0]_Invoices2001Slovakia_TDT KHANH HOA_Tong hop Cac tuyen(9-1-06) 5" xfId="978"/>
    <cellStyle name="Dziesietny [0]_Invoices2001Slovakia_TDT KHANH HOA_Tong hop Cac tuyen(9-1-06) 6" xfId="979"/>
    <cellStyle name="Dziesiętny [0]_Invoices2001Slovakia_TDT KHANH HOA_Tong hop Cac tuyen(9-1-06) 6" xfId="980"/>
    <cellStyle name="Dziesietny [0]_Invoices2001Slovakia_TDT KHANH HOA_Tong hop Cac tuyen(9-1-06) 7" xfId="981"/>
    <cellStyle name="Dziesiętny [0]_Invoices2001Slovakia_TDT KHANH HOA_Tong hop Cac tuyen(9-1-06) 7" xfId="982"/>
    <cellStyle name="Dziesietny [0]_Invoices2001Slovakia_TDT KHANH HOA_Tong hop Cac tuyen(9-1-06) 8" xfId="983"/>
    <cellStyle name="Dziesiętny [0]_Invoices2001Slovakia_TDT KHANH HOA_Tong hop Cac tuyen(9-1-06) 8" xfId="984"/>
    <cellStyle name="Dziesietny [0]_Invoices2001Slovakia_TDT KHANH HOA_Tong hop Cac tuyen(9-1-06) 9" xfId="985"/>
    <cellStyle name="Dziesiętny [0]_Invoices2001Slovakia_TDT KHANH HOA_Tong hop Cac tuyen(9-1-06) 9" xfId="986"/>
    <cellStyle name="Dziesietny [0]_Invoices2001Slovakia_TDT quangngai" xfId="987"/>
    <cellStyle name="Dziesiętny [0]_Invoices2001Slovakia_TDT quangngai" xfId="988"/>
    <cellStyle name="Dziesietny [0]_Invoices2001Slovakia_TDT quangngai 10" xfId="989"/>
    <cellStyle name="Dziesiętny [0]_Invoices2001Slovakia_TDT quangngai 10" xfId="990"/>
    <cellStyle name="Dziesietny [0]_Invoices2001Slovakia_TDT quangngai 11" xfId="991"/>
    <cellStyle name="Dziesiętny [0]_Invoices2001Slovakia_TDT quangngai 11" xfId="992"/>
    <cellStyle name="Dziesietny [0]_Invoices2001Slovakia_TDT quangngai 12" xfId="993"/>
    <cellStyle name="Dziesiętny [0]_Invoices2001Slovakia_TDT quangngai 12" xfId="994"/>
    <cellStyle name="Dziesietny [0]_Invoices2001Slovakia_TDT quangngai 13" xfId="995"/>
    <cellStyle name="Dziesiętny [0]_Invoices2001Slovakia_TDT quangngai 13" xfId="996"/>
    <cellStyle name="Dziesietny [0]_Invoices2001Slovakia_TDT quangngai 14" xfId="997"/>
    <cellStyle name="Dziesiętny [0]_Invoices2001Slovakia_TDT quangngai 14" xfId="998"/>
    <cellStyle name="Dziesietny [0]_Invoices2001Slovakia_TDT quangngai 15" xfId="999"/>
    <cellStyle name="Dziesiętny [0]_Invoices2001Slovakia_TDT quangngai 15" xfId="1000"/>
    <cellStyle name="Dziesietny [0]_Invoices2001Slovakia_TDT quangngai 16" xfId="1001"/>
    <cellStyle name="Dziesiętny [0]_Invoices2001Slovakia_TDT quangngai 16" xfId="1002"/>
    <cellStyle name="Dziesietny [0]_Invoices2001Slovakia_TDT quangngai 17" xfId="1003"/>
    <cellStyle name="Dziesiętny [0]_Invoices2001Slovakia_TDT quangngai 17" xfId="1004"/>
    <cellStyle name="Dziesietny [0]_Invoices2001Slovakia_TDT quangngai 18" xfId="1005"/>
    <cellStyle name="Dziesiętny [0]_Invoices2001Slovakia_TDT quangngai 18" xfId="1006"/>
    <cellStyle name="Dziesietny [0]_Invoices2001Slovakia_TDT quangngai 2" xfId="1007"/>
    <cellStyle name="Dziesiętny [0]_Invoices2001Slovakia_TDT quangngai 2" xfId="1008"/>
    <cellStyle name="Dziesietny [0]_Invoices2001Slovakia_TDT quangngai 3" xfId="1009"/>
    <cellStyle name="Dziesiętny [0]_Invoices2001Slovakia_TDT quangngai 3" xfId="1010"/>
    <cellStyle name="Dziesietny [0]_Invoices2001Slovakia_TDT quangngai 4" xfId="1011"/>
    <cellStyle name="Dziesiętny [0]_Invoices2001Slovakia_TDT quangngai 4" xfId="1012"/>
    <cellStyle name="Dziesietny [0]_Invoices2001Slovakia_TDT quangngai 5" xfId="1013"/>
    <cellStyle name="Dziesiętny [0]_Invoices2001Slovakia_TDT quangngai 5" xfId="1014"/>
    <cellStyle name="Dziesietny [0]_Invoices2001Slovakia_TDT quangngai 6" xfId="1015"/>
    <cellStyle name="Dziesiętny [0]_Invoices2001Slovakia_TDT quangngai 6" xfId="1016"/>
    <cellStyle name="Dziesietny [0]_Invoices2001Slovakia_TDT quangngai 7" xfId="1017"/>
    <cellStyle name="Dziesiętny [0]_Invoices2001Slovakia_TDT quangngai 7" xfId="1018"/>
    <cellStyle name="Dziesietny [0]_Invoices2001Slovakia_TDT quangngai 8" xfId="1019"/>
    <cellStyle name="Dziesiętny [0]_Invoices2001Slovakia_TDT quangngai 8" xfId="1020"/>
    <cellStyle name="Dziesietny [0]_Invoices2001Slovakia_TDT quangngai 9" xfId="1021"/>
    <cellStyle name="Dziesiętny [0]_Invoices2001Slovakia_TDT quangngai 9" xfId="1022"/>
    <cellStyle name="Dziesietny [0]_Invoices2001Slovakia_TMDT(10-5-06)" xfId="4536"/>
    <cellStyle name="Dziesietny_Invoices2001Slovakia" xfId="1023"/>
    <cellStyle name="Dziesiętny_Invoices2001Slovakia" xfId="1024"/>
    <cellStyle name="Dziesietny_Invoices2001Slovakia 10" xfId="1025"/>
    <cellStyle name="Dziesiętny_Invoices2001Slovakia 10" xfId="1026"/>
    <cellStyle name="Dziesietny_Invoices2001Slovakia 11" xfId="1027"/>
    <cellStyle name="Dziesiętny_Invoices2001Slovakia 11" xfId="1028"/>
    <cellStyle name="Dziesietny_Invoices2001Slovakia 12" xfId="1029"/>
    <cellStyle name="Dziesiętny_Invoices2001Slovakia 12" xfId="1030"/>
    <cellStyle name="Dziesietny_Invoices2001Slovakia 13" xfId="1031"/>
    <cellStyle name="Dziesiętny_Invoices2001Slovakia 13" xfId="1032"/>
    <cellStyle name="Dziesietny_Invoices2001Slovakia 14" xfId="1033"/>
    <cellStyle name="Dziesiętny_Invoices2001Slovakia 14" xfId="1034"/>
    <cellStyle name="Dziesietny_Invoices2001Slovakia 15" xfId="1035"/>
    <cellStyle name="Dziesiętny_Invoices2001Slovakia 15" xfId="1036"/>
    <cellStyle name="Dziesietny_Invoices2001Slovakia 16" xfId="1037"/>
    <cellStyle name="Dziesiętny_Invoices2001Slovakia 16" xfId="1038"/>
    <cellStyle name="Dziesietny_Invoices2001Slovakia 17" xfId="1039"/>
    <cellStyle name="Dziesiętny_Invoices2001Slovakia 17" xfId="1040"/>
    <cellStyle name="Dziesietny_Invoices2001Slovakia 18" xfId="1041"/>
    <cellStyle name="Dziesiętny_Invoices2001Slovakia 18" xfId="1042"/>
    <cellStyle name="Dziesietny_Invoices2001Slovakia 2" xfId="1043"/>
    <cellStyle name="Dziesiętny_Invoices2001Slovakia 2" xfId="1044"/>
    <cellStyle name="Dziesietny_Invoices2001Slovakia 3" xfId="1045"/>
    <cellStyle name="Dziesiętny_Invoices2001Slovakia 3" xfId="1046"/>
    <cellStyle name="Dziesietny_Invoices2001Slovakia 4" xfId="1047"/>
    <cellStyle name="Dziesiętny_Invoices2001Slovakia 4" xfId="1048"/>
    <cellStyle name="Dziesietny_Invoices2001Slovakia 5" xfId="1049"/>
    <cellStyle name="Dziesiętny_Invoices2001Slovakia 5" xfId="1050"/>
    <cellStyle name="Dziesietny_Invoices2001Slovakia 6" xfId="1051"/>
    <cellStyle name="Dziesiętny_Invoices2001Slovakia 6" xfId="1052"/>
    <cellStyle name="Dziesietny_Invoices2001Slovakia 7" xfId="1053"/>
    <cellStyle name="Dziesiętny_Invoices2001Slovakia 7" xfId="1054"/>
    <cellStyle name="Dziesietny_Invoices2001Slovakia 8" xfId="1055"/>
    <cellStyle name="Dziesiętny_Invoices2001Slovakia 8" xfId="1056"/>
    <cellStyle name="Dziesietny_Invoices2001Slovakia 9" xfId="1057"/>
    <cellStyle name="Dziesiętny_Invoices2001Slovakia 9" xfId="1058"/>
    <cellStyle name="Dziesietny_Invoices2001Slovakia_01_Nha so 1_Dien" xfId="4537"/>
    <cellStyle name="Dziesiętny_Invoices2001Slovakia_01_Nha so 1_Dien" xfId="4538"/>
    <cellStyle name="Dziesietny_Invoices2001Slovakia_05-12  KH trung han 2016-2020 - Liem Thinh edited" xfId="4539"/>
    <cellStyle name="Dziesiętny_Invoices2001Slovakia_05-12  KH trung han 2016-2020 - Liem Thinh edited" xfId="4540"/>
    <cellStyle name="Dziesietny_Invoices2001Slovakia_10_Nha so 10_Dien1" xfId="4541"/>
    <cellStyle name="Dziesiętny_Invoices2001Slovakia_10_Nha so 10_Dien1" xfId="4542"/>
    <cellStyle name="Dziesietny_Invoices2001Slovakia_Book1" xfId="1059"/>
    <cellStyle name="Dziesiętny_Invoices2001Slovakia_Book1" xfId="1060"/>
    <cellStyle name="Dziesietny_Invoices2001Slovakia_Book1 10" xfId="1061"/>
    <cellStyle name="Dziesiętny_Invoices2001Slovakia_Book1 10" xfId="1062"/>
    <cellStyle name="Dziesietny_Invoices2001Slovakia_Book1 11" xfId="1063"/>
    <cellStyle name="Dziesiętny_Invoices2001Slovakia_Book1 11" xfId="1064"/>
    <cellStyle name="Dziesietny_Invoices2001Slovakia_Book1 12" xfId="1065"/>
    <cellStyle name="Dziesiętny_Invoices2001Slovakia_Book1 12" xfId="1066"/>
    <cellStyle name="Dziesietny_Invoices2001Slovakia_Book1 13" xfId="1067"/>
    <cellStyle name="Dziesiętny_Invoices2001Slovakia_Book1 13" xfId="1068"/>
    <cellStyle name="Dziesietny_Invoices2001Slovakia_Book1 14" xfId="1069"/>
    <cellStyle name="Dziesiętny_Invoices2001Slovakia_Book1 14" xfId="1070"/>
    <cellStyle name="Dziesietny_Invoices2001Slovakia_Book1 15" xfId="1071"/>
    <cellStyle name="Dziesiętny_Invoices2001Slovakia_Book1 15" xfId="1072"/>
    <cellStyle name="Dziesietny_Invoices2001Slovakia_Book1 16" xfId="1073"/>
    <cellStyle name="Dziesiętny_Invoices2001Slovakia_Book1 16" xfId="1074"/>
    <cellStyle name="Dziesietny_Invoices2001Slovakia_Book1 17" xfId="1075"/>
    <cellStyle name="Dziesiętny_Invoices2001Slovakia_Book1 17" xfId="1076"/>
    <cellStyle name="Dziesietny_Invoices2001Slovakia_Book1 18" xfId="1077"/>
    <cellStyle name="Dziesiętny_Invoices2001Slovakia_Book1 18" xfId="1078"/>
    <cellStyle name="Dziesietny_Invoices2001Slovakia_Book1 2" xfId="1079"/>
    <cellStyle name="Dziesiętny_Invoices2001Slovakia_Book1 2" xfId="1080"/>
    <cellStyle name="Dziesietny_Invoices2001Slovakia_Book1 3" xfId="1081"/>
    <cellStyle name="Dziesiętny_Invoices2001Slovakia_Book1 3" xfId="1082"/>
    <cellStyle name="Dziesietny_Invoices2001Slovakia_Book1 4" xfId="1083"/>
    <cellStyle name="Dziesiętny_Invoices2001Slovakia_Book1 4" xfId="1084"/>
    <cellStyle name="Dziesietny_Invoices2001Slovakia_Book1 5" xfId="1085"/>
    <cellStyle name="Dziesiętny_Invoices2001Slovakia_Book1 5" xfId="1086"/>
    <cellStyle name="Dziesietny_Invoices2001Slovakia_Book1 6" xfId="1087"/>
    <cellStyle name="Dziesiętny_Invoices2001Slovakia_Book1 6" xfId="1088"/>
    <cellStyle name="Dziesietny_Invoices2001Slovakia_Book1 7" xfId="1089"/>
    <cellStyle name="Dziesiętny_Invoices2001Slovakia_Book1 7" xfId="1090"/>
    <cellStyle name="Dziesietny_Invoices2001Slovakia_Book1 8" xfId="1091"/>
    <cellStyle name="Dziesiętny_Invoices2001Slovakia_Book1 8" xfId="1092"/>
    <cellStyle name="Dziesietny_Invoices2001Slovakia_Book1 9" xfId="1093"/>
    <cellStyle name="Dziesiętny_Invoices2001Slovakia_Book1 9" xfId="1094"/>
    <cellStyle name="Dziesietny_Invoices2001Slovakia_Book1_1" xfId="4543"/>
    <cellStyle name="Dziesiętny_Invoices2001Slovakia_Book1_1" xfId="4544"/>
    <cellStyle name="Dziesietny_Invoices2001Slovakia_Book1_1_Book1" xfId="4545"/>
    <cellStyle name="Dziesiętny_Invoices2001Slovakia_Book1_1_Book1" xfId="4546"/>
    <cellStyle name="Dziesietny_Invoices2001Slovakia_Book1_2" xfId="4547"/>
    <cellStyle name="Dziesiętny_Invoices2001Slovakia_Book1_2" xfId="4548"/>
    <cellStyle name="Dziesietny_Invoices2001Slovakia_Book1_Nhu cau von ung truoc 2011 Tha h Hoa + Nge An gui TW" xfId="4549"/>
    <cellStyle name="Dziesiętny_Invoices2001Slovakia_Book1_Nhu cau von ung truoc 2011 Tha h Hoa + Nge An gui TW" xfId="4550"/>
    <cellStyle name="Dziesietny_Invoices2001Slovakia_Book1_Tong hop Cac tuyen(9-1-06)" xfId="1095"/>
    <cellStyle name="Dziesiętny_Invoices2001Slovakia_Book1_Tong hop Cac tuyen(9-1-06)" xfId="1096"/>
    <cellStyle name="Dziesietny_Invoices2001Slovakia_Book1_Tong hop Cac tuyen(9-1-06) 10" xfId="1097"/>
    <cellStyle name="Dziesiętny_Invoices2001Slovakia_Book1_Tong hop Cac tuyen(9-1-06) 10" xfId="1098"/>
    <cellStyle name="Dziesietny_Invoices2001Slovakia_Book1_Tong hop Cac tuyen(9-1-06) 11" xfId="1099"/>
    <cellStyle name="Dziesiętny_Invoices2001Slovakia_Book1_Tong hop Cac tuyen(9-1-06) 11" xfId="1100"/>
    <cellStyle name="Dziesietny_Invoices2001Slovakia_Book1_Tong hop Cac tuyen(9-1-06) 12" xfId="1101"/>
    <cellStyle name="Dziesiętny_Invoices2001Slovakia_Book1_Tong hop Cac tuyen(9-1-06) 12" xfId="1102"/>
    <cellStyle name="Dziesietny_Invoices2001Slovakia_Book1_Tong hop Cac tuyen(9-1-06) 13" xfId="1103"/>
    <cellStyle name="Dziesiętny_Invoices2001Slovakia_Book1_Tong hop Cac tuyen(9-1-06) 13" xfId="1104"/>
    <cellStyle name="Dziesietny_Invoices2001Slovakia_Book1_Tong hop Cac tuyen(9-1-06) 14" xfId="1105"/>
    <cellStyle name="Dziesiętny_Invoices2001Slovakia_Book1_Tong hop Cac tuyen(9-1-06) 14" xfId="1106"/>
    <cellStyle name="Dziesietny_Invoices2001Slovakia_Book1_Tong hop Cac tuyen(9-1-06) 15" xfId="1107"/>
    <cellStyle name="Dziesiętny_Invoices2001Slovakia_Book1_Tong hop Cac tuyen(9-1-06) 15" xfId="1108"/>
    <cellStyle name="Dziesietny_Invoices2001Slovakia_Book1_Tong hop Cac tuyen(9-1-06) 16" xfId="1109"/>
    <cellStyle name="Dziesiętny_Invoices2001Slovakia_Book1_Tong hop Cac tuyen(9-1-06) 16" xfId="1110"/>
    <cellStyle name="Dziesietny_Invoices2001Slovakia_Book1_Tong hop Cac tuyen(9-1-06) 17" xfId="1111"/>
    <cellStyle name="Dziesiętny_Invoices2001Slovakia_Book1_Tong hop Cac tuyen(9-1-06) 17" xfId="1112"/>
    <cellStyle name="Dziesietny_Invoices2001Slovakia_Book1_Tong hop Cac tuyen(9-1-06) 18" xfId="1113"/>
    <cellStyle name="Dziesiętny_Invoices2001Slovakia_Book1_Tong hop Cac tuyen(9-1-06) 18" xfId="1114"/>
    <cellStyle name="Dziesietny_Invoices2001Slovakia_Book1_Tong hop Cac tuyen(9-1-06) 2" xfId="1115"/>
    <cellStyle name="Dziesiętny_Invoices2001Slovakia_Book1_Tong hop Cac tuyen(9-1-06) 2" xfId="1116"/>
    <cellStyle name="Dziesietny_Invoices2001Slovakia_Book1_Tong hop Cac tuyen(9-1-06) 3" xfId="1117"/>
    <cellStyle name="Dziesiętny_Invoices2001Slovakia_Book1_Tong hop Cac tuyen(9-1-06) 3" xfId="1118"/>
    <cellStyle name="Dziesietny_Invoices2001Slovakia_Book1_Tong hop Cac tuyen(9-1-06) 4" xfId="1119"/>
    <cellStyle name="Dziesiętny_Invoices2001Slovakia_Book1_Tong hop Cac tuyen(9-1-06) 4" xfId="1120"/>
    <cellStyle name="Dziesietny_Invoices2001Slovakia_Book1_Tong hop Cac tuyen(9-1-06) 5" xfId="1121"/>
    <cellStyle name="Dziesiętny_Invoices2001Slovakia_Book1_Tong hop Cac tuyen(9-1-06) 5" xfId="1122"/>
    <cellStyle name="Dziesietny_Invoices2001Slovakia_Book1_Tong hop Cac tuyen(9-1-06) 6" xfId="1123"/>
    <cellStyle name="Dziesiętny_Invoices2001Slovakia_Book1_Tong hop Cac tuyen(9-1-06) 6" xfId="1124"/>
    <cellStyle name="Dziesietny_Invoices2001Slovakia_Book1_Tong hop Cac tuyen(9-1-06) 7" xfId="1125"/>
    <cellStyle name="Dziesiętny_Invoices2001Slovakia_Book1_Tong hop Cac tuyen(9-1-06) 7" xfId="1126"/>
    <cellStyle name="Dziesietny_Invoices2001Slovakia_Book1_Tong hop Cac tuyen(9-1-06) 8" xfId="1127"/>
    <cellStyle name="Dziesiętny_Invoices2001Slovakia_Book1_Tong hop Cac tuyen(9-1-06) 8" xfId="1128"/>
    <cellStyle name="Dziesietny_Invoices2001Slovakia_Book1_Tong hop Cac tuyen(9-1-06) 9" xfId="1129"/>
    <cellStyle name="Dziesiętny_Invoices2001Slovakia_Book1_Tong hop Cac tuyen(9-1-06) 9" xfId="1130"/>
    <cellStyle name="Dziesietny_Invoices2001Slovakia_Book1_ung truoc 2011 NSTW Thanh Hoa + Nge An gui Thu 12-5" xfId="4551"/>
    <cellStyle name="Dziesiętny_Invoices2001Slovakia_Book1_ung truoc 2011 NSTW Thanh Hoa + Nge An gui Thu 12-5" xfId="4552"/>
    <cellStyle name="Dziesietny_Invoices2001Slovakia_Copy of 05-12  KH trung han 2016-2020 - Liem Thinh edited (1)" xfId="4553"/>
    <cellStyle name="Dziesiętny_Invoices2001Slovakia_Copy of 05-12  KH trung han 2016-2020 - Liem Thinh edited (1)" xfId="4554"/>
    <cellStyle name="Dziesietny_Invoices2001Slovakia_d-uong+TDT" xfId="4555"/>
    <cellStyle name="Dziesiętny_Invoices2001Slovakia_KH TPCP 2016-2020 (tong hop)" xfId="4556"/>
    <cellStyle name="Dziesietny_Invoices2001Slovakia_NHA de xe nguyen du" xfId="4557"/>
    <cellStyle name="Dziesiętny_Invoices2001Slovakia_NHA de xe nguyen du" xfId="4558"/>
    <cellStyle name="Dziesietny_Invoices2001Slovakia_Nhalamviec VTC(25-1-05)" xfId="4559"/>
    <cellStyle name="Dziesiętny_Invoices2001Slovakia_Nhalamviec VTC(25-1-05)" xfId="1131"/>
    <cellStyle name="Dziesietny_Invoices2001Slovakia_Nhu cau von ung truoc 2011 Tha h Hoa + Nge An gui TW" xfId="4560"/>
    <cellStyle name="Dziesiętny_Invoices2001Slovakia_TDT KHANH HOA" xfId="1132"/>
    <cellStyle name="Dziesietny_Invoices2001Slovakia_TDT KHANH HOA 10" xfId="1133"/>
    <cellStyle name="Dziesiętny_Invoices2001Slovakia_TDT KHANH HOA 10" xfId="1134"/>
    <cellStyle name="Dziesietny_Invoices2001Slovakia_TDT KHANH HOA 11" xfId="1135"/>
    <cellStyle name="Dziesiętny_Invoices2001Slovakia_TDT KHANH HOA 11" xfId="1136"/>
    <cellStyle name="Dziesietny_Invoices2001Slovakia_TDT KHANH HOA 12" xfId="1137"/>
    <cellStyle name="Dziesiętny_Invoices2001Slovakia_TDT KHANH HOA 12" xfId="1138"/>
    <cellStyle name="Dziesietny_Invoices2001Slovakia_TDT KHANH HOA 13" xfId="1139"/>
    <cellStyle name="Dziesiętny_Invoices2001Slovakia_TDT KHANH HOA 13" xfId="1140"/>
    <cellStyle name="Dziesietny_Invoices2001Slovakia_TDT KHANH HOA 14" xfId="1141"/>
    <cellStyle name="Dziesiętny_Invoices2001Slovakia_TDT KHANH HOA 14" xfId="1142"/>
    <cellStyle name="Dziesietny_Invoices2001Slovakia_TDT KHANH HOA 15" xfId="1143"/>
    <cellStyle name="Dziesiętny_Invoices2001Slovakia_TDT KHANH HOA 15" xfId="1144"/>
    <cellStyle name="Dziesietny_Invoices2001Slovakia_TDT KHANH HOA 16" xfId="1145"/>
    <cellStyle name="Dziesiętny_Invoices2001Slovakia_TDT KHANH HOA 16" xfId="1146"/>
    <cellStyle name="Dziesietny_Invoices2001Slovakia_TDT KHANH HOA 17" xfId="1147"/>
    <cellStyle name="Dziesiętny_Invoices2001Slovakia_TDT KHANH HOA 17" xfId="1148"/>
    <cellStyle name="Dziesietny_Invoices2001Slovakia_TDT KHANH HOA 18" xfId="1149"/>
    <cellStyle name="Dziesiętny_Invoices2001Slovakia_TDT KHANH HOA 18" xfId="1150"/>
    <cellStyle name="Dziesietny_Invoices2001Slovakia_TDT KHANH HOA 2" xfId="1151"/>
    <cellStyle name="Dziesiętny_Invoices2001Slovakia_TDT KHANH HOA 2" xfId="1152"/>
    <cellStyle name="Dziesietny_Invoices2001Slovakia_TDT KHANH HOA 3" xfId="1153"/>
    <cellStyle name="Dziesiętny_Invoices2001Slovakia_TDT KHANH HOA 3" xfId="1154"/>
    <cellStyle name="Dziesietny_Invoices2001Slovakia_TDT KHANH HOA 4" xfId="1155"/>
    <cellStyle name="Dziesiętny_Invoices2001Slovakia_TDT KHANH HOA 4" xfId="1156"/>
    <cellStyle name="Dziesietny_Invoices2001Slovakia_TDT KHANH HOA 5" xfId="1157"/>
    <cellStyle name="Dziesiętny_Invoices2001Slovakia_TDT KHANH HOA 5" xfId="1158"/>
    <cellStyle name="Dziesietny_Invoices2001Slovakia_TDT KHANH HOA 6" xfId="1159"/>
    <cellStyle name="Dziesiętny_Invoices2001Slovakia_TDT KHANH HOA 6" xfId="1160"/>
    <cellStyle name="Dziesietny_Invoices2001Slovakia_TDT KHANH HOA 7" xfId="1161"/>
    <cellStyle name="Dziesiętny_Invoices2001Slovakia_TDT KHANH HOA 7" xfId="1162"/>
    <cellStyle name="Dziesietny_Invoices2001Slovakia_TDT KHANH HOA 8" xfId="1163"/>
    <cellStyle name="Dziesiętny_Invoices2001Slovakia_TDT KHANH HOA 8" xfId="1164"/>
    <cellStyle name="Dziesietny_Invoices2001Slovakia_TDT KHANH HOA 9" xfId="1165"/>
    <cellStyle name="Dziesiętny_Invoices2001Slovakia_TDT KHANH HOA 9" xfId="1166"/>
    <cellStyle name="Dziesietny_Invoices2001Slovakia_TDT KHANH HOA_Tong hop Cac tuyen(9-1-06)" xfId="1167"/>
    <cellStyle name="Dziesiętny_Invoices2001Slovakia_TDT KHANH HOA_Tong hop Cac tuyen(9-1-06)" xfId="1168"/>
    <cellStyle name="Dziesietny_Invoices2001Slovakia_TDT KHANH HOA_Tong hop Cac tuyen(9-1-06) 10" xfId="1169"/>
    <cellStyle name="Dziesiętny_Invoices2001Slovakia_TDT KHANH HOA_Tong hop Cac tuyen(9-1-06) 10" xfId="1170"/>
    <cellStyle name="Dziesietny_Invoices2001Slovakia_TDT KHANH HOA_Tong hop Cac tuyen(9-1-06) 11" xfId="1171"/>
    <cellStyle name="Dziesiętny_Invoices2001Slovakia_TDT KHANH HOA_Tong hop Cac tuyen(9-1-06) 11" xfId="1172"/>
    <cellStyle name="Dziesietny_Invoices2001Slovakia_TDT KHANH HOA_Tong hop Cac tuyen(9-1-06) 12" xfId="1173"/>
    <cellStyle name="Dziesiętny_Invoices2001Slovakia_TDT KHANH HOA_Tong hop Cac tuyen(9-1-06) 12" xfId="1174"/>
    <cellStyle name="Dziesietny_Invoices2001Slovakia_TDT KHANH HOA_Tong hop Cac tuyen(9-1-06) 13" xfId="1175"/>
    <cellStyle name="Dziesiętny_Invoices2001Slovakia_TDT KHANH HOA_Tong hop Cac tuyen(9-1-06) 13" xfId="1176"/>
    <cellStyle name="Dziesietny_Invoices2001Slovakia_TDT KHANH HOA_Tong hop Cac tuyen(9-1-06) 14" xfId="1177"/>
    <cellStyle name="Dziesiętny_Invoices2001Slovakia_TDT KHANH HOA_Tong hop Cac tuyen(9-1-06) 14" xfId="1178"/>
    <cellStyle name="Dziesietny_Invoices2001Slovakia_TDT KHANH HOA_Tong hop Cac tuyen(9-1-06) 15" xfId="1179"/>
    <cellStyle name="Dziesiętny_Invoices2001Slovakia_TDT KHANH HOA_Tong hop Cac tuyen(9-1-06) 15" xfId="1180"/>
    <cellStyle name="Dziesietny_Invoices2001Slovakia_TDT KHANH HOA_Tong hop Cac tuyen(9-1-06) 16" xfId="1181"/>
    <cellStyle name="Dziesiętny_Invoices2001Slovakia_TDT KHANH HOA_Tong hop Cac tuyen(9-1-06) 16" xfId="1182"/>
    <cellStyle name="Dziesietny_Invoices2001Slovakia_TDT KHANH HOA_Tong hop Cac tuyen(9-1-06) 17" xfId="1183"/>
    <cellStyle name="Dziesiętny_Invoices2001Slovakia_TDT KHANH HOA_Tong hop Cac tuyen(9-1-06) 17" xfId="1184"/>
    <cellStyle name="Dziesietny_Invoices2001Slovakia_TDT KHANH HOA_Tong hop Cac tuyen(9-1-06) 18" xfId="1185"/>
    <cellStyle name="Dziesiętny_Invoices2001Slovakia_TDT KHANH HOA_Tong hop Cac tuyen(9-1-06) 18" xfId="1186"/>
    <cellStyle name="Dziesietny_Invoices2001Slovakia_TDT KHANH HOA_Tong hop Cac tuyen(9-1-06) 2" xfId="1187"/>
    <cellStyle name="Dziesiętny_Invoices2001Slovakia_TDT KHANH HOA_Tong hop Cac tuyen(9-1-06) 2" xfId="1188"/>
    <cellStyle name="Dziesietny_Invoices2001Slovakia_TDT KHANH HOA_Tong hop Cac tuyen(9-1-06) 3" xfId="1189"/>
    <cellStyle name="Dziesiętny_Invoices2001Slovakia_TDT KHANH HOA_Tong hop Cac tuyen(9-1-06) 3" xfId="1190"/>
    <cellStyle name="Dziesietny_Invoices2001Slovakia_TDT KHANH HOA_Tong hop Cac tuyen(9-1-06) 4" xfId="1191"/>
    <cellStyle name="Dziesiętny_Invoices2001Slovakia_TDT KHANH HOA_Tong hop Cac tuyen(9-1-06) 4" xfId="1192"/>
    <cellStyle name="Dziesietny_Invoices2001Slovakia_TDT KHANH HOA_Tong hop Cac tuyen(9-1-06) 5" xfId="1193"/>
    <cellStyle name="Dziesiętny_Invoices2001Slovakia_TDT KHANH HOA_Tong hop Cac tuyen(9-1-06) 5" xfId="1194"/>
    <cellStyle name="Dziesietny_Invoices2001Slovakia_TDT KHANH HOA_Tong hop Cac tuyen(9-1-06) 6" xfId="1195"/>
    <cellStyle name="Dziesiętny_Invoices2001Slovakia_TDT KHANH HOA_Tong hop Cac tuyen(9-1-06) 6" xfId="1196"/>
    <cellStyle name="Dziesietny_Invoices2001Slovakia_TDT KHANH HOA_Tong hop Cac tuyen(9-1-06) 7" xfId="1197"/>
    <cellStyle name="Dziesiętny_Invoices2001Slovakia_TDT KHANH HOA_Tong hop Cac tuyen(9-1-06) 7" xfId="1198"/>
    <cellStyle name="Dziesietny_Invoices2001Slovakia_TDT KHANH HOA_Tong hop Cac tuyen(9-1-06) 8" xfId="1199"/>
    <cellStyle name="Dziesiętny_Invoices2001Slovakia_TDT KHANH HOA_Tong hop Cac tuyen(9-1-06) 8" xfId="1200"/>
    <cellStyle name="Dziesietny_Invoices2001Slovakia_TDT KHANH HOA_Tong hop Cac tuyen(9-1-06) 9" xfId="1201"/>
    <cellStyle name="Dziesiętny_Invoices2001Slovakia_TDT KHANH HOA_Tong hop Cac tuyen(9-1-06) 9" xfId="1202"/>
    <cellStyle name="Dziesietny_Invoices2001Slovakia_TDT quangngai" xfId="1203"/>
    <cellStyle name="Dziesiętny_Invoices2001Slovakia_TDT quangngai" xfId="1204"/>
    <cellStyle name="Dziesietny_Invoices2001Slovakia_TDT quangngai 10" xfId="1205"/>
    <cellStyle name="Dziesiętny_Invoices2001Slovakia_TDT quangngai 10" xfId="1206"/>
    <cellStyle name="Dziesietny_Invoices2001Slovakia_TDT quangngai 11" xfId="1207"/>
    <cellStyle name="Dziesiętny_Invoices2001Slovakia_TDT quangngai 11" xfId="1208"/>
    <cellStyle name="Dziesietny_Invoices2001Slovakia_TDT quangngai 12" xfId="1209"/>
    <cellStyle name="Dziesiętny_Invoices2001Slovakia_TDT quangngai 12" xfId="1210"/>
    <cellStyle name="Dziesietny_Invoices2001Slovakia_TDT quangngai 13" xfId="1211"/>
    <cellStyle name="Dziesiętny_Invoices2001Slovakia_TDT quangngai 13" xfId="1212"/>
    <cellStyle name="Dziesietny_Invoices2001Slovakia_TDT quangngai 14" xfId="1213"/>
    <cellStyle name="Dziesiętny_Invoices2001Slovakia_TDT quangngai 14" xfId="1214"/>
    <cellStyle name="Dziesietny_Invoices2001Slovakia_TDT quangngai 15" xfId="1215"/>
    <cellStyle name="Dziesiętny_Invoices2001Slovakia_TDT quangngai 15" xfId="1216"/>
    <cellStyle name="Dziesietny_Invoices2001Slovakia_TDT quangngai 16" xfId="1217"/>
    <cellStyle name="Dziesiętny_Invoices2001Slovakia_TDT quangngai 16" xfId="1218"/>
    <cellStyle name="Dziesietny_Invoices2001Slovakia_TDT quangngai 17" xfId="1219"/>
    <cellStyle name="Dziesiętny_Invoices2001Slovakia_TDT quangngai 17" xfId="1220"/>
    <cellStyle name="Dziesietny_Invoices2001Slovakia_TDT quangngai 18" xfId="1221"/>
    <cellStyle name="Dziesiętny_Invoices2001Slovakia_TDT quangngai 18" xfId="1222"/>
    <cellStyle name="Dziesietny_Invoices2001Slovakia_TDT quangngai 2" xfId="1223"/>
    <cellStyle name="Dziesiętny_Invoices2001Slovakia_TDT quangngai 2" xfId="1224"/>
    <cellStyle name="Dziesietny_Invoices2001Slovakia_TDT quangngai 3" xfId="1225"/>
    <cellStyle name="Dziesiętny_Invoices2001Slovakia_TDT quangngai 3" xfId="1226"/>
    <cellStyle name="Dziesietny_Invoices2001Slovakia_TDT quangngai 4" xfId="1227"/>
    <cellStyle name="Dziesiętny_Invoices2001Slovakia_TDT quangngai 4" xfId="1228"/>
    <cellStyle name="Dziesietny_Invoices2001Slovakia_TDT quangngai 5" xfId="1229"/>
    <cellStyle name="Dziesiętny_Invoices2001Slovakia_TDT quangngai 5" xfId="1230"/>
    <cellStyle name="Dziesietny_Invoices2001Slovakia_TDT quangngai 6" xfId="1231"/>
    <cellStyle name="Dziesiętny_Invoices2001Slovakia_TDT quangngai 6" xfId="1232"/>
    <cellStyle name="Dziesietny_Invoices2001Slovakia_TDT quangngai 7" xfId="1233"/>
    <cellStyle name="Dziesiętny_Invoices2001Slovakia_TDT quangngai 7" xfId="1234"/>
    <cellStyle name="Dziesietny_Invoices2001Slovakia_TDT quangngai 8" xfId="1235"/>
    <cellStyle name="Dziesiętny_Invoices2001Slovakia_TDT quangngai 8" xfId="1236"/>
    <cellStyle name="Dziesietny_Invoices2001Slovakia_TDT quangngai 9" xfId="1237"/>
    <cellStyle name="Dziesiętny_Invoices2001Slovakia_TDT quangngai 9" xfId="1238"/>
    <cellStyle name="Dziesietny_Invoices2001Slovakia_TMDT(10-5-06)" xfId="4561"/>
    <cellStyle name="e" xfId="4562"/>
    <cellStyle name="Enter Currency (0)" xfId="1239"/>
    <cellStyle name="Enter Currency (0) 10" xfId="4563"/>
    <cellStyle name="Enter Currency (0) 11" xfId="4564"/>
    <cellStyle name="Enter Currency (0) 12" xfId="4565"/>
    <cellStyle name="Enter Currency (0) 13" xfId="4566"/>
    <cellStyle name="Enter Currency (0) 14" xfId="4567"/>
    <cellStyle name="Enter Currency (0) 15" xfId="4568"/>
    <cellStyle name="Enter Currency (0) 16" xfId="4569"/>
    <cellStyle name="Enter Currency (0) 2" xfId="1240"/>
    <cellStyle name="Enter Currency (0) 3" xfId="4570"/>
    <cellStyle name="Enter Currency (0) 4" xfId="4571"/>
    <cellStyle name="Enter Currency (0) 5" xfId="4572"/>
    <cellStyle name="Enter Currency (0) 6" xfId="4573"/>
    <cellStyle name="Enter Currency (0) 7" xfId="4574"/>
    <cellStyle name="Enter Currency (0) 8" xfId="4575"/>
    <cellStyle name="Enter Currency (0) 9" xfId="4576"/>
    <cellStyle name="Enter Currency (2)" xfId="1241"/>
    <cellStyle name="Enter Currency (2) 10" xfId="4577"/>
    <cellStyle name="Enter Currency (2) 11" xfId="4578"/>
    <cellStyle name="Enter Currency (2) 12" xfId="4579"/>
    <cellStyle name="Enter Currency (2) 13" xfId="4580"/>
    <cellStyle name="Enter Currency (2) 14" xfId="4581"/>
    <cellStyle name="Enter Currency (2) 15" xfId="4582"/>
    <cellStyle name="Enter Currency (2) 16" xfId="4583"/>
    <cellStyle name="Enter Currency (2) 2" xfId="1242"/>
    <cellStyle name="Enter Currency (2) 3" xfId="4584"/>
    <cellStyle name="Enter Currency (2) 4" xfId="4585"/>
    <cellStyle name="Enter Currency (2) 5" xfId="4586"/>
    <cellStyle name="Enter Currency (2) 6" xfId="4587"/>
    <cellStyle name="Enter Currency (2) 7" xfId="4588"/>
    <cellStyle name="Enter Currency (2) 8" xfId="4589"/>
    <cellStyle name="Enter Currency (2) 9" xfId="4590"/>
    <cellStyle name="Enter Units (0)" xfId="1243"/>
    <cellStyle name="Enter Units (0) 10" xfId="4591"/>
    <cellStyle name="Enter Units (0) 11" xfId="4592"/>
    <cellStyle name="Enter Units (0) 12" xfId="4593"/>
    <cellStyle name="Enter Units (0) 13" xfId="4594"/>
    <cellStyle name="Enter Units (0) 14" xfId="4595"/>
    <cellStyle name="Enter Units (0) 15" xfId="4596"/>
    <cellStyle name="Enter Units (0) 16" xfId="4597"/>
    <cellStyle name="Enter Units (0) 2" xfId="1244"/>
    <cellStyle name="Enter Units (0) 3" xfId="4598"/>
    <cellStyle name="Enter Units (0) 4" xfId="4599"/>
    <cellStyle name="Enter Units (0) 5" xfId="4600"/>
    <cellStyle name="Enter Units (0) 6" xfId="4601"/>
    <cellStyle name="Enter Units (0) 7" xfId="4602"/>
    <cellStyle name="Enter Units (0) 8" xfId="4603"/>
    <cellStyle name="Enter Units (0) 9" xfId="4604"/>
    <cellStyle name="Enter Units (1)" xfId="1245"/>
    <cellStyle name="Enter Units (1) 10" xfId="4605"/>
    <cellStyle name="Enter Units (1) 11" xfId="4606"/>
    <cellStyle name="Enter Units (1) 12" xfId="4607"/>
    <cellStyle name="Enter Units (1) 13" xfId="4608"/>
    <cellStyle name="Enter Units (1) 14" xfId="4609"/>
    <cellStyle name="Enter Units (1) 15" xfId="4610"/>
    <cellStyle name="Enter Units (1) 16" xfId="4611"/>
    <cellStyle name="Enter Units (1) 2" xfId="1246"/>
    <cellStyle name="Enter Units (1) 3" xfId="4612"/>
    <cellStyle name="Enter Units (1) 4" xfId="4613"/>
    <cellStyle name="Enter Units (1) 5" xfId="4614"/>
    <cellStyle name="Enter Units (1) 6" xfId="4615"/>
    <cellStyle name="Enter Units (1) 7" xfId="4616"/>
    <cellStyle name="Enter Units (1) 8" xfId="4617"/>
    <cellStyle name="Enter Units (1) 9" xfId="4618"/>
    <cellStyle name="Enter Units (2)" xfId="1247"/>
    <cellStyle name="Enter Units (2) 10" xfId="4619"/>
    <cellStyle name="Enter Units (2) 11" xfId="4620"/>
    <cellStyle name="Enter Units (2) 12" xfId="4621"/>
    <cellStyle name="Enter Units (2) 13" xfId="4622"/>
    <cellStyle name="Enter Units (2) 14" xfId="4623"/>
    <cellStyle name="Enter Units (2) 15" xfId="4624"/>
    <cellStyle name="Enter Units (2) 16" xfId="4625"/>
    <cellStyle name="Enter Units (2) 2" xfId="1248"/>
    <cellStyle name="Enter Units (2) 3" xfId="4626"/>
    <cellStyle name="Enter Units (2) 4" xfId="4627"/>
    <cellStyle name="Enter Units (2) 5" xfId="4628"/>
    <cellStyle name="Enter Units (2) 6" xfId="4629"/>
    <cellStyle name="Enter Units (2) 7" xfId="4630"/>
    <cellStyle name="Enter Units (2) 8" xfId="4631"/>
    <cellStyle name="Enter Units (2) 9" xfId="4632"/>
    <cellStyle name="Entered" xfId="1249"/>
    <cellStyle name="Entered 2" xfId="1250"/>
    <cellStyle name="Euro" xfId="1251"/>
    <cellStyle name="Euro 10" xfId="4633"/>
    <cellStyle name="Euro 11" xfId="4634"/>
    <cellStyle name="Euro 12" xfId="4635"/>
    <cellStyle name="Euro 13" xfId="4636"/>
    <cellStyle name="Euro 14" xfId="4637"/>
    <cellStyle name="Euro 15" xfId="4638"/>
    <cellStyle name="Euro 16" xfId="4639"/>
    <cellStyle name="Euro 2" xfId="1252"/>
    <cellStyle name="Euro 3" xfId="1253"/>
    <cellStyle name="Euro 4" xfId="1254"/>
    <cellStyle name="Euro 5" xfId="4640"/>
    <cellStyle name="Euro 6" xfId="4641"/>
    <cellStyle name="Euro 7" xfId="4642"/>
    <cellStyle name="Euro 8" xfId="4643"/>
    <cellStyle name="Euro 9" xfId="4644"/>
    <cellStyle name="Excel Built-in Normal" xfId="4645"/>
    <cellStyle name="Explanatory Text 2" xfId="1255"/>
    <cellStyle name="Explanatory Text 2 2" xfId="2328"/>
    <cellStyle name="Explanatory Text 2 3" xfId="2379"/>
    <cellStyle name="Explanatory Text 3" xfId="1256"/>
    <cellStyle name="Explanatory Text 4" xfId="1257"/>
    <cellStyle name="f" xfId="4646"/>
    <cellStyle name="f_Danhmuc_Quyhoach2009" xfId="4647"/>
    <cellStyle name="f_Danhmuc_Quyhoach2009 2" xfId="4648"/>
    <cellStyle name="f_Danhmuc_Quyhoach2009 2 2" xfId="4649"/>
    <cellStyle name="Fixed" xfId="1258"/>
    <cellStyle name="Fixed 10" xfId="4650"/>
    <cellStyle name="Fixed 11" xfId="4651"/>
    <cellStyle name="Fixed 12" xfId="4652"/>
    <cellStyle name="Fixed 13" xfId="4653"/>
    <cellStyle name="Fixed 14" xfId="4654"/>
    <cellStyle name="Fixed 15" xfId="4655"/>
    <cellStyle name="Fixed 16" xfId="4656"/>
    <cellStyle name="Fixed 2" xfId="4657"/>
    <cellStyle name="Fixed 2 2" xfId="4658"/>
    <cellStyle name="Fixed 3" xfId="4659"/>
    <cellStyle name="Fixed 4" xfId="4660"/>
    <cellStyle name="Fixed 5" xfId="4661"/>
    <cellStyle name="Fixed 6" xfId="4662"/>
    <cellStyle name="Fixed 7" xfId="4663"/>
    <cellStyle name="Fixed 8" xfId="4664"/>
    <cellStyle name="Fixed 9" xfId="4665"/>
    <cellStyle name="Font Britannic16" xfId="4666"/>
    <cellStyle name="Font Britannic18" xfId="4667"/>
    <cellStyle name="Font CenturyCond 18" xfId="4668"/>
    <cellStyle name="Font Cond20" xfId="4669"/>
    <cellStyle name="Font LucidaSans16" xfId="4670"/>
    <cellStyle name="Font NewCenturyCond18" xfId="4671"/>
    <cellStyle name="Font Ottawa14" xfId="4672"/>
    <cellStyle name="Font Ottawa16" xfId="4673"/>
    <cellStyle name="gia" xfId="4691"/>
    <cellStyle name="Good 2" xfId="27"/>
    <cellStyle name="Good 2 2" xfId="1259"/>
    <cellStyle name="Good 3" xfId="1260"/>
    <cellStyle name="Good 3 2" xfId="2327"/>
    <cellStyle name="Good 3 3" xfId="2386"/>
    <cellStyle name="Good 4" xfId="1261"/>
    <cellStyle name="Grey" xfId="1262"/>
    <cellStyle name="Grey 10" xfId="4674"/>
    <cellStyle name="Grey 11" xfId="4675"/>
    <cellStyle name="Grey 12" xfId="4676"/>
    <cellStyle name="Grey 13" xfId="4677"/>
    <cellStyle name="Grey 14" xfId="4678"/>
    <cellStyle name="Grey 15" xfId="4679"/>
    <cellStyle name="Grey 16" xfId="4680"/>
    <cellStyle name="Grey 2" xfId="4681"/>
    <cellStyle name="Grey 3" xfId="4682"/>
    <cellStyle name="Grey 4" xfId="4683"/>
    <cellStyle name="Grey 5" xfId="4684"/>
    <cellStyle name="Grey 6" xfId="4685"/>
    <cellStyle name="Grey 7" xfId="4686"/>
    <cellStyle name="Grey 8" xfId="4687"/>
    <cellStyle name="Grey 9" xfId="4688"/>
    <cellStyle name="Grey_KH TPCP 2016-2020 (tong hop)" xfId="4689"/>
    <cellStyle name="Group" xfId="4690"/>
    <cellStyle name="H" xfId="1263"/>
    <cellStyle name="H 2" xfId="1264"/>
    <cellStyle name="ha" xfId="1265"/>
    <cellStyle name="ha 2" xfId="1266"/>
    <cellStyle name="HAI" xfId="4692"/>
    <cellStyle name="Head 1" xfId="1267"/>
    <cellStyle name="Head 1 2" xfId="1268"/>
    <cellStyle name="HEADER" xfId="1269"/>
    <cellStyle name="HEADER 2" xfId="1270"/>
    <cellStyle name="HEADER 3" xfId="1271"/>
    <cellStyle name="HEADER 4" xfId="1272"/>
    <cellStyle name="Header1" xfId="1273"/>
    <cellStyle name="Header1 2" xfId="4693"/>
    <cellStyle name="Header2" xfId="1274"/>
    <cellStyle name="Header2 2" xfId="4694"/>
    <cellStyle name="Heading" xfId="4695"/>
    <cellStyle name="Heading 1 2" xfId="1275"/>
    <cellStyle name="Heading 1 2 2" xfId="2326"/>
    <cellStyle name="Heading 1 2 3" xfId="2387"/>
    <cellStyle name="Heading 1 3" xfId="1276"/>
    <cellStyle name="Heading 1 4" xfId="1277"/>
    <cellStyle name="Heading 2 2" xfId="1278"/>
    <cellStyle name="Heading 2 2 2" xfId="2325"/>
    <cellStyle name="Heading 2 2 3" xfId="2388"/>
    <cellStyle name="Heading 2 3" xfId="1279"/>
    <cellStyle name="Heading 2 4" xfId="1280"/>
    <cellStyle name="Heading 3 2" xfId="1281"/>
    <cellStyle name="Heading 3 2 2" xfId="2324"/>
    <cellStyle name="Heading 3 2 3" xfId="2412"/>
    <cellStyle name="Heading 3 3" xfId="1282"/>
    <cellStyle name="Heading 3 4" xfId="1283"/>
    <cellStyle name="Heading 4 2" xfId="1284"/>
    <cellStyle name="Heading 4 2 2" xfId="2323"/>
    <cellStyle name="Heading 4 2 3" xfId="2403"/>
    <cellStyle name="Heading 4 3" xfId="1285"/>
    <cellStyle name="Heading 4 4" xfId="1286"/>
    <cellStyle name="Heading No Underline" xfId="4696"/>
    <cellStyle name="Heading With Underline" xfId="4697"/>
    <cellStyle name="Heading1" xfId="1287"/>
    <cellStyle name="Heading1 2" xfId="1288"/>
    <cellStyle name="Heading1 3" xfId="1289"/>
    <cellStyle name="Heading2" xfId="1290"/>
    <cellStyle name="Heading2 2" xfId="1291"/>
    <cellStyle name="Heading2 3" xfId="1292"/>
    <cellStyle name="HEADINGS" xfId="1293"/>
    <cellStyle name="HEADINGS 2" xfId="1294"/>
    <cellStyle name="HEADINGSTOP" xfId="1295"/>
    <cellStyle name="HEADINGSTOP 2" xfId="1296"/>
    <cellStyle name="headoption" xfId="1297"/>
    <cellStyle name="headoption 2" xfId="1298"/>
    <cellStyle name="headoption 3" xfId="4698"/>
    <cellStyle name="Hoa-Scholl" xfId="1299"/>
    <cellStyle name="Hoa-Scholl 2" xfId="1300"/>
    <cellStyle name="HUY" xfId="1301"/>
    <cellStyle name="Hyperlink_Nhu%20cau%20KH%202010%20%28ODA%29(1) 2" xfId="2790"/>
    <cellStyle name="i phÝ kh¸c_B¶ng 2" xfId="4699"/>
    <cellStyle name="I.3" xfId="4700"/>
    <cellStyle name="i·0" xfId="1302"/>
    <cellStyle name="i·0 2" xfId="4701"/>
    <cellStyle name="ï-¾È»ê_BiÓu TB" xfId="4702"/>
    <cellStyle name="Input [yellow]" xfId="1303"/>
    <cellStyle name="Input [yellow] 10" xfId="4703"/>
    <cellStyle name="Input [yellow] 11" xfId="4704"/>
    <cellStyle name="Input [yellow] 12" xfId="4705"/>
    <cellStyle name="Input [yellow] 13" xfId="4706"/>
    <cellStyle name="Input [yellow] 14" xfId="4707"/>
    <cellStyle name="Input [yellow] 15" xfId="4708"/>
    <cellStyle name="Input [yellow] 16" xfId="4709"/>
    <cellStyle name="Input [yellow] 2" xfId="4710"/>
    <cellStyle name="Input [yellow] 2 2" xfId="4711"/>
    <cellStyle name="Input [yellow] 3" xfId="4712"/>
    <cellStyle name="Input [yellow] 4" xfId="4713"/>
    <cellStyle name="Input [yellow] 5" xfId="4714"/>
    <cellStyle name="Input [yellow] 6" xfId="4715"/>
    <cellStyle name="Input [yellow] 7" xfId="4716"/>
    <cellStyle name="Input [yellow] 8" xfId="4717"/>
    <cellStyle name="Input [yellow] 9" xfId="4718"/>
    <cellStyle name="Input [yellow]_KH TPCP 2016-2020 (tong hop)" xfId="4719"/>
    <cellStyle name="Input 2" xfId="1304"/>
    <cellStyle name="Input 2 2" xfId="2321"/>
    <cellStyle name="Input 2 3" xfId="2372"/>
    <cellStyle name="Input 3" xfId="1305"/>
    <cellStyle name="Input 4" xfId="1306"/>
    <cellStyle name="Input 5" xfId="1307"/>
    <cellStyle name="Input 6" xfId="4720"/>
    <cellStyle name="Input 7" xfId="4721"/>
    <cellStyle name="k_TONG HOP KINH PHI" xfId="1308"/>
    <cellStyle name="k_TONG HOP KINH PHI 2" xfId="1309"/>
    <cellStyle name="k_TONG HOP KINH PHI_!1 1 bao cao giao KH ve HTCMT vung TNB   12-12-2011" xfId="4722"/>
    <cellStyle name="k_TONG HOP KINH PHI_Bieu4HTMT" xfId="4723"/>
    <cellStyle name="k_TONG HOP KINH PHI_Bieu4HTMT_!1 1 bao cao giao KH ve HTCMT vung TNB   12-12-2011" xfId="4724"/>
    <cellStyle name="k_TONG HOP KINH PHI_Bieu4HTMT_KH TPCP vung TNB (03-1-2012)" xfId="4725"/>
    <cellStyle name="k_TONG HOP KINH PHI_KH TPCP vung TNB (03-1-2012)" xfId="4726"/>
    <cellStyle name="k_ÿÿÿÿÿ" xfId="1310"/>
    <cellStyle name="k_ÿÿÿÿÿ 2" xfId="1311"/>
    <cellStyle name="k_ÿÿÿÿÿ_!1 1 bao cao giao KH ve HTCMT vung TNB   12-12-2011" xfId="4727"/>
    <cellStyle name="k_ÿÿÿÿÿ_1" xfId="1312"/>
    <cellStyle name="k_ÿÿÿÿÿ_2" xfId="1313"/>
    <cellStyle name="k_ÿÿÿÿÿ_2 2" xfId="1314"/>
    <cellStyle name="k_ÿÿÿÿÿ_2_!1 1 bao cao giao KH ve HTCMT vung TNB   12-12-2011" xfId="4728"/>
    <cellStyle name="k_ÿÿÿÿÿ_2_Bieu4HTMT" xfId="4729"/>
    <cellStyle name="k_ÿÿÿÿÿ_2_Bieu4HTMT_!1 1 bao cao giao KH ve HTCMT vung TNB   12-12-2011" xfId="4730"/>
    <cellStyle name="k_ÿÿÿÿÿ_2_Bieu4HTMT_KH TPCP vung TNB (03-1-2012)" xfId="4731"/>
    <cellStyle name="k_ÿÿÿÿÿ_2_KH TPCP vung TNB (03-1-2012)" xfId="4732"/>
    <cellStyle name="k_ÿÿÿÿÿ_Bieu4HTMT" xfId="4733"/>
    <cellStyle name="k_ÿÿÿÿÿ_Bieu4HTMT_!1 1 bao cao giao KH ve HTCMT vung TNB   12-12-2011" xfId="4734"/>
    <cellStyle name="k_ÿÿÿÿÿ_Bieu4HTMT_KH TPCP vung TNB (03-1-2012)" xfId="4735"/>
    <cellStyle name="k_ÿÿÿÿÿ_KH TPCP vung TNB (03-1-2012)" xfId="4736"/>
    <cellStyle name="kh¸c_Bang Chi tieu" xfId="4737"/>
    <cellStyle name="khanh" xfId="1315"/>
    <cellStyle name="khanh 2" xfId="1316"/>
    <cellStyle name="khung" xfId="1317"/>
    <cellStyle name="Ledger 17 x 11 in" xfId="1318"/>
    <cellStyle name="Ledger 17 x 11 in 2" xfId="1319"/>
    <cellStyle name="Ledger 17 x 11 in 3" xfId="1320"/>
    <cellStyle name="Ledger 17 x 11 in 4" xfId="1321"/>
    <cellStyle name="Ledger 17 x 11 in 5" xfId="1322"/>
    <cellStyle name="Ledger 17 x 11 in 6" xfId="1323"/>
    <cellStyle name="left" xfId="4738"/>
    <cellStyle name="Line" xfId="4739"/>
    <cellStyle name="Link Currency (0)" xfId="1324"/>
    <cellStyle name="Link Currency (0) 10" xfId="4740"/>
    <cellStyle name="Link Currency (0) 11" xfId="4741"/>
    <cellStyle name="Link Currency (0) 12" xfId="4742"/>
    <cellStyle name="Link Currency (0) 13" xfId="4743"/>
    <cellStyle name="Link Currency (0) 14" xfId="4744"/>
    <cellStyle name="Link Currency (0) 15" xfId="4745"/>
    <cellStyle name="Link Currency (0) 16" xfId="4746"/>
    <cellStyle name="Link Currency (0) 2" xfId="1325"/>
    <cellStyle name="Link Currency (0) 3" xfId="4747"/>
    <cellStyle name="Link Currency (0) 4" xfId="4748"/>
    <cellStyle name="Link Currency (0) 5" xfId="4749"/>
    <cellStyle name="Link Currency (0) 6" xfId="4750"/>
    <cellStyle name="Link Currency (0) 7" xfId="4751"/>
    <cellStyle name="Link Currency (0) 8" xfId="4752"/>
    <cellStyle name="Link Currency (0) 9" xfId="4753"/>
    <cellStyle name="Link Currency (2)" xfId="1326"/>
    <cellStyle name="Link Currency (2) 10" xfId="4754"/>
    <cellStyle name="Link Currency (2) 11" xfId="4755"/>
    <cellStyle name="Link Currency (2) 12" xfId="4756"/>
    <cellStyle name="Link Currency (2) 13" xfId="4757"/>
    <cellStyle name="Link Currency (2) 14" xfId="4758"/>
    <cellStyle name="Link Currency (2) 15" xfId="4759"/>
    <cellStyle name="Link Currency (2) 16" xfId="4760"/>
    <cellStyle name="Link Currency (2) 2" xfId="1327"/>
    <cellStyle name="Link Currency (2) 3" xfId="4761"/>
    <cellStyle name="Link Currency (2) 4" xfId="4762"/>
    <cellStyle name="Link Currency (2) 5" xfId="4763"/>
    <cellStyle name="Link Currency (2) 6" xfId="4764"/>
    <cellStyle name="Link Currency (2) 7" xfId="4765"/>
    <cellStyle name="Link Currency (2) 8" xfId="4766"/>
    <cellStyle name="Link Currency (2) 9" xfId="4767"/>
    <cellStyle name="Link Units (0)" xfId="1328"/>
    <cellStyle name="Link Units (0) 10" xfId="4768"/>
    <cellStyle name="Link Units (0) 11" xfId="4769"/>
    <cellStyle name="Link Units (0) 12" xfId="4770"/>
    <cellStyle name="Link Units (0) 13" xfId="4771"/>
    <cellStyle name="Link Units (0) 14" xfId="4772"/>
    <cellStyle name="Link Units (0) 15" xfId="4773"/>
    <cellStyle name="Link Units (0) 16" xfId="4774"/>
    <cellStyle name="Link Units (0) 2" xfId="1329"/>
    <cellStyle name="Link Units (0) 3" xfId="4775"/>
    <cellStyle name="Link Units (0) 4" xfId="4776"/>
    <cellStyle name="Link Units (0) 5" xfId="4777"/>
    <cellStyle name="Link Units (0) 6" xfId="4778"/>
    <cellStyle name="Link Units (0) 7" xfId="4779"/>
    <cellStyle name="Link Units (0) 8" xfId="4780"/>
    <cellStyle name="Link Units (0) 9" xfId="4781"/>
    <cellStyle name="Link Units (1)" xfId="1330"/>
    <cellStyle name="Link Units (1) 10" xfId="4782"/>
    <cellStyle name="Link Units (1) 11" xfId="4783"/>
    <cellStyle name="Link Units (1) 12" xfId="4784"/>
    <cellStyle name="Link Units (1) 13" xfId="4785"/>
    <cellStyle name="Link Units (1) 14" xfId="4786"/>
    <cellStyle name="Link Units (1) 15" xfId="4787"/>
    <cellStyle name="Link Units (1) 16" xfId="4788"/>
    <cellStyle name="Link Units (1) 2" xfId="1331"/>
    <cellStyle name="Link Units (1) 3" xfId="4789"/>
    <cellStyle name="Link Units (1) 4" xfId="4790"/>
    <cellStyle name="Link Units (1) 5" xfId="4791"/>
    <cellStyle name="Link Units (1) 6" xfId="4792"/>
    <cellStyle name="Link Units (1) 7" xfId="4793"/>
    <cellStyle name="Link Units (1) 8" xfId="4794"/>
    <cellStyle name="Link Units (1) 9" xfId="4795"/>
    <cellStyle name="Link Units (2)" xfId="1332"/>
    <cellStyle name="Link Units (2) 10" xfId="4796"/>
    <cellStyle name="Link Units (2) 11" xfId="4797"/>
    <cellStyle name="Link Units (2) 12" xfId="4798"/>
    <cellStyle name="Link Units (2) 13" xfId="4799"/>
    <cellStyle name="Link Units (2) 14" xfId="4800"/>
    <cellStyle name="Link Units (2) 15" xfId="4801"/>
    <cellStyle name="Link Units (2) 16" xfId="4802"/>
    <cellStyle name="Link Units (2) 2" xfId="1333"/>
    <cellStyle name="Link Units (2) 3" xfId="4803"/>
    <cellStyle name="Link Units (2) 4" xfId="4804"/>
    <cellStyle name="Link Units (2) 5" xfId="4805"/>
    <cellStyle name="Link Units (2) 6" xfId="4806"/>
    <cellStyle name="Link Units (2) 7" xfId="4807"/>
    <cellStyle name="Link Units (2) 8" xfId="4808"/>
    <cellStyle name="Link Units (2) 9" xfId="4809"/>
    <cellStyle name="Linked Cell 2" xfId="1334"/>
    <cellStyle name="Linked Cell 2 2" xfId="2320"/>
    <cellStyle name="Linked Cell 2 3" xfId="2389"/>
    <cellStyle name="Linked Cell 3" xfId="1335"/>
    <cellStyle name="Linked Cell 4" xfId="1336"/>
    <cellStyle name="Loai CBDT" xfId="4810"/>
    <cellStyle name="Loai CT" xfId="4811"/>
    <cellStyle name="Loai GD" xfId="4812"/>
    <cellStyle name="MAU" xfId="1337"/>
    <cellStyle name="MAU 2" xfId="1338"/>
    <cellStyle name="Migliaia (0)_CALPREZZ" xfId="1339"/>
    <cellStyle name="Migliaia_ PESO ELETTR." xfId="1340"/>
    <cellStyle name="Millares [0]_Well Timing" xfId="1341"/>
    <cellStyle name="Millares_Well Timing" xfId="1342"/>
    <cellStyle name="Milliers [0]_      " xfId="1343"/>
    <cellStyle name="Milliers_      " xfId="1344"/>
    <cellStyle name="Model" xfId="1345"/>
    <cellStyle name="Model 2" xfId="1346"/>
    <cellStyle name="Model 3" xfId="1347"/>
    <cellStyle name="Model 4" xfId="1348"/>
    <cellStyle name="moi" xfId="1349"/>
    <cellStyle name="moi 2" xfId="1350"/>
    <cellStyle name="moi 3" xfId="1351"/>
    <cellStyle name="moi 4" xfId="1352"/>
    <cellStyle name="Moneda [0]_Well Timing" xfId="1353"/>
    <cellStyle name="Moneda_Well Timing" xfId="1354"/>
    <cellStyle name="Monétaire [0]_      " xfId="1355"/>
    <cellStyle name="Monétaire_      " xfId="1356"/>
    <cellStyle name="n" xfId="1357"/>
    <cellStyle name="Neutral 2" xfId="1358"/>
    <cellStyle name="Neutral 2 2" xfId="2319"/>
    <cellStyle name="Neutral 2 3" xfId="2370"/>
    <cellStyle name="Neutral 3" xfId="1359"/>
    <cellStyle name="Neutral 4" xfId="1360"/>
    <cellStyle name="New" xfId="4813"/>
    <cellStyle name="New Times Roman" xfId="1361"/>
    <cellStyle name="New Times Roman 2" xfId="1362"/>
    <cellStyle name="nga" xfId="1993"/>
    <cellStyle name="nga 2" xfId="1994"/>
    <cellStyle name="no dec" xfId="1363"/>
    <cellStyle name="no dec 2" xfId="1364"/>
    <cellStyle name="no dec 2 2" xfId="4814"/>
    <cellStyle name="ÑONVÒ" xfId="1365"/>
    <cellStyle name="ÑONVÒ 2" xfId="1366"/>
    <cellStyle name="Normal" xfId="0" builtinId="0"/>
    <cellStyle name="Normal - Style1" xfId="1367"/>
    <cellStyle name="Normal - Style1 2" xfId="1368"/>
    <cellStyle name="Normal - Style1 2 2" xfId="6170"/>
    <cellStyle name="Normal - Style1 3" xfId="1369"/>
    <cellStyle name="Normal - Style1_KH TPCP 2016-2020 (tong hop)" xfId="4815"/>
    <cellStyle name="Normal - 유형1" xfId="1370"/>
    <cellStyle name="Normal - 유형1 2" xfId="1371"/>
    <cellStyle name="Normal 10" xfId="2"/>
    <cellStyle name="Normal 10 2" xfId="6"/>
    <cellStyle name="Normal 10 2 2" xfId="1372"/>
    <cellStyle name="Normal 10 3" xfId="28"/>
    <cellStyle name="Normal 10 3 2" xfId="1373"/>
    <cellStyle name="Normal 10 4" xfId="1374"/>
    <cellStyle name="Normal 10 5" xfId="1375"/>
    <cellStyle name="Normal 10 6" xfId="4816"/>
    <cellStyle name="Normal 10_05-12  KH trung han 2016-2020 - Liem Thinh edited" xfId="4817"/>
    <cellStyle name="Normal 100" xfId="1376"/>
    <cellStyle name="Normal 101" xfId="1377"/>
    <cellStyle name="Normal 102" xfId="1378"/>
    <cellStyle name="Normal 103" xfId="1379"/>
    <cellStyle name="Normal 104" xfId="1380"/>
    <cellStyle name="Normal 105" xfId="1381"/>
    <cellStyle name="Normal 106" xfId="1382"/>
    <cellStyle name="Normal 107" xfId="1383"/>
    <cellStyle name="Normal 108" xfId="1384"/>
    <cellStyle name="Normal 109" xfId="1385"/>
    <cellStyle name="Normal 11" xfId="5"/>
    <cellStyle name="Normal 11 2" xfId="1386"/>
    <cellStyle name="Normal 11 2 2" xfId="4818"/>
    <cellStyle name="Normal 11 3" xfId="1387"/>
    <cellStyle name="Normal 11 3 2" xfId="4819"/>
    <cellStyle name="Normal 11 3 3" xfId="4820"/>
    <cellStyle name="Normal 11 3 4" xfId="4821"/>
    <cellStyle name="Normal 11 4" xfId="1388"/>
    <cellStyle name="Normal 11 5" xfId="4822"/>
    <cellStyle name="Normal 110" xfId="1389"/>
    <cellStyle name="Normal 111" xfId="1390"/>
    <cellStyle name="Normal 112" xfId="1391"/>
    <cellStyle name="Normal 113" xfId="1392"/>
    <cellStyle name="Normal 114" xfId="1393"/>
    <cellStyle name="Normal 115" xfId="1394"/>
    <cellStyle name="Normal 116" xfId="1395"/>
    <cellStyle name="Normal 117" xfId="1396"/>
    <cellStyle name="Normal 118" xfId="1397"/>
    <cellStyle name="Normal 119" xfId="1398"/>
    <cellStyle name="Normal 12" xfId="29"/>
    <cellStyle name="Normal 12 2" xfId="1399"/>
    <cellStyle name="Normal 12 3" xfId="1400"/>
    <cellStyle name="Normal 12 4" xfId="1401"/>
    <cellStyle name="Normal 120" xfId="1402"/>
    <cellStyle name="Normal 121" xfId="1403"/>
    <cellStyle name="Normal 122" xfId="1404"/>
    <cellStyle name="Normal 123" xfId="1405"/>
    <cellStyle name="Normal 124" xfId="1406"/>
    <cellStyle name="Normal 125" xfId="1407"/>
    <cellStyle name="Normal 126" xfId="1408"/>
    <cellStyle name="Normal 127" xfId="1409"/>
    <cellStyle name="Normal 128" xfId="1410"/>
    <cellStyle name="Normal 129" xfId="1411"/>
    <cellStyle name="Normal 13" xfId="30"/>
    <cellStyle name="Normal 13 2" xfId="1412"/>
    <cellStyle name="Normal 13 3" xfId="1413"/>
    <cellStyle name="Normal 130" xfId="1414"/>
    <cellStyle name="Normal 131" xfId="1415"/>
    <cellStyle name="Normal 132" xfId="1416"/>
    <cellStyle name="Normal 133" xfId="1417"/>
    <cellStyle name="Normal 134" xfId="1418"/>
    <cellStyle name="Normal 135" xfId="1419"/>
    <cellStyle name="Normal 136" xfId="1420"/>
    <cellStyle name="Normal 137" xfId="1421"/>
    <cellStyle name="Normal 138" xfId="1422"/>
    <cellStyle name="Normal 139" xfId="1423"/>
    <cellStyle name="Normal 14" xfId="31"/>
    <cellStyle name="Normal 14 2" xfId="32"/>
    <cellStyle name="Normal 14 2 2" xfId="74"/>
    <cellStyle name="Normal 14 3" xfId="7"/>
    <cellStyle name="Normal 14 3 2" xfId="33"/>
    <cellStyle name="Normal 14 4" xfId="34"/>
    <cellStyle name="Normal 14 5" xfId="2419"/>
    <cellStyle name="Normal 140" xfId="1424"/>
    <cellStyle name="Normal 141" xfId="1425"/>
    <cellStyle name="Normal 142" xfId="1426"/>
    <cellStyle name="Normal 143" xfId="1427"/>
    <cellStyle name="Normal 144" xfId="1428"/>
    <cellStyle name="Normal 145" xfId="1429"/>
    <cellStyle name="Normal 146" xfId="1430"/>
    <cellStyle name="Normal 147" xfId="1431"/>
    <cellStyle name="Normal 148" xfId="1432"/>
    <cellStyle name="Normal 149" xfId="1433"/>
    <cellStyle name="Normal 15" xfId="35"/>
    <cellStyle name="Normal 15 2" xfId="36"/>
    <cellStyle name="Normal 15 3" xfId="70"/>
    <cellStyle name="Normal 150" xfId="1434"/>
    <cellStyle name="Normal 151" xfId="1435"/>
    <cellStyle name="Normal 152" xfId="1436"/>
    <cellStyle name="Normal 153" xfId="1437"/>
    <cellStyle name="Normal 154" xfId="1438"/>
    <cellStyle name="Normal 155" xfId="1439"/>
    <cellStyle name="Normal 156" xfId="1440"/>
    <cellStyle name="Normal 157" xfId="1441"/>
    <cellStyle name="Normal 158" xfId="1442"/>
    <cellStyle name="Normal 159" xfId="1443"/>
    <cellStyle name="Normal 16" xfId="73"/>
    <cellStyle name="Normal 16 2" xfId="2363"/>
    <cellStyle name="Normal 16 2 2" xfId="4823"/>
    <cellStyle name="Normal 16 2 2 2" xfId="4824"/>
    <cellStyle name="Normal 16 2 3" xfId="4825"/>
    <cellStyle name="Normal 16 2 3 2" xfId="4826"/>
    <cellStyle name="Normal 16 2 4" xfId="4827"/>
    <cellStyle name="Normal 16 3" xfId="2369"/>
    <cellStyle name="Normal 16 4" xfId="4828"/>
    <cellStyle name="Normal 16 4 2" xfId="4829"/>
    <cellStyle name="Normal 16 5" xfId="4830"/>
    <cellStyle name="Normal 16 5 2" xfId="4831"/>
    <cellStyle name="Normal 160" xfId="1444"/>
    <cellStyle name="Normal 161" xfId="1445"/>
    <cellStyle name="Normal 162" xfId="1446"/>
    <cellStyle name="Normal 163" xfId="1447"/>
    <cellStyle name="Normal 164" xfId="1448"/>
    <cellStyle name="Normal 165" xfId="1449"/>
    <cellStyle name="Normal 166" xfId="77"/>
    <cellStyle name="Normal 167" xfId="1450"/>
    <cellStyle name="Normal 168" xfId="1451"/>
    <cellStyle name="Normal 169" xfId="1452"/>
    <cellStyle name="Normal 17" xfId="1453"/>
    <cellStyle name="Normal 17 2" xfId="4832"/>
    <cellStyle name="Normal 17 3 2" xfId="4833"/>
    <cellStyle name="Normal 17 3 2 2" xfId="4834"/>
    <cellStyle name="Normal 17 3 2 2 2" xfId="4835"/>
    <cellStyle name="Normal 17 3 2 3" xfId="4836"/>
    <cellStyle name="Normal 17 3 2 3 2" xfId="4837"/>
    <cellStyle name="Normal 17 3 2 4" xfId="4838"/>
    <cellStyle name="Normal 170" xfId="1454"/>
    <cellStyle name="Normal 171" xfId="1455"/>
    <cellStyle name="Normal 172" xfId="1456"/>
    <cellStyle name="Normal 173" xfId="1457"/>
    <cellStyle name="Normal 174" xfId="1458"/>
    <cellStyle name="Normal 175" xfId="1459"/>
    <cellStyle name="Normal 175 2" xfId="1460"/>
    <cellStyle name="Normal 175 2 2" xfId="1461"/>
    <cellStyle name="Normal 175 3" xfId="1462"/>
    <cellStyle name="Normal 176" xfId="1463"/>
    <cellStyle name="Normal 176 2" xfId="1464"/>
    <cellStyle name="Normal 176 2 2" xfId="1465"/>
    <cellStyle name="Normal 176 3" xfId="1466"/>
    <cellStyle name="Normal 177" xfId="1467"/>
    <cellStyle name="Normal 177 2" xfId="1468"/>
    <cellStyle name="Normal 177 2 2" xfId="1469"/>
    <cellStyle name="Normal 177 3" xfId="1470"/>
    <cellStyle name="Normal 178" xfId="1471"/>
    <cellStyle name="Normal 179" xfId="1472"/>
    <cellStyle name="Normal 18" xfId="1473"/>
    <cellStyle name="Normal 18 2" xfId="4839"/>
    <cellStyle name="Normal 18 2 2" xfId="4840"/>
    <cellStyle name="Normal 18 3" xfId="4841"/>
    <cellStyle name="Normal 18_05-12  KH trung han 2016-2020 - Liem Thinh edited" xfId="4842"/>
    <cellStyle name="Normal 180" xfId="1474"/>
    <cellStyle name="Normal 181" xfId="1475"/>
    <cellStyle name="Normal 181 2" xfId="1476"/>
    <cellStyle name="Normal 181 2 2" xfId="1477"/>
    <cellStyle name="Normal 181 3" xfId="1478"/>
    <cellStyle name="Normal 182" xfId="1479"/>
    <cellStyle name="Normal 182 2" xfId="1480"/>
    <cellStyle name="Normal 182 2 2" xfId="1481"/>
    <cellStyle name="Normal 182 3" xfId="1482"/>
    <cellStyle name="Normal 183" xfId="1483"/>
    <cellStyle name="Normal 183 2" xfId="1484"/>
    <cellStyle name="Normal 183 2 2" xfId="1485"/>
    <cellStyle name="Normal 183 3" xfId="1486"/>
    <cellStyle name="Normal 184" xfId="1487"/>
    <cellStyle name="Normal 184 2" xfId="1488"/>
    <cellStyle name="Normal 184 2 2" xfId="1489"/>
    <cellStyle name="Normal 184 3" xfId="1490"/>
    <cellStyle name="Normal 185" xfId="1491"/>
    <cellStyle name="Normal 185 2" xfId="1492"/>
    <cellStyle name="Normal 185 2 2" xfId="1493"/>
    <cellStyle name="Normal 185 3" xfId="1494"/>
    <cellStyle name="Normal 186" xfId="1495"/>
    <cellStyle name="Normal 186 2" xfId="1496"/>
    <cellStyle name="Normal 186 2 2" xfId="1497"/>
    <cellStyle name="Normal 186 3" xfId="1498"/>
    <cellStyle name="Normal 187" xfId="1499"/>
    <cellStyle name="Normal 187 2" xfId="1500"/>
    <cellStyle name="Normal 187 2 2" xfId="1501"/>
    <cellStyle name="Normal 187 3" xfId="1502"/>
    <cellStyle name="Normal 188" xfId="1503"/>
    <cellStyle name="Normal 188 2" xfId="1504"/>
    <cellStyle name="Normal 188 2 2" xfId="1505"/>
    <cellStyle name="Normal 188 3" xfId="1506"/>
    <cellStyle name="Normal 189" xfId="1507"/>
    <cellStyle name="Normal 189 2" xfId="1508"/>
    <cellStyle name="Normal 189 2 2" xfId="1509"/>
    <cellStyle name="Normal 189 3" xfId="1510"/>
    <cellStyle name="Normal 19" xfId="1511"/>
    <cellStyle name="Normal 19 2" xfId="4843"/>
    <cellStyle name="Normal 19 3" xfId="4844"/>
    <cellStyle name="Normal 190" xfId="1512"/>
    <cellStyle name="Normal 190 2" xfId="1513"/>
    <cellStyle name="Normal 190 2 2" xfId="1514"/>
    <cellStyle name="Normal 190 3" xfId="1515"/>
    <cellStyle name="Normal 191" xfId="1516"/>
    <cellStyle name="Normal 191 2" xfId="1517"/>
    <cellStyle name="Normal 191 2 2" xfId="1518"/>
    <cellStyle name="Normal 191 3" xfId="1519"/>
    <cellStyle name="Normal 192" xfId="1520"/>
    <cellStyle name="Normal 192 2" xfId="1521"/>
    <cellStyle name="Normal 192 2 2" xfId="1522"/>
    <cellStyle name="Normal 192 3" xfId="1523"/>
    <cellStyle name="Normal 193" xfId="1524"/>
    <cellStyle name="Normal 193 2" xfId="1525"/>
    <cellStyle name="Normal 193 2 2" xfId="1526"/>
    <cellStyle name="Normal 193 3" xfId="1527"/>
    <cellStyle name="Normal 194" xfId="1528"/>
    <cellStyle name="Normal 194 2" xfId="1529"/>
    <cellStyle name="Normal 194 2 2" xfId="1530"/>
    <cellStyle name="Normal 194 3" xfId="1531"/>
    <cellStyle name="Normal 195" xfId="1532"/>
    <cellStyle name="Normal 195 2" xfId="1533"/>
    <cellStyle name="Normal 195 2 2" xfId="1534"/>
    <cellStyle name="Normal 195 3" xfId="1535"/>
    <cellStyle name="Normal 196" xfId="1536"/>
    <cellStyle name="Normal 196 2" xfId="1537"/>
    <cellStyle name="Normal 196 2 2" xfId="1538"/>
    <cellStyle name="Normal 196 3" xfId="1539"/>
    <cellStyle name="Normal 197" xfId="1540"/>
    <cellStyle name="Normal 197 2" xfId="1541"/>
    <cellStyle name="Normal 197 2 2" xfId="1542"/>
    <cellStyle name="Normal 197 3" xfId="1543"/>
    <cellStyle name="Normal 198" xfId="1544"/>
    <cellStyle name="Normal 198 2" xfId="1545"/>
    <cellStyle name="Normal 198 2 2" xfId="1546"/>
    <cellStyle name="Normal 198 3" xfId="1547"/>
    <cellStyle name="Normal 199" xfId="1548"/>
    <cellStyle name="Normal 199 2" xfId="1549"/>
    <cellStyle name="Normal 199 2 2" xfId="1550"/>
    <cellStyle name="Normal 199 3" xfId="1551"/>
    <cellStyle name="Normal 2" xfId="37"/>
    <cellStyle name="Normal 2 10" xfId="1552"/>
    <cellStyle name="Normal 2 10 2" xfId="4845"/>
    <cellStyle name="Normal 2 11" xfId="1553"/>
    <cellStyle name="Normal 2 11 2" xfId="4846"/>
    <cellStyle name="Normal 2 12" xfId="1554"/>
    <cellStyle name="Normal 2 12 2" xfId="4847"/>
    <cellStyle name="Normal 2 13" xfId="1555"/>
    <cellStyle name="Normal 2 13 2" xfId="4848"/>
    <cellStyle name="Normal 2 14" xfId="1556"/>
    <cellStyle name="Normal 2 14 2" xfId="4849"/>
    <cellStyle name="Normal 2 14_Phuongangiao 1-giaoxulykythuat" xfId="4850"/>
    <cellStyle name="Normal 2 15" xfId="1557"/>
    <cellStyle name="Normal 2 16" xfId="1558"/>
    <cellStyle name="Normal 2 17" xfId="1559"/>
    <cellStyle name="Normal 2 18" xfId="1560"/>
    <cellStyle name="Normal 2 19" xfId="1561"/>
    <cellStyle name="Normal 2 2" xfId="38"/>
    <cellStyle name="Normal 2 2 10" xfId="4851"/>
    <cellStyle name="Normal 2 2 10 2" xfId="4852"/>
    <cellStyle name="Normal 2 2 11" xfId="4853"/>
    <cellStyle name="Normal 2 2 12" xfId="4854"/>
    <cellStyle name="Normal 2 2 13" xfId="4855"/>
    <cellStyle name="Normal 2 2 14" xfId="4856"/>
    <cellStyle name="Normal 2 2 15" xfId="4857"/>
    <cellStyle name="Normal 2 2 2" xfId="4858"/>
    <cellStyle name="Normal 2 2 2 2" xfId="4859"/>
    <cellStyle name="Normal 2 2 2 3" xfId="4860"/>
    <cellStyle name="Normal 2 2 3" xfId="4861"/>
    <cellStyle name="Normal 2 2 4" xfId="4862"/>
    <cellStyle name="Normal 2 2 4 2" xfId="4863"/>
    <cellStyle name="Normal 2 2 4 3" xfId="4864"/>
    <cellStyle name="Normal 2 2 5" xfId="4865"/>
    <cellStyle name="Normal 2 2 6" xfId="4866"/>
    <cellStyle name="Normal 2 2 7" xfId="4867"/>
    <cellStyle name="Normal 2 2 8" xfId="4868"/>
    <cellStyle name="Normal 2 2 9" xfId="4869"/>
    <cellStyle name="Normal 2 2_Bieu chi tiet tang quy mo, dch ky thuat 4" xfId="4870"/>
    <cellStyle name="Normal 2 20" xfId="1562"/>
    <cellStyle name="Normal 2 21" xfId="1563"/>
    <cellStyle name="Normal 2 22" xfId="4871"/>
    <cellStyle name="Normal 2 23" xfId="4872"/>
    <cellStyle name="Normal 2 24" xfId="4873"/>
    <cellStyle name="Normal 2 25" xfId="4874"/>
    <cellStyle name="Normal 2 26" xfId="4875"/>
    <cellStyle name="Normal 2 26 2" xfId="4876"/>
    <cellStyle name="Normal 2 27" xfId="4877"/>
    <cellStyle name="Normal 2 3" xfId="39"/>
    <cellStyle name="Normal 2 3 2" xfId="40"/>
    <cellStyle name="Normal 2 3 2 2" xfId="41"/>
    <cellStyle name="Normal 2 3 3" xfId="1564"/>
    <cellStyle name="Normal 2 32" xfId="4878"/>
    <cellStyle name="Normal 2 4" xfId="42"/>
    <cellStyle name="Normal 2 4 2" xfId="1565"/>
    <cellStyle name="Normal 2 4 2 2" xfId="4879"/>
    <cellStyle name="Normal 2 4 3" xfId="4880"/>
    <cellStyle name="Normal 2 4 3 2" xfId="4881"/>
    <cellStyle name="Normal 2 5" xfId="43"/>
    <cellStyle name="Normal 2 5 2" xfId="4882"/>
    <cellStyle name="Normal 2 6" xfId="1566"/>
    <cellStyle name="Normal 2 6 2" xfId="4883"/>
    <cellStyle name="Normal 2 7" xfId="1567"/>
    <cellStyle name="Normal 2 7 2" xfId="2304"/>
    <cellStyle name="Normal 2 7 3" xfId="2381"/>
    <cellStyle name="Normal 2 8" xfId="1568"/>
    <cellStyle name="Normal 2 8 2" xfId="4884"/>
    <cellStyle name="Normal 2 9" xfId="1569"/>
    <cellStyle name="Normal 2 9 2" xfId="4885"/>
    <cellStyle name="Normal 2_05-12  KH trung han 2016-2020 - Liem Thinh edited" xfId="4886"/>
    <cellStyle name="Normal 20" xfId="1570"/>
    <cellStyle name="Normal 20 2" xfId="4887"/>
    <cellStyle name="Normal 200" xfId="1571"/>
    <cellStyle name="Normal 200 2" xfId="1572"/>
    <cellStyle name="Normal 200 2 2" xfId="1573"/>
    <cellStyle name="Normal 200 3" xfId="1574"/>
    <cellStyle name="Normal 201" xfId="1575"/>
    <cellStyle name="Normal 201 2" xfId="1576"/>
    <cellStyle name="Normal 201 2 2" xfId="1577"/>
    <cellStyle name="Normal 201 3" xfId="1578"/>
    <cellStyle name="Normal 202" xfId="1579"/>
    <cellStyle name="Normal 202 2" xfId="1580"/>
    <cellStyle name="Normal 202 2 2" xfId="1581"/>
    <cellStyle name="Normal 202 3" xfId="1582"/>
    <cellStyle name="Normal 203" xfId="1583"/>
    <cellStyle name="Normal 203 2" xfId="1584"/>
    <cellStyle name="Normal 203 2 2" xfId="1585"/>
    <cellStyle name="Normal 203 3" xfId="1586"/>
    <cellStyle name="Normal 204" xfId="1587"/>
    <cellStyle name="Normal 204 2" xfId="1588"/>
    <cellStyle name="Normal 204 2 2" xfId="1589"/>
    <cellStyle name="Normal 204 3" xfId="1590"/>
    <cellStyle name="Normal 205" xfId="1591"/>
    <cellStyle name="Normal 205 2" xfId="1592"/>
    <cellStyle name="Normal 205 2 2" xfId="1593"/>
    <cellStyle name="Normal 205 3" xfId="1594"/>
    <cellStyle name="Normal 206" xfId="1595"/>
    <cellStyle name="Normal 206 2" xfId="1596"/>
    <cellStyle name="Normal 206 2 2" xfId="1597"/>
    <cellStyle name="Normal 206 3" xfId="1598"/>
    <cellStyle name="Normal 207" xfId="1599"/>
    <cellStyle name="Normal 207 2" xfId="1600"/>
    <cellStyle name="Normal 207 2 2" xfId="1601"/>
    <cellStyle name="Normal 207 3" xfId="1602"/>
    <cellStyle name="Normal 208" xfId="1603"/>
    <cellStyle name="Normal 208 2" xfId="1604"/>
    <cellStyle name="Normal 208 2 2" xfId="1605"/>
    <cellStyle name="Normal 208 3" xfId="1606"/>
    <cellStyle name="Normal 209" xfId="1607"/>
    <cellStyle name="Normal 209 2" xfId="1608"/>
    <cellStyle name="Normal 209 2 2" xfId="1609"/>
    <cellStyle name="Normal 209 3" xfId="1610"/>
    <cellStyle name="Normal 21" xfId="1611"/>
    <cellStyle name="Normal 21 2" xfId="4888"/>
    <cellStyle name="Normal 210" xfId="1612"/>
    <cellStyle name="Normal 210 2" xfId="1613"/>
    <cellStyle name="Normal 210 2 2" xfId="1614"/>
    <cellStyle name="Normal 210 3" xfId="1615"/>
    <cellStyle name="Normal 211" xfId="1616"/>
    <cellStyle name="Normal 211 2" xfId="1617"/>
    <cellStyle name="Normal 211 2 2" xfId="1618"/>
    <cellStyle name="Normal 211 3" xfId="1619"/>
    <cellStyle name="Normal 212" xfId="1620"/>
    <cellStyle name="Normal 212 2" xfId="1621"/>
    <cellStyle name="Normal 212 2 2" xfId="1622"/>
    <cellStyle name="Normal 212 3" xfId="1623"/>
    <cellStyle name="Normal 213" xfId="1624"/>
    <cellStyle name="Normal 213 2" xfId="1625"/>
    <cellStyle name="Normal 213 2 2" xfId="1626"/>
    <cellStyle name="Normal 213 3" xfId="1627"/>
    <cellStyle name="Normal 214" xfId="1628"/>
    <cellStyle name="Normal 214 2" xfId="1629"/>
    <cellStyle name="Normal 214 2 2" xfId="1630"/>
    <cellStyle name="Normal 214 3" xfId="1631"/>
    <cellStyle name="Normal 215" xfId="1632"/>
    <cellStyle name="Normal 215 2" xfId="1633"/>
    <cellStyle name="Normal 215 2 2" xfId="1634"/>
    <cellStyle name="Normal 215 3" xfId="1635"/>
    <cellStyle name="Normal 216" xfId="1636"/>
    <cellStyle name="Normal 216 2" xfId="1637"/>
    <cellStyle name="Normal 216 2 2" xfId="1638"/>
    <cellStyle name="Normal 216 3" xfId="1639"/>
    <cellStyle name="Normal 217" xfId="1640"/>
    <cellStyle name="Normal 217 2" xfId="1641"/>
    <cellStyle name="Normal 217 2 2" xfId="1642"/>
    <cellStyle name="Normal 217 3" xfId="1643"/>
    <cellStyle name="Normal 218" xfId="1644"/>
    <cellStyle name="Normal 218 2" xfId="1645"/>
    <cellStyle name="Normal 218 2 2" xfId="1646"/>
    <cellStyle name="Normal 218 3" xfId="1647"/>
    <cellStyle name="Normal 219" xfId="1648"/>
    <cellStyle name="Normal 219 2" xfId="1649"/>
    <cellStyle name="Normal 219 2 2" xfId="1650"/>
    <cellStyle name="Normal 219 3" xfId="1651"/>
    <cellStyle name="Normal 22" xfId="1652"/>
    <cellStyle name="Normal 22 2" xfId="4889"/>
    <cellStyle name="Normal 220" xfId="1653"/>
    <cellStyle name="Normal 220 2" xfId="1654"/>
    <cellStyle name="Normal 220 2 2" xfId="1655"/>
    <cellStyle name="Normal 220 3" xfId="1656"/>
    <cellStyle name="Normal 221" xfId="1657"/>
    <cellStyle name="Normal 221 2" xfId="1658"/>
    <cellStyle name="Normal 221 2 2" xfId="1659"/>
    <cellStyle name="Normal 221 3" xfId="1660"/>
    <cellStyle name="Normal 222" xfId="1661"/>
    <cellStyle name="Normal 222 2" xfId="1662"/>
    <cellStyle name="Normal 222 2 2" xfId="1663"/>
    <cellStyle name="Normal 222 3" xfId="1664"/>
    <cellStyle name="Normal 223" xfId="1665"/>
    <cellStyle name="Normal 223 2" xfId="1666"/>
    <cellStyle name="Normal 223 2 2" xfId="1667"/>
    <cellStyle name="Normal 223 3" xfId="1668"/>
    <cellStyle name="Normal 224" xfId="1669"/>
    <cellStyle name="Normal 224 2" xfId="1670"/>
    <cellStyle name="Normal 224 2 2" xfId="1671"/>
    <cellStyle name="Normal 224 3" xfId="1672"/>
    <cellStyle name="Normal 225" xfId="1673"/>
    <cellStyle name="Normal 225 2" xfId="1674"/>
    <cellStyle name="Normal 225 2 2" xfId="1675"/>
    <cellStyle name="Normal 225 3" xfId="1676"/>
    <cellStyle name="Normal 226" xfId="1677"/>
    <cellStyle name="Normal 226 2" xfId="1678"/>
    <cellStyle name="Normal 226 2 2" xfId="1679"/>
    <cellStyle name="Normal 226 3" xfId="1680"/>
    <cellStyle name="Normal 227" xfId="1681"/>
    <cellStyle name="Normal 227 2" xfId="1682"/>
    <cellStyle name="Normal 227 2 2" xfId="1683"/>
    <cellStyle name="Normal 227 3" xfId="1684"/>
    <cellStyle name="Normal 228" xfId="1685"/>
    <cellStyle name="Normal 228 2" xfId="1686"/>
    <cellStyle name="Normal 228 2 2" xfId="1687"/>
    <cellStyle name="Normal 228 3" xfId="1688"/>
    <cellStyle name="Normal 229" xfId="1689"/>
    <cellStyle name="Normal 229 2" xfId="1690"/>
    <cellStyle name="Normal 229 2 2" xfId="1691"/>
    <cellStyle name="Normal 229 3" xfId="1692"/>
    <cellStyle name="Normal 23" xfId="1693"/>
    <cellStyle name="Normal 23 2" xfId="4890"/>
    <cellStyle name="Normal 23 3" xfId="4891"/>
    <cellStyle name="Normal 230" xfId="1694"/>
    <cellStyle name="Normal 230 2" xfId="1695"/>
    <cellStyle name="Normal 230 2 2" xfId="1696"/>
    <cellStyle name="Normal 230 3" xfId="1697"/>
    <cellStyle name="Normal 231" xfId="1698"/>
    <cellStyle name="Normal 232" xfId="1699"/>
    <cellStyle name="Normal 232 2" xfId="1700"/>
    <cellStyle name="Normal 233" xfId="1701"/>
    <cellStyle name="Normal 233 2" xfId="1702"/>
    <cellStyle name="Normal 234" xfId="1703"/>
    <cellStyle name="Normal 235" xfId="1704"/>
    <cellStyle name="Normal 235 2" xfId="1705"/>
    <cellStyle name="Normal 236" xfId="1706"/>
    <cellStyle name="Normal 236 2" xfId="1707"/>
    <cellStyle name="Normal 237" xfId="1708"/>
    <cellStyle name="Normal 237 2" xfId="1709"/>
    <cellStyle name="Normal 238" xfId="1710"/>
    <cellStyle name="Normal 238 2" xfId="1711"/>
    <cellStyle name="Normal 239" xfId="1712"/>
    <cellStyle name="Normal 239 2" xfId="1713"/>
    <cellStyle name="Normal 24" xfId="1714"/>
    <cellStyle name="Normal 24 2" xfId="4892"/>
    <cellStyle name="Normal 24 2 2" xfId="4893"/>
    <cellStyle name="Normal 240" xfId="1715"/>
    <cellStyle name="Normal 240 2" xfId="1716"/>
    <cellStyle name="Normal 241" xfId="1717"/>
    <cellStyle name="Normal 241 2" xfId="1718"/>
    <cellStyle name="Normal 242" xfId="1719"/>
    <cellStyle name="Normal 242 2" xfId="1720"/>
    <cellStyle name="Normal 243" xfId="1721"/>
    <cellStyle name="Normal 243 2" xfId="1722"/>
    <cellStyle name="Normal 244" xfId="1723"/>
    <cellStyle name="Normal 244 2" xfId="1724"/>
    <cellStyle name="Normal 245" xfId="1725"/>
    <cellStyle name="Normal 245 2" xfId="1726"/>
    <cellStyle name="Normal 246" xfId="1727"/>
    <cellStyle name="Normal 246 2" xfId="1728"/>
    <cellStyle name="Normal 247" xfId="1729"/>
    <cellStyle name="Normal 247 2" xfId="1730"/>
    <cellStyle name="Normal 248" xfId="1731"/>
    <cellStyle name="Normal 248 2" xfId="1732"/>
    <cellStyle name="Normal 249" xfId="1733"/>
    <cellStyle name="Normal 249 2" xfId="1734"/>
    <cellStyle name="Normal 25" xfId="1735"/>
    <cellStyle name="Normal 25 2" xfId="4894"/>
    <cellStyle name="Normal 25 3" xfId="4895"/>
    <cellStyle name="Normal 250" xfId="1736"/>
    <cellStyle name="Normal 250 2" xfId="1737"/>
    <cellStyle name="Normal 251" xfId="1738"/>
    <cellStyle name="Normal 251 2" xfId="1739"/>
    <cellStyle name="Normal 252" xfId="1740"/>
    <cellStyle name="Normal 252 2" xfId="1741"/>
    <cellStyle name="Normal 253" xfId="1742"/>
    <cellStyle name="Normal 253 2" xfId="1743"/>
    <cellStyle name="Normal 254" xfId="1744"/>
    <cellStyle name="Normal 254 2" xfId="1745"/>
    <cellStyle name="Normal 255" xfId="1746"/>
    <cellStyle name="Normal 255 2" xfId="1747"/>
    <cellStyle name="Normal 256" xfId="1748"/>
    <cellStyle name="Normal 256 2" xfId="1749"/>
    <cellStyle name="Normal 257" xfId="1750"/>
    <cellStyle name="Normal 257 2" xfId="1751"/>
    <cellStyle name="Normal 258" xfId="1752"/>
    <cellStyle name="Normal 258 2" xfId="1753"/>
    <cellStyle name="Normal 259" xfId="1754"/>
    <cellStyle name="Normal 259 2" xfId="1755"/>
    <cellStyle name="Normal 26" xfId="1756"/>
    <cellStyle name="Normal 26 2" xfId="4896"/>
    <cellStyle name="Normal 260" xfId="1757"/>
    <cellStyle name="Normal 260 2" xfId="1758"/>
    <cellStyle name="Normal 261" xfId="1759"/>
    <cellStyle name="Normal 261 2" xfId="1760"/>
    <cellStyle name="Normal 262" xfId="1761"/>
    <cellStyle name="Normal 262 2" xfId="1762"/>
    <cellStyle name="Normal 263" xfId="1763"/>
    <cellStyle name="Normal 263 2" xfId="1764"/>
    <cellStyle name="Normal 264" xfId="1765"/>
    <cellStyle name="Normal 264 2" xfId="1766"/>
    <cellStyle name="Normal 265" xfId="1767"/>
    <cellStyle name="Normal 265 2" xfId="1768"/>
    <cellStyle name="Normal 266" xfId="1769"/>
    <cellStyle name="Normal 266 2" xfId="1770"/>
    <cellStyle name="Normal 267" xfId="1771"/>
    <cellStyle name="Normal 267 2" xfId="1772"/>
    <cellStyle name="Normal 268" xfId="1773"/>
    <cellStyle name="Normal 268 2" xfId="1774"/>
    <cellStyle name="Normal 269" xfId="1775"/>
    <cellStyle name="Normal 269 2" xfId="1776"/>
    <cellStyle name="Normal 27" xfId="1777"/>
    <cellStyle name="Normal 27 2" xfId="4897"/>
    <cellStyle name="Normal 270" xfId="1778"/>
    <cellStyle name="Normal 270 2" xfId="1779"/>
    <cellStyle name="Normal 271" xfId="1780"/>
    <cellStyle name="Normal 271 2" xfId="1781"/>
    <cellStyle name="Normal 272" xfId="1782"/>
    <cellStyle name="Normal 272 2" xfId="1783"/>
    <cellStyle name="Normal 273" xfId="1784"/>
    <cellStyle name="Normal 273 2" xfId="1785"/>
    <cellStyle name="Normal 274" xfId="1786"/>
    <cellStyle name="Normal 274 2" xfId="1787"/>
    <cellStyle name="Normal 275" xfId="1788"/>
    <cellStyle name="Normal 275 2" xfId="1789"/>
    <cellStyle name="Normal 276" xfId="1790"/>
    <cellStyle name="Normal 276 2" xfId="1791"/>
    <cellStyle name="Normal 277" xfId="1792"/>
    <cellStyle name="Normal 277 2" xfId="1793"/>
    <cellStyle name="Normal 278" xfId="1794"/>
    <cellStyle name="Normal 278 2" xfId="1795"/>
    <cellStyle name="Normal 279" xfId="1796"/>
    <cellStyle name="Normal 279 2" xfId="1797"/>
    <cellStyle name="Normal 28" xfId="1798"/>
    <cellStyle name="Normal 28 2" xfId="4898"/>
    <cellStyle name="Normal 280" xfId="1799"/>
    <cellStyle name="Normal 280 2" xfId="1800"/>
    <cellStyle name="Normal 281" xfId="1801"/>
    <cellStyle name="Normal 281 2" xfId="1802"/>
    <cellStyle name="Normal 282" xfId="1803"/>
    <cellStyle name="Normal 283" xfId="1804"/>
    <cellStyle name="Normal 284" xfId="1805"/>
    <cellStyle name="Normal 285" xfId="1806"/>
    <cellStyle name="Normal 286" xfId="1807"/>
    <cellStyle name="Normal 287" xfId="1808"/>
    <cellStyle name="Normal 288" xfId="1809"/>
    <cellStyle name="Normal 289" xfId="1810"/>
    <cellStyle name="Normal 29" xfId="1811"/>
    <cellStyle name="Normal 29 2" xfId="4899"/>
    <cellStyle name="Normal 290" xfId="1812"/>
    <cellStyle name="Normal 291" xfId="1813"/>
    <cellStyle name="Normal 292" xfId="1814"/>
    <cellStyle name="Normal 293" xfId="1815"/>
    <cellStyle name="Normal 294" xfId="1816"/>
    <cellStyle name="Normal 295" xfId="1817"/>
    <cellStyle name="Normal 296" xfId="1818"/>
    <cellStyle name="Normal 297" xfId="1819"/>
    <cellStyle name="Normal 298" xfId="1820"/>
    <cellStyle name="Normal 299" xfId="1821"/>
    <cellStyle name="Normal 3" xfId="44"/>
    <cellStyle name="Normal 3 10" xfId="4900"/>
    <cellStyle name="Normal 3 11" xfId="4901"/>
    <cellStyle name="Normal 3 12" xfId="4902"/>
    <cellStyle name="Normal 3 13" xfId="4903"/>
    <cellStyle name="Normal 3 14" xfId="4904"/>
    <cellStyle name="Normal 3 15" xfId="4905"/>
    <cellStyle name="Normal 3 16" xfId="4906"/>
    <cellStyle name="Normal 3 17" xfId="4907"/>
    <cellStyle name="Normal 3 18" xfId="4908"/>
    <cellStyle name="Normal 3 2" xfId="2382"/>
    <cellStyle name="Normal 3 2 2" xfId="4909"/>
    <cellStyle name="Normal 3 2 2 2" xfId="4910"/>
    <cellStyle name="Normal 3 2 3" xfId="4911"/>
    <cellStyle name="Normal 3 2 3 2" xfId="4912"/>
    <cellStyle name="Normal 3 2 4" xfId="4913"/>
    <cellStyle name="Normal 3 2 5" xfId="4914"/>
    <cellStyle name="Normal 3 2 5 2" xfId="4915"/>
    <cellStyle name="Normal 3 2 6" xfId="4916"/>
    <cellStyle name="Normal 3 2 6 2" xfId="4917"/>
    <cellStyle name="Normal 3 2 7" xfId="4918"/>
    <cellStyle name="Normal 3 3" xfId="4919"/>
    <cellStyle name="Normal 3 3 2" xfId="4920"/>
    <cellStyle name="Normal 3 4" xfId="4921"/>
    <cellStyle name="Normal 3 4 2" xfId="4922"/>
    <cellStyle name="Normal 3 5" xfId="4923"/>
    <cellStyle name="Normal 3 6" xfId="4924"/>
    <cellStyle name="Normal 3 7" xfId="4925"/>
    <cellStyle name="Normal 3 8" xfId="4926"/>
    <cellStyle name="Normal 3 9" xfId="4927"/>
    <cellStyle name="Normal 3_Bieu TH TPCP Vung TNB ngay 4-1-2012" xfId="4928"/>
    <cellStyle name="Normal 30" xfId="1822"/>
    <cellStyle name="Normal 30 10" xfId="1823"/>
    <cellStyle name="Normal 30 11" xfId="1824"/>
    <cellStyle name="Normal 30 12" xfId="1825"/>
    <cellStyle name="Normal 30 13" xfId="1826"/>
    <cellStyle name="Normal 30 14" xfId="1827"/>
    <cellStyle name="Normal 30 15" xfId="1828"/>
    <cellStyle name="Normal 30 16" xfId="1829"/>
    <cellStyle name="Normal 30 17" xfId="1830"/>
    <cellStyle name="Normal 30 18" xfId="1831"/>
    <cellStyle name="Normal 30 2" xfId="1832"/>
    <cellStyle name="Normal 30 2 2" xfId="4929"/>
    <cellStyle name="Normal 30 3" xfId="1833"/>
    <cellStyle name="Normal 30 3 2" xfId="4930"/>
    <cellStyle name="Normal 30 4" xfId="1834"/>
    <cellStyle name="Normal 30 5" xfId="1835"/>
    <cellStyle name="Normal 30 6" xfId="1836"/>
    <cellStyle name="Normal 30 7" xfId="1837"/>
    <cellStyle name="Normal 30 8" xfId="1838"/>
    <cellStyle name="Normal 30 9" xfId="1839"/>
    <cellStyle name="Normal 300" xfId="1840"/>
    <cellStyle name="Normal 301" xfId="1841"/>
    <cellStyle name="Normal 302" xfId="1842"/>
    <cellStyle name="Normal 303" xfId="1843"/>
    <cellStyle name="Normal 304" xfId="1844"/>
    <cellStyle name="Normal 305" xfId="1845"/>
    <cellStyle name="Normal 306" xfId="1846"/>
    <cellStyle name="Normal 307" xfId="1847"/>
    <cellStyle name="Normal 308" xfId="1848"/>
    <cellStyle name="Normal 309" xfId="1849"/>
    <cellStyle name="Normal 31" xfId="1850"/>
    <cellStyle name="Normal 31 10" xfId="1851"/>
    <cellStyle name="Normal 31 11" xfId="1852"/>
    <cellStyle name="Normal 31 12" xfId="1853"/>
    <cellStyle name="Normal 31 13" xfId="1854"/>
    <cellStyle name="Normal 31 14" xfId="1855"/>
    <cellStyle name="Normal 31 15" xfId="1856"/>
    <cellStyle name="Normal 31 16" xfId="1857"/>
    <cellStyle name="Normal 31 17" xfId="1858"/>
    <cellStyle name="Normal 31 18" xfId="1859"/>
    <cellStyle name="Normal 31 2" xfId="1860"/>
    <cellStyle name="Normal 31 2 2" xfId="4931"/>
    <cellStyle name="Normal 31 3" xfId="1861"/>
    <cellStyle name="Normal 31 3 2" xfId="4932"/>
    <cellStyle name="Normal 31 4" xfId="1862"/>
    <cellStyle name="Normal 31 5" xfId="1863"/>
    <cellStyle name="Normal 31 6" xfId="1864"/>
    <cellStyle name="Normal 31 7" xfId="1865"/>
    <cellStyle name="Normal 31 8" xfId="1866"/>
    <cellStyle name="Normal 31 9" xfId="1867"/>
    <cellStyle name="Normal 310" xfId="1868"/>
    <cellStyle name="Normal 311" xfId="1869"/>
    <cellStyle name="Normal 312" xfId="1870"/>
    <cellStyle name="Normal 313" xfId="1871"/>
    <cellStyle name="Normal 314" xfId="1872"/>
    <cellStyle name="Normal 315" xfId="1873"/>
    <cellStyle name="Normal 316" xfId="1874"/>
    <cellStyle name="Normal 317" xfId="1875"/>
    <cellStyle name="Normal 318" xfId="1876"/>
    <cellStyle name="Normal 319" xfId="1877"/>
    <cellStyle name="Normal 32" xfId="1878"/>
    <cellStyle name="Normal 32 2" xfId="4933"/>
    <cellStyle name="Normal 32 2 2" xfId="4934"/>
    <cellStyle name="Normal 320" xfId="1879"/>
    <cellStyle name="Normal 321" xfId="1880"/>
    <cellStyle name="Normal 322" xfId="1881"/>
    <cellStyle name="Normal 323" xfId="1882"/>
    <cellStyle name="Normal 324" xfId="1883"/>
    <cellStyle name="Normal 325" xfId="1884"/>
    <cellStyle name="Normal 326" xfId="1885"/>
    <cellStyle name="Normal 327" xfId="1886"/>
    <cellStyle name="Normal 328" xfId="1887"/>
    <cellStyle name="Normal 329" xfId="1888"/>
    <cellStyle name="Normal 33" xfId="1889"/>
    <cellStyle name="Normal 33 2" xfId="4935"/>
    <cellStyle name="Normal 330" xfId="1890"/>
    <cellStyle name="Normal 331" xfId="75"/>
    <cellStyle name="Normal 332" xfId="1891"/>
    <cellStyle name="Normal 333" xfId="69"/>
    <cellStyle name="Normal 334" xfId="1892"/>
    <cellStyle name="Normal 335" xfId="2275"/>
    <cellStyle name="Normal 336" xfId="60"/>
    <cellStyle name="Normal 336 2" xfId="2364"/>
    <cellStyle name="Normal 337" xfId="68"/>
    <cellStyle name="Normal 337 2" xfId="2469"/>
    <cellStyle name="Normal 338" xfId="2430"/>
    <cellStyle name="Normal 338 2" xfId="2441"/>
    <cellStyle name="Normal 339" xfId="2276"/>
    <cellStyle name="Normal 339 2" xfId="2467"/>
    <cellStyle name="Normal 34" xfId="1893"/>
    <cellStyle name="Normal 340" xfId="2425"/>
    <cellStyle name="Normal 340 2" xfId="2443"/>
    <cellStyle name="Normal 341" xfId="2282"/>
    <cellStyle name="Normal 342" xfId="2445"/>
    <cellStyle name="Normal 343" xfId="2464"/>
    <cellStyle name="Normal 344" xfId="2447"/>
    <cellStyle name="Normal 345" xfId="2455"/>
    <cellStyle name="Normal 346" xfId="2458"/>
    <cellStyle name="Normal 347" xfId="2460"/>
    <cellStyle name="Normal 348" xfId="2462"/>
    <cellStyle name="Normal 349" xfId="2471"/>
    <cellStyle name="Normal 35" xfId="1894"/>
    <cellStyle name="Normal 350" xfId="2472"/>
    <cellStyle name="Normal 351" xfId="2473"/>
    <cellStyle name="Normal 352" xfId="2449"/>
    <cellStyle name="Normal 353" xfId="2451"/>
    <cellStyle name="Normal 354" xfId="2478"/>
    <cellStyle name="Normal 355" xfId="2479"/>
    <cellStyle name="Normal 356" xfId="2475"/>
    <cellStyle name="Normal 357" xfId="2482"/>
    <cellStyle name="Normal 358" xfId="2484"/>
    <cellStyle name="Normal 359" xfId="2486"/>
    <cellStyle name="Normal 36" xfId="1895"/>
    <cellStyle name="Normal 360" xfId="2488"/>
    <cellStyle name="Normal 361" xfId="2490"/>
    <cellStyle name="Normal 362" xfId="2492"/>
    <cellStyle name="Normal 363" xfId="2494"/>
    <cellStyle name="Normal 364" xfId="2496"/>
    <cellStyle name="Normal 365" xfId="2498"/>
    <cellStyle name="Normal 366" xfId="2500"/>
    <cellStyle name="Normal 367" xfId="2502"/>
    <cellStyle name="Normal 368" xfId="2504"/>
    <cellStyle name="Normal 369" xfId="2506"/>
    <cellStyle name="Normal 37" xfId="1896"/>
    <cellStyle name="Normal 37 2" xfId="4936"/>
    <cellStyle name="Normal 37 2 2" xfId="4937"/>
    <cellStyle name="Normal 37 2 3" xfId="4938"/>
    <cellStyle name="Normal 37 3" xfId="4939"/>
    <cellStyle name="Normal 37 3 2" xfId="4940"/>
    <cellStyle name="Normal 37 4" xfId="4941"/>
    <cellStyle name="Normal 370" xfId="2507"/>
    <cellStyle name="Normal 371" xfId="2508"/>
    <cellStyle name="Normal 372" xfId="2511"/>
    <cellStyle name="Normal 373" xfId="2514"/>
    <cellStyle name="Normal 374" xfId="2516"/>
    <cellStyle name="Normal 375" xfId="2517"/>
    <cellStyle name="Normal 376" xfId="2519"/>
    <cellStyle name="Normal 377" xfId="2524"/>
    <cellStyle name="Normal 378" xfId="2527"/>
    <cellStyle name="Normal 379" xfId="2528"/>
    <cellStyle name="Normal 38" xfId="1897"/>
    <cellStyle name="Normal 38 2" xfId="4942"/>
    <cellStyle name="Normal 38 2 2" xfId="4943"/>
    <cellStyle name="Normal 380" xfId="2520"/>
    <cellStyle name="Normal 381" xfId="2531"/>
    <cellStyle name="Normal 382" xfId="2533"/>
    <cellStyle name="Normal 383" xfId="2535"/>
    <cellStyle name="Normal 384" xfId="2537"/>
    <cellStyle name="Normal 385" xfId="2539"/>
    <cellStyle name="Normal 386" xfId="2541"/>
    <cellStyle name="Normal 387" xfId="2543"/>
    <cellStyle name="Normal 388" xfId="2545"/>
    <cellStyle name="Normal 389" xfId="2547"/>
    <cellStyle name="Normal 39" xfId="1898"/>
    <cellStyle name="Normal 39 2" xfId="4944"/>
    <cellStyle name="Normal 39 2 2" xfId="4945"/>
    <cellStyle name="Normal 39 3" xfId="4946"/>
    <cellStyle name="Normal 39 3 2" xfId="4947"/>
    <cellStyle name="Normal 390" xfId="2549"/>
    <cellStyle name="Normal 391" xfId="2551"/>
    <cellStyle name="Normal 392" xfId="2553"/>
    <cellStyle name="Normal 393" xfId="2555"/>
    <cellStyle name="Normal 394" xfId="2557"/>
    <cellStyle name="Normal 395" xfId="2558"/>
    <cellStyle name="Normal 396" xfId="2559"/>
    <cellStyle name="Normal 397" xfId="2565"/>
    <cellStyle name="Normal 398" xfId="2568"/>
    <cellStyle name="Normal 399" xfId="2569"/>
    <cellStyle name="Normal 4" xfId="45"/>
    <cellStyle name="Normal 4 10" xfId="4948"/>
    <cellStyle name="Normal 4 11" xfId="4949"/>
    <cellStyle name="Normal 4 12" xfId="4950"/>
    <cellStyle name="Normal 4 13" xfId="4951"/>
    <cellStyle name="Normal 4 14" xfId="4952"/>
    <cellStyle name="Normal 4 15" xfId="4953"/>
    <cellStyle name="Normal 4 16" xfId="4954"/>
    <cellStyle name="Normal 4 17" xfId="4955"/>
    <cellStyle name="Normal 4 2" xfId="46"/>
    <cellStyle name="Normal 4 2 2" xfId="1899"/>
    <cellStyle name="Normal 4 2 3" xfId="1900"/>
    <cellStyle name="Normal 4 2 4" xfId="1901"/>
    <cellStyle name="Normal 4 2 5" xfId="1902"/>
    <cellStyle name="Normal 4 3" xfId="1903"/>
    <cellStyle name="Normal 4 3 2" xfId="2296"/>
    <cellStyle name="Normal 4 3 3" xfId="2368"/>
    <cellStyle name="Normal 4 4" xfId="1904"/>
    <cellStyle name="Normal 4 5" xfId="1905"/>
    <cellStyle name="Normal 4 6" xfId="1906"/>
    <cellStyle name="Normal 4 7" xfId="4956"/>
    <cellStyle name="Normal 4 8" xfId="4957"/>
    <cellStyle name="Normal 4 9" xfId="4958"/>
    <cellStyle name="Normal 4_Bang bieu" xfId="47"/>
    <cellStyle name="Normal 40" xfId="1907"/>
    <cellStyle name="Normal 400" xfId="2560"/>
    <cellStyle name="Normal 401" xfId="2571"/>
    <cellStyle name="Normal 402" xfId="2577"/>
    <cellStyle name="Normal 403" xfId="2574"/>
    <cellStyle name="Normal 404" xfId="2578"/>
    <cellStyle name="Normal 405" xfId="2420"/>
    <cellStyle name="Normal 405 2" xfId="2700"/>
    <cellStyle name="Normal 406" xfId="2440"/>
    <cellStyle name="Normal 406 2" xfId="2701"/>
    <cellStyle name="Normal 407" xfId="2581"/>
    <cellStyle name="Normal 407 2" xfId="2702"/>
    <cellStyle name="Normal 408" xfId="2362"/>
    <cellStyle name="Normal 409" xfId="2295"/>
    <cellStyle name="Normal 41" xfId="1908"/>
    <cellStyle name="Normal 410" xfId="2357"/>
    <cellStyle name="Normal 411" xfId="2586"/>
    <cellStyle name="Normal 412" xfId="2585"/>
    <cellStyle name="Normal 413" xfId="2298"/>
    <cellStyle name="Normal 414" xfId="2582"/>
    <cellStyle name="Normal 415" xfId="2300"/>
    <cellStyle name="Normal 416" xfId="2588"/>
    <cellStyle name="Normal 417" xfId="2291"/>
    <cellStyle name="Normal 418" xfId="2302"/>
    <cellStyle name="Normal 419" xfId="2348"/>
    <cellStyle name="Normal 42" xfId="1909"/>
    <cellStyle name="Normal 420" xfId="2301"/>
    <cellStyle name="Normal 421" xfId="2584"/>
    <cellStyle name="Normal 422" xfId="2587"/>
    <cellStyle name="Normal 423" xfId="2359"/>
    <cellStyle name="Normal 424" xfId="2356"/>
    <cellStyle name="Normal 425" xfId="2434"/>
    <cellStyle name="Normal 426" xfId="66"/>
    <cellStyle name="Normal 427" xfId="2331"/>
    <cellStyle name="Normal 428" xfId="2590"/>
    <cellStyle name="Normal 429" xfId="2330"/>
    <cellStyle name="Normal 43" xfId="1910"/>
    <cellStyle name="Normal 430" xfId="2318"/>
    <cellStyle name="Normal 431" xfId="2595"/>
    <cellStyle name="Normal 432" xfId="2297"/>
    <cellStyle name="Normal 433" xfId="2594"/>
    <cellStyle name="Normal 434" xfId="2589"/>
    <cellStyle name="Normal 435" xfId="2593"/>
    <cellStyle name="Normal 436" xfId="2281"/>
    <cellStyle name="Normal 437" xfId="2592"/>
    <cellStyle name="Normal 438" xfId="2280"/>
    <cellStyle name="Normal 439" xfId="2597"/>
    <cellStyle name="Normal 44" xfId="1911"/>
    <cellStyle name="Normal 440" xfId="2286"/>
    <cellStyle name="Normal 441" xfId="2599"/>
    <cellStyle name="Normal 442" xfId="2299"/>
    <cellStyle name="Normal 443" xfId="2360"/>
    <cellStyle name="Normal 444" xfId="2596"/>
    <cellStyle name="Normal 445" xfId="2591"/>
    <cellStyle name="Normal 446" xfId="2583"/>
    <cellStyle name="Normal 447" xfId="2322"/>
    <cellStyle name="Normal 448" xfId="2361"/>
    <cellStyle name="Normal 449" xfId="2600"/>
    <cellStyle name="Normal 45" xfId="1912"/>
    <cellStyle name="Normal 450" xfId="2580"/>
    <cellStyle name="Normal 451" xfId="2598"/>
    <cellStyle name="Normal 452" xfId="2601"/>
    <cellStyle name="Normal 452 2" xfId="2703"/>
    <cellStyle name="Normal 453" xfId="2618"/>
    <cellStyle name="Normal 453 2" xfId="2715"/>
    <cellStyle name="Normal 454" xfId="2619"/>
    <cellStyle name="Normal 454 2" xfId="2716"/>
    <cellStyle name="Normal 455" xfId="2617"/>
    <cellStyle name="Normal 455 2" xfId="2714"/>
    <cellStyle name="Normal 456" xfId="2603"/>
    <cellStyle name="Normal 456 2" xfId="2704"/>
    <cellStyle name="Normal 457" xfId="2620"/>
    <cellStyle name="Normal 457 2" xfId="2717"/>
    <cellStyle name="Normal 458" xfId="2606"/>
    <cellStyle name="Normal 458 2" xfId="2707"/>
    <cellStyle name="Normal 459" xfId="2616"/>
    <cellStyle name="Normal 459 2" xfId="2713"/>
    <cellStyle name="Normal 46" xfId="1913"/>
    <cellStyle name="Normal 46 2" xfId="4959"/>
    <cellStyle name="Normal 460" xfId="2622"/>
    <cellStyle name="Normal 460 2" xfId="2718"/>
    <cellStyle name="Normal 461" xfId="2605"/>
    <cellStyle name="Normal 461 2" xfId="2706"/>
    <cellStyle name="Normal 462" xfId="2613"/>
    <cellStyle name="Normal 462 2" xfId="2710"/>
    <cellStyle name="Normal 463" xfId="2615"/>
    <cellStyle name="Normal 463 2" xfId="2712"/>
    <cellStyle name="Normal 464" xfId="2614"/>
    <cellStyle name="Normal 464 2" xfId="2711"/>
    <cellStyle name="Normal 465" xfId="2623"/>
    <cellStyle name="Normal 465 2" xfId="2719"/>
    <cellStyle name="Normal 466" xfId="2625"/>
    <cellStyle name="Normal 466 2" xfId="2721"/>
    <cellStyle name="Normal 467" xfId="2610"/>
    <cellStyle name="Normal 467 2" xfId="2709"/>
    <cellStyle name="Normal 468" xfId="2604"/>
    <cellStyle name="Normal 468 2" xfId="2705"/>
    <cellStyle name="Normal 469" xfId="2624"/>
    <cellStyle name="Normal 469 2" xfId="2720"/>
    <cellStyle name="Normal 47" xfId="1914"/>
    <cellStyle name="Normal 470" xfId="2630"/>
    <cellStyle name="Normal 470 2" xfId="2723"/>
    <cellStyle name="Normal 471" xfId="2627"/>
    <cellStyle name="Normal 471 2" xfId="2722"/>
    <cellStyle name="Normal 472" xfId="2608"/>
    <cellStyle name="Normal 472 2" xfId="2708"/>
    <cellStyle name="Normal 473" xfId="2629"/>
    <cellStyle name="Normal 474" xfId="2609"/>
    <cellStyle name="Normal 475" xfId="2628"/>
    <cellStyle name="Normal 476" xfId="2602"/>
    <cellStyle name="Normal 477" xfId="2607"/>
    <cellStyle name="Normal 478" xfId="2631"/>
    <cellStyle name="Normal 479" xfId="2612"/>
    <cellStyle name="Normal 48" xfId="1915"/>
    <cellStyle name="Normal 480" xfId="2621"/>
    <cellStyle name="Normal 481" xfId="2626"/>
    <cellStyle name="Normal 482" xfId="2633"/>
    <cellStyle name="Normal 483" xfId="2632"/>
    <cellStyle name="Normal 484" xfId="2611"/>
    <cellStyle name="Normal 485" xfId="2634"/>
    <cellStyle name="Normal 486" xfId="2646"/>
    <cellStyle name="Normal 487" xfId="2647"/>
    <cellStyle name="Normal 488" xfId="2645"/>
    <cellStyle name="Normal 489" xfId="2637"/>
    <cellStyle name="Normal 49" xfId="1916"/>
    <cellStyle name="Normal 490" xfId="2652"/>
    <cellStyle name="Normal 491" xfId="2644"/>
    <cellStyle name="Normal 492" xfId="2651"/>
    <cellStyle name="Normal 493" xfId="2643"/>
    <cellStyle name="Normal 494" xfId="2650"/>
    <cellStyle name="Normal 495" xfId="2642"/>
    <cellStyle name="Normal 496" xfId="2648"/>
    <cellStyle name="Normal 497" xfId="2641"/>
    <cellStyle name="Normal 498" xfId="2658"/>
    <cellStyle name="Normal 499" xfId="2635"/>
    <cellStyle name="Normal 5" xfId="48"/>
    <cellStyle name="Normal 5 2" xfId="1917"/>
    <cellStyle name="Normal 5 2 2" xfId="2431"/>
    <cellStyle name="Normal 5 2 3" xfId="2408"/>
    <cellStyle name="Normal 5 3" xfId="1918"/>
    <cellStyle name="Normal 5 4" xfId="1919"/>
    <cellStyle name="Normal 5 5" xfId="1920"/>
    <cellStyle name="Normal 50" xfId="1921"/>
    <cellStyle name="Normal 500" xfId="2657"/>
    <cellStyle name="Normal 501" xfId="2636"/>
    <cellStyle name="Normal 502" xfId="2656"/>
    <cellStyle name="Normal 503" xfId="2649"/>
    <cellStyle name="Normal 504" xfId="2655"/>
    <cellStyle name="Normal 505" xfId="2639"/>
    <cellStyle name="Normal 506" xfId="2660"/>
    <cellStyle name="Normal 507" xfId="2654"/>
    <cellStyle name="Normal 508" xfId="2659"/>
    <cellStyle name="Normal 509" xfId="2653"/>
    <cellStyle name="Normal 51" xfId="1922"/>
    <cellStyle name="Normal 510" xfId="2661"/>
    <cellStyle name="Normal 511" xfId="2640"/>
    <cellStyle name="Normal 512" xfId="2638"/>
    <cellStyle name="Normal 513" xfId="2784"/>
    <cellStyle name="Normal 514" xfId="2766"/>
    <cellStyle name="Normal 514 2" xfId="2789"/>
    <cellStyle name="Normal 515" xfId="2788"/>
    <cellStyle name="Normal 516" xfId="2787"/>
    <cellStyle name="Normal 517" xfId="2786"/>
    <cellStyle name="Normal 518" xfId="2792"/>
    <cellStyle name="Normal 519" xfId="4960"/>
    <cellStyle name="Normal 52" xfId="1923"/>
    <cellStyle name="Normal 53" xfId="1924"/>
    <cellStyle name="Normal 54" xfId="1925"/>
    <cellStyle name="Normal 55" xfId="1926"/>
    <cellStyle name="Normal 56" xfId="1927"/>
    <cellStyle name="Normal 57" xfId="1928"/>
    <cellStyle name="Normal 58" xfId="1929"/>
    <cellStyle name="Normal 59" xfId="1930"/>
    <cellStyle name="Normal 6" xfId="49"/>
    <cellStyle name="Normal 6 10" xfId="4961"/>
    <cellStyle name="Normal 6 11" xfId="4962"/>
    <cellStyle name="Normal 6 12" xfId="4963"/>
    <cellStyle name="Normal 6 13" xfId="4964"/>
    <cellStyle name="Normal 6 14" xfId="4965"/>
    <cellStyle name="Normal 6 15" xfId="4966"/>
    <cellStyle name="Normal 6 16" xfId="4967"/>
    <cellStyle name="Normal 6 2" xfId="50"/>
    <cellStyle name="Normal 6 2 2" xfId="1932"/>
    <cellStyle name="Normal 6 2 2 2" xfId="2294"/>
    <cellStyle name="Normal 6 2 2 3" xfId="2416"/>
    <cellStyle name="Normal 6 2 2 3 2" xfId="2761"/>
    <cellStyle name="Normal 6 2 2 3 2 2" xfId="4968"/>
    <cellStyle name="Normal 6 2 2 3 3" xfId="2764"/>
    <cellStyle name="Normal 6 2 2 3 4" xfId="2785"/>
    <cellStyle name="Normal 6 2 2 4" xfId="2760"/>
    <cellStyle name="Normal 6 2 2 4 2" xfId="4969"/>
    <cellStyle name="Normal 6 2 3" xfId="1931"/>
    <cellStyle name="Normal 6 2 4" xfId="2417"/>
    <cellStyle name="Normal 6 2 5" xfId="2765"/>
    <cellStyle name="Normal 6 3" xfId="51"/>
    <cellStyle name="Normal 6 4" xfId="1933"/>
    <cellStyle name="Normal 6 4 2" xfId="2421"/>
    <cellStyle name="Normal 6 4 3" xfId="2376"/>
    <cellStyle name="Normal 6 5" xfId="1934"/>
    <cellStyle name="Normal 6 6" xfId="1935"/>
    <cellStyle name="Normal 6 7" xfId="4970"/>
    <cellStyle name="Normal 6 8" xfId="4971"/>
    <cellStyle name="Normal 6 9" xfId="4972"/>
    <cellStyle name="Normal 6_Long An thuy loi" xfId="1936"/>
    <cellStyle name="Normal 60" xfId="1937"/>
    <cellStyle name="Normal 61" xfId="1938"/>
    <cellStyle name="Normal 62" xfId="1939"/>
    <cellStyle name="Normal 63" xfId="1940"/>
    <cellStyle name="Normal 64" xfId="1941"/>
    <cellStyle name="Normal 65" xfId="1942"/>
    <cellStyle name="Normal 66" xfId="1943"/>
    <cellStyle name="Normal 67" xfId="1944"/>
    <cellStyle name="Normal 68" xfId="1945"/>
    <cellStyle name="Normal 69" xfId="1946"/>
    <cellStyle name="Normal 7" xfId="52"/>
    <cellStyle name="Normal 7 2" xfId="1947"/>
    <cellStyle name="Normal 7 2 2" xfId="2293"/>
    <cellStyle name="Normal 7 2 3" xfId="2411"/>
    <cellStyle name="Normal 7 3" xfId="1948"/>
    <cellStyle name="Normal 7 3 2" xfId="4973"/>
    <cellStyle name="Normal 7 3 3" xfId="4974"/>
    <cellStyle name="Normal 7 4" xfId="1949"/>
    <cellStyle name="Normal 7 5" xfId="1950"/>
    <cellStyle name="Normal 7_!1 1 bao cao giao KH ve HTCMT vung TNB   12-12-2011" xfId="4975"/>
    <cellStyle name="Normal 70" xfId="1951"/>
    <cellStyle name="Normal 71" xfId="1952"/>
    <cellStyle name="Normal 72" xfId="53"/>
    <cellStyle name="Normal 73" xfId="54"/>
    <cellStyle name="Normal 74" xfId="1953"/>
    <cellStyle name="Normal 75" xfId="1954"/>
    <cellStyle name="Normal 76" xfId="1955"/>
    <cellStyle name="Normal 77" xfId="1956"/>
    <cellStyle name="Normal 78" xfId="1957"/>
    <cellStyle name="Normal 79" xfId="1958"/>
    <cellStyle name="Normal 8" xfId="55"/>
    <cellStyle name="Normal 8 2" xfId="4976"/>
    <cellStyle name="Normal 8 2 2" xfId="4977"/>
    <cellStyle name="Normal 8 2 2 2" xfId="4978"/>
    <cellStyle name="Normal 8 2 3" xfId="4979"/>
    <cellStyle name="Normal 8 2_Phuongangiao 1-giaoxulykythuat" xfId="4980"/>
    <cellStyle name="Normal 8 3" xfId="4981"/>
    <cellStyle name="Normal 8_KH KH2014-TPCP (11-12-2013)-3 ( lay theo DH TPCP 2012-2015 da trinh)" xfId="4982"/>
    <cellStyle name="Normal 80" xfId="1959"/>
    <cellStyle name="Normal 81" xfId="1960"/>
    <cellStyle name="Normal 82" xfId="1961"/>
    <cellStyle name="Normal 83" xfId="1962"/>
    <cellStyle name="Normal 84" xfId="1963"/>
    <cellStyle name="Normal 85" xfId="1964"/>
    <cellStyle name="Normal 86" xfId="1965"/>
    <cellStyle name="Normal 87" xfId="1966"/>
    <cellStyle name="Normal 88" xfId="1967"/>
    <cellStyle name="Normal 89" xfId="1968"/>
    <cellStyle name="Normal 9" xfId="56"/>
    <cellStyle name="Normal 9 10" xfId="4983"/>
    <cellStyle name="Normal 9 12" xfId="4984"/>
    <cellStyle name="Normal 9 13" xfId="4985"/>
    <cellStyle name="Normal 9 17" xfId="4986"/>
    <cellStyle name="Normal 9 2" xfId="57"/>
    <cellStyle name="Normal 9 21" xfId="4987"/>
    <cellStyle name="Normal 9 23" xfId="4988"/>
    <cellStyle name="Normal 9 3" xfId="1969"/>
    <cellStyle name="Normal 9 4" xfId="1970"/>
    <cellStyle name="Normal 9 46" xfId="4989"/>
    <cellStyle name="Normal 9 47" xfId="4990"/>
    <cellStyle name="Normal 9 48" xfId="4991"/>
    <cellStyle name="Normal 9 49" xfId="4992"/>
    <cellStyle name="Normal 9 5" xfId="1971"/>
    <cellStyle name="Normal 9 50" xfId="4993"/>
    <cellStyle name="Normal 9 51" xfId="4994"/>
    <cellStyle name="Normal 9 52" xfId="4995"/>
    <cellStyle name="Normal 9_Bieu KH trung han BKH TW" xfId="4996"/>
    <cellStyle name="Normal 90" xfId="1972"/>
    <cellStyle name="Normal 91" xfId="1973"/>
    <cellStyle name="Normal 92" xfId="1974"/>
    <cellStyle name="Normal 93" xfId="1975"/>
    <cellStyle name="Normal 94" xfId="1976"/>
    <cellStyle name="Normal 95" xfId="1977"/>
    <cellStyle name="Normal 96" xfId="1978"/>
    <cellStyle name="Normal 97" xfId="1979"/>
    <cellStyle name="Normal 98" xfId="1980"/>
    <cellStyle name="Normal 99" xfId="1981"/>
    <cellStyle name="Normal_Bang TH cac nguon von du kien 2016 - 2020(lanh)" xfId="4"/>
    <cellStyle name="Normal_Bieu mau (CV )" xfId="3"/>
    <cellStyle name="Normal_Bieu mau (CV ) 2" xfId="8"/>
    <cellStyle name="Normal_Bieu XDCB Phat trien KT-XH nam 2011" xfId="67"/>
    <cellStyle name="Normal_Sheet1" xfId="2793"/>
    <cellStyle name="Normal1" xfId="1982"/>
    <cellStyle name="Normal1 2" xfId="1983"/>
    <cellStyle name="Normal1 3" xfId="1984"/>
    <cellStyle name="Normal1 4" xfId="1985"/>
    <cellStyle name="Normal8" xfId="1986"/>
    <cellStyle name="Normal8 2" xfId="1987"/>
    <cellStyle name="Normale_ PESO ELETTR." xfId="1988"/>
    <cellStyle name="Normalny_Cennik obowiazuje od 06-08-2001 r (1)" xfId="1989"/>
    <cellStyle name="Note 2" xfId="1990"/>
    <cellStyle name="Note 2 2" xfId="2426"/>
    <cellStyle name="Note 2 3" xfId="2383"/>
    <cellStyle name="Note 3" xfId="1991"/>
    <cellStyle name="Note 3 2" xfId="4997"/>
    <cellStyle name="Note 4" xfId="1992"/>
    <cellStyle name="Note 4 2" xfId="4998"/>
    <cellStyle name="Note 5" xfId="4999"/>
    <cellStyle name="NWM" xfId="5000"/>
    <cellStyle name="Ò_x000a_Normal_123569" xfId="5001"/>
    <cellStyle name="Ò_x000d_Normal_123569" xfId="1995"/>
    <cellStyle name="Ò_x005f_x000d_Normal_123569" xfId="5002"/>
    <cellStyle name="Ò_x005f_x005f_x005f_x000d_Normal_123569" xfId="5003"/>
    <cellStyle name="Œ…‹æØ‚è [0.00]_ÆÂ¹²" xfId="5004"/>
    <cellStyle name="Œ…‹æØ‚è_laroux" xfId="1996"/>
    <cellStyle name="oft Excel]_x000a__x000a_Comment=open=/f ‚ðw’è‚·‚é‚ÆAƒ†[ƒU[’è‹`ŠÖ”‚ðŠÖ”“\‚è•t‚¯‚Ìˆê——‚É“o˜^‚·‚é‚±‚Æ‚ª‚Å‚«‚Ü‚·B_x000a__x000a_Maximized" xfId="5005"/>
    <cellStyle name="oft Excel]_x000a__x000a_Comment=open=/f ‚ðŽw’è‚·‚é‚ÆAƒ†[ƒU[’è‹`ŠÖ”‚ðŠÖ”“\‚è•t‚¯‚Ìˆê——‚É“o˜^‚·‚é‚±‚Æ‚ª‚Å‚«‚Ü‚·B_x000a__x000a_Maximized" xfId="5006"/>
    <cellStyle name="oft Excel]_x000a__x000a_Comment=The open=/f lines load custom functions into the Paste Function list._x000a__x000a_Maximized=2_x000a__x000a_Basics=1_x000a__x000a_A" xfId="5007"/>
    <cellStyle name="oft Excel]_x000a__x000a_Comment=The open=/f lines load custom functions into the Paste Function list._x000a__x000a_Maximized=3_x000a__x000a_Basics=1_x000a__x000a_A" xfId="5008"/>
    <cellStyle name="oft Excel]_x000d__x000a_Comment=open=/f ‚ðw’è‚·‚é‚ÆAƒ†[ƒU[’è‹`ŠÖ”‚ðŠÖ”“\‚è•t‚¯‚Ìˆê——‚É“o˜^‚·‚é‚±‚Æ‚ª‚Å‚«‚Ü‚·B_x000d__x000a_Maximized" xfId="1997"/>
    <cellStyle name="oft Excel]_x000d__x000a_Comment=open=/f ‚ðŽw’è‚·‚é‚ÆAƒ†[ƒU[’è‹`ŠÖ”‚ðŠÖ”“\‚è•t‚¯‚Ìˆê——‚É“o˜^‚·‚é‚±‚Æ‚ª‚Å‚«‚Ü‚·B_x000d__x000a_Maximized" xfId="1998"/>
    <cellStyle name="oft Excel]_x000d__x000a_Comment=open=/f ‚ðŽw’è‚·‚é‚ÆAƒ†[ƒU[’è‹`ŠÖ”‚ðŠÖ”“\‚è•t‚¯‚Ìˆê——‚É“o˜^‚·‚é‚±‚Æ‚ª‚Å‚«‚Ü‚·B_x000d__x000a_Maximized 2" xfId="1999"/>
    <cellStyle name="oft Excel]_x000d__x000a_Comment=The open=/f lines load custom functions into the Paste Function list._x000d__x000a_Maximized=2_x000d__x000a_Basics=1_x000d__x000a_A" xfId="2000"/>
    <cellStyle name="oft Excel]_x000d__x000a_Comment=The open=/f lines load custom functions into the Paste Function list._x000d__x000a_Maximized=2_x000d__x000a_Basics=1_x000d__x000a_A 2" xfId="2001"/>
    <cellStyle name="oft Excel]_x000d__x000a_Comment=The open=/f lines load custom functions into the Paste Function list._x000d__x000a_Maximized=2_x000d__x000a_Basics=1_x000d__x000a_A 3" xfId="2002"/>
    <cellStyle name="oft Excel]_x000d__x000a_Comment=The open=/f lines load custom functions into the Paste Function list._x000d__x000a_Maximized=2_x000d__x000a_Basics=1_x000d__x000a_A 4" xfId="2003"/>
    <cellStyle name="oft Excel]_x000d__x000a_Comment=The open=/f lines load custom functions into the Paste Function list._x000d__x000a_Maximized=3_x000d__x000a_Basics=1_x000d__x000a_A" xfId="2004"/>
    <cellStyle name="oft Excel]_x000d__x000a_Comment=The open=/f lines load custom functions into the Paste Function list._x000d__x000a_Maximized=3_x000d__x000a_Basics=1_x000d__x000a_A 2" xfId="2005"/>
    <cellStyle name="oft Excel]_x000d__x000a_Comment=The open=/f lines load custom functions into the Paste Function list._x000d__x000a_Maximized=3_x000d__x000a_Basics=1_x000d__x000a_A 3" xfId="2006"/>
    <cellStyle name="oft Excel]_x005f_x000d__x005f_x000a_Comment=open=/f ‚ðw’è‚·‚é‚ÆAƒ†[ƒU[’è‹`ŠÖ”‚ðŠÖ”“\‚è•t‚¯‚Ìˆê——‚É“o˜^‚·‚é‚±‚Æ‚ª‚Å‚«‚Ü‚·B_x005f_x000d__x005f_x000a_Maximized" xfId="5009"/>
    <cellStyle name="omma [0]_Mktg Prog" xfId="2007"/>
    <cellStyle name="ormal_Sheet1_1" xfId="2008"/>
    <cellStyle name="Output 2" xfId="2009"/>
    <cellStyle name="Output 2 2" xfId="2292"/>
    <cellStyle name="Output 2 3" xfId="2410"/>
    <cellStyle name="Output 3" xfId="2010"/>
    <cellStyle name="Output 4" xfId="2011"/>
    <cellStyle name="p" xfId="5010"/>
    <cellStyle name="paint" xfId="5011"/>
    <cellStyle name="paint 2" xfId="5012"/>
    <cellStyle name="paint_05-12  KH trung han 2016-2020 - Liem Thinh edited" xfId="5013"/>
    <cellStyle name="Pattern" xfId="2012"/>
    <cellStyle name="Pattern 10" xfId="5014"/>
    <cellStyle name="Pattern 11" xfId="5015"/>
    <cellStyle name="Pattern 12" xfId="5016"/>
    <cellStyle name="Pattern 13" xfId="5017"/>
    <cellStyle name="Pattern 14" xfId="5018"/>
    <cellStyle name="Pattern 15" xfId="5019"/>
    <cellStyle name="Pattern 16" xfId="5020"/>
    <cellStyle name="Pattern 2" xfId="2013"/>
    <cellStyle name="Pattern 3" xfId="5021"/>
    <cellStyle name="Pattern 4" xfId="5022"/>
    <cellStyle name="Pattern 5" xfId="5023"/>
    <cellStyle name="Pattern 6" xfId="5024"/>
    <cellStyle name="Pattern 7" xfId="5025"/>
    <cellStyle name="Pattern 8" xfId="5026"/>
    <cellStyle name="Pattern 9" xfId="5027"/>
    <cellStyle name="per.style" xfId="2014"/>
    <cellStyle name="per.style 2" xfId="5028"/>
    <cellStyle name="Percent %" xfId="5029"/>
    <cellStyle name="Percent % Long Underline" xfId="5030"/>
    <cellStyle name="Percent %_Worksheet in  US Financial Statements Ref. Workbook - Single Co" xfId="5031"/>
    <cellStyle name="Percent (0)" xfId="5032"/>
    <cellStyle name="Percent (0) 10" xfId="5033"/>
    <cellStyle name="Percent (0) 11" xfId="5034"/>
    <cellStyle name="Percent (0) 12" xfId="5035"/>
    <cellStyle name="Percent (0) 13" xfId="5036"/>
    <cellStyle name="Percent (0) 14" xfId="5037"/>
    <cellStyle name="Percent (0) 15" xfId="5038"/>
    <cellStyle name="Percent (0) 2" xfId="5039"/>
    <cellStyle name="Percent (0) 3" xfId="5040"/>
    <cellStyle name="Percent (0) 4" xfId="5041"/>
    <cellStyle name="Percent (0) 5" xfId="5042"/>
    <cellStyle name="Percent (0) 6" xfId="5043"/>
    <cellStyle name="Percent (0) 7" xfId="5044"/>
    <cellStyle name="Percent (0) 8" xfId="5045"/>
    <cellStyle name="Percent (0) 9" xfId="5046"/>
    <cellStyle name="Percent [0]" xfId="2015"/>
    <cellStyle name="Percent [0] 10" xfId="5047"/>
    <cellStyle name="Percent [0] 11" xfId="5048"/>
    <cellStyle name="Percent [0] 12" xfId="5049"/>
    <cellStyle name="Percent [0] 13" xfId="5050"/>
    <cellStyle name="Percent [0] 14" xfId="5051"/>
    <cellStyle name="Percent [0] 15" xfId="5052"/>
    <cellStyle name="Percent [0] 16" xfId="5053"/>
    <cellStyle name="Percent [0] 2" xfId="2016"/>
    <cellStyle name="Percent [0] 3" xfId="5054"/>
    <cellStyle name="Percent [0] 4" xfId="5055"/>
    <cellStyle name="Percent [0] 5" xfId="5056"/>
    <cellStyle name="Percent [0] 6" xfId="5057"/>
    <cellStyle name="Percent [0] 7" xfId="5058"/>
    <cellStyle name="Percent [0] 8" xfId="5059"/>
    <cellStyle name="Percent [0] 9" xfId="5060"/>
    <cellStyle name="Percent [00]" xfId="2017"/>
    <cellStyle name="Percent [00] 10" xfId="5061"/>
    <cellStyle name="Percent [00] 11" xfId="5062"/>
    <cellStyle name="Percent [00] 12" xfId="5063"/>
    <cellStyle name="Percent [00] 13" xfId="5064"/>
    <cellStyle name="Percent [00] 14" xfId="5065"/>
    <cellStyle name="Percent [00] 15" xfId="5066"/>
    <cellStyle name="Percent [00] 16" xfId="5067"/>
    <cellStyle name="Percent [00] 2" xfId="2018"/>
    <cellStyle name="Percent [00] 3" xfId="5068"/>
    <cellStyle name="Percent [00] 4" xfId="5069"/>
    <cellStyle name="Percent [00] 5" xfId="5070"/>
    <cellStyle name="Percent [00] 6" xfId="5071"/>
    <cellStyle name="Percent [00] 7" xfId="5072"/>
    <cellStyle name="Percent [00] 8" xfId="5073"/>
    <cellStyle name="Percent [00] 9" xfId="5074"/>
    <cellStyle name="Percent [2]" xfId="2019"/>
    <cellStyle name="Percent [2] 10" xfId="5075"/>
    <cellStyle name="Percent [2] 11" xfId="5076"/>
    <cellStyle name="Percent [2] 12" xfId="5077"/>
    <cellStyle name="Percent [2] 13" xfId="5078"/>
    <cellStyle name="Percent [2] 14" xfId="5079"/>
    <cellStyle name="Percent [2] 15" xfId="5080"/>
    <cellStyle name="Percent [2] 16" xfId="5081"/>
    <cellStyle name="Percent [2] 2" xfId="2020"/>
    <cellStyle name="Percent [2] 2 2" xfId="5082"/>
    <cellStyle name="Percent [2] 3" xfId="5083"/>
    <cellStyle name="Percent [2] 4" xfId="5084"/>
    <cellStyle name="Percent [2] 5" xfId="5085"/>
    <cellStyle name="Percent [2] 6" xfId="5086"/>
    <cellStyle name="Percent [2] 7" xfId="5087"/>
    <cellStyle name="Percent [2] 8" xfId="5088"/>
    <cellStyle name="Percent [2] 9" xfId="5089"/>
    <cellStyle name="Percent 0.0%" xfId="5090"/>
    <cellStyle name="Percent 0.0% Long Underline" xfId="5091"/>
    <cellStyle name="Percent 0.00%" xfId="5092"/>
    <cellStyle name="Percent 0.00% Long Underline" xfId="5093"/>
    <cellStyle name="Percent 0.000%" xfId="5094"/>
    <cellStyle name="Percent 0.000% Long Underline" xfId="5095"/>
    <cellStyle name="Percent 10" xfId="2274"/>
    <cellStyle name="Percent 10 2" xfId="5096"/>
    <cellStyle name="Percent 100" xfId="2783"/>
    <cellStyle name="Percent 101" xfId="2791"/>
    <cellStyle name="Percent 102" xfId="5097"/>
    <cellStyle name="Percent 11" xfId="2365"/>
    <cellStyle name="Percent 11 2" xfId="5098"/>
    <cellStyle name="Percent 12" xfId="2468"/>
    <cellStyle name="Percent 12 2" xfId="5099"/>
    <cellStyle name="Percent 13" xfId="2442"/>
    <cellStyle name="Percent 13 2" xfId="5100"/>
    <cellStyle name="Percent 14" xfId="2466"/>
    <cellStyle name="Percent 14 2" xfId="5101"/>
    <cellStyle name="Percent 15" xfId="2444"/>
    <cellStyle name="Percent 16" xfId="2465"/>
    <cellStyle name="Percent 17" xfId="2446"/>
    <cellStyle name="Percent 18" xfId="2463"/>
    <cellStyle name="Percent 19" xfId="2453"/>
    <cellStyle name="Percent 19 2" xfId="5102"/>
    <cellStyle name="Percent 2" xfId="58"/>
    <cellStyle name="Percent 2 2" xfId="5103"/>
    <cellStyle name="Percent 2 2 2" xfId="5104"/>
    <cellStyle name="Percent 2 2 3" xfId="5105"/>
    <cellStyle name="Percent 2 3" xfId="5106"/>
    <cellStyle name="Percent 2 4" xfId="5107"/>
    <cellStyle name="Percent 20" xfId="2456"/>
    <cellStyle name="Percent 20 2" xfId="5108"/>
    <cellStyle name="Percent 21" xfId="2454"/>
    <cellStyle name="Percent 22" xfId="2457"/>
    <cellStyle name="Percent 23" xfId="2459"/>
    <cellStyle name="Percent 24" xfId="2461"/>
    <cellStyle name="Percent 25" xfId="2470"/>
    <cellStyle name="Percent 26" xfId="2448"/>
    <cellStyle name="Percent 27" xfId="2452"/>
    <cellStyle name="Percent 28" xfId="2476"/>
    <cellStyle name="Percent 29" xfId="2450"/>
    <cellStyle name="Percent 3" xfId="72"/>
    <cellStyle name="Percent 3 2" xfId="5109"/>
    <cellStyle name="Percent 3 3" xfId="5110"/>
    <cellStyle name="Percent 30" xfId="2477"/>
    <cellStyle name="Percent 31" xfId="2480"/>
    <cellStyle name="Percent 32" xfId="2474"/>
    <cellStyle name="Percent 33" xfId="2481"/>
    <cellStyle name="Percent 34" xfId="2483"/>
    <cellStyle name="Percent 35" xfId="2485"/>
    <cellStyle name="Percent 36" xfId="2487"/>
    <cellStyle name="Percent 37" xfId="2489"/>
    <cellStyle name="Percent 38" xfId="2491"/>
    <cellStyle name="Percent 39" xfId="2493"/>
    <cellStyle name="Percent 4" xfId="2021"/>
    <cellStyle name="Percent 4 2" xfId="5111"/>
    <cellStyle name="Percent 40" xfId="2495"/>
    <cellStyle name="Percent 41" xfId="2497"/>
    <cellStyle name="Percent 42" xfId="2499"/>
    <cellStyle name="Percent 43" xfId="2501"/>
    <cellStyle name="Percent 44" xfId="2503"/>
    <cellStyle name="Percent 45" xfId="2505"/>
    <cellStyle name="Percent 46" xfId="2509"/>
    <cellStyle name="Percent 47" xfId="2512"/>
    <cellStyle name="Percent 48" xfId="2510"/>
    <cellStyle name="Percent 49" xfId="2513"/>
    <cellStyle name="Percent 5" xfId="2022"/>
    <cellStyle name="Percent 5 2" xfId="5112"/>
    <cellStyle name="Percent 50" xfId="2515"/>
    <cellStyle name="Percent 51" xfId="2518"/>
    <cellStyle name="Percent 52" xfId="2522"/>
    <cellStyle name="Percent 53" xfId="2525"/>
    <cellStyle name="Percent 54" xfId="2523"/>
    <cellStyle name="Percent 55" xfId="2526"/>
    <cellStyle name="Percent 56" xfId="2529"/>
    <cellStyle name="Percent 57" xfId="2521"/>
    <cellStyle name="Percent 58" xfId="2530"/>
    <cellStyle name="Percent 59" xfId="2532"/>
    <cellStyle name="Percent 6" xfId="2023"/>
    <cellStyle name="Percent 6 2" xfId="5113"/>
    <cellStyle name="Percent 60" xfId="2534"/>
    <cellStyle name="Percent 61" xfId="2536"/>
    <cellStyle name="Percent 62" xfId="2538"/>
    <cellStyle name="Percent 63" xfId="2540"/>
    <cellStyle name="Percent 64" xfId="2542"/>
    <cellStyle name="Percent 65" xfId="2544"/>
    <cellStyle name="Percent 66" xfId="2546"/>
    <cellStyle name="Percent 67" xfId="2548"/>
    <cellStyle name="Percent 68" xfId="2550"/>
    <cellStyle name="Percent 69" xfId="2552"/>
    <cellStyle name="Percent 7" xfId="2024"/>
    <cellStyle name="Percent 7 2" xfId="5114"/>
    <cellStyle name="Percent 70" xfId="2554"/>
    <cellStyle name="Percent 71" xfId="2556"/>
    <cellStyle name="Percent 72" xfId="2563"/>
    <cellStyle name="Percent 73" xfId="2566"/>
    <cellStyle name="Percent 74" xfId="2564"/>
    <cellStyle name="Percent 75" xfId="2567"/>
    <cellStyle name="Percent 76" xfId="2570"/>
    <cellStyle name="Percent 77" xfId="2561"/>
    <cellStyle name="Percent 78" xfId="2562"/>
    <cellStyle name="Percent 79" xfId="2572"/>
    <cellStyle name="Percent 8" xfId="2025"/>
    <cellStyle name="Percent 8 2" xfId="2433"/>
    <cellStyle name="Percent 8 3" xfId="2696"/>
    <cellStyle name="Percent 8 3 2" xfId="2762"/>
    <cellStyle name="Percent 80" xfId="2575"/>
    <cellStyle name="Percent 81" xfId="2573"/>
    <cellStyle name="Percent 82" xfId="2576"/>
    <cellStyle name="Percent 83" xfId="2579"/>
    <cellStyle name="Percent 84" xfId="2767"/>
    <cellStyle name="Percent 85" xfId="2774"/>
    <cellStyle name="Percent 86" xfId="2769"/>
    <cellStyle name="Percent 87" xfId="2768"/>
    <cellStyle name="Percent 88" xfId="2773"/>
    <cellStyle name="Percent 89" xfId="2770"/>
    <cellStyle name="Percent 9" xfId="2026"/>
    <cellStyle name="Percent 9 2" xfId="2358"/>
    <cellStyle name="Percent 9 3" xfId="2697"/>
    <cellStyle name="Percent 9 3 2" xfId="2763"/>
    <cellStyle name="Percent 90" xfId="2776"/>
    <cellStyle name="Percent 91" xfId="2775"/>
    <cellStyle name="Percent 92" xfId="2777"/>
    <cellStyle name="Percent 93" xfId="2771"/>
    <cellStyle name="Percent 94" xfId="2772"/>
    <cellStyle name="Percent 95" xfId="2778"/>
    <cellStyle name="Percent 96" xfId="2780"/>
    <cellStyle name="Percent 97" xfId="2779"/>
    <cellStyle name="Percent 98" xfId="2781"/>
    <cellStyle name="Percent 99" xfId="2782"/>
    <cellStyle name="PERCENTAGE" xfId="2027"/>
    <cellStyle name="PERCENTAGE 2" xfId="2028"/>
    <cellStyle name="PrePop Currency (0)" xfId="2029"/>
    <cellStyle name="PrePop Currency (0) 10" xfId="5115"/>
    <cellStyle name="PrePop Currency (0) 11" xfId="5116"/>
    <cellStyle name="PrePop Currency (0) 12" xfId="5117"/>
    <cellStyle name="PrePop Currency (0) 13" xfId="5118"/>
    <cellStyle name="PrePop Currency (0) 14" xfId="5119"/>
    <cellStyle name="PrePop Currency (0) 15" xfId="5120"/>
    <cellStyle name="PrePop Currency (0) 16" xfId="5121"/>
    <cellStyle name="PrePop Currency (0) 2" xfId="2030"/>
    <cellStyle name="PrePop Currency (0) 3" xfId="5122"/>
    <cellStyle name="PrePop Currency (0) 4" xfId="5123"/>
    <cellStyle name="PrePop Currency (0) 5" xfId="5124"/>
    <cellStyle name="PrePop Currency (0) 6" xfId="5125"/>
    <cellStyle name="PrePop Currency (0) 7" xfId="5126"/>
    <cellStyle name="PrePop Currency (0) 8" xfId="5127"/>
    <cellStyle name="PrePop Currency (0) 9" xfId="5128"/>
    <cellStyle name="PrePop Currency (2)" xfId="2031"/>
    <cellStyle name="PrePop Currency (2) 10" xfId="5129"/>
    <cellStyle name="PrePop Currency (2) 11" xfId="5130"/>
    <cellStyle name="PrePop Currency (2) 12" xfId="5131"/>
    <cellStyle name="PrePop Currency (2) 13" xfId="5132"/>
    <cellStyle name="PrePop Currency (2) 14" xfId="5133"/>
    <cellStyle name="PrePop Currency (2) 15" xfId="5134"/>
    <cellStyle name="PrePop Currency (2) 16" xfId="5135"/>
    <cellStyle name="PrePop Currency (2) 2" xfId="2032"/>
    <cellStyle name="PrePop Currency (2) 3" xfId="5136"/>
    <cellStyle name="PrePop Currency (2) 4" xfId="5137"/>
    <cellStyle name="PrePop Currency (2) 5" xfId="5138"/>
    <cellStyle name="PrePop Currency (2) 6" xfId="5139"/>
    <cellStyle name="PrePop Currency (2) 7" xfId="5140"/>
    <cellStyle name="PrePop Currency (2) 8" xfId="5141"/>
    <cellStyle name="PrePop Currency (2) 9" xfId="5142"/>
    <cellStyle name="PrePop Units (0)" xfId="2033"/>
    <cellStyle name="PrePop Units (0) 10" xfId="5143"/>
    <cellStyle name="PrePop Units (0) 11" xfId="5144"/>
    <cellStyle name="PrePop Units (0) 12" xfId="5145"/>
    <cellStyle name="PrePop Units (0) 13" xfId="5146"/>
    <cellStyle name="PrePop Units (0) 14" xfId="5147"/>
    <cellStyle name="PrePop Units (0) 15" xfId="5148"/>
    <cellStyle name="PrePop Units (0) 16" xfId="5149"/>
    <cellStyle name="PrePop Units (0) 2" xfId="2034"/>
    <cellStyle name="PrePop Units (0) 3" xfId="5150"/>
    <cellStyle name="PrePop Units (0) 4" xfId="5151"/>
    <cellStyle name="PrePop Units (0) 5" xfId="5152"/>
    <cellStyle name="PrePop Units (0) 6" xfId="5153"/>
    <cellStyle name="PrePop Units (0) 7" xfId="5154"/>
    <cellStyle name="PrePop Units (0) 8" xfId="5155"/>
    <cellStyle name="PrePop Units (0) 9" xfId="5156"/>
    <cellStyle name="PrePop Units (1)" xfId="2035"/>
    <cellStyle name="PrePop Units (1) 10" xfId="5157"/>
    <cellStyle name="PrePop Units (1) 11" xfId="5158"/>
    <cellStyle name="PrePop Units (1) 12" xfId="5159"/>
    <cellStyle name="PrePop Units (1) 13" xfId="5160"/>
    <cellStyle name="PrePop Units (1) 14" xfId="5161"/>
    <cellStyle name="PrePop Units (1) 15" xfId="5162"/>
    <cellStyle name="PrePop Units (1) 16" xfId="5163"/>
    <cellStyle name="PrePop Units (1) 2" xfId="2036"/>
    <cellStyle name="PrePop Units (1) 3" xfId="5164"/>
    <cellStyle name="PrePop Units (1) 4" xfId="5165"/>
    <cellStyle name="PrePop Units (1) 5" xfId="5166"/>
    <cellStyle name="PrePop Units (1) 6" xfId="5167"/>
    <cellStyle name="PrePop Units (1) 7" xfId="5168"/>
    <cellStyle name="PrePop Units (1) 8" xfId="5169"/>
    <cellStyle name="PrePop Units (1) 9" xfId="5170"/>
    <cellStyle name="PrePop Units (2)" xfId="2037"/>
    <cellStyle name="PrePop Units (2) 10" xfId="5171"/>
    <cellStyle name="PrePop Units (2) 11" xfId="5172"/>
    <cellStyle name="PrePop Units (2) 12" xfId="5173"/>
    <cellStyle name="PrePop Units (2) 13" xfId="5174"/>
    <cellStyle name="PrePop Units (2) 14" xfId="5175"/>
    <cellStyle name="PrePop Units (2) 15" xfId="5176"/>
    <cellStyle name="PrePop Units (2) 16" xfId="5177"/>
    <cellStyle name="PrePop Units (2) 2" xfId="2038"/>
    <cellStyle name="PrePop Units (2) 3" xfId="5178"/>
    <cellStyle name="PrePop Units (2) 4" xfId="5179"/>
    <cellStyle name="PrePop Units (2) 5" xfId="5180"/>
    <cellStyle name="PrePop Units (2) 6" xfId="5181"/>
    <cellStyle name="PrePop Units (2) 7" xfId="5182"/>
    <cellStyle name="PrePop Units (2) 8" xfId="5183"/>
    <cellStyle name="PrePop Units (2) 9" xfId="5184"/>
    <cellStyle name="pricing" xfId="2039"/>
    <cellStyle name="pricing 2" xfId="2040"/>
    <cellStyle name="PSChar" xfId="2041"/>
    <cellStyle name="PSChar 2" xfId="2042"/>
    <cellStyle name="PSHeading" xfId="2043"/>
    <cellStyle name="PSHeading 2" xfId="2044"/>
    <cellStyle name="Quantity" xfId="5185"/>
    <cellStyle name="regstoresfromspecstores" xfId="2045"/>
    <cellStyle name="regstoresfromspecstores 2" xfId="2046"/>
    <cellStyle name="RevList" xfId="2047"/>
    <cellStyle name="RevList 2" xfId="2048"/>
    <cellStyle name="rlink_tiªn l­în_x005f_x001b_Hyperlink_TONG HOP KINH PHI" xfId="5186"/>
    <cellStyle name="rmal_ADAdot" xfId="2049"/>
    <cellStyle name="S—_x0008_" xfId="2050"/>
    <cellStyle name="S—_x0008_ 2" xfId="5187"/>
    <cellStyle name="s]_x000a__x000a_spooler=yes_x000a__x000a_load=_x000a__x000a_Beep=yes_x000a__x000a_NullPort=None_x000a__x000a_BorderWidth=3_x000a__x000a_CursorBlinkRate=1200_x000a__x000a_DoubleClickSpeed=452_x000a__x000a_Programs=co" xfId="5188"/>
    <cellStyle name="s]_x000d__x000a_spooler=yes_x000d__x000a_load=_x000d__x000a_Beep=yes_x000d__x000a_NullPort=None_x000d__x000a_BorderWidth=3_x000d__x000a_CursorBlinkRate=1200_x000d__x000a_DoubleClickSpeed=452_x000d__x000a_Programs=co" xfId="2051"/>
    <cellStyle name="s]_x000d__x000a_spooler=yes_x000d__x000a_load=_x000d__x000a_Beep=yes_x000d__x000a_NullPort=None_x000d__x000a_BorderWidth=3_x000d__x000a_CursorBlinkRate=1200_x000d__x000a_DoubleClickSpeed=452_x000d__x000a_Programs=co 2" xfId="2052"/>
    <cellStyle name="s]_x000d__x000a_spooler=yes_x000d__x000a_load=_x000d__x000a_Beep=yes_x000d__x000a_NullPort=None_x000d__x000a_BorderWidth=3_x000d__x000a_CursorBlinkRate=1200_x000d__x000a_DoubleClickSpeed=452_x000d__x000a_Programs=co 3" xfId="2053"/>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5189"/>
    <cellStyle name="S—_x0008__KH TPCP vung TNB (03-1-2012)" xfId="5190"/>
    <cellStyle name="S—_x005f_x0008_" xfId="5191"/>
    <cellStyle name="SAPBEXaggData" xfId="2054"/>
    <cellStyle name="SAPBEXaggData 2" xfId="5192"/>
    <cellStyle name="SAPBEXaggDataEmph" xfId="2055"/>
    <cellStyle name="SAPBEXaggDataEmph 2" xfId="2056"/>
    <cellStyle name="SAPBEXaggItem" xfId="2057"/>
    <cellStyle name="SAPBEXaggItem 2" xfId="5193"/>
    <cellStyle name="SAPBEXchaText" xfId="2058"/>
    <cellStyle name="SAPBEXchaText 2" xfId="5194"/>
    <cellStyle name="SAPBEXexcBad7" xfId="2059"/>
    <cellStyle name="SAPBEXexcBad7 2" xfId="5195"/>
    <cellStyle name="SAPBEXexcBad8" xfId="2060"/>
    <cellStyle name="SAPBEXexcBad8 2" xfId="5196"/>
    <cellStyle name="SAPBEXexcBad9" xfId="2061"/>
    <cellStyle name="SAPBEXexcBad9 2" xfId="5197"/>
    <cellStyle name="SAPBEXexcCritical4" xfId="2062"/>
    <cellStyle name="SAPBEXexcCritical4 2" xfId="5198"/>
    <cellStyle name="SAPBEXexcCritical5" xfId="2063"/>
    <cellStyle name="SAPBEXexcCritical5 2" xfId="5199"/>
    <cellStyle name="SAPBEXexcCritical6" xfId="2064"/>
    <cellStyle name="SAPBEXexcCritical6 2" xfId="5200"/>
    <cellStyle name="SAPBEXexcGood1" xfId="2065"/>
    <cellStyle name="SAPBEXexcGood1 2" xfId="5201"/>
    <cellStyle name="SAPBEXexcGood2" xfId="2066"/>
    <cellStyle name="SAPBEXexcGood2 2" xfId="5202"/>
    <cellStyle name="SAPBEXexcGood3" xfId="2067"/>
    <cellStyle name="SAPBEXexcGood3 2" xfId="5203"/>
    <cellStyle name="SAPBEXfilterDrill" xfId="2068"/>
    <cellStyle name="SAPBEXfilterDrill 2" xfId="5204"/>
    <cellStyle name="SAPBEXfilterItem" xfId="2069"/>
    <cellStyle name="SAPBEXfilterItem 2" xfId="5205"/>
    <cellStyle name="SAPBEXfilterText" xfId="2070"/>
    <cellStyle name="SAPBEXfilterText 2" xfId="5206"/>
    <cellStyle name="SAPBEXformats" xfId="2071"/>
    <cellStyle name="SAPBEXformats 2" xfId="5207"/>
    <cellStyle name="SAPBEXheaderItem" xfId="2072"/>
    <cellStyle name="SAPBEXheaderItem 2" xfId="5208"/>
    <cellStyle name="SAPBEXheaderText" xfId="2073"/>
    <cellStyle name="SAPBEXheaderText 2" xfId="5209"/>
    <cellStyle name="SAPBEXresData" xfId="2074"/>
    <cellStyle name="SAPBEXresData 2" xfId="5210"/>
    <cellStyle name="SAPBEXresDataEmph" xfId="2075"/>
    <cellStyle name="SAPBEXresDataEmph 2" xfId="5211"/>
    <cellStyle name="SAPBEXresItem" xfId="2076"/>
    <cellStyle name="SAPBEXresItem 2" xfId="5212"/>
    <cellStyle name="SAPBEXstdData" xfId="2077"/>
    <cellStyle name="SAPBEXstdData 2" xfId="5213"/>
    <cellStyle name="SAPBEXstdDataEmph" xfId="2078"/>
    <cellStyle name="SAPBEXstdDataEmph 2" xfId="5214"/>
    <cellStyle name="SAPBEXstdItem" xfId="2079"/>
    <cellStyle name="SAPBEXstdItem 2" xfId="5215"/>
    <cellStyle name="SAPBEXtitle" xfId="2080"/>
    <cellStyle name="SAPBEXtitle 2" xfId="2081"/>
    <cellStyle name="SAPBEXundefined" xfId="2082"/>
    <cellStyle name="SAPBEXundefined 2" xfId="5216"/>
    <cellStyle name="serJet 1200 Series PCL 6" xfId="2083"/>
    <cellStyle name="serJet 1200 Series PCL 6 2" xfId="2084"/>
    <cellStyle name="SHADEDSTORES" xfId="2085"/>
    <cellStyle name="SHADEDSTORES 2" xfId="2086"/>
    <cellStyle name="songuyen" xfId="2087"/>
    <cellStyle name="specstores" xfId="2088"/>
    <cellStyle name="specstores 2" xfId="2089"/>
    <cellStyle name="Standard_AAbgleich" xfId="2090"/>
    <cellStyle name="STTDG" xfId="2091"/>
    <cellStyle name="STTDG 2" xfId="2092"/>
    <cellStyle name="style" xfId="2093"/>
    <cellStyle name="Style 1" xfId="59"/>
    <cellStyle name="Style 1 2" xfId="2094"/>
    <cellStyle name="Style 1 3" xfId="2095"/>
    <cellStyle name="Style 1 4" xfId="2096"/>
    <cellStyle name="Style 10" xfId="2097"/>
    <cellStyle name="Style 10 2" xfId="2098"/>
    <cellStyle name="Style 100" xfId="5217"/>
    <cellStyle name="Style 101" xfId="5218"/>
    <cellStyle name="Style 102" xfId="5219"/>
    <cellStyle name="Style 103" xfId="5220"/>
    <cellStyle name="Style 104" xfId="5221"/>
    <cellStyle name="Style 105" xfId="5222"/>
    <cellStyle name="Style 106" xfId="5223"/>
    <cellStyle name="Style 107" xfId="5224"/>
    <cellStyle name="Style 108" xfId="5225"/>
    <cellStyle name="Style 109" xfId="5226"/>
    <cellStyle name="Style 11" xfId="2099"/>
    <cellStyle name="Style 11 2" xfId="5227"/>
    <cellStyle name="Style 110" xfId="5228"/>
    <cellStyle name="Style 111" xfId="5229"/>
    <cellStyle name="Style 112" xfId="5230"/>
    <cellStyle name="Style 113" xfId="5231"/>
    <cellStyle name="Style 114" xfId="5232"/>
    <cellStyle name="Style 115" xfId="5233"/>
    <cellStyle name="Style 116" xfId="5234"/>
    <cellStyle name="Style 117" xfId="5235"/>
    <cellStyle name="Style 118" xfId="5236"/>
    <cellStyle name="Style 119" xfId="5237"/>
    <cellStyle name="Style 12" xfId="2100"/>
    <cellStyle name="Style 12 2" xfId="5238"/>
    <cellStyle name="Style 120" xfId="5239"/>
    <cellStyle name="Style 121" xfId="5240"/>
    <cellStyle name="Style 122" xfId="5241"/>
    <cellStyle name="Style 123" xfId="5242"/>
    <cellStyle name="Style 124" xfId="5243"/>
    <cellStyle name="Style 125" xfId="5244"/>
    <cellStyle name="Style 126" xfId="5245"/>
    <cellStyle name="Style 127" xfId="5246"/>
    <cellStyle name="Style 128" xfId="5247"/>
    <cellStyle name="Style 129" xfId="5248"/>
    <cellStyle name="Style 13" xfId="2101"/>
    <cellStyle name="Style 13 2" xfId="5249"/>
    <cellStyle name="Style 130" xfId="5250"/>
    <cellStyle name="Style 131" xfId="5251"/>
    <cellStyle name="Style 132" xfId="5252"/>
    <cellStyle name="Style 133" xfId="5253"/>
    <cellStyle name="Style 134" xfId="5254"/>
    <cellStyle name="Style 135" xfId="5255"/>
    <cellStyle name="Style 136" xfId="5256"/>
    <cellStyle name="Style 137" xfId="5257"/>
    <cellStyle name="Style 138" xfId="5258"/>
    <cellStyle name="Style 139" xfId="5259"/>
    <cellStyle name="Style 14" xfId="2102"/>
    <cellStyle name="Style 14 2" xfId="5260"/>
    <cellStyle name="Style 140" xfId="5261"/>
    <cellStyle name="Style 141" xfId="5262"/>
    <cellStyle name="Style 142" xfId="5263"/>
    <cellStyle name="Style 143" xfId="5264"/>
    <cellStyle name="Style 144" xfId="5265"/>
    <cellStyle name="Style 145" xfId="5266"/>
    <cellStyle name="Style 146" xfId="5267"/>
    <cellStyle name="Style 147" xfId="5268"/>
    <cellStyle name="Style 148" xfId="5269"/>
    <cellStyle name="Style 149" xfId="5270"/>
    <cellStyle name="Style 15" xfId="2103"/>
    <cellStyle name="Style 15 2" xfId="5271"/>
    <cellStyle name="Style 150" xfId="5272"/>
    <cellStyle name="Style 151" xfId="5273"/>
    <cellStyle name="Style 152" xfId="5274"/>
    <cellStyle name="Style 153" xfId="5275"/>
    <cellStyle name="Style 154" xfId="5276"/>
    <cellStyle name="Style 155" xfId="5277"/>
    <cellStyle name="Style 16" xfId="2104"/>
    <cellStyle name="Style 16 2" xfId="5278"/>
    <cellStyle name="Style 17" xfId="2105"/>
    <cellStyle name="Style 17 2" xfId="5279"/>
    <cellStyle name="Style 18" xfId="2106"/>
    <cellStyle name="Style 18 2" xfId="5280"/>
    <cellStyle name="Style 19" xfId="2107"/>
    <cellStyle name="Style 19 2" xfId="5281"/>
    <cellStyle name="Style 2" xfId="2108"/>
    <cellStyle name="Style 2 2" xfId="5282"/>
    <cellStyle name="Style 20" xfId="2109"/>
    <cellStyle name="Style 20 2" xfId="5283"/>
    <cellStyle name="Style 21" xfId="2110"/>
    <cellStyle name="Style 21 2" xfId="5284"/>
    <cellStyle name="Style 22" xfId="2111"/>
    <cellStyle name="Style 22 2" xfId="5285"/>
    <cellStyle name="Style 23" xfId="2112"/>
    <cellStyle name="Style 23 2" xfId="2113"/>
    <cellStyle name="Style 24" xfId="2114"/>
    <cellStyle name="Style 24 2" xfId="2115"/>
    <cellStyle name="Style 25" xfId="5286"/>
    <cellStyle name="Style 25 2" xfId="5287"/>
    <cellStyle name="Style 26" xfId="5288"/>
    <cellStyle name="Style 26 2" xfId="5289"/>
    <cellStyle name="Style 27" xfId="5290"/>
    <cellStyle name="Style 27 2" xfId="5291"/>
    <cellStyle name="Style 28" xfId="5292"/>
    <cellStyle name="Style 28 2" xfId="5293"/>
    <cellStyle name="Style 29" xfId="5294"/>
    <cellStyle name="Style 29 2" xfId="5295"/>
    <cellStyle name="Style 3" xfId="2116"/>
    <cellStyle name="Style 3 2" xfId="5296"/>
    <cellStyle name="Style 30" xfId="5297"/>
    <cellStyle name="Style 30 2" xfId="5298"/>
    <cellStyle name="Style 31" xfId="5299"/>
    <cellStyle name="Style 31 2" xfId="5300"/>
    <cellStyle name="Style 32" xfId="5301"/>
    <cellStyle name="Style 32 2" xfId="5302"/>
    <cellStyle name="Style 33" xfId="5303"/>
    <cellStyle name="Style 33 2" xfId="5304"/>
    <cellStyle name="Style 34" xfId="5305"/>
    <cellStyle name="Style 34 2" xfId="5306"/>
    <cellStyle name="Style 35" xfId="5307"/>
    <cellStyle name="Style 35 2" xfId="5308"/>
    <cellStyle name="Style 36" xfId="5309"/>
    <cellStyle name="Style 37" xfId="5310"/>
    <cellStyle name="Style 37 2" xfId="5311"/>
    <cellStyle name="Style 38" xfId="5312"/>
    <cellStyle name="Style 38 2" xfId="5313"/>
    <cellStyle name="Style 39" xfId="5314"/>
    <cellStyle name="Style 39 2" xfId="5315"/>
    <cellStyle name="Style 4" xfId="2117"/>
    <cellStyle name="Style 4 2" xfId="5316"/>
    <cellStyle name="Style 40" xfId="5317"/>
    <cellStyle name="Style 40 2" xfId="5318"/>
    <cellStyle name="Style 41" xfId="5319"/>
    <cellStyle name="Style 41 2" xfId="5320"/>
    <cellStyle name="Style 42" xfId="5321"/>
    <cellStyle name="Style 42 2" xfId="5322"/>
    <cellStyle name="Style 43" xfId="5323"/>
    <cellStyle name="Style 43 2" xfId="5324"/>
    <cellStyle name="Style 44" xfId="5325"/>
    <cellStyle name="Style 44 2" xfId="5326"/>
    <cellStyle name="Style 45" xfId="5327"/>
    <cellStyle name="Style 45 2" xfId="5328"/>
    <cellStyle name="Style 46" xfId="5329"/>
    <cellStyle name="Style 46 2" xfId="5330"/>
    <cellStyle name="Style 47" xfId="5331"/>
    <cellStyle name="Style 47 2" xfId="5332"/>
    <cellStyle name="Style 48" xfId="5333"/>
    <cellStyle name="Style 48 2" xfId="5334"/>
    <cellStyle name="Style 49" xfId="5335"/>
    <cellStyle name="Style 49 2" xfId="5336"/>
    <cellStyle name="Style 5" xfId="2118"/>
    <cellStyle name="Style 50" xfId="5337"/>
    <cellStyle name="Style 50 2" xfId="5338"/>
    <cellStyle name="Style 51" xfId="5339"/>
    <cellStyle name="Style 51 2" xfId="5340"/>
    <cellStyle name="Style 52" xfId="5341"/>
    <cellStyle name="Style 52 2" xfId="5342"/>
    <cellStyle name="Style 53" xfId="5343"/>
    <cellStyle name="Style 53 2" xfId="5344"/>
    <cellStyle name="Style 54" xfId="5345"/>
    <cellStyle name="Style 54 2" xfId="5346"/>
    <cellStyle name="Style 55" xfId="5347"/>
    <cellStyle name="Style 55 2" xfId="5348"/>
    <cellStyle name="Style 56" xfId="5349"/>
    <cellStyle name="Style 57" xfId="5350"/>
    <cellStyle name="Style 58" xfId="5351"/>
    <cellStyle name="Style 59" xfId="5352"/>
    <cellStyle name="Style 6" xfId="2119"/>
    <cellStyle name="Style 6 2" xfId="5353"/>
    <cellStyle name="Style 60" xfId="5354"/>
    <cellStyle name="Style 61" xfId="5355"/>
    <cellStyle name="Style 62" xfId="5356"/>
    <cellStyle name="Style 63" xfId="5357"/>
    <cellStyle name="Style 64" xfId="5358"/>
    <cellStyle name="Style 65" xfId="5359"/>
    <cellStyle name="Style 66" xfId="5360"/>
    <cellStyle name="Style 67" xfId="5361"/>
    <cellStyle name="Style 68" xfId="5362"/>
    <cellStyle name="Style 69" xfId="5363"/>
    <cellStyle name="Style 7" xfId="2120"/>
    <cellStyle name="Style 7 2" xfId="5364"/>
    <cellStyle name="Style 70" xfId="5365"/>
    <cellStyle name="Style 71" xfId="5366"/>
    <cellStyle name="Style 72" xfId="5367"/>
    <cellStyle name="Style 73" xfId="5368"/>
    <cellStyle name="Style 74" xfId="5369"/>
    <cellStyle name="Style 75" xfId="5370"/>
    <cellStyle name="Style 76" xfId="5371"/>
    <cellStyle name="Style 77" xfId="5372"/>
    <cellStyle name="Style 78" xfId="5373"/>
    <cellStyle name="Style 79" xfId="5374"/>
    <cellStyle name="Style 8" xfId="2121"/>
    <cellStyle name="Style 8 2" xfId="5375"/>
    <cellStyle name="Style 80" xfId="5376"/>
    <cellStyle name="Style 81" xfId="5377"/>
    <cellStyle name="Style 82" xfId="5378"/>
    <cellStyle name="Style 83" xfId="5379"/>
    <cellStyle name="Style 84" xfId="5380"/>
    <cellStyle name="Style 85" xfId="5381"/>
    <cellStyle name="Style 86" xfId="5382"/>
    <cellStyle name="Style 87" xfId="5383"/>
    <cellStyle name="Style 88" xfId="5384"/>
    <cellStyle name="Style 89" xfId="5385"/>
    <cellStyle name="Style 9" xfId="2122"/>
    <cellStyle name="Style 9 2" xfId="5386"/>
    <cellStyle name="Style 90" xfId="5387"/>
    <cellStyle name="Style 91" xfId="5388"/>
    <cellStyle name="Style 92" xfId="5389"/>
    <cellStyle name="Style 93" xfId="5390"/>
    <cellStyle name="Style 94" xfId="5391"/>
    <cellStyle name="Style 95" xfId="5392"/>
    <cellStyle name="Style 96" xfId="5393"/>
    <cellStyle name="Style 97" xfId="5394"/>
    <cellStyle name="Style 98" xfId="5395"/>
    <cellStyle name="Style 99" xfId="5396"/>
    <cellStyle name="Style Date" xfId="5397"/>
    <cellStyle name="style_1" xfId="5398"/>
    <cellStyle name="subhead" xfId="2123"/>
    <cellStyle name="subhead 2" xfId="2124"/>
    <cellStyle name="subhead 3" xfId="2125"/>
    <cellStyle name="subhead 4" xfId="2126"/>
    <cellStyle name="Subtotal" xfId="2127"/>
    <cellStyle name="Subtotal 2" xfId="2128"/>
    <cellStyle name="symbol" xfId="2129"/>
    <cellStyle name="symbol 2" xfId="2130"/>
    <cellStyle name="T" xfId="2131"/>
    <cellStyle name="T 2" xfId="2132"/>
    <cellStyle name="T 3" xfId="2133"/>
    <cellStyle name="T 4" xfId="2134"/>
    <cellStyle name="T_15_10_2013 BC nhu cau von doi ung ODA (2014-2016) ngay 15102013 Sua" xfId="5399"/>
    <cellStyle name="T_bao cao" xfId="5400"/>
    <cellStyle name="T_bao cao 2" xfId="5401"/>
    <cellStyle name="T_bao cao phan bo KHDT 2011(final)" xfId="5402"/>
    <cellStyle name="T_Bao cao so lieu kiem toan nam 2007 sua" xfId="5403"/>
    <cellStyle name="T_Bao cao so lieu kiem toan nam 2007 sua 2" xfId="5404"/>
    <cellStyle name="T_Bao cao so lieu kiem toan nam 2007 sua_!1 1 bao cao giao KH ve HTCMT vung TNB   12-12-2011" xfId="5405"/>
    <cellStyle name="T_Bao cao so lieu kiem toan nam 2007 sua_!1 1 bao cao giao KH ve HTCMT vung TNB   12-12-2011 2" xfId="5406"/>
    <cellStyle name="T_Bao cao so lieu kiem toan nam 2007 sua_KH TPCP vung TNB (03-1-2012)" xfId="5407"/>
    <cellStyle name="T_Bao cao so lieu kiem toan nam 2007 sua_KH TPCP vung TNB (03-1-2012) 2" xfId="5408"/>
    <cellStyle name="T_bao cao_!1 1 bao cao giao KH ve HTCMT vung TNB   12-12-2011" xfId="5409"/>
    <cellStyle name="T_bao cao_!1 1 bao cao giao KH ve HTCMT vung TNB   12-12-2011 2" xfId="5410"/>
    <cellStyle name="T_bao cao_Bieu4HTMT" xfId="5411"/>
    <cellStyle name="T_bao cao_Bieu4HTMT 2" xfId="5412"/>
    <cellStyle name="T_bao cao_Bieu4HTMT_!1 1 bao cao giao KH ve HTCMT vung TNB   12-12-2011" xfId="5413"/>
    <cellStyle name="T_bao cao_Bieu4HTMT_!1 1 bao cao giao KH ve HTCMT vung TNB   12-12-2011 2" xfId="5414"/>
    <cellStyle name="T_bao cao_Bieu4HTMT_KH TPCP vung TNB (03-1-2012)" xfId="5415"/>
    <cellStyle name="T_bao cao_Bieu4HTMT_KH TPCP vung TNB (03-1-2012) 2" xfId="5416"/>
    <cellStyle name="T_bao cao_KH TPCP vung TNB (03-1-2012)" xfId="5417"/>
    <cellStyle name="T_bao cao_KH TPCP vung TNB (03-1-2012) 2" xfId="5418"/>
    <cellStyle name="T_BBTNG-06" xfId="2135"/>
    <cellStyle name="T_BBTNG-06 2" xfId="2136"/>
    <cellStyle name="T_BBTNG-06_!1 1 bao cao giao KH ve HTCMT vung TNB   12-12-2011" xfId="5419"/>
    <cellStyle name="T_BBTNG-06_!1 1 bao cao giao KH ve HTCMT vung TNB   12-12-2011 2" xfId="5420"/>
    <cellStyle name="T_BBTNG-06_Bieu4HTMT" xfId="5421"/>
    <cellStyle name="T_BBTNG-06_Bieu4HTMT 2" xfId="5422"/>
    <cellStyle name="T_BBTNG-06_Bieu4HTMT_!1 1 bao cao giao KH ve HTCMT vung TNB   12-12-2011" xfId="5423"/>
    <cellStyle name="T_BBTNG-06_Bieu4HTMT_!1 1 bao cao giao KH ve HTCMT vung TNB   12-12-2011 2" xfId="5424"/>
    <cellStyle name="T_BBTNG-06_Bieu4HTMT_KH TPCP vung TNB (03-1-2012)" xfId="5425"/>
    <cellStyle name="T_BBTNG-06_Bieu4HTMT_KH TPCP vung TNB (03-1-2012) 2" xfId="5426"/>
    <cellStyle name="T_BBTNG-06_KH TPCP vung TNB (03-1-2012)" xfId="5427"/>
    <cellStyle name="T_BBTNG-06_KH TPCP vung TNB (03-1-2012) 2" xfId="5428"/>
    <cellStyle name="T_BC  NAM 2007" xfId="5429"/>
    <cellStyle name="T_BC  NAM 2007 2" xfId="5430"/>
    <cellStyle name="T_BC CTMT-2008 Ttinh" xfId="5431"/>
    <cellStyle name="T_BC CTMT-2008 Ttinh 2" xfId="5432"/>
    <cellStyle name="T_BC CTMT-2008 Ttinh_!1 1 bao cao giao KH ve HTCMT vung TNB   12-12-2011" xfId="5433"/>
    <cellStyle name="T_BC CTMT-2008 Ttinh_!1 1 bao cao giao KH ve HTCMT vung TNB   12-12-2011 2" xfId="5434"/>
    <cellStyle name="T_BC CTMT-2008 Ttinh_KH TPCP vung TNB (03-1-2012)" xfId="5435"/>
    <cellStyle name="T_BC CTMT-2008 Ttinh_KH TPCP vung TNB (03-1-2012) 2" xfId="5436"/>
    <cellStyle name="T_BC nhu cau von doi ung ODA nganh NN (BKH)" xfId="5437"/>
    <cellStyle name="T_BC nhu cau von doi ung ODA nganh NN (BKH)_05-12  KH trung han 2016-2020 - Liem Thinh edited" xfId="5438"/>
    <cellStyle name="T_BC nhu cau von doi ung ODA nganh NN (BKH)_Copy of 05-12  KH trung han 2016-2020 - Liem Thinh edited (1)" xfId="5439"/>
    <cellStyle name="T_BC Tai co cau (bieu TH)" xfId="5440"/>
    <cellStyle name="T_BC Tai co cau (bieu TH)_05-12  KH trung han 2016-2020 - Liem Thinh edited" xfId="5441"/>
    <cellStyle name="T_BC Tai co cau (bieu TH)_Copy of 05-12  KH trung han 2016-2020 - Liem Thinh edited (1)" xfId="5442"/>
    <cellStyle name="T_Bieu 4.2 A, B KHCTgiong 2011" xfId="5443"/>
    <cellStyle name="T_Bieu 4.2 A, B KHCTgiong 2011 10" xfId="5444"/>
    <cellStyle name="T_Bieu 4.2 A, B KHCTgiong 2011 11" xfId="5445"/>
    <cellStyle name="T_Bieu 4.2 A, B KHCTgiong 2011 12" xfId="5446"/>
    <cellStyle name="T_Bieu 4.2 A, B KHCTgiong 2011 13" xfId="5447"/>
    <cellStyle name="T_Bieu 4.2 A, B KHCTgiong 2011 14" xfId="5448"/>
    <cellStyle name="T_Bieu 4.2 A, B KHCTgiong 2011 15" xfId="5449"/>
    <cellStyle name="T_Bieu 4.2 A, B KHCTgiong 2011 2" xfId="5450"/>
    <cellStyle name="T_Bieu 4.2 A, B KHCTgiong 2011 3" xfId="5451"/>
    <cellStyle name="T_Bieu 4.2 A, B KHCTgiong 2011 4" xfId="5452"/>
    <cellStyle name="T_Bieu 4.2 A, B KHCTgiong 2011 5" xfId="5453"/>
    <cellStyle name="T_Bieu 4.2 A, B KHCTgiong 2011 6" xfId="5454"/>
    <cellStyle name="T_Bieu 4.2 A, B KHCTgiong 2011 7" xfId="5455"/>
    <cellStyle name="T_Bieu 4.2 A, B KHCTgiong 2011 8" xfId="5456"/>
    <cellStyle name="T_Bieu 4.2 A, B KHCTgiong 2011 9" xfId="5457"/>
    <cellStyle name="T_Bieu mau cong trinh khoi cong moi 3-4" xfId="5458"/>
    <cellStyle name="T_Bieu mau cong trinh khoi cong moi 3-4 2" xfId="5459"/>
    <cellStyle name="T_Bieu mau cong trinh khoi cong moi 3-4_!1 1 bao cao giao KH ve HTCMT vung TNB   12-12-2011" xfId="5460"/>
    <cellStyle name="T_Bieu mau cong trinh khoi cong moi 3-4_!1 1 bao cao giao KH ve HTCMT vung TNB   12-12-2011 2" xfId="5461"/>
    <cellStyle name="T_Bieu mau cong trinh khoi cong moi 3-4_KH TPCP vung TNB (03-1-2012)" xfId="5462"/>
    <cellStyle name="T_Bieu mau cong trinh khoi cong moi 3-4_KH TPCP vung TNB (03-1-2012) 2" xfId="5463"/>
    <cellStyle name="T_Bieu mau danh muc du an thuoc CTMTQG nam 2008" xfId="5464"/>
    <cellStyle name="T_Bieu mau danh muc du an thuoc CTMTQG nam 2008 2" xfId="5465"/>
    <cellStyle name="T_Bieu mau danh muc du an thuoc CTMTQG nam 2008_!1 1 bao cao giao KH ve HTCMT vung TNB   12-12-2011" xfId="5466"/>
    <cellStyle name="T_Bieu mau danh muc du an thuoc CTMTQG nam 2008_!1 1 bao cao giao KH ve HTCMT vung TNB   12-12-2011 2" xfId="5467"/>
    <cellStyle name="T_Bieu mau danh muc du an thuoc CTMTQG nam 2008_KH TPCP vung TNB (03-1-2012)" xfId="5468"/>
    <cellStyle name="T_Bieu mau danh muc du an thuoc CTMTQG nam 2008_KH TPCP vung TNB (03-1-2012) 2" xfId="5469"/>
    <cellStyle name="T_Bieu tong hop nhu cau ung 2011 da chon loc -Mien nui" xfId="5470"/>
    <cellStyle name="T_Bieu tong hop nhu cau ung 2011 da chon loc -Mien nui 2" xfId="5471"/>
    <cellStyle name="T_Bieu tong hop nhu cau ung 2011 da chon loc -Mien nui_!1 1 bao cao giao KH ve HTCMT vung TNB   12-12-2011" xfId="5472"/>
    <cellStyle name="T_Bieu tong hop nhu cau ung 2011 da chon loc -Mien nui_!1 1 bao cao giao KH ve HTCMT vung TNB   12-12-2011 2" xfId="5473"/>
    <cellStyle name="T_Bieu tong hop nhu cau ung 2011 da chon loc -Mien nui_KH TPCP vung TNB (03-1-2012)" xfId="5474"/>
    <cellStyle name="T_Bieu tong hop nhu cau ung 2011 da chon loc -Mien nui_KH TPCP vung TNB (03-1-2012) 2" xfId="5475"/>
    <cellStyle name="T_Bieu3ODA" xfId="5476"/>
    <cellStyle name="T_Bieu3ODA 2" xfId="5477"/>
    <cellStyle name="T_Bieu3ODA_!1 1 bao cao giao KH ve HTCMT vung TNB   12-12-2011" xfId="5478"/>
    <cellStyle name="T_Bieu3ODA_!1 1 bao cao giao KH ve HTCMT vung TNB   12-12-2011 2" xfId="5479"/>
    <cellStyle name="T_Bieu3ODA_1" xfId="5480"/>
    <cellStyle name="T_Bieu3ODA_1 2" xfId="5481"/>
    <cellStyle name="T_Bieu3ODA_1_!1 1 bao cao giao KH ve HTCMT vung TNB   12-12-2011" xfId="5482"/>
    <cellStyle name="T_Bieu3ODA_1_!1 1 bao cao giao KH ve HTCMT vung TNB   12-12-2011 2" xfId="5483"/>
    <cellStyle name="T_Bieu3ODA_1_KH TPCP vung TNB (03-1-2012)" xfId="5484"/>
    <cellStyle name="T_Bieu3ODA_1_KH TPCP vung TNB (03-1-2012) 2" xfId="5485"/>
    <cellStyle name="T_Bieu3ODA_KH TPCP vung TNB (03-1-2012)" xfId="5486"/>
    <cellStyle name="T_Bieu3ODA_KH TPCP vung TNB (03-1-2012) 2" xfId="5487"/>
    <cellStyle name="T_Bieu4HTMT" xfId="5488"/>
    <cellStyle name="T_Bieu4HTMT 2" xfId="5489"/>
    <cellStyle name="T_Bieu4HTMT_!1 1 bao cao giao KH ve HTCMT vung TNB   12-12-2011" xfId="5490"/>
    <cellStyle name="T_Bieu4HTMT_!1 1 bao cao giao KH ve HTCMT vung TNB   12-12-2011 2" xfId="5491"/>
    <cellStyle name="T_Bieu4HTMT_KH TPCP vung TNB (03-1-2012)" xfId="5492"/>
    <cellStyle name="T_Bieu4HTMT_KH TPCP vung TNB (03-1-2012) 2" xfId="5493"/>
    <cellStyle name="T_bo sung von KCH nam 2010 va Du an tre kho khan" xfId="5494"/>
    <cellStyle name="T_bo sung von KCH nam 2010 va Du an tre kho khan 2" xfId="5495"/>
    <cellStyle name="T_bo sung von KCH nam 2010 va Du an tre kho khan_!1 1 bao cao giao KH ve HTCMT vung TNB   12-12-2011" xfId="5496"/>
    <cellStyle name="T_bo sung von KCH nam 2010 va Du an tre kho khan_!1 1 bao cao giao KH ve HTCMT vung TNB   12-12-2011 2" xfId="5497"/>
    <cellStyle name="T_bo sung von KCH nam 2010 va Du an tre kho khan_KH TPCP vung TNB (03-1-2012)" xfId="5498"/>
    <cellStyle name="T_bo sung von KCH nam 2010 va Du an tre kho khan_KH TPCP vung TNB (03-1-2012) 2" xfId="5499"/>
    <cellStyle name="T_Book1" xfId="2137"/>
    <cellStyle name="T_Book1 2" xfId="2138"/>
    <cellStyle name="T_Book1 3" xfId="5500"/>
    <cellStyle name="T_Book1_!1 1 bao cao giao KH ve HTCMT vung TNB   12-12-2011" xfId="5501"/>
    <cellStyle name="T_Book1_!1 1 bao cao giao KH ve HTCMT vung TNB   12-12-2011 2" xfId="5502"/>
    <cellStyle name="T_Book1_1" xfId="5503"/>
    <cellStyle name="T_Book1_1 2" xfId="5504"/>
    <cellStyle name="T_Book1_1_Bieu tong hop nhu cau ung 2011 da chon loc -Mien nui" xfId="5505"/>
    <cellStyle name="T_Book1_1_Bieu tong hop nhu cau ung 2011 da chon loc -Mien nui 2" xfId="5506"/>
    <cellStyle name="T_Book1_1_Bieu tong hop nhu cau ung 2011 da chon loc -Mien nui_!1 1 bao cao giao KH ve HTCMT vung TNB   12-12-2011" xfId="5507"/>
    <cellStyle name="T_Book1_1_Bieu tong hop nhu cau ung 2011 da chon loc -Mien nui_!1 1 bao cao giao KH ve HTCMT vung TNB   12-12-2011 2" xfId="5508"/>
    <cellStyle name="T_Book1_1_Bieu tong hop nhu cau ung 2011 da chon loc -Mien nui_KH TPCP vung TNB (03-1-2012)" xfId="5509"/>
    <cellStyle name="T_Book1_1_Bieu tong hop nhu cau ung 2011 da chon loc -Mien nui_KH TPCP vung TNB (03-1-2012) 2" xfId="5510"/>
    <cellStyle name="T_Book1_1_Bieu3ODA" xfId="5511"/>
    <cellStyle name="T_Book1_1_Bieu3ODA 2" xfId="5512"/>
    <cellStyle name="T_Book1_1_Bieu3ODA_!1 1 bao cao giao KH ve HTCMT vung TNB   12-12-2011" xfId="5513"/>
    <cellStyle name="T_Book1_1_Bieu3ODA_!1 1 bao cao giao KH ve HTCMT vung TNB   12-12-2011 2" xfId="5514"/>
    <cellStyle name="T_Book1_1_Bieu3ODA_KH TPCP vung TNB (03-1-2012)" xfId="5515"/>
    <cellStyle name="T_Book1_1_Bieu3ODA_KH TPCP vung TNB (03-1-2012) 2" xfId="5516"/>
    <cellStyle name="T_Book1_1_CPK" xfId="5517"/>
    <cellStyle name="T_Book1_1_CPK 2" xfId="5518"/>
    <cellStyle name="T_Book1_1_CPK_!1 1 bao cao giao KH ve HTCMT vung TNB   12-12-2011" xfId="5519"/>
    <cellStyle name="T_Book1_1_CPK_!1 1 bao cao giao KH ve HTCMT vung TNB   12-12-2011 2" xfId="5520"/>
    <cellStyle name="T_Book1_1_CPK_Bieu4HTMT" xfId="5521"/>
    <cellStyle name="T_Book1_1_CPK_Bieu4HTMT 2" xfId="5522"/>
    <cellStyle name="T_Book1_1_CPK_Bieu4HTMT_!1 1 bao cao giao KH ve HTCMT vung TNB   12-12-2011" xfId="5523"/>
    <cellStyle name="T_Book1_1_CPK_Bieu4HTMT_!1 1 bao cao giao KH ve HTCMT vung TNB   12-12-2011 2" xfId="5524"/>
    <cellStyle name="T_Book1_1_CPK_Bieu4HTMT_KH TPCP vung TNB (03-1-2012)" xfId="5525"/>
    <cellStyle name="T_Book1_1_CPK_Bieu4HTMT_KH TPCP vung TNB (03-1-2012) 2" xfId="5526"/>
    <cellStyle name="T_Book1_1_CPK_KH TPCP vung TNB (03-1-2012)" xfId="5527"/>
    <cellStyle name="T_Book1_1_CPK_KH TPCP vung TNB (03-1-2012) 2" xfId="5528"/>
    <cellStyle name="T_Book1_1_KH TPCP vung TNB (03-1-2012)" xfId="5531"/>
    <cellStyle name="T_Book1_1_KH TPCP vung TNB (03-1-2012) 2" xfId="5532"/>
    <cellStyle name="T_Book1_1_kien giang 2" xfId="5529"/>
    <cellStyle name="T_Book1_1_kien giang 2 2" xfId="5530"/>
    <cellStyle name="T_Book1_1_Luy ke von ung nam 2011 -Thoa gui ngay 12-8-2012" xfId="5533"/>
    <cellStyle name="T_Book1_1_Luy ke von ung nam 2011 -Thoa gui ngay 12-8-2012 2" xfId="5534"/>
    <cellStyle name="T_Book1_1_Luy ke von ung nam 2011 -Thoa gui ngay 12-8-2012_!1 1 bao cao giao KH ve HTCMT vung TNB   12-12-2011" xfId="5535"/>
    <cellStyle name="T_Book1_1_Luy ke von ung nam 2011 -Thoa gui ngay 12-8-2012_!1 1 bao cao giao KH ve HTCMT vung TNB   12-12-2011 2" xfId="5536"/>
    <cellStyle name="T_Book1_1_Luy ke von ung nam 2011 -Thoa gui ngay 12-8-2012_KH TPCP vung TNB (03-1-2012)" xfId="5537"/>
    <cellStyle name="T_Book1_1_Luy ke von ung nam 2011 -Thoa gui ngay 12-8-2012_KH TPCP vung TNB (03-1-2012) 2" xfId="5538"/>
    <cellStyle name="T_Book1_1_Thiet bi" xfId="5539"/>
    <cellStyle name="T_Book1_1_Thiet bi 2" xfId="5540"/>
    <cellStyle name="T_Book1_1_Thiet bi_!1 1 bao cao giao KH ve HTCMT vung TNB   12-12-2011" xfId="5541"/>
    <cellStyle name="T_Book1_1_Thiet bi_!1 1 bao cao giao KH ve HTCMT vung TNB   12-12-2011 2" xfId="5542"/>
    <cellStyle name="T_Book1_1_Thiet bi_Bieu4HTMT" xfId="5543"/>
    <cellStyle name="T_Book1_1_Thiet bi_Bieu4HTMT 2" xfId="5544"/>
    <cellStyle name="T_Book1_1_Thiet bi_Bieu4HTMT_!1 1 bao cao giao KH ve HTCMT vung TNB   12-12-2011" xfId="5545"/>
    <cellStyle name="T_Book1_1_Thiet bi_Bieu4HTMT_!1 1 bao cao giao KH ve HTCMT vung TNB   12-12-2011 2" xfId="5546"/>
    <cellStyle name="T_Book1_1_Thiet bi_Bieu4HTMT_KH TPCP vung TNB (03-1-2012)" xfId="5547"/>
    <cellStyle name="T_Book1_1_Thiet bi_Bieu4HTMT_KH TPCP vung TNB (03-1-2012) 2" xfId="5548"/>
    <cellStyle name="T_Book1_1_Thiet bi_KH TPCP vung TNB (03-1-2012)" xfId="5549"/>
    <cellStyle name="T_Book1_1_Thiet bi_KH TPCP vung TNB (03-1-2012) 2" xfId="5550"/>
    <cellStyle name="T_Book1_15_10_2013 BC nhu cau von doi ung ODA (2014-2016) ngay 15102013 Sua" xfId="5551"/>
    <cellStyle name="T_Book1_bao cao phan bo KHDT 2011(final)" xfId="5552"/>
    <cellStyle name="T_Book1_bao cao phan bo KHDT 2011(final)_BC nhu cau von doi ung ODA nganh NN (BKH)" xfId="5553"/>
    <cellStyle name="T_Book1_bao cao phan bo KHDT 2011(final)_BC Tai co cau (bieu TH)" xfId="5554"/>
    <cellStyle name="T_Book1_bao cao phan bo KHDT 2011(final)_DK 2014-2015 final" xfId="5555"/>
    <cellStyle name="T_Book1_bao cao phan bo KHDT 2011(final)_DK 2014-2015 new" xfId="5556"/>
    <cellStyle name="T_Book1_bao cao phan bo KHDT 2011(final)_DK KH CBDT 2014 11-11-2013" xfId="5557"/>
    <cellStyle name="T_Book1_bao cao phan bo KHDT 2011(final)_DK KH CBDT 2014 11-11-2013(1)" xfId="5558"/>
    <cellStyle name="T_Book1_bao cao phan bo KHDT 2011(final)_KH 2011-2015" xfId="5559"/>
    <cellStyle name="T_Book1_bao cao phan bo KHDT 2011(final)_tai co cau dau tu (tong hop)1" xfId="5560"/>
    <cellStyle name="T_Book1_BC nhu cau von doi ung ODA nganh NN (BKH)" xfId="5565"/>
    <cellStyle name="T_Book1_BC nhu cau von doi ung ODA nganh NN (BKH)_05-12  KH trung han 2016-2020 - Liem Thinh edited" xfId="5566"/>
    <cellStyle name="T_Book1_BC nhu cau von doi ung ODA nganh NN (BKH)_Copy of 05-12  KH trung han 2016-2020 - Liem Thinh edited (1)" xfId="5567"/>
    <cellStyle name="T_Book1_BC NQ11-CP - chinh sua lai" xfId="5561"/>
    <cellStyle name="T_Book1_BC NQ11-CP - chinh sua lai 2" xfId="5562"/>
    <cellStyle name="T_Book1_BC NQ11-CP-Quynh sau bieu so3" xfId="5563"/>
    <cellStyle name="T_Book1_BC NQ11-CP-Quynh sau bieu so3 2" xfId="5564"/>
    <cellStyle name="T_Book1_BC Tai co cau (bieu TH)" xfId="5568"/>
    <cellStyle name="T_Book1_BC Tai co cau (bieu TH)_05-12  KH trung han 2016-2020 - Liem Thinh edited" xfId="5569"/>
    <cellStyle name="T_Book1_BC Tai co cau (bieu TH)_Copy of 05-12  KH trung han 2016-2020 - Liem Thinh edited (1)" xfId="5570"/>
    <cellStyle name="T_Book1_BC_NQ11-CP_-_Thao_sua_lai" xfId="5571"/>
    <cellStyle name="T_Book1_BC_NQ11-CP_-_Thao_sua_lai 2" xfId="5572"/>
    <cellStyle name="T_Book1_Bieu mau cong trinh khoi cong moi 3-4" xfId="5573"/>
    <cellStyle name="T_Book1_Bieu mau cong trinh khoi cong moi 3-4 2" xfId="5574"/>
    <cellStyle name="T_Book1_Bieu mau cong trinh khoi cong moi 3-4_!1 1 bao cao giao KH ve HTCMT vung TNB   12-12-2011" xfId="5575"/>
    <cellStyle name="T_Book1_Bieu mau cong trinh khoi cong moi 3-4_!1 1 bao cao giao KH ve HTCMT vung TNB   12-12-2011 2" xfId="5576"/>
    <cellStyle name="T_Book1_Bieu mau cong trinh khoi cong moi 3-4_KH TPCP vung TNB (03-1-2012)" xfId="5577"/>
    <cellStyle name="T_Book1_Bieu mau cong trinh khoi cong moi 3-4_KH TPCP vung TNB (03-1-2012) 2" xfId="5578"/>
    <cellStyle name="T_Book1_Bieu mau danh muc du an thuoc CTMTQG nam 2008" xfId="5579"/>
    <cellStyle name="T_Book1_Bieu mau danh muc du an thuoc CTMTQG nam 2008 2" xfId="5580"/>
    <cellStyle name="T_Book1_Bieu mau danh muc du an thuoc CTMTQG nam 2008_!1 1 bao cao giao KH ve HTCMT vung TNB   12-12-2011" xfId="5581"/>
    <cellStyle name="T_Book1_Bieu mau danh muc du an thuoc CTMTQG nam 2008_!1 1 bao cao giao KH ve HTCMT vung TNB   12-12-2011 2" xfId="5582"/>
    <cellStyle name="T_Book1_Bieu mau danh muc du an thuoc CTMTQG nam 2008_KH TPCP vung TNB (03-1-2012)" xfId="5583"/>
    <cellStyle name="T_Book1_Bieu mau danh muc du an thuoc CTMTQG nam 2008_KH TPCP vung TNB (03-1-2012) 2" xfId="5584"/>
    <cellStyle name="T_Book1_Bieu tong hop nhu cau ung 2011 da chon loc -Mien nui" xfId="5585"/>
    <cellStyle name="T_Book1_Bieu tong hop nhu cau ung 2011 da chon loc -Mien nui 2" xfId="5586"/>
    <cellStyle name="T_Book1_Bieu tong hop nhu cau ung 2011 da chon loc -Mien nui_!1 1 bao cao giao KH ve HTCMT vung TNB   12-12-2011" xfId="5587"/>
    <cellStyle name="T_Book1_Bieu tong hop nhu cau ung 2011 da chon loc -Mien nui_!1 1 bao cao giao KH ve HTCMT vung TNB   12-12-2011 2" xfId="5588"/>
    <cellStyle name="T_Book1_Bieu tong hop nhu cau ung 2011 da chon loc -Mien nui_KH TPCP vung TNB (03-1-2012)" xfId="5589"/>
    <cellStyle name="T_Book1_Bieu tong hop nhu cau ung 2011 da chon loc -Mien nui_KH TPCP vung TNB (03-1-2012) 2" xfId="5590"/>
    <cellStyle name="T_Book1_Bieu3ODA" xfId="5591"/>
    <cellStyle name="T_Book1_Bieu3ODA 2" xfId="5592"/>
    <cellStyle name="T_Book1_Bieu3ODA_!1 1 bao cao giao KH ve HTCMT vung TNB   12-12-2011" xfId="5593"/>
    <cellStyle name="T_Book1_Bieu3ODA_!1 1 bao cao giao KH ve HTCMT vung TNB   12-12-2011 2" xfId="5594"/>
    <cellStyle name="T_Book1_Bieu3ODA_1" xfId="5595"/>
    <cellStyle name="T_Book1_Bieu3ODA_1 2" xfId="5596"/>
    <cellStyle name="T_Book1_Bieu3ODA_1_!1 1 bao cao giao KH ve HTCMT vung TNB   12-12-2011" xfId="5597"/>
    <cellStyle name="T_Book1_Bieu3ODA_1_!1 1 bao cao giao KH ve HTCMT vung TNB   12-12-2011 2" xfId="5598"/>
    <cellStyle name="T_Book1_Bieu3ODA_1_KH TPCP vung TNB (03-1-2012)" xfId="5599"/>
    <cellStyle name="T_Book1_Bieu3ODA_1_KH TPCP vung TNB (03-1-2012) 2" xfId="5600"/>
    <cellStyle name="T_Book1_Bieu3ODA_KH TPCP vung TNB (03-1-2012)" xfId="5601"/>
    <cellStyle name="T_Book1_Bieu3ODA_KH TPCP vung TNB (03-1-2012) 2" xfId="5602"/>
    <cellStyle name="T_Book1_Bieu4HTMT" xfId="5603"/>
    <cellStyle name="T_Book1_Bieu4HTMT 2" xfId="5604"/>
    <cellStyle name="T_Book1_Bieu4HTMT_!1 1 bao cao giao KH ve HTCMT vung TNB   12-12-2011" xfId="5605"/>
    <cellStyle name="T_Book1_Bieu4HTMT_!1 1 bao cao giao KH ve HTCMT vung TNB   12-12-2011 2" xfId="5606"/>
    <cellStyle name="T_Book1_Bieu4HTMT_KH TPCP vung TNB (03-1-2012)" xfId="5607"/>
    <cellStyle name="T_Book1_Bieu4HTMT_KH TPCP vung TNB (03-1-2012) 2" xfId="5608"/>
    <cellStyle name="T_Book1_Book1" xfId="5609"/>
    <cellStyle name="T_Book1_Book1 2" xfId="5610"/>
    <cellStyle name="T_Book1_Cong trinh co y kien LD_Dang_NN_2011-Tay nguyen-9-10" xfId="5611"/>
    <cellStyle name="T_Book1_Cong trinh co y kien LD_Dang_NN_2011-Tay nguyen-9-10 2" xfId="5612"/>
    <cellStyle name="T_Book1_Cong trinh co y kien LD_Dang_NN_2011-Tay nguyen-9-10_!1 1 bao cao giao KH ve HTCMT vung TNB   12-12-2011" xfId="5613"/>
    <cellStyle name="T_Book1_Cong trinh co y kien LD_Dang_NN_2011-Tay nguyen-9-10_!1 1 bao cao giao KH ve HTCMT vung TNB   12-12-2011 2" xfId="5614"/>
    <cellStyle name="T_Book1_Cong trinh co y kien LD_Dang_NN_2011-Tay nguyen-9-10_Bieu4HTMT" xfId="5615"/>
    <cellStyle name="T_Book1_Cong trinh co y kien LD_Dang_NN_2011-Tay nguyen-9-10_Bieu4HTMT 2" xfId="5616"/>
    <cellStyle name="T_Book1_Cong trinh co y kien LD_Dang_NN_2011-Tay nguyen-9-10_KH TPCP vung TNB (03-1-2012)" xfId="5617"/>
    <cellStyle name="T_Book1_Cong trinh co y kien LD_Dang_NN_2011-Tay nguyen-9-10_KH TPCP vung TNB (03-1-2012) 2" xfId="5618"/>
    <cellStyle name="T_Book1_CPK" xfId="5619"/>
    <cellStyle name="T_Book1_CPK 2" xfId="5620"/>
    <cellStyle name="T_Book1_danh muc chuan bi dau tu 2011 ngay 07-6-2011" xfId="5621"/>
    <cellStyle name="T_Book1_danh muc chuan bi dau tu 2011 ngay 07-6-2011 2" xfId="5622"/>
    <cellStyle name="T_Book1_dieu chinh KH 2011 ngay 26-5-2011111" xfId="5623"/>
    <cellStyle name="T_Book1_dieu chinh KH 2011 ngay 26-5-2011111 2" xfId="5624"/>
    <cellStyle name="T_Book1_DK 2014-2015 final" xfId="5625"/>
    <cellStyle name="T_Book1_DK 2014-2015 final_05-12  KH trung han 2016-2020 - Liem Thinh edited" xfId="5626"/>
    <cellStyle name="T_Book1_DK 2014-2015 final_Copy of 05-12  KH trung han 2016-2020 - Liem Thinh edited (1)" xfId="5627"/>
    <cellStyle name="T_Book1_DK 2014-2015 new" xfId="5628"/>
    <cellStyle name="T_Book1_DK 2014-2015 new_05-12  KH trung han 2016-2020 - Liem Thinh edited" xfId="5629"/>
    <cellStyle name="T_Book1_DK 2014-2015 new_Copy of 05-12  KH trung han 2016-2020 - Liem Thinh edited (1)" xfId="5630"/>
    <cellStyle name="T_Book1_DK KH CBDT 2014 11-11-2013" xfId="5631"/>
    <cellStyle name="T_Book1_DK KH CBDT 2014 11-11-2013(1)" xfId="5632"/>
    <cellStyle name="T_Book1_DK KH CBDT 2014 11-11-2013(1)_05-12  KH trung han 2016-2020 - Liem Thinh edited" xfId="5633"/>
    <cellStyle name="T_Book1_DK KH CBDT 2014 11-11-2013(1)_Copy of 05-12  KH trung han 2016-2020 - Liem Thinh edited (1)" xfId="5634"/>
    <cellStyle name="T_Book1_DK KH CBDT 2014 11-11-2013_05-12  KH trung han 2016-2020 - Liem Thinh edited" xfId="5635"/>
    <cellStyle name="T_Book1_DK KH CBDT 2014 11-11-2013_Copy of 05-12  KH trung han 2016-2020 - Liem Thinh edited (1)" xfId="5636"/>
    <cellStyle name="T_Book1_Du an khoi cong moi nam 2010" xfId="5637"/>
    <cellStyle name="T_Book1_Du an khoi cong moi nam 2010 2" xfId="5638"/>
    <cellStyle name="T_Book1_Du an khoi cong moi nam 2010_!1 1 bao cao giao KH ve HTCMT vung TNB   12-12-2011" xfId="5639"/>
    <cellStyle name="T_Book1_Du an khoi cong moi nam 2010_!1 1 bao cao giao KH ve HTCMT vung TNB   12-12-2011 2" xfId="5640"/>
    <cellStyle name="T_Book1_Du an khoi cong moi nam 2010_KH TPCP vung TNB (03-1-2012)" xfId="5641"/>
    <cellStyle name="T_Book1_Du an khoi cong moi nam 2010_KH TPCP vung TNB (03-1-2012) 2" xfId="5642"/>
    <cellStyle name="T_Book1_giao KH 2011 ngay 10-12-2010" xfId="5643"/>
    <cellStyle name="T_Book1_giao KH 2011 ngay 10-12-2010 2" xfId="5644"/>
    <cellStyle name="T_Book1_Hang Tom goi9 9-07(Cau 12 sua)" xfId="2139"/>
    <cellStyle name="T_Book1_Hang Tom goi9 9-07(Cau 12 sua) 2" xfId="2140"/>
    <cellStyle name="T_Book1_Ket qua phan bo von nam 2008" xfId="5645"/>
    <cellStyle name="T_Book1_Ket qua phan bo von nam 2008 2" xfId="5646"/>
    <cellStyle name="T_Book1_Ket qua phan bo von nam 2008_!1 1 bao cao giao KH ve HTCMT vung TNB   12-12-2011" xfId="5647"/>
    <cellStyle name="T_Book1_Ket qua phan bo von nam 2008_!1 1 bao cao giao KH ve HTCMT vung TNB   12-12-2011 2" xfId="5648"/>
    <cellStyle name="T_Book1_Ket qua phan bo von nam 2008_KH TPCP vung TNB (03-1-2012)" xfId="5649"/>
    <cellStyle name="T_Book1_Ket qua phan bo von nam 2008_KH TPCP vung TNB (03-1-2012) 2" xfId="5650"/>
    <cellStyle name="T_Book1_KH TPCP vung TNB (03-1-2012)" xfId="5653"/>
    <cellStyle name="T_Book1_KH TPCP vung TNB (03-1-2012) 2" xfId="5654"/>
    <cellStyle name="T_Book1_KH XDCB_2008 lan 2 sua ngay 10-11" xfId="5655"/>
    <cellStyle name="T_Book1_KH XDCB_2008 lan 2 sua ngay 10-11 2" xfId="5656"/>
    <cellStyle name="T_Book1_KH XDCB_2008 lan 2 sua ngay 10-11_!1 1 bao cao giao KH ve HTCMT vung TNB   12-12-2011" xfId="5657"/>
    <cellStyle name="T_Book1_KH XDCB_2008 lan 2 sua ngay 10-11_!1 1 bao cao giao KH ve HTCMT vung TNB   12-12-2011 2" xfId="5658"/>
    <cellStyle name="T_Book1_KH XDCB_2008 lan 2 sua ngay 10-11_KH TPCP vung TNB (03-1-2012)" xfId="5659"/>
    <cellStyle name="T_Book1_KH XDCB_2008 lan 2 sua ngay 10-11_KH TPCP vung TNB (03-1-2012) 2" xfId="5660"/>
    <cellStyle name="T_Book1_Khoi luong chinh Hang Tom" xfId="2141"/>
    <cellStyle name="T_Book1_Khoi luong chinh Hang Tom 2" xfId="2142"/>
    <cellStyle name="T_Book1_kien giang 2" xfId="5651"/>
    <cellStyle name="T_Book1_kien giang 2 2" xfId="5652"/>
    <cellStyle name="T_Book1_Luy ke von ung nam 2011 -Thoa gui ngay 12-8-2012" xfId="5661"/>
    <cellStyle name="T_Book1_Luy ke von ung nam 2011 -Thoa gui ngay 12-8-2012 2" xfId="5662"/>
    <cellStyle name="T_Book1_Luy ke von ung nam 2011 -Thoa gui ngay 12-8-2012_!1 1 bao cao giao KH ve HTCMT vung TNB   12-12-2011" xfId="5663"/>
    <cellStyle name="T_Book1_Luy ke von ung nam 2011 -Thoa gui ngay 12-8-2012_!1 1 bao cao giao KH ve HTCMT vung TNB   12-12-2011 2" xfId="5664"/>
    <cellStyle name="T_Book1_Luy ke von ung nam 2011 -Thoa gui ngay 12-8-2012_KH TPCP vung TNB (03-1-2012)" xfId="5665"/>
    <cellStyle name="T_Book1_Luy ke von ung nam 2011 -Thoa gui ngay 12-8-2012_KH TPCP vung TNB (03-1-2012) 2" xfId="5666"/>
    <cellStyle name="T_Book1_Nhu cau von ung truoc 2011 Tha h Hoa + Nge An gui TW" xfId="5667"/>
    <cellStyle name="T_Book1_Nhu cau von ung truoc 2011 Tha h Hoa + Nge An gui TW 2" xfId="5668"/>
    <cellStyle name="T_Book1_Nhu cau von ung truoc 2011 Tha h Hoa + Nge An gui TW_!1 1 bao cao giao KH ve HTCMT vung TNB   12-12-2011" xfId="5669"/>
    <cellStyle name="T_Book1_Nhu cau von ung truoc 2011 Tha h Hoa + Nge An gui TW_!1 1 bao cao giao KH ve HTCMT vung TNB   12-12-2011 2" xfId="5670"/>
    <cellStyle name="T_Book1_Nhu cau von ung truoc 2011 Tha h Hoa + Nge An gui TW_Bieu4HTMT" xfId="5671"/>
    <cellStyle name="T_Book1_Nhu cau von ung truoc 2011 Tha h Hoa + Nge An gui TW_Bieu4HTMT 2" xfId="5672"/>
    <cellStyle name="T_Book1_Nhu cau von ung truoc 2011 Tha h Hoa + Nge An gui TW_Bieu4HTMT_!1 1 bao cao giao KH ve HTCMT vung TNB   12-12-2011" xfId="5673"/>
    <cellStyle name="T_Book1_Nhu cau von ung truoc 2011 Tha h Hoa + Nge An gui TW_Bieu4HTMT_!1 1 bao cao giao KH ve HTCMT vung TNB   12-12-2011 2" xfId="5674"/>
    <cellStyle name="T_Book1_Nhu cau von ung truoc 2011 Tha h Hoa + Nge An gui TW_Bieu4HTMT_KH TPCP vung TNB (03-1-2012)" xfId="5675"/>
    <cellStyle name="T_Book1_Nhu cau von ung truoc 2011 Tha h Hoa + Nge An gui TW_Bieu4HTMT_KH TPCP vung TNB (03-1-2012) 2" xfId="5676"/>
    <cellStyle name="T_Book1_Nhu cau von ung truoc 2011 Tha h Hoa + Nge An gui TW_KH TPCP vung TNB (03-1-2012)" xfId="5677"/>
    <cellStyle name="T_Book1_Nhu cau von ung truoc 2011 Tha h Hoa + Nge An gui TW_KH TPCP vung TNB (03-1-2012) 2" xfId="5678"/>
    <cellStyle name="T_Book1_phu luc tong ket tinh hinh TH giai doan 03-10 (ngay 30)" xfId="5679"/>
    <cellStyle name="T_Book1_phu luc tong ket tinh hinh TH giai doan 03-10 (ngay 30) 2" xfId="5680"/>
    <cellStyle name="T_Book1_phu luc tong ket tinh hinh TH giai doan 03-10 (ngay 30)_!1 1 bao cao giao KH ve HTCMT vung TNB   12-12-2011" xfId="5681"/>
    <cellStyle name="T_Book1_phu luc tong ket tinh hinh TH giai doan 03-10 (ngay 30)_!1 1 bao cao giao KH ve HTCMT vung TNB   12-12-2011 2" xfId="5682"/>
    <cellStyle name="T_Book1_phu luc tong ket tinh hinh TH giai doan 03-10 (ngay 30)_KH TPCP vung TNB (03-1-2012)" xfId="5683"/>
    <cellStyle name="T_Book1_phu luc tong ket tinh hinh TH giai doan 03-10 (ngay 30)_KH TPCP vung TNB (03-1-2012) 2" xfId="5684"/>
    <cellStyle name="T_Book1_TH ung tren 70%-Ra soat phap ly-8-6 (dung de chuyen vao vu TH)" xfId="5693"/>
    <cellStyle name="T_Book1_TH ung tren 70%-Ra soat phap ly-8-6 (dung de chuyen vao vu TH) 2" xfId="5694"/>
    <cellStyle name="T_Book1_TH ung tren 70%-Ra soat phap ly-8-6 (dung de chuyen vao vu TH)_!1 1 bao cao giao KH ve HTCMT vung TNB   12-12-2011" xfId="5695"/>
    <cellStyle name="T_Book1_TH ung tren 70%-Ra soat phap ly-8-6 (dung de chuyen vao vu TH)_!1 1 bao cao giao KH ve HTCMT vung TNB   12-12-2011 2" xfId="5696"/>
    <cellStyle name="T_Book1_TH ung tren 70%-Ra soat phap ly-8-6 (dung de chuyen vao vu TH)_Bieu4HTMT" xfId="5697"/>
    <cellStyle name="T_Book1_TH ung tren 70%-Ra soat phap ly-8-6 (dung de chuyen vao vu TH)_Bieu4HTMT 2" xfId="5698"/>
    <cellStyle name="T_Book1_TH ung tren 70%-Ra soat phap ly-8-6 (dung de chuyen vao vu TH)_KH TPCP vung TNB (03-1-2012)" xfId="5699"/>
    <cellStyle name="T_Book1_TH ung tren 70%-Ra soat phap ly-8-6 (dung de chuyen vao vu TH)_KH TPCP vung TNB (03-1-2012) 2" xfId="5700"/>
    <cellStyle name="T_Book1_TH y kien LD_KH 2010 Ca Nuoc 22-9-2011-Gui ca Vu" xfId="5701"/>
    <cellStyle name="T_Book1_TH y kien LD_KH 2010 Ca Nuoc 22-9-2011-Gui ca Vu 2" xfId="5702"/>
    <cellStyle name="T_Book1_TH y kien LD_KH 2010 Ca Nuoc 22-9-2011-Gui ca Vu_!1 1 bao cao giao KH ve HTCMT vung TNB   12-12-2011" xfId="5703"/>
    <cellStyle name="T_Book1_TH y kien LD_KH 2010 Ca Nuoc 22-9-2011-Gui ca Vu_!1 1 bao cao giao KH ve HTCMT vung TNB   12-12-2011 2" xfId="5704"/>
    <cellStyle name="T_Book1_TH y kien LD_KH 2010 Ca Nuoc 22-9-2011-Gui ca Vu_Bieu4HTMT" xfId="5705"/>
    <cellStyle name="T_Book1_TH y kien LD_KH 2010 Ca Nuoc 22-9-2011-Gui ca Vu_Bieu4HTMT 2" xfId="5706"/>
    <cellStyle name="T_Book1_TH y kien LD_KH 2010 Ca Nuoc 22-9-2011-Gui ca Vu_KH TPCP vung TNB (03-1-2012)" xfId="5707"/>
    <cellStyle name="T_Book1_TH y kien LD_KH 2010 Ca Nuoc 22-9-2011-Gui ca Vu_KH TPCP vung TNB (03-1-2012) 2" xfId="5708"/>
    <cellStyle name="T_Book1_Thiet bi" xfId="5709"/>
    <cellStyle name="T_Book1_Thiet bi 2" xfId="5710"/>
    <cellStyle name="T_Book1_TN - Ho tro khac 2011" xfId="5685"/>
    <cellStyle name="T_Book1_TN - Ho tro khac 2011 2" xfId="5686"/>
    <cellStyle name="T_Book1_TN - Ho tro khac 2011_!1 1 bao cao giao KH ve HTCMT vung TNB   12-12-2011" xfId="5687"/>
    <cellStyle name="T_Book1_TN - Ho tro khac 2011_!1 1 bao cao giao KH ve HTCMT vung TNB   12-12-2011 2" xfId="5688"/>
    <cellStyle name="T_Book1_TN - Ho tro khac 2011_Bieu4HTMT" xfId="5689"/>
    <cellStyle name="T_Book1_TN - Ho tro khac 2011_Bieu4HTMT 2" xfId="5690"/>
    <cellStyle name="T_Book1_TN - Ho tro khac 2011_KH TPCP vung TNB (03-1-2012)" xfId="5691"/>
    <cellStyle name="T_Book1_TN - Ho tro khac 2011_KH TPCP vung TNB (03-1-2012) 2" xfId="5692"/>
    <cellStyle name="T_Book1_ung truoc 2011 NSTW Thanh Hoa + Nge An gui Thu 12-5" xfId="5711"/>
    <cellStyle name="T_Book1_ung truoc 2011 NSTW Thanh Hoa + Nge An gui Thu 12-5 2" xfId="5712"/>
    <cellStyle name="T_Book1_ung truoc 2011 NSTW Thanh Hoa + Nge An gui Thu 12-5_!1 1 bao cao giao KH ve HTCMT vung TNB   12-12-2011" xfId="5713"/>
    <cellStyle name="T_Book1_ung truoc 2011 NSTW Thanh Hoa + Nge An gui Thu 12-5_!1 1 bao cao giao KH ve HTCMT vung TNB   12-12-2011 2" xfId="5714"/>
    <cellStyle name="T_Book1_ung truoc 2011 NSTW Thanh Hoa + Nge An gui Thu 12-5_Bieu4HTMT" xfId="5715"/>
    <cellStyle name="T_Book1_ung truoc 2011 NSTW Thanh Hoa + Nge An gui Thu 12-5_Bieu4HTMT 2" xfId="5716"/>
    <cellStyle name="T_Book1_ung truoc 2011 NSTW Thanh Hoa + Nge An gui Thu 12-5_Bieu4HTMT_!1 1 bao cao giao KH ve HTCMT vung TNB   12-12-2011" xfId="5717"/>
    <cellStyle name="T_Book1_ung truoc 2011 NSTW Thanh Hoa + Nge An gui Thu 12-5_Bieu4HTMT_!1 1 bao cao giao KH ve HTCMT vung TNB   12-12-2011 2" xfId="5718"/>
    <cellStyle name="T_Book1_ung truoc 2011 NSTW Thanh Hoa + Nge An gui Thu 12-5_Bieu4HTMT_KH TPCP vung TNB (03-1-2012)" xfId="5719"/>
    <cellStyle name="T_Book1_ung truoc 2011 NSTW Thanh Hoa + Nge An gui Thu 12-5_Bieu4HTMT_KH TPCP vung TNB (03-1-2012) 2" xfId="5720"/>
    <cellStyle name="T_Book1_ung truoc 2011 NSTW Thanh Hoa + Nge An gui Thu 12-5_KH TPCP vung TNB (03-1-2012)" xfId="5721"/>
    <cellStyle name="T_Book1_ung truoc 2011 NSTW Thanh Hoa + Nge An gui Thu 12-5_KH TPCP vung TNB (03-1-2012) 2" xfId="5722"/>
    <cellStyle name="T_Book1_ÿÿÿÿÿ" xfId="5723"/>
    <cellStyle name="T_Book1_ÿÿÿÿÿ 2" xfId="5724"/>
    <cellStyle name="T_Chuan bi dau tu nam 2008" xfId="5785"/>
    <cellStyle name="T_Chuan bi dau tu nam 2008 2" xfId="5786"/>
    <cellStyle name="T_Chuan bi dau tu nam 2008_!1 1 bao cao giao KH ve HTCMT vung TNB   12-12-2011" xfId="5787"/>
    <cellStyle name="T_Chuan bi dau tu nam 2008_!1 1 bao cao giao KH ve HTCMT vung TNB   12-12-2011 2" xfId="5788"/>
    <cellStyle name="T_Chuan bi dau tu nam 2008_KH TPCP vung TNB (03-1-2012)" xfId="5789"/>
    <cellStyle name="T_Chuan bi dau tu nam 2008_KH TPCP vung TNB (03-1-2012) 2" xfId="5790"/>
    <cellStyle name="T_Copy of Bao cao  XDCB 7 thang nam 2008_So KH&amp;DT SUA" xfId="5725"/>
    <cellStyle name="T_Copy of Bao cao  XDCB 7 thang nam 2008_So KH&amp;DT SUA 2" xfId="5726"/>
    <cellStyle name="T_Copy of Bao cao  XDCB 7 thang nam 2008_So KH&amp;DT SUA_!1 1 bao cao giao KH ve HTCMT vung TNB   12-12-2011" xfId="5727"/>
    <cellStyle name="T_Copy of Bao cao  XDCB 7 thang nam 2008_So KH&amp;DT SUA_!1 1 bao cao giao KH ve HTCMT vung TNB   12-12-2011 2" xfId="5728"/>
    <cellStyle name="T_Copy of Bao cao  XDCB 7 thang nam 2008_So KH&amp;DT SUA_KH TPCP vung TNB (03-1-2012)" xfId="5729"/>
    <cellStyle name="T_Copy of Bao cao  XDCB 7 thang nam 2008_So KH&amp;DT SUA_KH TPCP vung TNB (03-1-2012) 2" xfId="5730"/>
    <cellStyle name="T_CPK" xfId="5731"/>
    <cellStyle name="T_CPK 2" xfId="5732"/>
    <cellStyle name="T_CPK_!1 1 bao cao giao KH ve HTCMT vung TNB   12-12-2011" xfId="5733"/>
    <cellStyle name="T_CPK_!1 1 bao cao giao KH ve HTCMT vung TNB   12-12-2011 2" xfId="5734"/>
    <cellStyle name="T_CPK_Bieu4HTMT" xfId="5735"/>
    <cellStyle name="T_CPK_Bieu4HTMT 2" xfId="5736"/>
    <cellStyle name="T_CPK_Bieu4HTMT_!1 1 bao cao giao KH ve HTCMT vung TNB   12-12-2011" xfId="5737"/>
    <cellStyle name="T_CPK_Bieu4HTMT_!1 1 bao cao giao KH ve HTCMT vung TNB   12-12-2011 2" xfId="5738"/>
    <cellStyle name="T_CPK_Bieu4HTMT_KH TPCP vung TNB (03-1-2012)" xfId="5739"/>
    <cellStyle name="T_CPK_Bieu4HTMT_KH TPCP vung TNB (03-1-2012) 2" xfId="5740"/>
    <cellStyle name="T_CPK_KH TPCP vung TNB (03-1-2012)" xfId="5741"/>
    <cellStyle name="T_CPK_KH TPCP vung TNB (03-1-2012) 2" xfId="5742"/>
    <cellStyle name="T_CTMTQG 2008" xfId="5743"/>
    <cellStyle name="T_CTMTQG 2008 2" xfId="5744"/>
    <cellStyle name="T_CTMTQG 2008_!1 1 bao cao giao KH ve HTCMT vung TNB   12-12-2011" xfId="5745"/>
    <cellStyle name="T_CTMTQG 2008_!1 1 bao cao giao KH ve HTCMT vung TNB   12-12-2011 2" xfId="5746"/>
    <cellStyle name="T_CTMTQG 2008_Bieu mau danh muc du an thuoc CTMTQG nam 2008" xfId="5747"/>
    <cellStyle name="T_CTMTQG 2008_Bieu mau danh muc du an thuoc CTMTQG nam 2008 2" xfId="5748"/>
    <cellStyle name="T_CTMTQG 2008_Bieu mau danh muc du an thuoc CTMTQG nam 2008_!1 1 bao cao giao KH ve HTCMT vung TNB   12-12-2011" xfId="5749"/>
    <cellStyle name="T_CTMTQG 2008_Bieu mau danh muc du an thuoc CTMTQG nam 2008_!1 1 bao cao giao KH ve HTCMT vung TNB   12-12-2011 2" xfId="5750"/>
    <cellStyle name="T_CTMTQG 2008_Bieu mau danh muc du an thuoc CTMTQG nam 2008_KH TPCP vung TNB (03-1-2012)" xfId="5751"/>
    <cellStyle name="T_CTMTQG 2008_Bieu mau danh muc du an thuoc CTMTQG nam 2008_KH TPCP vung TNB (03-1-2012) 2" xfId="5752"/>
    <cellStyle name="T_CTMTQG 2008_Hi-Tong hop KQ phan bo KH nam 08- LD fong giao 15-11-08" xfId="5753"/>
    <cellStyle name="T_CTMTQG 2008_Hi-Tong hop KQ phan bo KH nam 08- LD fong giao 15-11-08 2" xfId="5754"/>
    <cellStyle name="T_CTMTQG 2008_Hi-Tong hop KQ phan bo KH nam 08- LD fong giao 15-11-08_!1 1 bao cao giao KH ve HTCMT vung TNB   12-12-2011" xfId="5755"/>
    <cellStyle name="T_CTMTQG 2008_Hi-Tong hop KQ phan bo KH nam 08- LD fong giao 15-11-08_!1 1 bao cao giao KH ve HTCMT vung TNB   12-12-2011 2" xfId="5756"/>
    <cellStyle name="T_CTMTQG 2008_Hi-Tong hop KQ phan bo KH nam 08- LD fong giao 15-11-08_KH TPCP vung TNB (03-1-2012)" xfId="5757"/>
    <cellStyle name="T_CTMTQG 2008_Hi-Tong hop KQ phan bo KH nam 08- LD fong giao 15-11-08_KH TPCP vung TNB (03-1-2012) 2" xfId="5758"/>
    <cellStyle name="T_CTMTQG 2008_Ket qua thuc hien nam 2008" xfId="5759"/>
    <cellStyle name="T_CTMTQG 2008_Ket qua thuc hien nam 2008 2" xfId="5760"/>
    <cellStyle name="T_CTMTQG 2008_Ket qua thuc hien nam 2008_!1 1 bao cao giao KH ve HTCMT vung TNB   12-12-2011" xfId="5761"/>
    <cellStyle name="T_CTMTQG 2008_Ket qua thuc hien nam 2008_!1 1 bao cao giao KH ve HTCMT vung TNB   12-12-2011 2" xfId="5762"/>
    <cellStyle name="T_CTMTQG 2008_Ket qua thuc hien nam 2008_KH TPCP vung TNB (03-1-2012)" xfId="5763"/>
    <cellStyle name="T_CTMTQG 2008_Ket qua thuc hien nam 2008_KH TPCP vung TNB (03-1-2012) 2" xfId="5764"/>
    <cellStyle name="T_CTMTQG 2008_KH TPCP vung TNB (03-1-2012)" xfId="5765"/>
    <cellStyle name="T_CTMTQG 2008_KH TPCP vung TNB (03-1-2012) 2" xfId="5766"/>
    <cellStyle name="T_CTMTQG 2008_KH XDCB_2008 lan 1" xfId="5767"/>
    <cellStyle name="T_CTMTQG 2008_KH XDCB_2008 lan 1 2" xfId="5768"/>
    <cellStyle name="T_CTMTQG 2008_KH XDCB_2008 lan 1 sua ngay 27-10" xfId="5769"/>
    <cellStyle name="T_CTMTQG 2008_KH XDCB_2008 lan 1 sua ngay 27-10 2" xfId="5770"/>
    <cellStyle name="T_CTMTQG 2008_KH XDCB_2008 lan 1 sua ngay 27-10_!1 1 bao cao giao KH ve HTCMT vung TNB   12-12-2011" xfId="5771"/>
    <cellStyle name="T_CTMTQG 2008_KH XDCB_2008 lan 1 sua ngay 27-10_!1 1 bao cao giao KH ve HTCMT vung TNB   12-12-2011 2" xfId="5772"/>
    <cellStyle name="T_CTMTQG 2008_KH XDCB_2008 lan 1 sua ngay 27-10_KH TPCP vung TNB (03-1-2012)" xfId="5773"/>
    <cellStyle name="T_CTMTQG 2008_KH XDCB_2008 lan 1 sua ngay 27-10_KH TPCP vung TNB (03-1-2012) 2" xfId="5774"/>
    <cellStyle name="T_CTMTQG 2008_KH XDCB_2008 lan 1_!1 1 bao cao giao KH ve HTCMT vung TNB   12-12-2011" xfId="5775"/>
    <cellStyle name="T_CTMTQG 2008_KH XDCB_2008 lan 1_!1 1 bao cao giao KH ve HTCMT vung TNB   12-12-2011 2" xfId="5776"/>
    <cellStyle name="T_CTMTQG 2008_KH XDCB_2008 lan 1_KH TPCP vung TNB (03-1-2012)" xfId="5777"/>
    <cellStyle name="T_CTMTQG 2008_KH XDCB_2008 lan 1_KH TPCP vung TNB (03-1-2012) 2" xfId="5778"/>
    <cellStyle name="T_CTMTQG 2008_KH XDCB_2008 lan 2 sua ngay 10-11" xfId="5779"/>
    <cellStyle name="T_CTMTQG 2008_KH XDCB_2008 lan 2 sua ngay 10-11 2" xfId="5780"/>
    <cellStyle name="T_CTMTQG 2008_KH XDCB_2008 lan 2 sua ngay 10-11_!1 1 bao cao giao KH ve HTCMT vung TNB   12-12-2011" xfId="5781"/>
    <cellStyle name="T_CTMTQG 2008_KH XDCB_2008 lan 2 sua ngay 10-11_!1 1 bao cao giao KH ve HTCMT vung TNB   12-12-2011 2" xfId="5782"/>
    <cellStyle name="T_CTMTQG 2008_KH XDCB_2008 lan 2 sua ngay 10-11_KH TPCP vung TNB (03-1-2012)" xfId="5783"/>
    <cellStyle name="T_CTMTQG 2008_KH XDCB_2008 lan 2 sua ngay 10-11_KH TPCP vung TNB (03-1-2012) 2" xfId="5784"/>
    <cellStyle name="T_danh muc chuan bi dau tu 2011 ngay 07-6-2011" xfId="5791"/>
    <cellStyle name="T_danh muc chuan bi dau tu 2011 ngay 07-6-2011 2" xfId="5792"/>
    <cellStyle name="T_danh muc chuan bi dau tu 2011 ngay 07-6-2011_!1 1 bao cao giao KH ve HTCMT vung TNB   12-12-2011" xfId="5793"/>
    <cellStyle name="T_danh muc chuan bi dau tu 2011 ngay 07-6-2011_!1 1 bao cao giao KH ve HTCMT vung TNB   12-12-2011 2" xfId="5794"/>
    <cellStyle name="T_danh muc chuan bi dau tu 2011 ngay 07-6-2011_KH TPCP vung TNB (03-1-2012)" xfId="5795"/>
    <cellStyle name="T_danh muc chuan bi dau tu 2011 ngay 07-6-2011_KH TPCP vung TNB (03-1-2012) 2" xfId="5796"/>
    <cellStyle name="T_Danh muc pbo nguon von XSKT, XDCB nam 2009 chuyen qua nam 2010" xfId="5797"/>
    <cellStyle name="T_Danh muc pbo nguon von XSKT, XDCB nam 2009 chuyen qua nam 2010 2" xfId="5798"/>
    <cellStyle name="T_Danh muc pbo nguon von XSKT, XDCB nam 2009 chuyen qua nam 2010_!1 1 bao cao giao KH ve HTCMT vung TNB   12-12-2011" xfId="5799"/>
    <cellStyle name="T_Danh muc pbo nguon von XSKT, XDCB nam 2009 chuyen qua nam 2010_!1 1 bao cao giao KH ve HTCMT vung TNB   12-12-2011 2" xfId="5800"/>
    <cellStyle name="T_Danh muc pbo nguon von XSKT, XDCB nam 2009 chuyen qua nam 2010_KH TPCP vung TNB (03-1-2012)" xfId="5801"/>
    <cellStyle name="T_Danh muc pbo nguon von XSKT, XDCB nam 2009 chuyen qua nam 2010_KH TPCP vung TNB (03-1-2012) 2" xfId="5802"/>
    <cellStyle name="T_dieu chinh KH 2011 ngay 26-5-2011111" xfId="5803"/>
    <cellStyle name="T_dieu chinh KH 2011 ngay 26-5-2011111 2" xfId="5804"/>
    <cellStyle name="T_dieu chinh KH 2011 ngay 26-5-2011111_!1 1 bao cao giao KH ve HTCMT vung TNB   12-12-2011" xfId="5805"/>
    <cellStyle name="T_dieu chinh KH 2011 ngay 26-5-2011111_!1 1 bao cao giao KH ve HTCMT vung TNB   12-12-2011 2" xfId="5806"/>
    <cellStyle name="T_dieu chinh KH 2011 ngay 26-5-2011111_KH TPCP vung TNB (03-1-2012)" xfId="5807"/>
    <cellStyle name="T_dieu chinh KH 2011 ngay 26-5-2011111_KH TPCP vung TNB (03-1-2012) 2" xfId="5808"/>
    <cellStyle name="T_DK 2014-2015 final" xfId="5809"/>
    <cellStyle name="T_DK 2014-2015 final_05-12  KH trung han 2016-2020 - Liem Thinh edited" xfId="5810"/>
    <cellStyle name="T_DK 2014-2015 final_Copy of 05-12  KH trung han 2016-2020 - Liem Thinh edited (1)" xfId="5811"/>
    <cellStyle name="T_DK 2014-2015 new" xfId="5812"/>
    <cellStyle name="T_DK 2014-2015 new_05-12  KH trung han 2016-2020 - Liem Thinh edited" xfId="5813"/>
    <cellStyle name="T_DK 2014-2015 new_Copy of 05-12  KH trung han 2016-2020 - Liem Thinh edited (1)" xfId="5814"/>
    <cellStyle name="T_DK KH CBDT 2014 11-11-2013" xfId="5815"/>
    <cellStyle name="T_DK KH CBDT 2014 11-11-2013(1)" xfId="5816"/>
    <cellStyle name="T_DK KH CBDT 2014 11-11-2013(1)_05-12  KH trung han 2016-2020 - Liem Thinh edited" xfId="5817"/>
    <cellStyle name="T_DK KH CBDT 2014 11-11-2013(1)_Copy of 05-12  KH trung han 2016-2020 - Liem Thinh edited (1)" xfId="5818"/>
    <cellStyle name="T_DK KH CBDT 2014 11-11-2013_05-12  KH trung han 2016-2020 - Liem Thinh edited" xfId="5819"/>
    <cellStyle name="T_DK KH CBDT 2014 11-11-2013_Copy of 05-12  KH trung han 2016-2020 - Liem Thinh edited (1)" xfId="5820"/>
    <cellStyle name="T_DS KCH PHAN BO VON NSDP NAM 2010" xfId="5821"/>
    <cellStyle name="T_DS KCH PHAN BO VON NSDP NAM 2010 2" xfId="5822"/>
    <cellStyle name="T_DS KCH PHAN BO VON NSDP NAM 2010_!1 1 bao cao giao KH ve HTCMT vung TNB   12-12-2011" xfId="5823"/>
    <cellStyle name="T_DS KCH PHAN BO VON NSDP NAM 2010_!1 1 bao cao giao KH ve HTCMT vung TNB   12-12-2011 2" xfId="5824"/>
    <cellStyle name="T_DS KCH PHAN BO VON NSDP NAM 2010_KH TPCP vung TNB (03-1-2012)" xfId="5825"/>
    <cellStyle name="T_DS KCH PHAN BO VON NSDP NAM 2010_KH TPCP vung TNB (03-1-2012) 2" xfId="5826"/>
    <cellStyle name="T_Du an khoi cong moi nam 2010" xfId="5827"/>
    <cellStyle name="T_Du an khoi cong moi nam 2010 2" xfId="5828"/>
    <cellStyle name="T_Du an khoi cong moi nam 2010_!1 1 bao cao giao KH ve HTCMT vung TNB   12-12-2011" xfId="5829"/>
    <cellStyle name="T_Du an khoi cong moi nam 2010_!1 1 bao cao giao KH ve HTCMT vung TNB   12-12-2011 2" xfId="5830"/>
    <cellStyle name="T_Du an khoi cong moi nam 2010_KH TPCP vung TNB (03-1-2012)" xfId="5831"/>
    <cellStyle name="T_Du an khoi cong moi nam 2010_KH TPCP vung TNB (03-1-2012) 2" xfId="5832"/>
    <cellStyle name="T_DU AN TKQH VA CHUAN BI DAU TU NAM 2007 sua ngay 9-11" xfId="5833"/>
    <cellStyle name="T_DU AN TKQH VA CHUAN BI DAU TU NAM 2007 sua ngay 9-11 2" xfId="5834"/>
    <cellStyle name="T_DU AN TKQH VA CHUAN BI DAU TU NAM 2007 sua ngay 9-11_!1 1 bao cao giao KH ve HTCMT vung TNB   12-12-2011" xfId="5835"/>
    <cellStyle name="T_DU AN TKQH VA CHUAN BI DAU TU NAM 2007 sua ngay 9-11_!1 1 bao cao giao KH ve HTCMT vung TNB   12-12-2011 2" xfId="5836"/>
    <cellStyle name="T_DU AN TKQH VA CHUAN BI DAU TU NAM 2007 sua ngay 9-11_Bieu mau danh muc du an thuoc CTMTQG nam 2008" xfId="5837"/>
    <cellStyle name="T_DU AN TKQH VA CHUAN BI DAU TU NAM 2007 sua ngay 9-11_Bieu mau danh muc du an thuoc CTMTQG nam 2008 2" xfId="5838"/>
    <cellStyle name="T_DU AN TKQH VA CHUAN BI DAU TU NAM 2007 sua ngay 9-11_Bieu mau danh muc du an thuoc CTMTQG nam 2008_!1 1 bao cao giao KH ve HTCMT vung TNB   12-12-2011" xfId="5839"/>
    <cellStyle name="T_DU AN TKQH VA CHUAN BI DAU TU NAM 2007 sua ngay 9-11_Bieu mau danh muc du an thuoc CTMTQG nam 2008_!1 1 bao cao giao KH ve HTCMT vung TNB   12-12-2011 2" xfId="5840"/>
    <cellStyle name="T_DU AN TKQH VA CHUAN BI DAU TU NAM 2007 sua ngay 9-11_Bieu mau danh muc du an thuoc CTMTQG nam 2008_KH TPCP vung TNB (03-1-2012)" xfId="5841"/>
    <cellStyle name="T_DU AN TKQH VA CHUAN BI DAU TU NAM 2007 sua ngay 9-11_Bieu mau danh muc du an thuoc CTMTQG nam 2008_KH TPCP vung TNB (03-1-2012) 2" xfId="5842"/>
    <cellStyle name="T_DU AN TKQH VA CHUAN BI DAU TU NAM 2007 sua ngay 9-11_Du an khoi cong moi nam 2010" xfId="5843"/>
    <cellStyle name="T_DU AN TKQH VA CHUAN BI DAU TU NAM 2007 sua ngay 9-11_Du an khoi cong moi nam 2010 2" xfId="5844"/>
    <cellStyle name="T_DU AN TKQH VA CHUAN BI DAU TU NAM 2007 sua ngay 9-11_Du an khoi cong moi nam 2010_!1 1 bao cao giao KH ve HTCMT vung TNB   12-12-2011" xfId="5845"/>
    <cellStyle name="T_DU AN TKQH VA CHUAN BI DAU TU NAM 2007 sua ngay 9-11_Du an khoi cong moi nam 2010_!1 1 bao cao giao KH ve HTCMT vung TNB   12-12-2011 2" xfId="5846"/>
    <cellStyle name="T_DU AN TKQH VA CHUAN BI DAU TU NAM 2007 sua ngay 9-11_Du an khoi cong moi nam 2010_KH TPCP vung TNB (03-1-2012)" xfId="5847"/>
    <cellStyle name="T_DU AN TKQH VA CHUAN BI DAU TU NAM 2007 sua ngay 9-11_Du an khoi cong moi nam 2010_KH TPCP vung TNB (03-1-2012) 2" xfId="5848"/>
    <cellStyle name="T_DU AN TKQH VA CHUAN BI DAU TU NAM 2007 sua ngay 9-11_Ket qua phan bo von nam 2008" xfId="5849"/>
    <cellStyle name="T_DU AN TKQH VA CHUAN BI DAU TU NAM 2007 sua ngay 9-11_Ket qua phan bo von nam 2008 2" xfId="5850"/>
    <cellStyle name="T_DU AN TKQH VA CHUAN BI DAU TU NAM 2007 sua ngay 9-11_Ket qua phan bo von nam 2008_!1 1 bao cao giao KH ve HTCMT vung TNB   12-12-2011" xfId="5851"/>
    <cellStyle name="T_DU AN TKQH VA CHUAN BI DAU TU NAM 2007 sua ngay 9-11_Ket qua phan bo von nam 2008_!1 1 bao cao giao KH ve HTCMT vung TNB   12-12-2011 2" xfId="5852"/>
    <cellStyle name="T_DU AN TKQH VA CHUAN BI DAU TU NAM 2007 sua ngay 9-11_Ket qua phan bo von nam 2008_KH TPCP vung TNB (03-1-2012)" xfId="5853"/>
    <cellStyle name="T_DU AN TKQH VA CHUAN BI DAU TU NAM 2007 sua ngay 9-11_Ket qua phan bo von nam 2008_KH TPCP vung TNB (03-1-2012) 2" xfId="5854"/>
    <cellStyle name="T_DU AN TKQH VA CHUAN BI DAU TU NAM 2007 sua ngay 9-11_KH TPCP vung TNB (03-1-2012)" xfId="5855"/>
    <cellStyle name="T_DU AN TKQH VA CHUAN BI DAU TU NAM 2007 sua ngay 9-11_KH TPCP vung TNB (03-1-2012) 2" xfId="5856"/>
    <cellStyle name="T_DU AN TKQH VA CHUAN BI DAU TU NAM 2007 sua ngay 9-11_KH XDCB_2008 lan 2 sua ngay 10-11" xfId="5857"/>
    <cellStyle name="T_DU AN TKQH VA CHUAN BI DAU TU NAM 2007 sua ngay 9-11_KH XDCB_2008 lan 2 sua ngay 10-11 2" xfId="5858"/>
    <cellStyle name="T_DU AN TKQH VA CHUAN BI DAU TU NAM 2007 sua ngay 9-11_KH XDCB_2008 lan 2 sua ngay 10-11_!1 1 bao cao giao KH ve HTCMT vung TNB   12-12-2011" xfId="5859"/>
    <cellStyle name="T_DU AN TKQH VA CHUAN BI DAU TU NAM 2007 sua ngay 9-11_KH XDCB_2008 lan 2 sua ngay 10-11_!1 1 bao cao giao KH ve HTCMT vung TNB   12-12-2011 2" xfId="5860"/>
    <cellStyle name="T_DU AN TKQH VA CHUAN BI DAU TU NAM 2007 sua ngay 9-11_KH XDCB_2008 lan 2 sua ngay 10-11_KH TPCP vung TNB (03-1-2012)" xfId="5861"/>
    <cellStyle name="T_DU AN TKQH VA CHUAN BI DAU TU NAM 2007 sua ngay 9-11_KH XDCB_2008 lan 2 sua ngay 10-11_KH TPCP vung TNB (03-1-2012) 2" xfId="5862"/>
    <cellStyle name="T_du toan dieu chinh  20-8-2006" xfId="2143"/>
    <cellStyle name="T_du toan dieu chinh  20-8-2006 2" xfId="2144"/>
    <cellStyle name="T_du toan dieu chinh  20-8-2006_!1 1 bao cao giao KH ve HTCMT vung TNB   12-12-2011" xfId="5863"/>
    <cellStyle name="T_du toan dieu chinh  20-8-2006_!1 1 bao cao giao KH ve HTCMT vung TNB   12-12-2011 2" xfId="5864"/>
    <cellStyle name="T_du toan dieu chinh  20-8-2006_Bieu4HTMT" xfId="5865"/>
    <cellStyle name="T_du toan dieu chinh  20-8-2006_Bieu4HTMT 2" xfId="5866"/>
    <cellStyle name="T_du toan dieu chinh  20-8-2006_Bieu4HTMT_!1 1 bao cao giao KH ve HTCMT vung TNB   12-12-2011" xfId="5867"/>
    <cellStyle name="T_du toan dieu chinh  20-8-2006_Bieu4HTMT_!1 1 bao cao giao KH ve HTCMT vung TNB   12-12-2011 2" xfId="5868"/>
    <cellStyle name="T_du toan dieu chinh  20-8-2006_Bieu4HTMT_KH TPCP vung TNB (03-1-2012)" xfId="5869"/>
    <cellStyle name="T_du toan dieu chinh  20-8-2006_Bieu4HTMT_KH TPCP vung TNB (03-1-2012) 2" xfId="5870"/>
    <cellStyle name="T_du toan dieu chinh  20-8-2006_KH TPCP vung TNB (03-1-2012)" xfId="5871"/>
    <cellStyle name="T_du toan dieu chinh  20-8-2006_KH TPCP vung TNB (03-1-2012) 2" xfId="5872"/>
    <cellStyle name="T_giao KH 2011 ngay 10-12-2010" xfId="5873"/>
    <cellStyle name="T_giao KH 2011 ngay 10-12-2010 2" xfId="5874"/>
    <cellStyle name="T_giao KH 2011 ngay 10-12-2010_!1 1 bao cao giao KH ve HTCMT vung TNB   12-12-2011" xfId="5875"/>
    <cellStyle name="T_giao KH 2011 ngay 10-12-2010_!1 1 bao cao giao KH ve HTCMT vung TNB   12-12-2011 2" xfId="5876"/>
    <cellStyle name="T_giao KH 2011 ngay 10-12-2010_KH TPCP vung TNB (03-1-2012)" xfId="5877"/>
    <cellStyle name="T_giao KH 2011 ngay 10-12-2010_KH TPCP vung TNB (03-1-2012) 2" xfId="5878"/>
    <cellStyle name="T_Ht-PTq1-03" xfId="5879"/>
    <cellStyle name="T_Ht-PTq1-03 2" xfId="5880"/>
    <cellStyle name="T_Ht-PTq1-03_!1 1 bao cao giao KH ve HTCMT vung TNB   12-12-2011" xfId="5881"/>
    <cellStyle name="T_Ht-PTq1-03_!1 1 bao cao giao KH ve HTCMT vung TNB   12-12-2011 2" xfId="5882"/>
    <cellStyle name="T_Ht-PTq1-03_kien giang 2" xfId="5883"/>
    <cellStyle name="T_Ht-PTq1-03_kien giang 2 2" xfId="5884"/>
    <cellStyle name="T_Ke hoach KTXH  nam 2009_PKT thang 11 nam 2008" xfId="5885"/>
    <cellStyle name="T_Ke hoach KTXH  nam 2009_PKT thang 11 nam 2008 2" xfId="5886"/>
    <cellStyle name="T_Ke hoach KTXH  nam 2009_PKT thang 11 nam 2008_!1 1 bao cao giao KH ve HTCMT vung TNB   12-12-2011" xfId="5887"/>
    <cellStyle name="T_Ke hoach KTXH  nam 2009_PKT thang 11 nam 2008_!1 1 bao cao giao KH ve HTCMT vung TNB   12-12-2011 2" xfId="5888"/>
    <cellStyle name="T_Ke hoach KTXH  nam 2009_PKT thang 11 nam 2008_KH TPCP vung TNB (03-1-2012)" xfId="5889"/>
    <cellStyle name="T_Ke hoach KTXH  nam 2009_PKT thang 11 nam 2008_KH TPCP vung TNB (03-1-2012) 2" xfId="5890"/>
    <cellStyle name="T_Ket qua dau thau" xfId="5891"/>
    <cellStyle name="T_Ket qua dau thau 2" xfId="5892"/>
    <cellStyle name="T_Ket qua dau thau_!1 1 bao cao giao KH ve HTCMT vung TNB   12-12-2011" xfId="5893"/>
    <cellStyle name="T_Ket qua dau thau_!1 1 bao cao giao KH ve HTCMT vung TNB   12-12-2011 2" xfId="5894"/>
    <cellStyle name="T_Ket qua dau thau_KH TPCP vung TNB (03-1-2012)" xfId="5895"/>
    <cellStyle name="T_Ket qua dau thau_KH TPCP vung TNB (03-1-2012) 2" xfId="5896"/>
    <cellStyle name="T_Ket qua phan bo von nam 2008" xfId="5897"/>
    <cellStyle name="T_Ket qua phan bo von nam 2008 2" xfId="5898"/>
    <cellStyle name="T_Ket qua phan bo von nam 2008_!1 1 bao cao giao KH ve HTCMT vung TNB   12-12-2011" xfId="5899"/>
    <cellStyle name="T_Ket qua phan bo von nam 2008_!1 1 bao cao giao KH ve HTCMT vung TNB   12-12-2011 2" xfId="5900"/>
    <cellStyle name="T_Ket qua phan bo von nam 2008_KH TPCP vung TNB (03-1-2012)" xfId="5901"/>
    <cellStyle name="T_Ket qua phan bo von nam 2008_KH TPCP vung TNB (03-1-2012) 2" xfId="5902"/>
    <cellStyle name="T_KH 2011-2015" xfId="5905"/>
    <cellStyle name="T_KH TPCP vung TNB (03-1-2012)" xfId="5906"/>
    <cellStyle name="T_KH TPCP vung TNB (03-1-2012) 2" xfId="5907"/>
    <cellStyle name="T_KH XDCB_2008 lan 2 sua ngay 10-11" xfId="5908"/>
    <cellStyle name="T_KH XDCB_2008 lan 2 sua ngay 10-11 2" xfId="5909"/>
    <cellStyle name="T_KH XDCB_2008 lan 2 sua ngay 10-11_!1 1 bao cao giao KH ve HTCMT vung TNB   12-12-2011" xfId="5910"/>
    <cellStyle name="T_KH XDCB_2008 lan 2 sua ngay 10-11_!1 1 bao cao giao KH ve HTCMT vung TNB   12-12-2011 2" xfId="5911"/>
    <cellStyle name="T_KH XDCB_2008 lan 2 sua ngay 10-11_KH TPCP vung TNB (03-1-2012)" xfId="5912"/>
    <cellStyle name="T_KH XDCB_2008 lan 2 sua ngay 10-11_KH TPCP vung TNB (03-1-2012) 2" xfId="5913"/>
    <cellStyle name="T_kien giang 2" xfId="5903"/>
    <cellStyle name="T_kien giang 2 2" xfId="5904"/>
    <cellStyle name="T_Me_Tri_6_07" xfId="2145"/>
    <cellStyle name="T_Me_Tri_6_07 2" xfId="2146"/>
    <cellStyle name="T_Me_Tri_6_07_!1 1 bao cao giao KH ve HTCMT vung TNB   12-12-2011" xfId="5914"/>
    <cellStyle name="T_Me_Tri_6_07_!1 1 bao cao giao KH ve HTCMT vung TNB   12-12-2011 2" xfId="5915"/>
    <cellStyle name="T_Me_Tri_6_07_Bieu4HTMT" xfId="5916"/>
    <cellStyle name="T_Me_Tri_6_07_Bieu4HTMT 2" xfId="5917"/>
    <cellStyle name="T_Me_Tri_6_07_Bieu4HTMT_!1 1 bao cao giao KH ve HTCMT vung TNB   12-12-2011" xfId="5918"/>
    <cellStyle name="T_Me_Tri_6_07_Bieu4HTMT_!1 1 bao cao giao KH ve HTCMT vung TNB   12-12-2011 2" xfId="5919"/>
    <cellStyle name="T_Me_Tri_6_07_Bieu4HTMT_KH TPCP vung TNB (03-1-2012)" xfId="5920"/>
    <cellStyle name="T_Me_Tri_6_07_Bieu4HTMT_KH TPCP vung TNB (03-1-2012) 2" xfId="5921"/>
    <cellStyle name="T_Me_Tri_6_07_KH TPCP vung TNB (03-1-2012)" xfId="5922"/>
    <cellStyle name="T_Me_Tri_6_07_KH TPCP vung TNB (03-1-2012) 2" xfId="5923"/>
    <cellStyle name="T_N2 thay dat (N1-1)" xfId="2147"/>
    <cellStyle name="T_N2 thay dat (N1-1) 2" xfId="2148"/>
    <cellStyle name="T_N2 thay dat (N1-1)_!1 1 bao cao giao KH ve HTCMT vung TNB   12-12-2011" xfId="5924"/>
    <cellStyle name="T_N2 thay dat (N1-1)_!1 1 bao cao giao KH ve HTCMT vung TNB   12-12-2011 2" xfId="5925"/>
    <cellStyle name="T_N2 thay dat (N1-1)_Bieu4HTMT" xfId="5926"/>
    <cellStyle name="T_N2 thay dat (N1-1)_Bieu4HTMT 2" xfId="5927"/>
    <cellStyle name="T_N2 thay dat (N1-1)_Bieu4HTMT_!1 1 bao cao giao KH ve HTCMT vung TNB   12-12-2011" xfId="5928"/>
    <cellStyle name="T_N2 thay dat (N1-1)_Bieu4HTMT_!1 1 bao cao giao KH ve HTCMT vung TNB   12-12-2011 2" xfId="5929"/>
    <cellStyle name="T_N2 thay dat (N1-1)_Bieu4HTMT_KH TPCP vung TNB (03-1-2012)" xfId="5930"/>
    <cellStyle name="T_N2 thay dat (N1-1)_Bieu4HTMT_KH TPCP vung TNB (03-1-2012) 2" xfId="5931"/>
    <cellStyle name="T_N2 thay dat (N1-1)_KH TPCP vung TNB (03-1-2012)" xfId="5932"/>
    <cellStyle name="T_N2 thay dat (N1-1)_KH TPCP vung TNB (03-1-2012) 2" xfId="5933"/>
    <cellStyle name="T_Phuong an can doi nam 2008" xfId="5934"/>
    <cellStyle name="T_Phuong an can doi nam 2008 2" xfId="5935"/>
    <cellStyle name="T_Phuong an can doi nam 2008_!1 1 bao cao giao KH ve HTCMT vung TNB   12-12-2011" xfId="5936"/>
    <cellStyle name="T_Phuong an can doi nam 2008_!1 1 bao cao giao KH ve HTCMT vung TNB   12-12-2011 2" xfId="5937"/>
    <cellStyle name="T_Phuong an can doi nam 2008_KH TPCP vung TNB (03-1-2012)" xfId="5938"/>
    <cellStyle name="T_Phuong an can doi nam 2008_KH TPCP vung TNB (03-1-2012) 2" xfId="5939"/>
    <cellStyle name="T_Seagame(BTL)" xfId="2149"/>
    <cellStyle name="T_Seagame(BTL) 2" xfId="2150"/>
    <cellStyle name="T_So GTVT" xfId="5940"/>
    <cellStyle name="T_So GTVT 2" xfId="5941"/>
    <cellStyle name="T_So GTVT_!1 1 bao cao giao KH ve HTCMT vung TNB   12-12-2011" xfId="5942"/>
    <cellStyle name="T_So GTVT_!1 1 bao cao giao KH ve HTCMT vung TNB   12-12-2011 2" xfId="5943"/>
    <cellStyle name="T_So GTVT_KH TPCP vung TNB (03-1-2012)" xfId="5944"/>
    <cellStyle name="T_So GTVT_KH TPCP vung TNB (03-1-2012) 2" xfId="5945"/>
    <cellStyle name="T_tai co cau dau tu (tong hop)1" xfId="5946"/>
    <cellStyle name="T_TDT + duong(8-5-07)" xfId="5947"/>
    <cellStyle name="T_TDT + duong(8-5-07) 2" xfId="5948"/>
    <cellStyle name="T_TDT + duong(8-5-07)_!1 1 bao cao giao KH ve HTCMT vung TNB   12-12-2011" xfId="5949"/>
    <cellStyle name="T_TDT + duong(8-5-07)_!1 1 bao cao giao KH ve HTCMT vung TNB   12-12-2011 2" xfId="5950"/>
    <cellStyle name="T_TDT + duong(8-5-07)_Bieu4HTMT" xfId="5951"/>
    <cellStyle name="T_TDT + duong(8-5-07)_Bieu4HTMT 2" xfId="5952"/>
    <cellStyle name="T_TDT + duong(8-5-07)_Bieu4HTMT_!1 1 bao cao giao KH ve HTCMT vung TNB   12-12-2011" xfId="5953"/>
    <cellStyle name="T_TDT + duong(8-5-07)_Bieu4HTMT_!1 1 bao cao giao KH ve HTCMT vung TNB   12-12-2011 2" xfId="5954"/>
    <cellStyle name="T_TDT + duong(8-5-07)_Bieu4HTMT_KH TPCP vung TNB (03-1-2012)" xfId="5955"/>
    <cellStyle name="T_TDT + duong(8-5-07)_Bieu4HTMT_KH TPCP vung TNB (03-1-2012) 2" xfId="5956"/>
    <cellStyle name="T_TDT + duong(8-5-07)_KH TPCP vung TNB (03-1-2012)" xfId="5957"/>
    <cellStyle name="T_TDT + duong(8-5-07)_KH TPCP vung TNB (03-1-2012) 2" xfId="5958"/>
    <cellStyle name="T_tham_tra_du_toan" xfId="2151"/>
    <cellStyle name="T_tham_tra_du_toan 2" xfId="2152"/>
    <cellStyle name="T_tham_tra_du_toan_!1 1 bao cao giao KH ve HTCMT vung TNB   12-12-2011" xfId="5961"/>
    <cellStyle name="T_tham_tra_du_toan_!1 1 bao cao giao KH ve HTCMT vung TNB   12-12-2011 2" xfId="5962"/>
    <cellStyle name="T_tham_tra_du_toan_Bieu4HTMT" xfId="5963"/>
    <cellStyle name="T_tham_tra_du_toan_Bieu4HTMT 2" xfId="5964"/>
    <cellStyle name="T_tham_tra_du_toan_Bieu4HTMT_!1 1 bao cao giao KH ve HTCMT vung TNB   12-12-2011" xfId="5965"/>
    <cellStyle name="T_tham_tra_du_toan_Bieu4HTMT_!1 1 bao cao giao KH ve HTCMT vung TNB   12-12-2011 2" xfId="5966"/>
    <cellStyle name="T_tham_tra_du_toan_Bieu4HTMT_KH TPCP vung TNB (03-1-2012)" xfId="5967"/>
    <cellStyle name="T_tham_tra_du_toan_Bieu4HTMT_KH TPCP vung TNB (03-1-2012) 2" xfId="5968"/>
    <cellStyle name="T_tham_tra_du_toan_KH TPCP vung TNB (03-1-2012)" xfId="5969"/>
    <cellStyle name="T_tham_tra_du_toan_KH TPCP vung TNB (03-1-2012) 2" xfId="5970"/>
    <cellStyle name="T_Thiet bi" xfId="5971"/>
    <cellStyle name="T_Thiet bi 2" xfId="5972"/>
    <cellStyle name="T_Thiet bi_!1 1 bao cao giao KH ve HTCMT vung TNB   12-12-2011" xfId="5973"/>
    <cellStyle name="T_Thiet bi_!1 1 bao cao giao KH ve HTCMT vung TNB   12-12-2011 2" xfId="5974"/>
    <cellStyle name="T_Thiet bi_Bieu4HTMT" xfId="5975"/>
    <cellStyle name="T_Thiet bi_Bieu4HTMT 2" xfId="5976"/>
    <cellStyle name="T_Thiet bi_Bieu4HTMT_!1 1 bao cao giao KH ve HTCMT vung TNB   12-12-2011" xfId="5977"/>
    <cellStyle name="T_Thiet bi_Bieu4HTMT_!1 1 bao cao giao KH ve HTCMT vung TNB   12-12-2011 2" xfId="5978"/>
    <cellStyle name="T_Thiet bi_Bieu4HTMT_KH TPCP vung TNB (03-1-2012)" xfId="5979"/>
    <cellStyle name="T_Thiet bi_Bieu4HTMT_KH TPCP vung TNB (03-1-2012) 2" xfId="5980"/>
    <cellStyle name="T_Thiet bi_KH TPCP vung TNB (03-1-2012)" xfId="5981"/>
    <cellStyle name="T_Thiet bi_KH TPCP vung TNB (03-1-2012) 2" xfId="5982"/>
    <cellStyle name="T_TK_HT" xfId="5959"/>
    <cellStyle name="T_TK_HT 2" xfId="5960"/>
    <cellStyle name="T_Van Ban 2007" xfId="5983"/>
    <cellStyle name="T_Van Ban 2007_15_10_2013 BC nhu cau von doi ung ODA (2014-2016) ngay 15102013 Sua" xfId="5984"/>
    <cellStyle name="T_Van Ban 2007_bao cao phan bo KHDT 2011(final)" xfId="5985"/>
    <cellStyle name="T_Van Ban 2007_bao cao phan bo KHDT 2011(final)_BC nhu cau von doi ung ODA nganh NN (BKH)" xfId="5986"/>
    <cellStyle name="T_Van Ban 2007_bao cao phan bo KHDT 2011(final)_BC Tai co cau (bieu TH)" xfId="5987"/>
    <cellStyle name="T_Van Ban 2007_bao cao phan bo KHDT 2011(final)_DK 2014-2015 final" xfId="5988"/>
    <cellStyle name="T_Van Ban 2007_bao cao phan bo KHDT 2011(final)_DK 2014-2015 new" xfId="5989"/>
    <cellStyle name="T_Van Ban 2007_bao cao phan bo KHDT 2011(final)_DK KH CBDT 2014 11-11-2013" xfId="5990"/>
    <cellStyle name="T_Van Ban 2007_bao cao phan bo KHDT 2011(final)_DK KH CBDT 2014 11-11-2013(1)" xfId="5991"/>
    <cellStyle name="T_Van Ban 2007_bao cao phan bo KHDT 2011(final)_KH 2011-2015" xfId="5992"/>
    <cellStyle name="T_Van Ban 2007_bao cao phan bo KHDT 2011(final)_tai co cau dau tu (tong hop)1" xfId="5993"/>
    <cellStyle name="T_Van Ban 2007_BC nhu cau von doi ung ODA nganh NN (BKH)" xfId="5994"/>
    <cellStyle name="T_Van Ban 2007_BC nhu cau von doi ung ODA nganh NN (BKH)_05-12  KH trung han 2016-2020 - Liem Thinh edited" xfId="5995"/>
    <cellStyle name="T_Van Ban 2007_BC nhu cau von doi ung ODA nganh NN (BKH)_Copy of 05-12  KH trung han 2016-2020 - Liem Thinh edited (1)" xfId="5996"/>
    <cellStyle name="T_Van Ban 2007_BC Tai co cau (bieu TH)" xfId="5997"/>
    <cellStyle name="T_Van Ban 2007_BC Tai co cau (bieu TH)_05-12  KH trung han 2016-2020 - Liem Thinh edited" xfId="5998"/>
    <cellStyle name="T_Van Ban 2007_BC Tai co cau (bieu TH)_Copy of 05-12  KH trung han 2016-2020 - Liem Thinh edited (1)" xfId="5999"/>
    <cellStyle name="T_Van Ban 2007_DK 2014-2015 final" xfId="6000"/>
    <cellStyle name="T_Van Ban 2007_DK 2014-2015 final_05-12  KH trung han 2016-2020 - Liem Thinh edited" xfId="6001"/>
    <cellStyle name="T_Van Ban 2007_DK 2014-2015 final_Copy of 05-12  KH trung han 2016-2020 - Liem Thinh edited (1)" xfId="6002"/>
    <cellStyle name="T_Van Ban 2007_DK 2014-2015 new" xfId="6003"/>
    <cellStyle name="T_Van Ban 2007_DK 2014-2015 new_05-12  KH trung han 2016-2020 - Liem Thinh edited" xfId="6004"/>
    <cellStyle name="T_Van Ban 2007_DK 2014-2015 new_Copy of 05-12  KH trung han 2016-2020 - Liem Thinh edited (1)" xfId="6005"/>
    <cellStyle name="T_Van Ban 2007_DK KH CBDT 2014 11-11-2013" xfId="6006"/>
    <cellStyle name="T_Van Ban 2007_DK KH CBDT 2014 11-11-2013(1)" xfId="6007"/>
    <cellStyle name="T_Van Ban 2007_DK KH CBDT 2014 11-11-2013(1)_05-12  KH trung han 2016-2020 - Liem Thinh edited" xfId="6008"/>
    <cellStyle name="T_Van Ban 2007_DK KH CBDT 2014 11-11-2013(1)_Copy of 05-12  KH trung han 2016-2020 - Liem Thinh edited (1)" xfId="6009"/>
    <cellStyle name="T_Van Ban 2007_DK KH CBDT 2014 11-11-2013_05-12  KH trung han 2016-2020 - Liem Thinh edited" xfId="6010"/>
    <cellStyle name="T_Van Ban 2007_DK KH CBDT 2014 11-11-2013_Copy of 05-12  KH trung han 2016-2020 - Liem Thinh edited (1)" xfId="6011"/>
    <cellStyle name="T_Van Ban 2008" xfId="6012"/>
    <cellStyle name="T_Van Ban 2008_15_10_2013 BC nhu cau von doi ung ODA (2014-2016) ngay 15102013 Sua" xfId="6013"/>
    <cellStyle name="T_Van Ban 2008_bao cao phan bo KHDT 2011(final)" xfId="6014"/>
    <cellStyle name="T_Van Ban 2008_bao cao phan bo KHDT 2011(final)_BC nhu cau von doi ung ODA nganh NN (BKH)" xfId="6015"/>
    <cellStyle name="T_Van Ban 2008_bao cao phan bo KHDT 2011(final)_BC Tai co cau (bieu TH)" xfId="6016"/>
    <cellStyle name="T_Van Ban 2008_bao cao phan bo KHDT 2011(final)_DK 2014-2015 final" xfId="6017"/>
    <cellStyle name="T_Van Ban 2008_bao cao phan bo KHDT 2011(final)_DK 2014-2015 new" xfId="6018"/>
    <cellStyle name="T_Van Ban 2008_bao cao phan bo KHDT 2011(final)_DK KH CBDT 2014 11-11-2013" xfId="6019"/>
    <cellStyle name="T_Van Ban 2008_bao cao phan bo KHDT 2011(final)_DK KH CBDT 2014 11-11-2013(1)" xfId="6020"/>
    <cellStyle name="T_Van Ban 2008_bao cao phan bo KHDT 2011(final)_KH 2011-2015" xfId="6021"/>
    <cellStyle name="T_Van Ban 2008_bao cao phan bo KHDT 2011(final)_tai co cau dau tu (tong hop)1" xfId="6022"/>
    <cellStyle name="T_Van Ban 2008_BC nhu cau von doi ung ODA nganh NN (BKH)" xfId="6023"/>
    <cellStyle name="T_Van Ban 2008_BC nhu cau von doi ung ODA nganh NN (BKH)_05-12  KH trung han 2016-2020 - Liem Thinh edited" xfId="6024"/>
    <cellStyle name="T_Van Ban 2008_BC nhu cau von doi ung ODA nganh NN (BKH)_Copy of 05-12  KH trung han 2016-2020 - Liem Thinh edited (1)" xfId="6025"/>
    <cellStyle name="T_Van Ban 2008_BC Tai co cau (bieu TH)" xfId="6026"/>
    <cellStyle name="T_Van Ban 2008_BC Tai co cau (bieu TH)_05-12  KH trung han 2016-2020 - Liem Thinh edited" xfId="6027"/>
    <cellStyle name="T_Van Ban 2008_BC Tai co cau (bieu TH)_Copy of 05-12  KH trung han 2016-2020 - Liem Thinh edited (1)" xfId="6028"/>
    <cellStyle name="T_Van Ban 2008_DK 2014-2015 final" xfId="6029"/>
    <cellStyle name="T_Van Ban 2008_DK 2014-2015 final_05-12  KH trung han 2016-2020 - Liem Thinh edited" xfId="6030"/>
    <cellStyle name="T_Van Ban 2008_DK 2014-2015 final_Copy of 05-12  KH trung han 2016-2020 - Liem Thinh edited (1)" xfId="6031"/>
    <cellStyle name="T_Van Ban 2008_DK 2014-2015 new" xfId="6032"/>
    <cellStyle name="T_Van Ban 2008_DK 2014-2015 new_05-12  KH trung han 2016-2020 - Liem Thinh edited" xfId="6033"/>
    <cellStyle name="T_Van Ban 2008_DK 2014-2015 new_Copy of 05-12  KH trung han 2016-2020 - Liem Thinh edited (1)" xfId="6034"/>
    <cellStyle name="T_Van Ban 2008_DK KH CBDT 2014 11-11-2013" xfId="6035"/>
    <cellStyle name="T_Van Ban 2008_DK KH CBDT 2014 11-11-2013(1)" xfId="6036"/>
    <cellStyle name="T_Van Ban 2008_DK KH CBDT 2014 11-11-2013(1)_05-12  KH trung han 2016-2020 - Liem Thinh edited" xfId="6037"/>
    <cellStyle name="T_Van Ban 2008_DK KH CBDT 2014 11-11-2013(1)_Copy of 05-12  KH trung han 2016-2020 - Liem Thinh edited (1)" xfId="6038"/>
    <cellStyle name="T_Van Ban 2008_DK KH CBDT 2014 11-11-2013_05-12  KH trung han 2016-2020 - Liem Thinh edited" xfId="6039"/>
    <cellStyle name="T_Van Ban 2008_DK KH CBDT 2014 11-11-2013_Copy of 05-12  KH trung han 2016-2020 - Liem Thinh edited (1)" xfId="6040"/>
    <cellStyle name="T_XDCB thang 12.2010" xfId="6041"/>
    <cellStyle name="T_XDCB thang 12.2010 2" xfId="6042"/>
    <cellStyle name="T_XDCB thang 12.2010_!1 1 bao cao giao KH ve HTCMT vung TNB   12-12-2011" xfId="6043"/>
    <cellStyle name="T_XDCB thang 12.2010_!1 1 bao cao giao KH ve HTCMT vung TNB   12-12-2011 2" xfId="6044"/>
    <cellStyle name="T_XDCB thang 12.2010_KH TPCP vung TNB (03-1-2012)" xfId="6045"/>
    <cellStyle name="T_XDCB thang 12.2010_KH TPCP vung TNB (03-1-2012) 2" xfId="6046"/>
    <cellStyle name="T_ÿÿÿÿÿ" xfId="2153"/>
    <cellStyle name="T_ÿÿÿÿÿ 2" xfId="2154"/>
    <cellStyle name="T_ÿÿÿÿÿ_!1 1 bao cao giao KH ve HTCMT vung TNB   12-12-2011" xfId="6047"/>
    <cellStyle name="T_ÿÿÿÿÿ_!1 1 bao cao giao KH ve HTCMT vung TNB   12-12-2011 2" xfId="6048"/>
    <cellStyle name="T_ÿÿÿÿÿ_Bieu mau cong trinh khoi cong moi 3-4" xfId="6049"/>
    <cellStyle name="T_ÿÿÿÿÿ_Bieu mau cong trinh khoi cong moi 3-4 2" xfId="6050"/>
    <cellStyle name="T_ÿÿÿÿÿ_Bieu mau cong trinh khoi cong moi 3-4_!1 1 bao cao giao KH ve HTCMT vung TNB   12-12-2011" xfId="6051"/>
    <cellStyle name="T_ÿÿÿÿÿ_Bieu mau cong trinh khoi cong moi 3-4_!1 1 bao cao giao KH ve HTCMT vung TNB   12-12-2011 2" xfId="6052"/>
    <cellStyle name="T_ÿÿÿÿÿ_Bieu mau cong trinh khoi cong moi 3-4_KH TPCP vung TNB (03-1-2012)" xfId="6053"/>
    <cellStyle name="T_ÿÿÿÿÿ_Bieu mau cong trinh khoi cong moi 3-4_KH TPCP vung TNB (03-1-2012) 2" xfId="6054"/>
    <cellStyle name="T_ÿÿÿÿÿ_Bieu3ODA" xfId="6055"/>
    <cellStyle name="T_ÿÿÿÿÿ_Bieu3ODA 2" xfId="6056"/>
    <cellStyle name="T_ÿÿÿÿÿ_Bieu3ODA_!1 1 bao cao giao KH ve HTCMT vung TNB   12-12-2011" xfId="6057"/>
    <cellStyle name="T_ÿÿÿÿÿ_Bieu3ODA_!1 1 bao cao giao KH ve HTCMT vung TNB   12-12-2011 2" xfId="6058"/>
    <cellStyle name="T_ÿÿÿÿÿ_Bieu3ODA_KH TPCP vung TNB (03-1-2012)" xfId="6059"/>
    <cellStyle name="T_ÿÿÿÿÿ_Bieu3ODA_KH TPCP vung TNB (03-1-2012) 2" xfId="6060"/>
    <cellStyle name="T_ÿÿÿÿÿ_Bieu4HTMT" xfId="6061"/>
    <cellStyle name="T_ÿÿÿÿÿ_Bieu4HTMT 2" xfId="6062"/>
    <cellStyle name="T_ÿÿÿÿÿ_Bieu4HTMT_!1 1 bao cao giao KH ve HTCMT vung TNB   12-12-2011" xfId="6063"/>
    <cellStyle name="T_ÿÿÿÿÿ_Bieu4HTMT_!1 1 bao cao giao KH ve HTCMT vung TNB   12-12-2011 2" xfId="6064"/>
    <cellStyle name="T_ÿÿÿÿÿ_Bieu4HTMT_KH TPCP vung TNB (03-1-2012)" xfId="6065"/>
    <cellStyle name="T_ÿÿÿÿÿ_Bieu4HTMT_KH TPCP vung TNB (03-1-2012) 2" xfId="6066"/>
    <cellStyle name="T_ÿÿÿÿÿ_KH TPCP vung TNB (03-1-2012)" xfId="6069"/>
    <cellStyle name="T_ÿÿÿÿÿ_KH TPCP vung TNB (03-1-2012) 2" xfId="6070"/>
    <cellStyle name="T_ÿÿÿÿÿ_kien giang 2" xfId="6067"/>
    <cellStyle name="T_ÿÿÿÿÿ_kien giang 2 2" xfId="6068"/>
    <cellStyle name="Text Indent A" xfId="2155"/>
    <cellStyle name="Text Indent A 2" xfId="2156"/>
    <cellStyle name="Text Indent B" xfId="2157"/>
    <cellStyle name="Text Indent B 10" xfId="6071"/>
    <cellStyle name="Text Indent B 11" xfId="6072"/>
    <cellStyle name="Text Indent B 12" xfId="6073"/>
    <cellStyle name="Text Indent B 13" xfId="6074"/>
    <cellStyle name="Text Indent B 14" xfId="6075"/>
    <cellStyle name="Text Indent B 15" xfId="6076"/>
    <cellStyle name="Text Indent B 16" xfId="6077"/>
    <cellStyle name="Text Indent B 2" xfId="2158"/>
    <cellStyle name="Text Indent B 3" xfId="6078"/>
    <cellStyle name="Text Indent B 4" xfId="6079"/>
    <cellStyle name="Text Indent B 5" xfId="6080"/>
    <cellStyle name="Text Indent B 6" xfId="6081"/>
    <cellStyle name="Text Indent B 7" xfId="6082"/>
    <cellStyle name="Text Indent B 8" xfId="6083"/>
    <cellStyle name="Text Indent B 9" xfId="6084"/>
    <cellStyle name="Text Indent C" xfId="2159"/>
    <cellStyle name="Text Indent C 10" xfId="6085"/>
    <cellStyle name="Text Indent C 11" xfId="6086"/>
    <cellStyle name="Text Indent C 12" xfId="6087"/>
    <cellStyle name="Text Indent C 13" xfId="6088"/>
    <cellStyle name="Text Indent C 14" xfId="6089"/>
    <cellStyle name="Text Indent C 15" xfId="6090"/>
    <cellStyle name="Text Indent C 16" xfId="6091"/>
    <cellStyle name="Text Indent C 2" xfId="2160"/>
    <cellStyle name="Text Indent C 3" xfId="6092"/>
    <cellStyle name="Text Indent C 4" xfId="6093"/>
    <cellStyle name="Text Indent C 5" xfId="6094"/>
    <cellStyle name="Text Indent C 6" xfId="6095"/>
    <cellStyle name="Text Indent C 7" xfId="6096"/>
    <cellStyle name="Text Indent C 8" xfId="6097"/>
    <cellStyle name="Text Indent C 9" xfId="6098"/>
    <cellStyle name="th" xfId="2180"/>
    <cellStyle name="th 2" xfId="2181"/>
    <cellStyle name="th 3" xfId="2182"/>
    <cellStyle name="th 4" xfId="2183"/>
    <cellStyle name="þ_x005f_x001d_ð¤_x005f_x000c_¯þ_x005f_x0014__x005f_x000d_¨þU_x005f_x0001_À_x005f_x0004_ _x005f_x0015__x005f_x000f__x005f_x0001__x005f_x0001_" xfId="6106"/>
    <cellStyle name="þ_x005f_x001d_ð·_x005f_x000c_æþ'_x005f_x000d_ßþU_x005f_x0001_Ø_x005f_x0005_ü_x005f_x0014__x005f_x0007__x005f_x0001__x005f_x0001_" xfId="6107"/>
    <cellStyle name="þ_x005f_x001d_ðÇ%Uý—&amp;Hý9_x005f_x0008_Ÿ s_x005f_x000a__x005f_x0007__x005f_x0001__x005f_x0001_" xfId="6108"/>
    <cellStyle name="þ_x005f_x001d_ðK_x005f_x000c_Fý_x005f_x001b__x005f_x000d_9ýU_x005f_x0001_Ð_x005f_x0008_¦)_x005f_x0007__x005f_x0001__x005f_x0001_" xfId="6109"/>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6110"/>
    <cellStyle name="þ_x005f_x005f_x005f_x001d_ð·_x005f_x005f_x005f_x000c_æþ'_x005f_x005f_x005f_x000d_ßþU_x005f_x005f_x005f_x0001_Ø_x005f_x005f_x005f_x0005_ü_x005f_x005f_x005f_x0014__x005f_x005f_x005f_x0007__x005f_x005f_x005f_x0001__x005f_x005f_x005f_x0001_" xfId="6111"/>
    <cellStyle name="þ_x005f_x005f_x005f_x001d_ðÇ%Uý—&amp;Hý9_x005f_x005f_x005f_x0008_Ÿ s_x005f_x005f_x005f_x000a__x005f_x005f_x005f_x0007__x005f_x005f_x005f_x0001__x005f_x005f_x005f_x0001_" xfId="6112"/>
    <cellStyle name="þ_x005f_x005f_x005f_x001d_ðK_x005f_x005f_x005f_x000c_Fý_x005f_x005f_x005f_x001b__x005f_x005f_x005f_x000d_9ýU_x005f_x005f_x005f_x0001_Ð_x005f_x005f_x005f_x0008_¦)_x005f_x005f_x005f_x0007__x005f_x005f_x005f_x0001__x005f_x005f_x005f_x0001_" xfId="6113"/>
    <cellStyle name="than" xfId="2184"/>
    <cellStyle name="Thanh" xfId="6114"/>
    <cellStyle name="þ_x001d_ð¤_x000c_¯þ_x0014__x000a_¨þU_x0001_À_x0004_ _x0015__x000f__x0001__x0001_" xfId="6115"/>
    <cellStyle name="þ_x001d_ð¤_x000c_¯þ_x0014__x000d_¨þU_x0001_À_x0004_ _x0015__x000f__x0001__x0001_" xfId="2185"/>
    <cellStyle name="þ_x001d_ð¤_x000c_¯þ_x0014__x000d_¨þU_x0001_À_x0004_ _x0015__x000f__x0001__x0001_ 2" xfId="2186"/>
    <cellStyle name="þ_x001d_ð·_x000c_æþ'_x000a_ßþU_x0001_Ø_x0005_ü_x0014__x0007__x0001__x0001_" xfId="6116"/>
    <cellStyle name="þ_x001d_ð·_x000c_æþ'_x000d_ßþU_x0001_Ø_x0005_ü_x0014__x0007__x0001__x0001_" xfId="2187"/>
    <cellStyle name="þ_x001d_ð·_x000c_æþ'_x000d_ßþU_x0001_Ø_x0005_ü_x0014__x0007__x0001__x0001_ 2" xfId="2188"/>
    <cellStyle name="þ_x001d_ð·_x000c_æþ'_x000d_ßþU_x0001_Ø_x0005_ü_x0014__x0007__x0001__x0001_ 3" xfId="2189"/>
    <cellStyle name="þ_x001d_ð·_x000c_æþ'_x000d_ßþU_x0001_Ø_x0005_ü_x0014__x0007__x0001__x0001_ 4" xfId="2190"/>
    <cellStyle name="þ_x001d_ðÇ%Uý—&amp;Hý9_x0008_Ÿ s_x000a__x0007__x0001__x0001_" xfId="2191"/>
    <cellStyle name="þ_x001d_ðK_x000c_Fý_x001b__x000a_9ýU_x0001_Ð_x0008_¦)_x0007__x0001__x0001_" xfId="6117"/>
    <cellStyle name="þ_x001d_ðK_x000c_Fý_x001b__x000d_9ýU_x0001_Ð_x0008_¦)_x0007__x0001__x0001_" xfId="2192"/>
    <cellStyle name="thuong-10" xfId="2193"/>
    <cellStyle name="thuong-10 2" xfId="2194"/>
    <cellStyle name="thuong-11" xfId="2195"/>
    <cellStyle name="thuong-11 2" xfId="2196"/>
    <cellStyle name="Thuyet minh" xfId="2197"/>
    <cellStyle name="Thuyet minh 2" xfId="2198"/>
    <cellStyle name="Tickmark" xfId="6099"/>
    <cellStyle name="Tien1" xfId="6100"/>
    <cellStyle name="Tieu_de_2" xfId="6101"/>
    <cellStyle name="Times New Roman" xfId="2161"/>
    <cellStyle name="tit1" xfId="2162"/>
    <cellStyle name="tit1 2" xfId="2163"/>
    <cellStyle name="tit2" xfId="2164"/>
    <cellStyle name="tit2 2" xfId="2165"/>
    <cellStyle name="tit3" xfId="2166"/>
    <cellStyle name="tit3 2" xfId="2167"/>
    <cellStyle name="tit4" xfId="2168"/>
    <cellStyle name="tit4 2" xfId="2169"/>
    <cellStyle name="Title 2" xfId="2170"/>
    <cellStyle name="Title 2 2" xfId="2288"/>
    <cellStyle name="Title 2 3" xfId="2366"/>
    <cellStyle name="Title 3" xfId="2171"/>
    <cellStyle name="Title 4" xfId="2172"/>
    <cellStyle name="Tong so" xfId="6102"/>
    <cellStyle name="tong so 1" xfId="6103"/>
    <cellStyle name="Tong so_Bieu KHPTLN 2016-2020" xfId="6104"/>
    <cellStyle name="Tongcong" xfId="2173"/>
    <cellStyle name="Tongcong 2" xfId="2174"/>
    <cellStyle name="Total 2" xfId="2175"/>
    <cellStyle name="Total 2 2" xfId="2287"/>
    <cellStyle name="Total 2 3" xfId="2373"/>
    <cellStyle name="Total 3" xfId="2176"/>
    <cellStyle name="Total 4" xfId="2177"/>
    <cellStyle name="trang" xfId="6118"/>
    <cellStyle name="tt1" xfId="6105"/>
    <cellStyle name="Tusental (0)_pldt" xfId="2178"/>
    <cellStyle name="Tusental_pldt" xfId="2179"/>
    <cellStyle name="ux_3_¼­¿ï-¾È»ê" xfId="6119"/>
    <cellStyle name="Valuta (0)_CALPREZZ" xfId="2199"/>
    <cellStyle name="Valuta_ PESO ELETTR." xfId="2200"/>
    <cellStyle name="VANG1" xfId="6120"/>
    <cellStyle name="VANG1 2" xfId="6121"/>
    <cellStyle name="viet" xfId="2201"/>
    <cellStyle name="viet 2" xfId="2202"/>
    <cellStyle name="viet 3" xfId="2203"/>
    <cellStyle name="viet 4" xfId="2204"/>
    <cellStyle name="viet2" xfId="2205"/>
    <cellStyle name="viet2 2" xfId="2206"/>
    <cellStyle name="viet2 3" xfId="2207"/>
    <cellStyle name="viet2 4" xfId="2208"/>
    <cellStyle name="VN new romanNormal" xfId="2209"/>
    <cellStyle name="VN new romanNormal 2" xfId="6122"/>
    <cellStyle name="VN new romanNormal 2 2" xfId="6123"/>
    <cellStyle name="VN new romanNormal 3" xfId="6124"/>
    <cellStyle name="VN new romanNormal_05-12  KH trung han 2016-2020 - Liem Thinh edited" xfId="6125"/>
    <cellStyle name="Vn Time 13" xfId="2210"/>
    <cellStyle name="Vn Time 13 2" xfId="2211"/>
    <cellStyle name="Vn Time 14" xfId="2212"/>
    <cellStyle name="Vn Time 14 2" xfId="2213"/>
    <cellStyle name="Vn Time 14 3" xfId="6126"/>
    <cellStyle name="VN time new roman" xfId="2214"/>
    <cellStyle name="VN time new roman 2" xfId="6127"/>
    <cellStyle name="VN time new roman 2 2" xfId="6128"/>
    <cellStyle name="VN time new roman 3" xfId="6129"/>
    <cellStyle name="VN time new roman_05-12  KH trung han 2016-2020 - Liem Thinh edited" xfId="6130"/>
    <cellStyle name="vn_time" xfId="6131"/>
    <cellStyle name="vnbo" xfId="2215"/>
    <cellStyle name="vnbo 2" xfId="2216"/>
    <cellStyle name="vnbo 3" xfId="6132"/>
    <cellStyle name="vnhead1" xfId="2221"/>
    <cellStyle name="vnhead1 2" xfId="2222"/>
    <cellStyle name="vnhead2" xfId="2223"/>
    <cellStyle name="vnhead2 2" xfId="2224"/>
    <cellStyle name="vnhead2 3" xfId="6148"/>
    <cellStyle name="vnhead3" xfId="2225"/>
    <cellStyle name="vnhead3 2" xfId="2226"/>
    <cellStyle name="vnhead3 3" xfId="6149"/>
    <cellStyle name="vnhead4" xfId="2227"/>
    <cellStyle name="vnhead4 2" xfId="2228"/>
    <cellStyle name="vntxt1" xfId="2217"/>
    <cellStyle name="vntxt1 10" xfId="6133"/>
    <cellStyle name="vntxt1 11" xfId="6134"/>
    <cellStyle name="vntxt1 12" xfId="6135"/>
    <cellStyle name="vntxt1 13" xfId="6136"/>
    <cellStyle name="vntxt1 14" xfId="6137"/>
    <cellStyle name="vntxt1 15" xfId="6138"/>
    <cellStyle name="vntxt1 16" xfId="6139"/>
    <cellStyle name="vntxt1 2" xfId="2218"/>
    <cellStyle name="vntxt1 3" xfId="6140"/>
    <cellStyle name="vntxt1 4" xfId="6141"/>
    <cellStyle name="vntxt1 5" xfId="6142"/>
    <cellStyle name="vntxt1 6" xfId="6143"/>
    <cellStyle name="vntxt1 7" xfId="6144"/>
    <cellStyle name="vntxt1 8" xfId="6145"/>
    <cellStyle name="vntxt1 9" xfId="6146"/>
    <cellStyle name="vntxt1_05-12  KH trung han 2016-2020 - Liem Thinh edited" xfId="6147"/>
    <cellStyle name="vntxt2" xfId="2219"/>
    <cellStyle name="vntxt2 2" xfId="2220"/>
    <cellStyle name="W?hrung [0]_35ERI8T2gbIEMixb4v26icuOo" xfId="6150"/>
    <cellStyle name="W?hrung_35ERI8T2gbIEMixb4v26icuOo" xfId="6151"/>
    <cellStyle name="Währung [0]_68574_Materialbedarfsliste" xfId="6152"/>
    <cellStyle name="Währung_68574_Materialbedarfsliste" xfId="6153"/>
    <cellStyle name="Walutowy [0]_Invoices2001Slovakia" xfId="2229"/>
    <cellStyle name="Walutowy_Invoices2001Slovakia" xfId="2230"/>
    <cellStyle name="Warning Text 2" xfId="2231"/>
    <cellStyle name="Warning Text 2 2" xfId="2432"/>
    <cellStyle name="Warning Text 2 3" xfId="2378"/>
    <cellStyle name="Warning Text 3" xfId="2232"/>
    <cellStyle name="Warning Text 4" xfId="2233"/>
    <cellStyle name="wrap" xfId="6154"/>
    <cellStyle name="Wไhrung [0]_35ERI8T2gbIEMixb4v26icuOo" xfId="6155"/>
    <cellStyle name="Wไhrung_35ERI8T2gbIEMixb4v26icuOo" xfId="6156"/>
    <cellStyle name="xan1" xfId="6157"/>
    <cellStyle name="xuan" xfId="2234"/>
    <cellStyle name="xuan 2" xfId="2235"/>
    <cellStyle name="xuan 3" xfId="2236"/>
    <cellStyle name="xuan 4" xfId="2237"/>
    <cellStyle name="y" xfId="6158"/>
    <cellStyle name="y 2" xfId="6159"/>
    <cellStyle name="Ý kh¸c_B¶ng 1 (2)" xfId="6160"/>
    <cellStyle name="เครื่องหมายสกุลเงิน [0]_FTC_OFFER" xfId="6161"/>
    <cellStyle name="เครื่องหมายสกุลเงิน_FTC_OFFER" xfId="6162"/>
    <cellStyle name="ปกติ_FTC_OFFER" xfId="6163"/>
    <cellStyle name=" [0.00]_ Att. 1- Cover" xfId="2238"/>
    <cellStyle name="_ Att. 1- Cover" xfId="2239"/>
    <cellStyle name="?_ Att. 1- Cover" xfId="2240"/>
    <cellStyle name="똿뗦먛귟 [0.00]_PRODUCT DETAIL Q1" xfId="2241"/>
    <cellStyle name="똿뗦먛귟_PRODUCT DETAIL Q1" xfId="2242"/>
    <cellStyle name="믅됞 [0.00]_PRODUCT DETAIL Q1" xfId="2243"/>
    <cellStyle name="믅됞_PRODUCT DETAIL Q1" xfId="2244"/>
    <cellStyle name="백분율_††††† " xfId="6164"/>
    <cellStyle name="뷭?_BOOKSHIP" xfId="2245"/>
    <cellStyle name="안건회계법인" xfId="2246"/>
    <cellStyle name="안건회계법인 2" xfId="2247"/>
    <cellStyle name="안건회계법인 3" xfId="2248"/>
    <cellStyle name="안건회계법인 4" xfId="2249"/>
    <cellStyle name="콤맀_Sheet1_총괄표 (수출입) (2)" xfId="6165"/>
    <cellStyle name="콤마 [ - 유형1" xfId="2250"/>
    <cellStyle name="콤마 [ - 유형2" xfId="2251"/>
    <cellStyle name="콤마 [ - 유형3" xfId="2252"/>
    <cellStyle name="콤마 [ - 유형4" xfId="2253"/>
    <cellStyle name="콤마 [ - 유형5" xfId="2254"/>
    <cellStyle name="콤마 [ - 유형6" xfId="2255"/>
    <cellStyle name="콤마 [ - 유형7" xfId="2256"/>
    <cellStyle name="콤마 [ - 유형8" xfId="2257"/>
    <cellStyle name="콤마 [0]_ 비목별 월별기술 " xfId="2258"/>
    <cellStyle name="콤마_ 비목별 월별기술 " xfId="2259"/>
    <cellStyle name="통화 [0]_††††† " xfId="6166"/>
    <cellStyle name="통화_††††† " xfId="6167"/>
    <cellStyle name="표섀_변경(최종)" xfId="6168"/>
    <cellStyle name="표준_ 97년 경영분석(안)" xfId="2260"/>
    <cellStyle name="표줠_Sheet1_1_총괄표 (수출입) (2)" xfId="6169"/>
    <cellStyle name="一般_00Q3902REV.1" xfId="2261"/>
    <cellStyle name="千位分隔_CCTV" xfId="2262"/>
    <cellStyle name="千分位[0]_00Q3902REV.1" xfId="2263"/>
    <cellStyle name="千分位_00Q3902REV.1" xfId="2264"/>
    <cellStyle name="常规_BA" xfId="2265"/>
    <cellStyle name="桁区切り [0.00]_BE-BQ" xfId="2266"/>
    <cellStyle name="桁区切り_BE-BQ" xfId="2267"/>
    <cellStyle name="標準_(A1)BOQ " xfId="2268"/>
    <cellStyle name="貨幣 [0]_00Q3902REV.1" xfId="2269"/>
    <cellStyle name="貨幣[0]_BRE" xfId="2270"/>
    <cellStyle name="貨幣_00Q3902REV.1" xfId="2271"/>
    <cellStyle name="通貨 [0.00]_BE-BQ" xfId="2272"/>
    <cellStyle name="通貨_BE-BQ" xfId="22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22</xdr:col>
      <xdr:colOff>0</xdr:colOff>
      <xdr:row>10</xdr:row>
      <xdr:rowOff>0</xdr:rowOff>
    </xdr:from>
    <xdr:ext cx="190500" cy="266700"/>
    <xdr:sp macro="" textlink="">
      <xdr:nvSpPr>
        <xdr:cNvPr id="2" name="Shape 3">
          <a:extLst>
            <a:ext uri="{FF2B5EF4-FFF2-40B4-BE49-F238E27FC236}">
              <a16:creationId xmlns:a16="http://schemas.microsoft.com/office/drawing/2014/main" xmlns="" id="{00000000-0008-0000-0200-000003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3" name="Shape 3">
          <a:extLst>
            <a:ext uri="{FF2B5EF4-FFF2-40B4-BE49-F238E27FC236}">
              <a16:creationId xmlns:a16="http://schemas.microsoft.com/office/drawing/2014/main" xmlns="" id="{00000000-0008-0000-0200-000002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4" name="Shape 3">
          <a:extLst>
            <a:ext uri="{FF2B5EF4-FFF2-40B4-BE49-F238E27FC236}">
              <a16:creationId xmlns:a16="http://schemas.microsoft.com/office/drawing/2014/main" xmlns="" id="{00000000-0008-0000-0200-000004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5" name="Shape 3">
          <a:extLst>
            <a:ext uri="{FF2B5EF4-FFF2-40B4-BE49-F238E27FC236}">
              <a16:creationId xmlns:a16="http://schemas.microsoft.com/office/drawing/2014/main" xmlns="" id="{00000000-0008-0000-0200-000005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6" name="Shape 3">
          <a:extLst>
            <a:ext uri="{FF2B5EF4-FFF2-40B4-BE49-F238E27FC236}">
              <a16:creationId xmlns:a16="http://schemas.microsoft.com/office/drawing/2014/main" xmlns="" id="{00000000-0008-0000-0200-000006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7" name="Shape 3">
          <a:extLst>
            <a:ext uri="{FF2B5EF4-FFF2-40B4-BE49-F238E27FC236}">
              <a16:creationId xmlns:a16="http://schemas.microsoft.com/office/drawing/2014/main" xmlns="" id="{00000000-0008-0000-0200-000007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8" name="Shape 3">
          <a:extLst>
            <a:ext uri="{FF2B5EF4-FFF2-40B4-BE49-F238E27FC236}">
              <a16:creationId xmlns:a16="http://schemas.microsoft.com/office/drawing/2014/main" xmlns="" id="{00000000-0008-0000-0200-000008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9" name="Shape 3">
          <a:extLst>
            <a:ext uri="{FF2B5EF4-FFF2-40B4-BE49-F238E27FC236}">
              <a16:creationId xmlns:a16="http://schemas.microsoft.com/office/drawing/2014/main" xmlns="" id="{00000000-0008-0000-0200-000009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10" name="Shape 3">
          <a:extLst>
            <a:ext uri="{FF2B5EF4-FFF2-40B4-BE49-F238E27FC236}">
              <a16:creationId xmlns:a16="http://schemas.microsoft.com/office/drawing/2014/main" xmlns="" id="{00000000-0008-0000-0200-00000A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11" name="Shape 3">
          <a:extLst>
            <a:ext uri="{FF2B5EF4-FFF2-40B4-BE49-F238E27FC236}">
              <a16:creationId xmlns:a16="http://schemas.microsoft.com/office/drawing/2014/main" xmlns="" id="{00000000-0008-0000-0200-00000B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12" name="Shape 3">
          <a:extLst>
            <a:ext uri="{FF2B5EF4-FFF2-40B4-BE49-F238E27FC236}">
              <a16:creationId xmlns:a16="http://schemas.microsoft.com/office/drawing/2014/main" xmlns="" id="{00000000-0008-0000-0200-00000C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13" name="Shape 3">
          <a:extLst>
            <a:ext uri="{FF2B5EF4-FFF2-40B4-BE49-F238E27FC236}">
              <a16:creationId xmlns:a16="http://schemas.microsoft.com/office/drawing/2014/main" xmlns="" id="{00000000-0008-0000-0200-00000D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14" name="Shape 3">
          <a:extLst>
            <a:ext uri="{FF2B5EF4-FFF2-40B4-BE49-F238E27FC236}">
              <a16:creationId xmlns:a16="http://schemas.microsoft.com/office/drawing/2014/main" xmlns="" id="{00000000-0008-0000-0200-00000E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15" name="Shape 3">
          <a:extLst>
            <a:ext uri="{FF2B5EF4-FFF2-40B4-BE49-F238E27FC236}">
              <a16:creationId xmlns:a16="http://schemas.microsoft.com/office/drawing/2014/main" xmlns="" id="{00000000-0008-0000-0200-00000F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16" name="Shape 3">
          <a:extLst>
            <a:ext uri="{FF2B5EF4-FFF2-40B4-BE49-F238E27FC236}">
              <a16:creationId xmlns:a16="http://schemas.microsoft.com/office/drawing/2014/main" xmlns="" id="{00000000-0008-0000-0200-000010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17" name="Shape 3">
          <a:extLst>
            <a:ext uri="{FF2B5EF4-FFF2-40B4-BE49-F238E27FC236}">
              <a16:creationId xmlns:a16="http://schemas.microsoft.com/office/drawing/2014/main" xmlns="" id="{00000000-0008-0000-0200-000011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18" name="Shape 3">
          <a:extLst>
            <a:ext uri="{FF2B5EF4-FFF2-40B4-BE49-F238E27FC236}">
              <a16:creationId xmlns:a16="http://schemas.microsoft.com/office/drawing/2014/main" xmlns="" id="{00000000-0008-0000-0200-000012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19" name="Shape 3">
          <a:extLst>
            <a:ext uri="{FF2B5EF4-FFF2-40B4-BE49-F238E27FC236}">
              <a16:creationId xmlns:a16="http://schemas.microsoft.com/office/drawing/2014/main" xmlns="" id="{00000000-0008-0000-0200-000013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20" name="Shape 3">
          <a:extLst>
            <a:ext uri="{FF2B5EF4-FFF2-40B4-BE49-F238E27FC236}">
              <a16:creationId xmlns:a16="http://schemas.microsoft.com/office/drawing/2014/main" xmlns="" id="{00000000-0008-0000-0200-000014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21" name="Shape 3">
          <a:extLst>
            <a:ext uri="{FF2B5EF4-FFF2-40B4-BE49-F238E27FC236}">
              <a16:creationId xmlns:a16="http://schemas.microsoft.com/office/drawing/2014/main" xmlns="" id="{00000000-0008-0000-0200-000015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22" name="Shape 3">
          <a:extLst>
            <a:ext uri="{FF2B5EF4-FFF2-40B4-BE49-F238E27FC236}">
              <a16:creationId xmlns:a16="http://schemas.microsoft.com/office/drawing/2014/main" xmlns="" id="{00000000-0008-0000-0200-000016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23" name="Shape 3">
          <a:extLst>
            <a:ext uri="{FF2B5EF4-FFF2-40B4-BE49-F238E27FC236}">
              <a16:creationId xmlns:a16="http://schemas.microsoft.com/office/drawing/2014/main" xmlns="" id="{00000000-0008-0000-0200-000017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24" name="Shape 3">
          <a:extLst>
            <a:ext uri="{FF2B5EF4-FFF2-40B4-BE49-F238E27FC236}">
              <a16:creationId xmlns:a16="http://schemas.microsoft.com/office/drawing/2014/main" xmlns="" id="{00000000-0008-0000-0200-000018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25" name="Shape 3">
          <a:extLst>
            <a:ext uri="{FF2B5EF4-FFF2-40B4-BE49-F238E27FC236}">
              <a16:creationId xmlns:a16="http://schemas.microsoft.com/office/drawing/2014/main" xmlns="" id="{00000000-0008-0000-0200-000019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26" name="Shape 3">
          <a:extLst>
            <a:ext uri="{FF2B5EF4-FFF2-40B4-BE49-F238E27FC236}">
              <a16:creationId xmlns:a16="http://schemas.microsoft.com/office/drawing/2014/main" xmlns="" id="{00000000-0008-0000-0200-00001A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27" name="Shape 3">
          <a:extLst>
            <a:ext uri="{FF2B5EF4-FFF2-40B4-BE49-F238E27FC236}">
              <a16:creationId xmlns:a16="http://schemas.microsoft.com/office/drawing/2014/main" xmlns="" id="{00000000-0008-0000-0200-00001B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28" name="Shape 3">
          <a:extLst>
            <a:ext uri="{FF2B5EF4-FFF2-40B4-BE49-F238E27FC236}">
              <a16:creationId xmlns:a16="http://schemas.microsoft.com/office/drawing/2014/main" xmlns="" id="{00000000-0008-0000-0200-00001C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29" name="Shape 3">
          <a:extLst>
            <a:ext uri="{FF2B5EF4-FFF2-40B4-BE49-F238E27FC236}">
              <a16:creationId xmlns:a16="http://schemas.microsoft.com/office/drawing/2014/main" xmlns="" id="{00000000-0008-0000-0200-00001D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30" name="Shape 3">
          <a:extLst>
            <a:ext uri="{FF2B5EF4-FFF2-40B4-BE49-F238E27FC236}">
              <a16:creationId xmlns:a16="http://schemas.microsoft.com/office/drawing/2014/main" xmlns="" id="{00000000-0008-0000-0200-00001E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31" name="Shape 3">
          <a:extLst>
            <a:ext uri="{FF2B5EF4-FFF2-40B4-BE49-F238E27FC236}">
              <a16:creationId xmlns:a16="http://schemas.microsoft.com/office/drawing/2014/main" xmlns="" id="{00000000-0008-0000-0200-00001F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32" name="Shape 3">
          <a:extLst>
            <a:ext uri="{FF2B5EF4-FFF2-40B4-BE49-F238E27FC236}">
              <a16:creationId xmlns:a16="http://schemas.microsoft.com/office/drawing/2014/main" xmlns="" id="{00000000-0008-0000-0200-000020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33" name="Shape 3">
          <a:extLst>
            <a:ext uri="{FF2B5EF4-FFF2-40B4-BE49-F238E27FC236}">
              <a16:creationId xmlns:a16="http://schemas.microsoft.com/office/drawing/2014/main" xmlns="" id="{00000000-0008-0000-0200-000021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34" name="Shape 3">
          <a:extLst>
            <a:ext uri="{FF2B5EF4-FFF2-40B4-BE49-F238E27FC236}">
              <a16:creationId xmlns:a16="http://schemas.microsoft.com/office/drawing/2014/main" xmlns="" id="{00000000-0008-0000-0200-000022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35" name="Shape 3">
          <a:extLst>
            <a:ext uri="{FF2B5EF4-FFF2-40B4-BE49-F238E27FC236}">
              <a16:creationId xmlns:a16="http://schemas.microsoft.com/office/drawing/2014/main" xmlns="" id="{00000000-0008-0000-0200-000023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36" name="Shape 3">
          <a:extLst>
            <a:ext uri="{FF2B5EF4-FFF2-40B4-BE49-F238E27FC236}">
              <a16:creationId xmlns:a16="http://schemas.microsoft.com/office/drawing/2014/main" xmlns="" id="{00000000-0008-0000-0200-000024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22</xdr:col>
      <xdr:colOff>0</xdr:colOff>
      <xdr:row>10</xdr:row>
      <xdr:rowOff>0</xdr:rowOff>
    </xdr:from>
    <xdr:ext cx="190500" cy="266700"/>
    <xdr:sp macro="" textlink="">
      <xdr:nvSpPr>
        <xdr:cNvPr id="37" name="Shape 3">
          <a:extLst>
            <a:ext uri="{FF2B5EF4-FFF2-40B4-BE49-F238E27FC236}">
              <a16:creationId xmlns:a16="http://schemas.microsoft.com/office/drawing/2014/main" xmlns="" id="{00000000-0008-0000-0200-000025000000}"/>
            </a:ext>
          </a:extLst>
        </xdr:cNvPr>
        <xdr:cNvSpPr txBox="1"/>
      </xdr:nvSpPr>
      <xdr:spPr>
        <a:xfrm>
          <a:off x="3924300" y="1856041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5"/>
  <sheetViews>
    <sheetView tabSelected="1" view="pageBreakPreview" topLeftCell="A10" zoomScale="70" zoomScaleNormal="80" zoomScaleSheetLayoutView="70" workbookViewId="0">
      <selection activeCell="A2" sqref="A2:I2"/>
    </sheetView>
  </sheetViews>
  <sheetFormatPr defaultColWidth="8.88671875" defaultRowHeight="13.8"/>
  <cols>
    <col min="1" max="1" width="7.88671875" style="235" customWidth="1"/>
    <col min="2" max="2" width="68.44140625" style="232" customWidth="1"/>
    <col min="3" max="3" width="14.6640625" style="232" hidden="1" customWidth="1"/>
    <col min="4" max="4" width="18" style="232" customWidth="1"/>
    <col min="5" max="6" width="18" style="232" hidden="1" customWidth="1"/>
    <col min="7" max="8" width="18" style="232" customWidth="1"/>
    <col min="9" max="9" width="28" style="232" customWidth="1"/>
    <col min="10" max="10" width="11.88671875" style="232" bestFit="1" customWidth="1"/>
    <col min="11" max="11" width="16" style="232" customWidth="1"/>
    <col min="12" max="12" width="13.44140625" style="232" customWidth="1"/>
    <col min="13" max="13" width="13" style="232" customWidth="1"/>
    <col min="14" max="14" width="9.109375" style="232"/>
    <col min="15" max="15" width="14.44140625" style="232" bestFit="1" customWidth="1"/>
    <col min="16" max="16" width="14.88671875" style="232" bestFit="1" customWidth="1"/>
    <col min="17" max="20" width="12.88671875" style="232" bestFit="1" customWidth="1"/>
    <col min="21" max="23" width="11.44140625" style="232" bestFit="1" customWidth="1"/>
    <col min="24" max="24" width="9.109375" style="232"/>
    <col min="25" max="26" width="11.44140625" style="232" bestFit="1" customWidth="1"/>
    <col min="27" max="27" width="12.88671875" style="232" bestFit="1" customWidth="1"/>
    <col min="28" max="28" width="10" style="232" bestFit="1" customWidth="1"/>
    <col min="29" max="247" width="9.109375" style="232"/>
    <col min="248" max="248" width="7.88671875" style="232" customWidth="1"/>
    <col min="249" max="249" width="68.44140625" style="232" customWidth="1"/>
    <col min="250" max="250" width="14.6640625" style="232" customWidth="1"/>
    <col min="251" max="251" width="18" style="232" customWidth="1"/>
    <col min="252" max="252" width="28" style="232" customWidth="1"/>
    <col min="253" max="253" width="11.88671875" style="232" bestFit="1" customWidth="1"/>
    <col min="254" max="254" width="16" style="232" customWidth="1"/>
    <col min="255" max="255" width="13.44140625" style="232" customWidth="1"/>
    <col min="256" max="256" width="13" style="232" customWidth="1"/>
    <col min="257" max="257" width="13.109375" style="232" bestFit="1" customWidth="1"/>
    <col min="258" max="265" width="11.33203125" style="232" bestFit="1" customWidth="1"/>
    <col min="266" max="266" width="11.33203125" style="232" customWidth="1"/>
    <col min="267" max="267" width="13.109375" style="232" bestFit="1" customWidth="1"/>
    <col min="268" max="268" width="10" style="232" bestFit="1" customWidth="1"/>
    <col min="269" max="269" width="13.109375" style="232" bestFit="1" customWidth="1"/>
    <col min="270" max="503" width="9.109375" style="232"/>
    <col min="504" max="504" width="7.88671875" style="232" customWidth="1"/>
    <col min="505" max="505" width="68.44140625" style="232" customWidth="1"/>
    <col min="506" max="506" width="14.6640625" style="232" customWidth="1"/>
    <col min="507" max="507" width="18" style="232" customWidth="1"/>
    <col min="508" max="508" width="28" style="232" customWidth="1"/>
    <col min="509" max="509" width="11.88671875" style="232" bestFit="1" customWidth="1"/>
    <col min="510" max="510" width="16" style="232" customWidth="1"/>
    <col min="511" max="511" width="13.44140625" style="232" customWidth="1"/>
    <col min="512" max="512" width="13" style="232" customWidth="1"/>
    <col min="513" max="513" width="13.109375" style="232" bestFit="1" customWidth="1"/>
    <col min="514" max="521" width="11.33203125" style="232" bestFit="1" customWidth="1"/>
    <col min="522" max="522" width="11.33203125" style="232" customWidth="1"/>
    <col min="523" max="523" width="13.109375" style="232" bestFit="1" customWidth="1"/>
    <col min="524" max="524" width="10" style="232" bestFit="1" customWidth="1"/>
    <col min="525" max="525" width="13.109375" style="232" bestFit="1" customWidth="1"/>
    <col min="526" max="759" width="9.109375" style="232"/>
    <col min="760" max="760" width="7.88671875" style="232" customWidth="1"/>
    <col min="761" max="761" width="68.44140625" style="232" customWidth="1"/>
    <col min="762" max="762" width="14.6640625" style="232" customWidth="1"/>
    <col min="763" max="763" width="18" style="232" customWidth="1"/>
    <col min="764" max="764" width="28" style="232" customWidth="1"/>
    <col min="765" max="765" width="11.88671875" style="232" bestFit="1" customWidth="1"/>
    <col min="766" max="766" width="16" style="232" customWidth="1"/>
    <col min="767" max="767" width="13.44140625" style="232" customWidth="1"/>
    <col min="768" max="768" width="13" style="232" customWidth="1"/>
    <col min="769" max="769" width="13.109375" style="232" bestFit="1" customWidth="1"/>
    <col min="770" max="777" width="11.33203125" style="232" bestFit="1" customWidth="1"/>
    <col min="778" max="778" width="11.33203125" style="232" customWidth="1"/>
    <col min="779" max="779" width="13.109375" style="232" bestFit="1" customWidth="1"/>
    <col min="780" max="780" width="10" style="232" bestFit="1" customWidth="1"/>
    <col min="781" max="781" width="13.109375" style="232" bestFit="1" customWidth="1"/>
    <col min="782" max="1015" width="9.109375" style="232"/>
    <col min="1016" max="1016" width="7.88671875" style="232" customWidth="1"/>
    <col min="1017" max="1017" width="68.44140625" style="232" customWidth="1"/>
    <col min="1018" max="1018" width="14.6640625" style="232" customWidth="1"/>
    <col min="1019" max="1019" width="18" style="232" customWidth="1"/>
    <col min="1020" max="1020" width="28" style="232" customWidth="1"/>
    <col min="1021" max="1021" width="11.88671875" style="232" bestFit="1" customWidth="1"/>
    <col min="1022" max="1022" width="16" style="232" customWidth="1"/>
    <col min="1023" max="1023" width="13.44140625" style="232" customWidth="1"/>
    <col min="1024" max="1024" width="13" style="232" customWidth="1"/>
    <col min="1025" max="1025" width="13.109375" style="232" bestFit="1" customWidth="1"/>
    <col min="1026" max="1033" width="11.33203125" style="232" bestFit="1" customWidth="1"/>
    <col min="1034" max="1034" width="11.33203125" style="232" customWidth="1"/>
    <col min="1035" max="1035" width="13.109375" style="232" bestFit="1" customWidth="1"/>
    <col min="1036" max="1036" width="10" style="232" bestFit="1" customWidth="1"/>
    <col min="1037" max="1037" width="13.109375" style="232" bestFit="1" customWidth="1"/>
    <col min="1038" max="1271" width="9.109375" style="232"/>
    <col min="1272" max="1272" width="7.88671875" style="232" customWidth="1"/>
    <col min="1273" max="1273" width="68.44140625" style="232" customWidth="1"/>
    <col min="1274" max="1274" width="14.6640625" style="232" customWidth="1"/>
    <col min="1275" max="1275" width="18" style="232" customWidth="1"/>
    <col min="1276" max="1276" width="28" style="232" customWidth="1"/>
    <col min="1277" max="1277" width="11.88671875" style="232" bestFit="1" customWidth="1"/>
    <col min="1278" max="1278" width="16" style="232" customWidth="1"/>
    <col min="1279" max="1279" width="13.44140625" style="232" customWidth="1"/>
    <col min="1280" max="1280" width="13" style="232" customWidth="1"/>
    <col min="1281" max="1281" width="13.109375" style="232" bestFit="1" customWidth="1"/>
    <col min="1282" max="1289" width="11.33203125" style="232" bestFit="1" customWidth="1"/>
    <col min="1290" max="1290" width="11.33203125" style="232" customWidth="1"/>
    <col min="1291" max="1291" width="13.109375" style="232" bestFit="1" customWidth="1"/>
    <col min="1292" max="1292" width="10" style="232" bestFit="1" customWidth="1"/>
    <col min="1293" max="1293" width="13.109375" style="232" bestFit="1" customWidth="1"/>
    <col min="1294" max="1527" width="9.109375" style="232"/>
    <col min="1528" max="1528" width="7.88671875" style="232" customWidth="1"/>
    <col min="1529" max="1529" width="68.44140625" style="232" customWidth="1"/>
    <col min="1530" max="1530" width="14.6640625" style="232" customWidth="1"/>
    <col min="1531" max="1531" width="18" style="232" customWidth="1"/>
    <col min="1532" max="1532" width="28" style="232" customWidth="1"/>
    <col min="1533" max="1533" width="11.88671875" style="232" bestFit="1" customWidth="1"/>
    <col min="1534" max="1534" width="16" style="232" customWidth="1"/>
    <col min="1535" max="1535" width="13.44140625" style="232" customWidth="1"/>
    <col min="1536" max="1536" width="13" style="232" customWidth="1"/>
    <col min="1537" max="1537" width="13.109375" style="232" bestFit="1" customWidth="1"/>
    <col min="1538" max="1545" width="11.33203125" style="232" bestFit="1" customWidth="1"/>
    <col min="1546" max="1546" width="11.33203125" style="232" customWidth="1"/>
    <col min="1547" max="1547" width="13.109375" style="232" bestFit="1" customWidth="1"/>
    <col min="1548" max="1548" width="10" style="232" bestFit="1" customWidth="1"/>
    <col min="1549" max="1549" width="13.109375" style="232" bestFit="1" customWidth="1"/>
    <col min="1550" max="1783" width="9.109375" style="232"/>
    <col min="1784" max="1784" width="7.88671875" style="232" customWidth="1"/>
    <col min="1785" max="1785" width="68.44140625" style="232" customWidth="1"/>
    <col min="1786" max="1786" width="14.6640625" style="232" customWidth="1"/>
    <col min="1787" max="1787" width="18" style="232" customWidth="1"/>
    <col min="1788" max="1788" width="28" style="232" customWidth="1"/>
    <col min="1789" max="1789" width="11.88671875" style="232" bestFit="1" customWidth="1"/>
    <col min="1790" max="1790" width="16" style="232" customWidth="1"/>
    <col min="1791" max="1791" width="13.44140625" style="232" customWidth="1"/>
    <col min="1792" max="1792" width="13" style="232" customWidth="1"/>
    <col min="1793" max="1793" width="13.109375" style="232" bestFit="1" customWidth="1"/>
    <col min="1794" max="1801" width="11.33203125" style="232" bestFit="1" customWidth="1"/>
    <col min="1802" max="1802" width="11.33203125" style="232" customWidth="1"/>
    <col min="1803" max="1803" width="13.109375" style="232" bestFit="1" customWidth="1"/>
    <col min="1804" max="1804" width="10" style="232" bestFit="1" customWidth="1"/>
    <col min="1805" max="1805" width="13.109375" style="232" bestFit="1" customWidth="1"/>
    <col min="1806" max="2039" width="9.109375" style="232"/>
    <col min="2040" max="2040" width="7.88671875" style="232" customWidth="1"/>
    <col min="2041" max="2041" width="68.44140625" style="232" customWidth="1"/>
    <col min="2042" max="2042" width="14.6640625" style="232" customWidth="1"/>
    <col min="2043" max="2043" width="18" style="232" customWidth="1"/>
    <col min="2044" max="2044" width="28" style="232" customWidth="1"/>
    <col min="2045" max="2045" width="11.88671875" style="232" bestFit="1" customWidth="1"/>
    <col min="2046" max="2046" width="16" style="232" customWidth="1"/>
    <col min="2047" max="2047" width="13.44140625" style="232" customWidth="1"/>
    <col min="2048" max="2048" width="13" style="232" customWidth="1"/>
    <col min="2049" max="2049" width="13.109375" style="232" bestFit="1" customWidth="1"/>
    <col min="2050" max="2057" width="11.33203125" style="232" bestFit="1" customWidth="1"/>
    <col min="2058" max="2058" width="11.33203125" style="232" customWidth="1"/>
    <col min="2059" max="2059" width="13.109375" style="232" bestFit="1" customWidth="1"/>
    <col min="2060" max="2060" width="10" style="232" bestFit="1" customWidth="1"/>
    <col min="2061" max="2061" width="13.109375" style="232" bestFit="1" customWidth="1"/>
    <col min="2062" max="2295" width="9.109375" style="232"/>
    <col min="2296" max="2296" width="7.88671875" style="232" customWidth="1"/>
    <col min="2297" max="2297" width="68.44140625" style="232" customWidth="1"/>
    <col min="2298" max="2298" width="14.6640625" style="232" customWidth="1"/>
    <col min="2299" max="2299" width="18" style="232" customWidth="1"/>
    <col min="2300" max="2300" width="28" style="232" customWidth="1"/>
    <col min="2301" max="2301" width="11.88671875" style="232" bestFit="1" customWidth="1"/>
    <col min="2302" max="2302" width="16" style="232" customWidth="1"/>
    <col min="2303" max="2303" width="13.44140625" style="232" customWidth="1"/>
    <col min="2304" max="2304" width="13" style="232" customWidth="1"/>
    <col min="2305" max="2305" width="13.109375" style="232" bestFit="1" customWidth="1"/>
    <col min="2306" max="2313" width="11.33203125" style="232" bestFit="1" customWidth="1"/>
    <col min="2314" max="2314" width="11.33203125" style="232" customWidth="1"/>
    <col min="2315" max="2315" width="13.109375" style="232" bestFit="1" customWidth="1"/>
    <col min="2316" max="2316" width="10" style="232" bestFit="1" customWidth="1"/>
    <col min="2317" max="2317" width="13.109375" style="232" bestFit="1" customWidth="1"/>
    <col min="2318" max="2551" width="9.109375" style="232"/>
    <col min="2552" max="2552" width="7.88671875" style="232" customWidth="1"/>
    <col min="2553" max="2553" width="68.44140625" style="232" customWidth="1"/>
    <col min="2554" max="2554" width="14.6640625" style="232" customWidth="1"/>
    <col min="2555" max="2555" width="18" style="232" customWidth="1"/>
    <col min="2556" max="2556" width="28" style="232" customWidth="1"/>
    <col min="2557" max="2557" width="11.88671875" style="232" bestFit="1" customWidth="1"/>
    <col min="2558" max="2558" width="16" style="232" customWidth="1"/>
    <col min="2559" max="2559" width="13.44140625" style="232" customWidth="1"/>
    <col min="2560" max="2560" width="13" style="232" customWidth="1"/>
    <col min="2561" max="2561" width="13.109375" style="232" bestFit="1" customWidth="1"/>
    <col min="2562" max="2569" width="11.33203125" style="232" bestFit="1" customWidth="1"/>
    <col min="2570" max="2570" width="11.33203125" style="232" customWidth="1"/>
    <col min="2571" max="2571" width="13.109375" style="232" bestFit="1" customWidth="1"/>
    <col min="2572" max="2572" width="10" style="232" bestFit="1" customWidth="1"/>
    <col min="2573" max="2573" width="13.109375" style="232" bestFit="1" customWidth="1"/>
    <col min="2574" max="2807" width="9.109375" style="232"/>
    <col min="2808" max="2808" width="7.88671875" style="232" customWidth="1"/>
    <col min="2809" max="2809" width="68.44140625" style="232" customWidth="1"/>
    <col min="2810" max="2810" width="14.6640625" style="232" customWidth="1"/>
    <col min="2811" max="2811" width="18" style="232" customWidth="1"/>
    <col min="2812" max="2812" width="28" style="232" customWidth="1"/>
    <col min="2813" max="2813" width="11.88671875" style="232" bestFit="1" customWidth="1"/>
    <col min="2814" max="2814" width="16" style="232" customWidth="1"/>
    <col min="2815" max="2815" width="13.44140625" style="232" customWidth="1"/>
    <col min="2816" max="2816" width="13" style="232" customWidth="1"/>
    <col min="2817" max="2817" width="13.109375" style="232" bestFit="1" customWidth="1"/>
    <col min="2818" max="2825" width="11.33203125" style="232" bestFit="1" customWidth="1"/>
    <col min="2826" max="2826" width="11.33203125" style="232" customWidth="1"/>
    <col min="2827" max="2827" width="13.109375" style="232" bestFit="1" customWidth="1"/>
    <col min="2828" max="2828" width="10" style="232" bestFit="1" customWidth="1"/>
    <col min="2829" max="2829" width="13.109375" style="232" bestFit="1" customWidth="1"/>
    <col min="2830" max="3063" width="9.109375" style="232"/>
    <col min="3064" max="3064" width="7.88671875" style="232" customWidth="1"/>
    <col min="3065" max="3065" width="68.44140625" style="232" customWidth="1"/>
    <col min="3066" max="3066" width="14.6640625" style="232" customWidth="1"/>
    <col min="3067" max="3067" width="18" style="232" customWidth="1"/>
    <col min="3068" max="3068" width="28" style="232" customWidth="1"/>
    <col min="3069" max="3069" width="11.88671875" style="232" bestFit="1" customWidth="1"/>
    <col min="3070" max="3070" width="16" style="232" customWidth="1"/>
    <col min="3071" max="3071" width="13.44140625" style="232" customWidth="1"/>
    <col min="3072" max="3072" width="13" style="232" customWidth="1"/>
    <col min="3073" max="3073" width="13.109375" style="232" bestFit="1" customWidth="1"/>
    <col min="3074" max="3081" width="11.33203125" style="232" bestFit="1" customWidth="1"/>
    <col min="3082" max="3082" width="11.33203125" style="232" customWidth="1"/>
    <col min="3083" max="3083" width="13.109375" style="232" bestFit="1" customWidth="1"/>
    <col min="3084" max="3084" width="10" style="232" bestFit="1" customWidth="1"/>
    <col min="3085" max="3085" width="13.109375" style="232" bestFit="1" customWidth="1"/>
    <col min="3086" max="3319" width="9.109375" style="232"/>
    <col min="3320" max="3320" width="7.88671875" style="232" customWidth="1"/>
    <col min="3321" max="3321" width="68.44140625" style="232" customWidth="1"/>
    <col min="3322" max="3322" width="14.6640625" style="232" customWidth="1"/>
    <col min="3323" max="3323" width="18" style="232" customWidth="1"/>
    <col min="3324" max="3324" width="28" style="232" customWidth="1"/>
    <col min="3325" max="3325" width="11.88671875" style="232" bestFit="1" customWidth="1"/>
    <col min="3326" max="3326" width="16" style="232" customWidth="1"/>
    <col min="3327" max="3327" width="13.44140625" style="232" customWidth="1"/>
    <col min="3328" max="3328" width="13" style="232" customWidth="1"/>
    <col min="3329" max="3329" width="13.109375" style="232" bestFit="1" customWidth="1"/>
    <col min="3330" max="3337" width="11.33203125" style="232" bestFit="1" customWidth="1"/>
    <col min="3338" max="3338" width="11.33203125" style="232" customWidth="1"/>
    <col min="3339" max="3339" width="13.109375" style="232" bestFit="1" customWidth="1"/>
    <col min="3340" max="3340" width="10" style="232" bestFit="1" customWidth="1"/>
    <col min="3341" max="3341" width="13.109375" style="232" bestFit="1" customWidth="1"/>
    <col min="3342" max="3575" width="9.109375" style="232"/>
    <col min="3576" max="3576" width="7.88671875" style="232" customWidth="1"/>
    <col min="3577" max="3577" width="68.44140625" style="232" customWidth="1"/>
    <col min="3578" max="3578" width="14.6640625" style="232" customWidth="1"/>
    <col min="3579" max="3579" width="18" style="232" customWidth="1"/>
    <col min="3580" max="3580" width="28" style="232" customWidth="1"/>
    <col min="3581" max="3581" width="11.88671875" style="232" bestFit="1" customWidth="1"/>
    <col min="3582" max="3582" width="16" style="232" customWidth="1"/>
    <col min="3583" max="3583" width="13.44140625" style="232" customWidth="1"/>
    <col min="3584" max="3584" width="13" style="232" customWidth="1"/>
    <col min="3585" max="3585" width="13.109375" style="232" bestFit="1" customWidth="1"/>
    <col min="3586" max="3593" width="11.33203125" style="232" bestFit="1" customWidth="1"/>
    <col min="3594" max="3594" width="11.33203125" style="232" customWidth="1"/>
    <col min="3595" max="3595" width="13.109375" style="232" bestFit="1" customWidth="1"/>
    <col min="3596" max="3596" width="10" style="232" bestFit="1" customWidth="1"/>
    <col min="3597" max="3597" width="13.109375" style="232" bestFit="1" customWidth="1"/>
    <col min="3598" max="3831" width="9.109375" style="232"/>
    <col min="3832" max="3832" width="7.88671875" style="232" customWidth="1"/>
    <col min="3833" max="3833" width="68.44140625" style="232" customWidth="1"/>
    <col min="3834" max="3834" width="14.6640625" style="232" customWidth="1"/>
    <col min="3835" max="3835" width="18" style="232" customWidth="1"/>
    <col min="3836" max="3836" width="28" style="232" customWidth="1"/>
    <col min="3837" max="3837" width="11.88671875" style="232" bestFit="1" customWidth="1"/>
    <col min="3838" max="3838" width="16" style="232" customWidth="1"/>
    <col min="3839" max="3839" width="13.44140625" style="232" customWidth="1"/>
    <col min="3840" max="3840" width="13" style="232" customWidth="1"/>
    <col min="3841" max="3841" width="13.109375" style="232" bestFit="1" customWidth="1"/>
    <col min="3842" max="3849" width="11.33203125" style="232" bestFit="1" customWidth="1"/>
    <col min="3850" max="3850" width="11.33203125" style="232" customWidth="1"/>
    <col min="3851" max="3851" width="13.109375" style="232" bestFit="1" customWidth="1"/>
    <col min="3852" max="3852" width="10" style="232" bestFit="1" customWidth="1"/>
    <col min="3853" max="3853" width="13.109375" style="232" bestFit="1" customWidth="1"/>
    <col min="3854" max="4087" width="9.109375" style="232"/>
    <col min="4088" max="4088" width="7.88671875" style="232" customWidth="1"/>
    <col min="4089" max="4089" width="68.44140625" style="232" customWidth="1"/>
    <col min="4090" max="4090" width="14.6640625" style="232" customWidth="1"/>
    <col min="4091" max="4091" width="18" style="232" customWidth="1"/>
    <col min="4092" max="4092" width="28" style="232" customWidth="1"/>
    <col min="4093" max="4093" width="11.88671875" style="232" bestFit="1" customWidth="1"/>
    <col min="4094" max="4094" width="16" style="232" customWidth="1"/>
    <col min="4095" max="4095" width="13.44140625" style="232" customWidth="1"/>
    <col min="4096" max="4096" width="13" style="232" customWidth="1"/>
    <col min="4097" max="4097" width="13.109375" style="232" bestFit="1" customWidth="1"/>
    <col min="4098" max="4105" width="11.33203125" style="232" bestFit="1" customWidth="1"/>
    <col min="4106" max="4106" width="11.33203125" style="232" customWidth="1"/>
    <col min="4107" max="4107" width="13.109375" style="232" bestFit="1" customWidth="1"/>
    <col min="4108" max="4108" width="10" style="232" bestFit="1" customWidth="1"/>
    <col min="4109" max="4109" width="13.109375" style="232" bestFit="1" customWidth="1"/>
    <col min="4110" max="4343" width="9.109375" style="232"/>
    <col min="4344" max="4344" width="7.88671875" style="232" customWidth="1"/>
    <col min="4345" max="4345" width="68.44140625" style="232" customWidth="1"/>
    <col min="4346" max="4346" width="14.6640625" style="232" customWidth="1"/>
    <col min="4347" max="4347" width="18" style="232" customWidth="1"/>
    <col min="4348" max="4348" width="28" style="232" customWidth="1"/>
    <col min="4349" max="4349" width="11.88671875" style="232" bestFit="1" customWidth="1"/>
    <col min="4350" max="4350" width="16" style="232" customWidth="1"/>
    <col min="4351" max="4351" width="13.44140625" style="232" customWidth="1"/>
    <col min="4352" max="4352" width="13" style="232" customWidth="1"/>
    <col min="4353" max="4353" width="13.109375" style="232" bestFit="1" customWidth="1"/>
    <col min="4354" max="4361" width="11.33203125" style="232" bestFit="1" customWidth="1"/>
    <col min="4362" max="4362" width="11.33203125" style="232" customWidth="1"/>
    <col min="4363" max="4363" width="13.109375" style="232" bestFit="1" customWidth="1"/>
    <col min="4364" max="4364" width="10" style="232" bestFit="1" customWidth="1"/>
    <col min="4365" max="4365" width="13.109375" style="232" bestFit="1" customWidth="1"/>
    <col min="4366" max="4599" width="9.109375" style="232"/>
    <col min="4600" max="4600" width="7.88671875" style="232" customWidth="1"/>
    <col min="4601" max="4601" width="68.44140625" style="232" customWidth="1"/>
    <col min="4602" max="4602" width="14.6640625" style="232" customWidth="1"/>
    <col min="4603" max="4603" width="18" style="232" customWidth="1"/>
    <col min="4604" max="4604" width="28" style="232" customWidth="1"/>
    <col min="4605" max="4605" width="11.88671875" style="232" bestFit="1" customWidth="1"/>
    <col min="4606" max="4606" width="16" style="232" customWidth="1"/>
    <col min="4607" max="4607" width="13.44140625" style="232" customWidth="1"/>
    <col min="4608" max="4608" width="13" style="232" customWidth="1"/>
    <col min="4609" max="4609" width="13.109375" style="232" bestFit="1" customWidth="1"/>
    <col min="4610" max="4617" width="11.33203125" style="232" bestFit="1" customWidth="1"/>
    <col min="4618" max="4618" width="11.33203125" style="232" customWidth="1"/>
    <col min="4619" max="4619" width="13.109375" style="232" bestFit="1" customWidth="1"/>
    <col min="4620" max="4620" width="10" style="232" bestFit="1" customWidth="1"/>
    <col min="4621" max="4621" width="13.109375" style="232" bestFit="1" customWidth="1"/>
    <col min="4622" max="4855" width="9.109375" style="232"/>
    <col min="4856" max="4856" width="7.88671875" style="232" customWidth="1"/>
    <col min="4857" max="4857" width="68.44140625" style="232" customWidth="1"/>
    <col min="4858" max="4858" width="14.6640625" style="232" customWidth="1"/>
    <col min="4859" max="4859" width="18" style="232" customWidth="1"/>
    <col min="4860" max="4860" width="28" style="232" customWidth="1"/>
    <col min="4861" max="4861" width="11.88671875" style="232" bestFit="1" customWidth="1"/>
    <col min="4862" max="4862" width="16" style="232" customWidth="1"/>
    <col min="4863" max="4863" width="13.44140625" style="232" customWidth="1"/>
    <col min="4864" max="4864" width="13" style="232" customWidth="1"/>
    <col min="4865" max="4865" width="13.109375" style="232" bestFit="1" customWidth="1"/>
    <col min="4866" max="4873" width="11.33203125" style="232" bestFit="1" customWidth="1"/>
    <col min="4874" max="4874" width="11.33203125" style="232" customWidth="1"/>
    <col min="4875" max="4875" width="13.109375" style="232" bestFit="1" customWidth="1"/>
    <col min="4876" max="4876" width="10" style="232" bestFit="1" customWidth="1"/>
    <col min="4877" max="4877" width="13.109375" style="232" bestFit="1" customWidth="1"/>
    <col min="4878" max="5111" width="9.109375" style="232"/>
    <col min="5112" max="5112" width="7.88671875" style="232" customWidth="1"/>
    <col min="5113" max="5113" width="68.44140625" style="232" customWidth="1"/>
    <col min="5114" max="5114" width="14.6640625" style="232" customWidth="1"/>
    <col min="5115" max="5115" width="18" style="232" customWidth="1"/>
    <col min="5116" max="5116" width="28" style="232" customWidth="1"/>
    <col min="5117" max="5117" width="11.88671875" style="232" bestFit="1" customWidth="1"/>
    <col min="5118" max="5118" width="16" style="232" customWidth="1"/>
    <col min="5119" max="5119" width="13.44140625" style="232" customWidth="1"/>
    <col min="5120" max="5120" width="13" style="232" customWidth="1"/>
    <col min="5121" max="5121" width="13.109375" style="232" bestFit="1" customWidth="1"/>
    <col min="5122" max="5129" width="11.33203125" style="232" bestFit="1" customWidth="1"/>
    <col min="5130" max="5130" width="11.33203125" style="232" customWidth="1"/>
    <col min="5131" max="5131" width="13.109375" style="232" bestFit="1" customWidth="1"/>
    <col min="5132" max="5132" width="10" style="232" bestFit="1" customWidth="1"/>
    <col min="5133" max="5133" width="13.109375" style="232" bestFit="1" customWidth="1"/>
    <col min="5134" max="5367" width="9.109375" style="232"/>
    <col min="5368" max="5368" width="7.88671875" style="232" customWidth="1"/>
    <col min="5369" max="5369" width="68.44140625" style="232" customWidth="1"/>
    <col min="5370" max="5370" width="14.6640625" style="232" customWidth="1"/>
    <col min="5371" max="5371" width="18" style="232" customWidth="1"/>
    <col min="5372" max="5372" width="28" style="232" customWidth="1"/>
    <col min="5373" max="5373" width="11.88671875" style="232" bestFit="1" customWidth="1"/>
    <col min="5374" max="5374" width="16" style="232" customWidth="1"/>
    <col min="5375" max="5375" width="13.44140625" style="232" customWidth="1"/>
    <col min="5376" max="5376" width="13" style="232" customWidth="1"/>
    <col min="5377" max="5377" width="13.109375" style="232" bestFit="1" customWidth="1"/>
    <col min="5378" max="5385" width="11.33203125" style="232" bestFit="1" customWidth="1"/>
    <col min="5386" max="5386" width="11.33203125" style="232" customWidth="1"/>
    <col min="5387" max="5387" width="13.109375" style="232" bestFit="1" customWidth="1"/>
    <col min="5388" max="5388" width="10" style="232" bestFit="1" customWidth="1"/>
    <col min="5389" max="5389" width="13.109375" style="232" bestFit="1" customWidth="1"/>
    <col min="5390" max="5623" width="9.109375" style="232"/>
    <col min="5624" max="5624" width="7.88671875" style="232" customWidth="1"/>
    <col min="5625" max="5625" width="68.44140625" style="232" customWidth="1"/>
    <col min="5626" max="5626" width="14.6640625" style="232" customWidth="1"/>
    <col min="5627" max="5627" width="18" style="232" customWidth="1"/>
    <col min="5628" max="5628" width="28" style="232" customWidth="1"/>
    <col min="5629" max="5629" width="11.88671875" style="232" bestFit="1" customWidth="1"/>
    <col min="5630" max="5630" width="16" style="232" customWidth="1"/>
    <col min="5631" max="5631" width="13.44140625" style="232" customWidth="1"/>
    <col min="5632" max="5632" width="13" style="232" customWidth="1"/>
    <col min="5633" max="5633" width="13.109375" style="232" bestFit="1" customWidth="1"/>
    <col min="5634" max="5641" width="11.33203125" style="232" bestFit="1" customWidth="1"/>
    <col min="5642" max="5642" width="11.33203125" style="232" customWidth="1"/>
    <col min="5643" max="5643" width="13.109375" style="232" bestFit="1" customWidth="1"/>
    <col min="5644" max="5644" width="10" style="232" bestFit="1" customWidth="1"/>
    <col min="5645" max="5645" width="13.109375" style="232" bestFit="1" customWidth="1"/>
    <col min="5646" max="5879" width="9.109375" style="232"/>
    <col min="5880" max="5880" width="7.88671875" style="232" customWidth="1"/>
    <col min="5881" max="5881" width="68.44140625" style="232" customWidth="1"/>
    <col min="5882" max="5882" width="14.6640625" style="232" customWidth="1"/>
    <col min="5883" max="5883" width="18" style="232" customWidth="1"/>
    <col min="5884" max="5884" width="28" style="232" customWidth="1"/>
    <col min="5885" max="5885" width="11.88671875" style="232" bestFit="1" customWidth="1"/>
    <col min="5886" max="5886" width="16" style="232" customWidth="1"/>
    <col min="5887" max="5887" width="13.44140625" style="232" customWidth="1"/>
    <col min="5888" max="5888" width="13" style="232" customWidth="1"/>
    <col min="5889" max="5889" width="13.109375" style="232" bestFit="1" customWidth="1"/>
    <col min="5890" max="5897" width="11.33203125" style="232" bestFit="1" customWidth="1"/>
    <col min="5898" max="5898" width="11.33203125" style="232" customWidth="1"/>
    <col min="5899" max="5899" width="13.109375" style="232" bestFit="1" customWidth="1"/>
    <col min="5900" max="5900" width="10" style="232" bestFit="1" customWidth="1"/>
    <col min="5901" max="5901" width="13.109375" style="232" bestFit="1" customWidth="1"/>
    <col min="5902" max="6135" width="9.109375" style="232"/>
    <col min="6136" max="6136" width="7.88671875" style="232" customWidth="1"/>
    <col min="6137" max="6137" width="68.44140625" style="232" customWidth="1"/>
    <col min="6138" max="6138" width="14.6640625" style="232" customWidth="1"/>
    <col min="6139" max="6139" width="18" style="232" customWidth="1"/>
    <col min="6140" max="6140" width="28" style="232" customWidth="1"/>
    <col min="6141" max="6141" width="11.88671875" style="232" bestFit="1" customWidth="1"/>
    <col min="6142" max="6142" width="16" style="232" customWidth="1"/>
    <col min="6143" max="6143" width="13.44140625" style="232" customWidth="1"/>
    <col min="6144" max="6144" width="13" style="232" customWidth="1"/>
    <col min="6145" max="6145" width="13.109375" style="232" bestFit="1" customWidth="1"/>
    <col min="6146" max="6153" width="11.33203125" style="232" bestFit="1" customWidth="1"/>
    <col min="6154" max="6154" width="11.33203125" style="232" customWidth="1"/>
    <col min="6155" max="6155" width="13.109375" style="232" bestFit="1" customWidth="1"/>
    <col min="6156" max="6156" width="10" style="232" bestFit="1" customWidth="1"/>
    <col min="6157" max="6157" width="13.109375" style="232" bestFit="1" customWidth="1"/>
    <col min="6158" max="6391" width="9.109375" style="232"/>
    <col min="6392" max="6392" width="7.88671875" style="232" customWidth="1"/>
    <col min="6393" max="6393" width="68.44140625" style="232" customWidth="1"/>
    <col min="6394" max="6394" width="14.6640625" style="232" customWidth="1"/>
    <col min="6395" max="6395" width="18" style="232" customWidth="1"/>
    <col min="6396" max="6396" width="28" style="232" customWidth="1"/>
    <col min="6397" max="6397" width="11.88671875" style="232" bestFit="1" customWidth="1"/>
    <col min="6398" max="6398" width="16" style="232" customWidth="1"/>
    <col min="6399" max="6399" width="13.44140625" style="232" customWidth="1"/>
    <col min="6400" max="6400" width="13" style="232" customWidth="1"/>
    <col min="6401" max="6401" width="13.109375" style="232" bestFit="1" customWidth="1"/>
    <col min="6402" max="6409" width="11.33203125" style="232" bestFit="1" customWidth="1"/>
    <col min="6410" max="6410" width="11.33203125" style="232" customWidth="1"/>
    <col min="6411" max="6411" width="13.109375" style="232" bestFit="1" customWidth="1"/>
    <col min="6412" max="6412" width="10" style="232" bestFit="1" customWidth="1"/>
    <col min="6413" max="6413" width="13.109375" style="232" bestFit="1" customWidth="1"/>
    <col min="6414" max="6647" width="9.109375" style="232"/>
    <col min="6648" max="6648" width="7.88671875" style="232" customWidth="1"/>
    <col min="6649" max="6649" width="68.44140625" style="232" customWidth="1"/>
    <col min="6650" max="6650" width="14.6640625" style="232" customWidth="1"/>
    <col min="6651" max="6651" width="18" style="232" customWidth="1"/>
    <col min="6652" max="6652" width="28" style="232" customWidth="1"/>
    <col min="6653" max="6653" width="11.88671875" style="232" bestFit="1" customWidth="1"/>
    <col min="6654" max="6654" width="16" style="232" customWidth="1"/>
    <col min="6655" max="6655" width="13.44140625" style="232" customWidth="1"/>
    <col min="6656" max="6656" width="13" style="232" customWidth="1"/>
    <col min="6657" max="6657" width="13.109375" style="232" bestFit="1" customWidth="1"/>
    <col min="6658" max="6665" width="11.33203125" style="232" bestFit="1" customWidth="1"/>
    <col min="6666" max="6666" width="11.33203125" style="232" customWidth="1"/>
    <col min="6667" max="6667" width="13.109375" style="232" bestFit="1" customWidth="1"/>
    <col min="6668" max="6668" width="10" style="232" bestFit="1" customWidth="1"/>
    <col min="6669" max="6669" width="13.109375" style="232" bestFit="1" customWidth="1"/>
    <col min="6670" max="6903" width="9.109375" style="232"/>
    <col min="6904" max="6904" width="7.88671875" style="232" customWidth="1"/>
    <col min="6905" max="6905" width="68.44140625" style="232" customWidth="1"/>
    <col min="6906" max="6906" width="14.6640625" style="232" customWidth="1"/>
    <col min="6907" max="6907" width="18" style="232" customWidth="1"/>
    <col min="6908" max="6908" width="28" style="232" customWidth="1"/>
    <col min="6909" max="6909" width="11.88671875" style="232" bestFit="1" customWidth="1"/>
    <col min="6910" max="6910" width="16" style="232" customWidth="1"/>
    <col min="6911" max="6911" width="13.44140625" style="232" customWidth="1"/>
    <col min="6912" max="6912" width="13" style="232" customWidth="1"/>
    <col min="6913" max="6913" width="13.109375" style="232" bestFit="1" customWidth="1"/>
    <col min="6914" max="6921" width="11.33203125" style="232" bestFit="1" customWidth="1"/>
    <col min="6922" max="6922" width="11.33203125" style="232" customWidth="1"/>
    <col min="6923" max="6923" width="13.109375" style="232" bestFit="1" customWidth="1"/>
    <col min="6924" max="6924" width="10" style="232" bestFit="1" customWidth="1"/>
    <col min="6925" max="6925" width="13.109375" style="232" bestFit="1" customWidth="1"/>
    <col min="6926" max="7159" width="9.109375" style="232"/>
    <col min="7160" max="7160" width="7.88671875" style="232" customWidth="1"/>
    <col min="7161" max="7161" width="68.44140625" style="232" customWidth="1"/>
    <col min="7162" max="7162" width="14.6640625" style="232" customWidth="1"/>
    <col min="7163" max="7163" width="18" style="232" customWidth="1"/>
    <col min="7164" max="7164" width="28" style="232" customWidth="1"/>
    <col min="7165" max="7165" width="11.88671875" style="232" bestFit="1" customWidth="1"/>
    <col min="7166" max="7166" width="16" style="232" customWidth="1"/>
    <col min="7167" max="7167" width="13.44140625" style="232" customWidth="1"/>
    <col min="7168" max="7168" width="13" style="232" customWidth="1"/>
    <col min="7169" max="7169" width="13.109375" style="232" bestFit="1" customWidth="1"/>
    <col min="7170" max="7177" width="11.33203125" style="232" bestFit="1" customWidth="1"/>
    <col min="7178" max="7178" width="11.33203125" style="232" customWidth="1"/>
    <col min="7179" max="7179" width="13.109375" style="232" bestFit="1" customWidth="1"/>
    <col min="7180" max="7180" width="10" style="232" bestFit="1" customWidth="1"/>
    <col min="7181" max="7181" width="13.109375" style="232" bestFit="1" customWidth="1"/>
    <col min="7182" max="7415" width="9.109375" style="232"/>
    <col min="7416" max="7416" width="7.88671875" style="232" customWidth="1"/>
    <col min="7417" max="7417" width="68.44140625" style="232" customWidth="1"/>
    <col min="7418" max="7418" width="14.6640625" style="232" customWidth="1"/>
    <col min="7419" max="7419" width="18" style="232" customWidth="1"/>
    <col min="7420" max="7420" width="28" style="232" customWidth="1"/>
    <col min="7421" max="7421" width="11.88671875" style="232" bestFit="1" customWidth="1"/>
    <col min="7422" max="7422" width="16" style="232" customWidth="1"/>
    <col min="7423" max="7423" width="13.44140625" style="232" customWidth="1"/>
    <col min="7424" max="7424" width="13" style="232" customWidth="1"/>
    <col min="7425" max="7425" width="13.109375" style="232" bestFit="1" customWidth="1"/>
    <col min="7426" max="7433" width="11.33203125" style="232" bestFit="1" customWidth="1"/>
    <col min="7434" max="7434" width="11.33203125" style="232" customWidth="1"/>
    <col min="7435" max="7435" width="13.109375" style="232" bestFit="1" customWidth="1"/>
    <col min="7436" max="7436" width="10" style="232" bestFit="1" customWidth="1"/>
    <col min="7437" max="7437" width="13.109375" style="232" bestFit="1" customWidth="1"/>
    <col min="7438" max="7671" width="9.109375" style="232"/>
    <col min="7672" max="7672" width="7.88671875" style="232" customWidth="1"/>
    <col min="7673" max="7673" width="68.44140625" style="232" customWidth="1"/>
    <col min="7674" max="7674" width="14.6640625" style="232" customWidth="1"/>
    <col min="7675" max="7675" width="18" style="232" customWidth="1"/>
    <col min="7676" max="7676" width="28" style="232" customWidth="1"/>
    <col min="7677" max="7677" width="11.88671875" style="232" bestFit="1" customWidth="1"/>
    <col min="7678" max="7678" width="16" style="232" customWidth="1"/>
    <col min="7679" max="7679" width="13.44140625" style="232" customWidth="1"/>
    <col min="7680" max="7680" width="13" style="232" customWidth="1"/>
    <col min="7681" max="7681" width="13.109375" style="232" bestFit="1" customWidth="1"/>
    <col min="7682" max="7689" width="11.33203125" style="232" bestFit="1" customWidth="1"/>
    <col min="7690" max="7690" width="11.33203125" style="232" customWidth="1"/>
    <col min="7691" max="7691" width="13.109375" style="232" bestFit="1" customWidth="1"/>
    <col min="7692" max="7692" width="10" style="232" bestFit="1" customWidth="1"/>
    <col min="7693" max="7693" width="13.109375" style="232" bestFit="1" customWidth="1"/>
    <col min="7694" max="7927" width="9.109375" style="232"/>
    <col min="7928" max="7928" width="7.88671875" style="232" customWidth="1"/>
    <col min="7929" max="7929" width="68.44140625" style="232" customWidth="1"/>
    <col min="7930" max="7930" width="14.6640625" style="232" customWidth="1"/>
    <col min="7931" max="7931" width="18" style="232" customWidth="1"/>
    <col min="7932" max="7932" width="28" style="232" customWidth="1"/>
    <col min="7933" max="7933" width="11.88671875" style="232" bestFit="1" customWidth="1"/>
    <col min="7934" max="7934" width="16" style="232" customWidth="1"/>
    <col min="7935" max="7935" width="13.44140625" style="232" customWidth="1"/>
    <col min="7936" max="7936" width="13" style="232" customWidth="1"/>
    <col min="7937" max="7937" width="13.109375" style="232" bestFit="1" customWidth="1"/>
    <col min="7938" max="7945" width="11.33203125" style="232" bestFit="1" customWidth="1"/>
    <col min="7946" max="7946" width="11.33203125" style="232" customWidth="1"/>
    <col min="7947" max="7947" width="13.109375" style="232" bestFit="1" customWidth="1"/>
    <col min="7948" max="7948" width="10" style="232" bestFit="1" customWidth="1"/>
    <col min="7949" max="7949" width="13.109375" style="232" bestFit="1" customWidth="1"/>
    <col min="7950" max="8183" width="9.109375" style="232"/>
    <col min="8184" max="8184" width="7.88671875" style="232" customWidth="1"/>
    <col min="8185" max="8185" width="68.44140625" style="232" customWidth="1"/>
    <col min="8186" max="8186" width="14.6640625" style="232" customWidth="1"/>
    <col min="8187" max="8187" width="18" style="232" customWidth="1"/>
    <col min="8188" max="8188" width="28" style="232" customWidth="1"/>
    <col min="8189" max="8189" width="11.88671875" style="232" bestFit="1" customWidth="1"/>
    <col min="8190" max="8190" width="16" style="232" customWidth="1"/>
    <col min="8191" max="8191" width="13.44140625" style="232" customWidth="1"/>
    <col min="8192" max="8192" width="13" style="232" customWidth="1"/>
    <col min="8193" max="8193" width="13.109375" style="232" bestFit="1" customWidth="1"/>
    <col min="8194" max="8201" width="11.33203125" style="232" bestFit="1" customWidth="1"/>
    <col min="8202" max="8202" width="11.33203125" style="232" customWidth="1"/>
    <col min="8203" max="8203" width="13.109375" style="232" bestFit="1" customWidth="1"/>
    <col min="8204" max="8204" width="10" style="232" bestFit="1" customWidth="1"/>
    <col min="8205" max="8205" width="13.109375" style="232" bestFit="1" customWidth="1"/>
    <col min="8206" max="8439" width="9.109375" style="232"/>
    <col min="8440" max="8440" width="7.88671875" style="232" customWidth="1"/>
    <col min="8441" max="8441" width="68.44140625" style="232" customWidth="1"/>
    <col min="8442" max="8442" width="14.6640625" style="232" customWidth="1"/>
    <col min="8443" max="8443" width="18" style="232" customWidth="1"/>
    <col min="8444" max="8444" width="28" style="232" customWidth="1"/>
    <col min="8445" max="8445" width="11.88671875" style="232" bestFit="1" customWidth="1"/>
    <col min="8446" max="8446" width="16" style="232" customWidth="1"/>
    <col min="8447" max="8447" width="13.44140625" style="232" customWidth="1"/>
    <col min="8448" max="8448" width="13" style="232" customWidth="1"/>
    <col min="8449" max="8449" width="13.109375" style="232" bestFit="1" customWidth="1"/>
    <col min="8450" max="8457" width="11.33203125" style="232" bestFit="1" customWidth="1"/>
    <col min="8458" max="8458" width="11.33203125" style="232" customWidth="1"/>
    <col min="8459" max="8459" width="13.109375" style="232" bestFit="1" customWidth="1"/>
    <col min="8460" max="8460" width="10" style="232" bestFit="1" customWidth="1"/>
    <col min="8461" max="8461" width="13.109375" style="232" bestFit="1" customWidth="1"/>
    <col min="8462" max="8695" width="9.109375" style="232"/>
    <col min="8696" max="8696" width="7.88671875" style="232" customWidth="1"/>
    <col min="8697" max="8697" width="68.44140625" style="232" customWidth="1"/>
    <col min="8698" max="8698" width="14.6640625" style="232" customWidth="1"/>
    <col min="8699" max="8699" width="18" style="232" customWidth="1"/>
    <col min="8700" max="8700" width="28" style="232" customWidth="1"/>
    <col min="8701" max="8701" width="11.88671875" style="232" bestFit="1" customWidth="1"/>
    <col min="8702" max="8702" width="16" style="232" customWidth="1"/>
    <col min="8703" max="8703" width="13.44140625" style="232" customWidth="1"/>
    <col min="8704" max="8704" width="13" style="232" customWidth="1"/>
    <col min="8705" max="8705" width="13.109375" style="232" bestFit="1" customWidth="1"/>
    <col min="8706" max="8713" width="11.33203125" style="232" bestFit="1" customWidth="1"/>
    <col min="8714" max="8714" width="11.33203125" style="232" customWidth="1"/>
    <col min="8715" max="8715" width="13.109375" style="232" bestFit="1" customWidth="1"/>
    <col min="8716" max="8716" width="10" style="232" bestFit="1" customWidth="1"/>
    <col min="8717" max="8717" width="13.109375" style="232" bestFit="1" customWidth="1"/>
    <col min="8718" max="8951" width="9.109375" style="232"/>
    <col min="8952" max="8952" width="7.88671875" style="232" customWidth="1"/>
    <col min="8953" max="8953" width="68.44140625" style="232" customWidth="1"/>
    <col min="8954" max="8954" width="14.6640625" style="232" customWidth="1"/>
    <col min="8955" max="8955" width="18" style="232" customWidth="1"/>
    <col min="8956" max="8956" width="28" style="232" customWidth="1"/>
    <col min="8957" max="8957" width="11.88671875" style="232" bestFit="1" customWidth="1"/>
    <col min="8958" max="8958" width="16" style="232" customWidth="1"/>
    <col min="8959" max="8959" width="13.44140625" style="232" customWidth="1"/>
    <col min="8960" max="8960" width="13" style="232" customWidth="1"/>
    <col min="8961" max="8961" width="13.109375" style="232" bestFit="1" customWidth="1"/>
    <col min="8962" max="8969" width="11.33203125" style="232" bestFit="1" customWidth="1"/>
    <col min="8970" max="8970" width="11.33203125" style="232" customWidth="1"/>
    <col min="8971" max="8971" width="13.109375" style="232" bestFit="1" customWidth="1"/>
    <col min="8972" max="8972" width="10" style="232" bestFit="1" customWidth="1"/>
    <col min="8973" max="8973" width="13.109375" style="232" bestFit="1" customWidth="1"/>
    <col min="8974" max="9207" width="9.109375" style="232"/>
    <col min="9208" max="9208" width="7.88671875" style="232" customWidth="1"/>
    <col min="9209" max="9209" width="68.44140625" style="232" customWidth="1"/>
    <col min="9210" max="9210" width="14.6640625" style="232" customWidth="1"/>
    <col min="9211" max="9211" width="18" style="232" customWidth="1"/>
    <col min="9212" max="9212" width="28" style="232" customWidth="1"/>
    <col min="9213" max="9213" width="11.88671875" style="232" bestFit="1" customWidth="1"/>
    <col min="9214" max="9214" width="16" style="232" customWidth="1"/>
    <col min="9215" max="9215" width="13.44140625" style="232" customWidth="1"/>
    <col min="9216" max="9216" width="13" style="232" customWidth="1"/>
    <col min="9217" max="9217" width="13.109375" style="232" bestFit="1" customWidth="1"/>
    <col min="9218" max="9225" width="11.33203125" style="232" bestFit="1" customWidth="1"/>
    <col min="9226" max="9226" width="11.33203125" style="232" customWidth="1"/>
    <col min="9227" max="9227" width="13.109375" style="232" bestFit="1" customWidth="1"/>
    <col min="9228" max="9228" width="10" style="232" bestFit="1" customWidth="1"/>
    <col min="9229" max="9229" width="13.109375" style="232" bestFit="1" customWidth="1"/>
    <col min="9230" max="9463" width="9.109375" style="232"/>
    <col min="9464" max="9464" width="7.88671875" style="232" customWidth="1"/>
    <col min="9465" max="9465" width="68.44140625" style="232" customWidth="1"/>
    <col min="9466" max="9466" width="14.6640625" style="232" customWidth="1"/>
    <col min="9467" max="9467" width="18" style="232" customWidth="1"/>
    <col min="9468" max="9468" width="28" style="232" customWidth="1"/>
    <col min="9469" max="9469" width="11.88671875" style="232" bestFit="1" customWidth="1"/>
    <col min="9470" max="9470" width="16" style="232" customWidth="1"/>
    <col min="9471" max="9471" width="13.44140625" style="232" customWidth="1"/>
    <col min="9472" max="9472" width="13" style="232" customWidth="1"/>
    <col min="9473" max="9473" width="13.109375" style="232" bestFit="1" customWidth="1"/>
    <col min="9474" max="9481" width="11.33203125" style="232" bestFit="1" customWidth="1"/>
    <col min="9482" max="9482" width="11.33203125" style="232" customWidth="1"/>
    <col min="9483" max="9483" width="13.109375" style="232" bestFit="1" customWidth="1"/>
    <col min="9484" max="9484" width="10" style="232" bestFit="1" customWidth="1"/>
    <col min="9485" max="9485" width="13.109375" style="232" bestFit="1" customWidth="1"/>
    <col min="9486" max="9719" width="9.109375" style="232"/>
    <col min="9720" max="9720" width="7.88671875" style="232" customWidth="1"/>
    <col min="9721" max="9721" width="68.44140625" style="232" customWidth="1"/>
    <col min="9722" max="9722" width="14.6640625" style="232" customWidth="1"/>
    <col min="9723" max="9723" width="18" style="232" customWidth="1"/>
    <col min="9724" max="9724" width="28" style="232" customWidth="1"/>
    <col min="9725" max="9725" width="11.88671875" style="232" bestFit="1" customWidth="1"/>
    <col min="9726" max="9726" width="16" style="232" customWidth="1"/>
    <col min="9727" max="9727" width="13.44140625" style="232" customWidth="1"/>
    <col min="9728" max="9728" width="13" style="232" customWidth="1"/>
    <col min="9729" max="9729" width="13.109375" style="232" bestFit="1" customWidth="1"/>
    <col min="9730" max="9737" width="11.33203125" style="232" bestFit="1" customWidth="1"/>
    <col min="9738" max="9738" width="11.33203125" style="232" customWidth="1"/>
    <col min="9739" max="9739" width="13.109375" style="232" bestFit="1" customWidth="1"/>
    <col min="9740" max="9740" width="10" style="232" bestFit="1" customWidth="1"/>
    <col min="9741" max="9741" width="13.109375" style="232" bestFit="1" customWidth="1"/>
    <col min="9742" max="9975" width="9.109375" style="232"/>
    <col min="9976" max="9976" width="7.88671875" style="232" customWidth="1"/>
    <col min="9977" max="9977" width="68.44140625" style="232" customWidth="1"/>
    <col min="9978" max="9978" width="14.6640625" style="232" customWidth="1"/>
    <col min="9979" max="9979" width="18" style="232" customWidth="1"/>
    <col min="9980" max="9980" width="28" style="232" customWidth="1"/>
    <col min="9981" max="9981" width="11.88671875" style="232" bestFit="1" customWidth="1"/>
    <col min="9982" max="9982" width="16" style="232" customWidth="1"/>
    <col min="9983" max="9983" width="13.44140625" style="232" customWidth="1"/>
    <col min="9984" max="9984" width="13" style="232" customWidth="1"/>
    <col min="9985" max="9985" width="13.109375" style="232" bestFit="1" customWidth="1"/>
    <col min="9986" max="9993" width="11.33203125" style="232" bestFit="1" customWidth="1"/>
    <col min="9994" max="9994" width="11.33203125" style="232" customWidth="1"/>
    <col min="9995" max="9995" width="13.109375" style="232" bestFit="1" customWidth="1"/>
    <col min="9996" max="9996" width="10" style="232" bestFit="1" customWidth="1"/>
    <col min="9997" max="9997" width="13.109375" style="232" bestFit="1" customWidth="1"/>
    <col min="9998" max="10231" width="9.109375" style="232"/>
    <col min="10232" max="10232" width="7.88671875" style="232" customWidth="1"/>
    <col min="10233" max="10233" width="68.44140625" style="232" customWidth="1"/>
    <col min="10234" max="10234" width="14.6640625" style="232" customWidth="1"/>
    <col min="10235" max="10235" width="18" style="232" customWidth="1"/>
    <col min="10236" max="10236" width="28" style="232" customWidth="1"/>
    <col min="10237" max="10237" width="11.88671875" style="232" bestFit="1" customWidth="1"/>
    <col min="10238" max="10238" width="16" style="232" customWidth="1"/>
    <col min="10239" max="10239" width="13.44140625" style="232" customWidth="1"/>
    <col min="10240" max="10240" width="13" style="232" customWidth="1"/>
    <col min="10241" max="10241" width="13.109375" style="232" bestFit="1" customWidth="1"/>
    <col min="10242" max="10249" width="11.33203125" style="232" bestFit="1" customWidth="1"/>
    <col min="10250" max="10250" width="11.33203125" style="232" customWidth="1"/>
    <col min="10251" max="10251" width="13.109375" style="232" bestFit="1" customWidth="1"/>
    <col min="10252" max="10252" width="10" style="232" bestFit="1" customWidth="1"/>
    <col min="10253" max="10253" width="13.109375" style="232" bestFit="1" customWidth="1"/>
    <col min="10254" max="10487" width="9.109375" style="232"/>
    <col min="10488" max="10488" width="7.88671875" style="232" customWidth="1"/>
    <col min="10489" max="10489" width="68.44140625" style="232" customWidth="1"/>
    <col min="10490" max="10490" width="14.6640625" style="232" customWidth="1"/>
    <col min="10491" max="10491" width="18" style="232" customWidth="1"/>
    <col min="10492" max="10492" width="28" style="232" customWidth="1"/>
    <col min="10493" max="10493" width="11.88671875" style="232" bestFit="1" customWidth="1"/>
    <col min="10494" max="10494" width="16" style="232" customWidth="1"/>
    <col min="10495" max="10495" width="13.44140625" style="232" customWidth="1"/>
    <col min="10496" max="10496" width="13" style="232" customWidth="1"/>
    <col min="10497" max="10497" width="13.109375" style="232" bestFit="1" customWidth="1"/>
    <col min="10498" max="10505" width="11.33203125" style="232" bestFit="1" customWidth="1"/>
    <col min="10506" max="10506" width="11.33203125" style="232" customWidth="1"/>
    <col min="10507" max="10507" width="13.109375" style="232" bestFit="1" customWidth="1"/>
    <col min="10508" max="10508" width="10" style="232" bestFit="1" customWidth="1"/>
    <col min="10509" max="10509" width="13.109375" style="232" bestFit="1" customWidth="1"/>
    <col min="10510" max="10743" width="9.109375" style="232"/>
    <col min="10744" max="10744" width="7.88671875" style="232" customWidth="1"/>
    <col min="10745" max="10745" width="68.44140625" style="232" customWidth="1"/>
    <col min="10746" max="10746" width="14.6640625" style="232" customWidth="1"/>
    <col min="10747" max="10747" width="18" style="232" customWidth="1"/>
    <col min="10748" max="10748" width="28" style="232" customWidth="1"/>
    <col min="10749" max="10749" width="11.88671875" style="232" bestFit="1" customWidth="1"/>
    <col min="10750" max="10750" width="16" style="232" customWidth="1"/>
    <col min="10751" max="10751" width="13.44140625" style="232" customWidth="1"/>
    <col min="10752" max="10752" width="13" style="232" customWidth="1"/>
    <col min="10753" max="10753" width="13.109375" style="232" bestFit="1" customWidth="1"/>
    <col min="10754" max="10761" width="11.33203125" style="232" bestFit="1" customWidth="1"/>
    <col min="10762" max="10762" width="11.33203125" style="232" customWidth="1"/>
    <col min="10763" max="10763" width="13.109375" style="232" bestFit="1" customWidth="1"/>
    <col min="10764" max="10764" width="10" style="232" bestFit="1" customWidth="1"/>
    <col min="10765" max="10765" width="13.109375" style="232" bestFit="1" customWidth="1"/>
    <col min="10766" max="10999" width="9.109375" style="232"/>
    <col min="11000" max="11000" width="7.88671875" style="232" customWidth="1"/>
    <col min="11001" max="11001" width="68.44140625" style="232" customWidth="1"/>
    <col min="11002" max="11002" width="14.6640625" style="232" customWidth="1"/>
    <col min="11003" max="11003" width="18" style="232" customWidth="1"/>
    <col min="11004" max="11004" width="28" style="232" customWidth="1"/>
    <col min="11005" max="11005" width="11.88671875" style="232" bestFit="1" customWidth="1"/>
    <col min="11006" max="11006" width="16" style="232" customWidth="1"/>
    <col min="11007" max="11007" width="13.44140625" style="232" customWidth="1"/>
    <col min="11008" max="11008" width="13" style="232" customWidth="1"/>
    <col min="11009" max="11009" width="13.109375" style="232" bestFit="1" customWidth="1"/>
    <col min="11010" max="11017" width="11.33203125" style="232" bestFit="1" customWidth="1"/>
    <col min="11018" max="11018" width="11.33203125" style="232" customWidth="1"/>
    <col min="11019" max="11019" width="13.109375" style="232" bestFit="1" customWidth="1"/>
    <col min="11020" max="11020" width="10" style="232" bestFit="1" customWidth="1"/>
    <col min="11021" max="11021" width="13.109375" style="232" bestFit="1" customWidth="1"/>
    <col min="11022" max="11255" width="9.109375" style="232"/>
    <col min="11256" max="11256" width="7.88671875" style="232" customWidth="1"/>
    <col min="11257" max="11257" width="68.44140625" style="232" customWidth="1"/>
    <col min="11258" max="11258" width="14.6640625" style="232" customWidth="1"/>
    <col min="11259" max="11259" width="18" style="232" customWidth="1"/>
    <col min="11260" max="11260" width="28" style="232" customWidth="1"/>
    <col min="11261" max="11261" width="11.88671875" style="232" bestFit="1" customWidth="1"/>
    <col min="11262" max="11262" width="16" style="232" customWidth="1"/>
    <col min="11263" max="11263" width="13.44140625" style="232" customWidth="1"/>
    <col min="11264" max="11264" width="13" style="232" customWidth="1"/>
    <col min="11265" max="11265" width="13.109375" style="232" bestFit="1" customWidth="1"/>
    <col min="11266" max="11273" width="11.33203125" style="232" bestFit="1" customWidth="1"/>
    <col min="11274" max="11274" width="11.33203125" style="232" customWidth="1"/>
    <col min="11275" max="11275" width="13.109375" style="232" bestFit="1" customWidth="1"/>
    <col min="11276" max="11276" width="10" style="232" bestFit="1" customWidth="1"/>
    <col min="11277" max="11277" width="13.109375" style="232" bestFit="1" customWidth="1"/>
    <col min="11278" max="11511" width="9.109375" style="232"/>
    <col min="11512" max="11512" width="7.88671875" style="232" customWidth="1"/>
    <col min="11513" max="11513" width="68.44140625" style="232" customWidth="1"/>
    <col min="11514" max="11514" width="14.6640625" style="232" customWidth="1"/>
    <col min="11515" max="11515" width="18" style="232" customWidth="1"/>
    <col min="11516" max="11516" width="28" style="232" customWidth="1"/>
    <col min="11517" max="11517" width="11.88671875" style="232" bestFit="1" customWidth="1"/>
    <col min="11518" max="11518" width="16" style="232" customWidth="1"/>
    <col min="11519" max="11519" width="13.44140625" style="232" customWidth="1"/>
    <col min="11520" max="11520" width="13" style="232" customWidth="1"/>
    <col min="11521" max="11521" width="13.109375" style="232" bestFit="1" customWidth="1"/>
    <col min="11522" max="11529" width="11.33203125" style="232" bestFit="1" customWidth="1"/>
    <col min="11530" max="11530" width="11.33203125" style="232" customWidth="1"/>
    <col min="11531" max="11531" width="13.109375" style="232" bestFit="1" customWidth="1"/>
    <col min="11532" max="11532" width="10" style="232" bestFit="1" customWidth="1"/>
    <col min="11533" max="11533" width="13.109375" style="232" bestFit="1" customWidth="1"/>
    <col min="11534" max="11767" width="9.109375" style="232"/>
    <col min="11768" max="11768" width="7.88671875" style="232" customWidth="1"/>
    <col min="11769" max="11769" width="68.44140625" style="232" customWidth="1"/>
    <col min="11770" max="11770" width="14.6640625" style="232" customWidth="1"/>
    <col min="11771" max="11771" width="18" style="232" customWidth="1"/>
    <col min="11772" max="11772" width="28" style="232" customWidth="1"/>
    <col min="11773" max="11773" width="11.88671875" style="232" bestFit="1" customWidth="1"/>
    <col min="11774" max="11774" width="16" style="232" customWidth="1"/>
    <col min="11775" max="11775" width="13.44140625" style="232" customWidth="1"/>
    <col min="11776" max="11776" width="13" style="232" customWidth="1"/>
    <col min="11777" max="11777" width="13.109375" style="232" bestFit="1" customWidth="1"/>
    <col min="11778" max="11785" width="11.33203125" style="232" bestFit="1" customWidth="1"/>
    <col min="11786" max="11786" width="11.33203125" style="232" customWidth="1"/>
    <col min="11787" max="11787" width="13.109375" style="232" bestFit="1" customWidth="1"/>
    <col min="11788" max="11788" width="10" style="232" bestFit="1" customWidth="1"/>
    <col min="11789" max="11789" width="13.109375" style="232" bestFit="1" customWidth="1"/>
    <col min="11790" max="12023" width="9.109375" style="232"/>
    <col min="12024" max="12024" width="7.88671875" style="232" customWidth="1"/>
    <col min="12025" max="12025" width="68.44140625" style="232" customWidth="1"/>
    <col min="12026" max="12026" width="14.6640625" style="232" customWidth="1"/>
    <col min="12027" max="12027" width="18" style="232" customWidth="1"/>
    <col min="12028" max="12028" width="28" style="232" customWidth="1"/>
    <col min="12029" max="12029" width="11.88671875" style="232" bestFit="1" customWidth="1"/>
    <col min="12030" max="12030" width="16" style="232" customWidth="1"/>
    <col min="12031" max="12031" width="13.44140625" style="232" customWidth="1"/>
    <col min="12032" max="12032" width="13" style="232" customWidth="1"/>
    <col min="12033" max="12033" width="13.109375" style="232" bestFit="1" customWidth="1"/>
    <col min="12034" max="12041" width="11.33203125" style="232" bestFit="1" customWidth="1"/>
    <col min="12042" max="12042" width="11.33203125" style="232" customWidth="1"/>
    <col min="12043" max="12043" width="13.109375" style="232" bestFit="1" customWidth="1"/>
    <col min="12044" max="12044" width="10" style="232" bestFit="1" customWidth="1"/>
    <col min="12045" max="12045" width="13.109375" style="232" bestFit="1" customWidth="1"/>
    <col min="12046" max="12279" width="9.109375" style="232"/>
    <col min="12280" max="12280" width="7.88671875" style="232" customWidth="1"/>
    <col min="12281" max="12281" width="68.44140625" style="232" customWidth="1"/>
    <col min="12282" max="12282" width="14.6640625" style="232" customWidth="1"/>
    <col min="12283" max="12283" width="18" style="232" customWidth="1"/>
    <col min="12284" max="12284" width="28" style="232" customWidth="1"/>
    <col min="12285" max="12285" width="11.88671875" style="232" bestFit="1" customWidth="1"/>
    <col min="12286" max="12286" width="16" style="232" customWidth="1"/>
    <col min="12287" max="12287" width="13.44140625" style="232" customWidth="1"/>
    <col min="12288" max="12288" width="13" style="232" customWidth="1"/>
    <col min="12289" max="12289" width="13.109375" style="232" bestFit="1" customWidth="1"/>
    <col min="12290" max="12297" width="11.33203125" style="232" bestFit="1" customWidth="1"/>
    <col min="12298" max="12298" width="11.33203125" style="232" customWidth="1"/>
    <col min="12299" max="12299" width="13.109375" style="232" bestFit="1" customWidth="1"/>
    <col min="12300" max="12300" width="10" style="232" bestFit="1" customWidth="1"/>
    <col min="12301" max="12301" width="13.109375" style="232" bestFit="1" customWidth="1"/>
    <col min="12302" max="12535" width="9.109375" style="232"/>
    <col min="12536" max="12536" width="7.88671875" style="232" customWidth="1"/>
    <col min="12537" max="12537" width="68.44140625" style="232" customWidth="1"/>
    <col min="12538" max="12538" width="14.6640625" style="232" customWidth="1"/>
    <col min="12539" max="12539" width="18" style="232" customWidth="1"/>
    <col min="12540" max="12540" width="28" style="232" customWidth="1"/>
    <col min="12541" max="12541" width="11.88671875" style="232" bestFit="1" customWidth="1"/>
    <col min="12542" max="12542" width="16" style="232" customWidth="1"/>
    <col min="12543" max="12543" width="13.44140625" style="232" customWidth="1"/>
    <col min="12544" max="12544" width="13" style="232" customWidth="1"/>
    <col min="12545" max="12545" width="13.109375" style="232" bestFit="1" customWidth="1"/>
    <col min="12546" max="12553" width="11.33203125" style="232" bestFit="1" customWidth="1"/>
    <col min="12554" max="12554" width="11.33203125" style="232" customWidth="1"/>
    <col min="12555" max="12555" width="13.109375" style="232" bestFit="1" customWidth="1"/>
    <col min="12556" max="12556" width="10" style="232" bestFit="1" customWidth="1"/>
    <col min="12557" max="12557" width="13.109375" style="232" bestFit="1" customWidth="1"/>
    <col min="12558" max="12791" width="9.109375" style="232"/>
    <col min="12792" max="12792" width="7.88671875" style="232" customWidth="1"/>
    <col min="12793" max="12793" width="68.44140625" style="232" customWidth="1"/>
    <col min="12794" max="12794" width="14.6640625" style="232" customWidth="1"/>
    <col min="12795" max="12795" width="18" style="232" customWidth="1"/>
    <col min="12796" max="12796" width="28" style="232" customWidth="1"/>
    <col min="12797" max="12797" width="11.88671875" style="232" bestFit="1" customWidth="1"/>
    <col min="12798" max="12798" width="16" style="232" customWidth="1"/>
    <col min="12799" max="12799" width="13.44140625" style="232" customWidth="1"/>
    <col min="12800" max="12800" width="13" style="232" customWidth="1"/>
    <col min="12801" max="12801" width="13.109375" style="232" bestFit="1" customWidth="1"/>
    <col min="12802" max="12809" width="11.33203125" style="232" bestFit="1" customWidth="1"/>
    <col min="12810" max="12810" width="11.33203125" style="232" customWidth="1"/>
    <col min="12811" max="12811" width="13.109375" style="232" bestFit="1" customWidth="1"/>
    <col min="12812" max="12812" width="10" style="232" bestFit="1" customWidth="1"/>
    <col min="12813" max="12813" width="13.109375" style="232" bestFit="1" customWidth="1"/>
    <col min="12814" max="13047" width="9.109375" style="232"/>
    <col min="13048" max="13048" width="7.88671875" style="232" customWidth="1"/>
    <col min="13049" max="13049" width="68.44140625" style="232" customWidth="1"/>
    <col min="13050" max="13050" width="14.6640625" style="232" customWidth="1"/>
    <col min="13051" max="13051" width="18" style="232" customWidth="1"/>
    <col min="13052" max="13052" width="28" style="232" customWidth="1"/>
    <col min="13053" max="13053" width="11.88671875" style="232" bestFit="1" customWidth="1"/>
    <col min="13054" max="13054" width="16" style="232" customWidth="1"/>
    <col min="13055" max="13055" width="13.44140625" style="232" customWidth="1"/>
    <col min="13056" max="13056" width="13" style="232" customWidth="1"/>
    <col min="13057" max="13057" width="13.109375" style="232" bestFit="1" customWidth="1"/>
    <col min="13058" max="13065" width="11.33203125" style="232" bestFit="1" customWidth="1"/>
    <col min="13066" max="13066" width="11.33203125" style="232" customWidth="1"/>
    <col min="13067" max="13067" width="13.109375" style="232" bestFit="1" customWidth="1"/>
    <col min="13068" max="13068" width="10" style="232" bestFit="1" customWidth="1"/>
    <col min="13069" max="13069" width="13.109375" style="232" bestFit="1" customWidth="1"/>
    <col min="13070" max="13303" width="9.109375" style="232"/>
    <col min="13304" max="13304" width="7.88671875" style="232" customWidth="1"/>
    <col min="13305" max="13305" width="68.44140625" style="232" customWidth="1"/>
    <col min="13306" max="13306" width="14.6640625" style="232" customWidth="1"/>
    <col min="13307" max="13307" width="18" style="232" customWidth="1"/>
    <col min="13308" max="13308" width="28" style="232" customWidth="1"/>
    <col min="13309" max="13309" width="11.88671875" style="232" bestFit="1" customWidth="1"/>
    <col min="13310" max="13310" width="16" style="232" customWidth="1"/>
    <col min="13311" max="13311" width="13.44140625" style="232" customWidth="1"/>
    <col min="13312" max="13312" width="13" style="232" customWidth="1"/>
    <col min="13313" max="13313" width="13.109375" style="232" bestFit="1" customWidth="1"/>
    <col min="13314" max="13321" width="11.33203125" style="232" bestFit="1" customWidth="1"/>
    <col min="13322" max="13322" width="11.33203125" style="232" customWidth="1"/>
    <col min="13323" max="13323" width="13.109375" style="232" bestFit="1" customWidth="1"/>
    <col min="13324" max="13324" width="10" style="232" bestFit="1" customWidth="1"/>
    <col min="13325" max="13325" width="13.109375" style="232" bestFit="1" customWidth="1"/>
    <col min="13326" max="13559" width="9.109375" style="232"/>
    <col min="13560" max="13560" width="7.88671875" style="232" customWidth="1"/>
    <col min="13561" max="13561" width="68.44140625" style="232" customWidth="1"/>
    <col min="13562" max="13562" width="14.6640625" style="232" customWidth="1"/>
    <col min="13563" max="13563" width="18" style="232" customWidth="1"/>
    <col min="13564" max="13564" width="28" style="232" customWidth="1"/>
    <col min="13565" max="13565" width="11.88671875" style="232" bestFit="1" customWidth="1"/>
    <col min="13566" max="13566" width="16" style="232" customWidth="1"/>
    <col min="13567" max="13567" width="13.44140625" style="232" customWidth="1"/>
    <col min="13568" max="13568" width="13" style="232" customWidth="1"/>
    <col min="13569" max="13569" width="13.109375" style="232" bestFit="1" customWidth="1"/>
    <col min="13570" max="13577" width="11.33203125" style="232" bestFit="1" customWidth="1"/>
    <col min="13578" max="13578" width="11.33203125" style="232" customWidth="1"/>
    <col min="13579" max="13579" width="13.109375" style="232" bestFit="1" customWidth="1"/>
    <col min="13580" max="13580" width="10" style="232" bestFit="1" customWidth="1"/>
    <col min="13581" max="13581" width="13.109375" style="232" bestFit="1" customWidth="1"/>
    <col min="13582" max="13815" width="9.109375" style="232"/>
    <col min="13816" max="13816" width="7.88671875" style="232" customWidth="1"/>
    <col min="13817" max="13817" width="68.44140625" style="232" customWidth="1"/>
    <col min="13818" max="13818" width="14.6640625" style="232" customWidth="1"/>
    <col min="13819" max="13819" width="18" style="232" customWidth="1"/>
    <col min="13820" max="13820" width="28" style="232" customWidth="1"/>
    <col min="13821" max="13821" width="11.88671875" style="232" bestFit="1" customWidth="1"/>
    <col min="13822" max="13822" width="16" style="232" customWidth="1"/>
    <col min="13823" max="13823" width="13.44140625" style="232" customWidth="1"/>
    <col min="13824" max="13824" width="13" style="232" customWidth="1"/>
    <col min="13825" max="13825" width="13.109375" style="232" bestFit="1" customWidth="1"/>
    <col min="13826" max="13833" width="11.33203125" style="232" bestFit="1" customWidth="1"/>
    <col min="13834" max="13834" width="11.33203125" style="232" customWidth="1"/>
    <col min="13835" max="13835" width="13.109375" style="232" bestFit="1" customWidth="1"/>
    <col min="13836" max="13836" width="10" style="232" bestFit="1" customWidth="1"/>
    <col min="13837" max="13837" width="13.109375" style="232" bestFit="1" customWidth="1"/>
    <col min="13838" max="14071" width="9.109375" style="232"/>
    <col min="14072" max="14072" width="7.88671875" style="232" customWidth="1"/>
    <col min="14073" max="14073" width="68.44140625" style="232" customWidth="1"/>
    <col min="14074" max="14074" width="14.6640625" style="232" customWidth="1"/>
    <col min="14075" max="14075" width="18" style="232" customWidth="1"/>
    <col min="14076" max="14076" width="28" style="232" customWidth="1"/>
    <col min="14077" max="14077" width="11.88671875" style="232" bestFit="1" customWidth="1"/>
    <col min="14078" max="14078" width="16" style="232" customWidth="1"/>
    <col min="14079" max="14079" width="13.44140625" style="232" customWidth="1"/>
    <col min="14080" max="14080" width="13" style="232" customWidth="1"/>
    <col min="14081" max="14081" width="13.109375" style="232" bestFit="1" customWidth="1"/>
    <col min="14082" max="14089" width="11.33203125" style="232" bestFit="1" customWidth="1"/>
    <col min="14090" max="14090" width="11.33203125" style="232" customWidth="1"/>
    <col min="14091" max="14091" width="13.109375" style="232" bestFit="1" customWidth="1"/>
    <col min="14092" max="14092" width="10" style="232" bestFit="1" customWidth="1"/>
    <col min="14093" max="14093" width="13.109375" style="232" bestFit="1" customWidth="1"/>
    <col min="14094" max="14327" width="9.109375" style="232"/>
    <col min="14328" max="14328" width="7.88671875" style="232" customWidth="1"/>
    <col min="14329" max="14329" width="68.44140625" style="232" customWidth="1"/>
    <col min="14330" max="14330" width="14.6640625" style="232" customWidth="1"/>
    <col min="14331" max="14331" width="18" style="232" customWidth="1"/>
    <col min="14332" max="14332" width="28" style="232" customWidth="1"/>
    <col min="14333" max="14333" width="11.88671875" style="232" bestFit="1" customWidth="1"/>
    <col min="14334" max="14334" width="16" style="232" customWidth="1"/>
    <col min="14335" max="14335" width="13.44140625" style="232" customWidth="1"/>
    <col min="14336" max="14336" width="13" style="232" customWidth="1"/>
    <col min="14337" max="14337" width="13.109375" style="232" bestFit="1" customWidth="1"/>
    <col min="14338" max="14345" width="11.33203125" style="232" bestFit="1" customWidth="1"/>
    <col min="14346" max="14346" width="11.33203125" style="232" customWidth="1"/>
    <col min="14347" max="14347" width="13.109375" style="232" bestFit="1" customWidth="1"/>
    <col min="14348" max="14348" width="10" style="232" bestFit="1" customWidth="1"/>
    <col min="14349" max="14349" width="13.109375" style="232" bestFit="1" customWidth="1"/>
    <col min="14350" max="14583" width="9.109375" style="232"/>
    <col min="14584" max="14584" width="7.88671875" style="232" customWidth="1"/>
    <col min="14585" max="14585" width="68.44140625" style="232" customWidth="1"/>
    <col min="14586" max="14586" width="14.6640625" style="232" customWidth="1"/>
    <col min="14587" max="14587" width="18" style="232" customWidth="1"/>
    <col min="14588" max="14588" width="28" style="232" customWidth="1"/>
    <col min="14589" max="14589" width="11.88671875" style="232" bestFit="1" customWidth="1"/>
    <col min="14590" max="14590" width="16" style="232" customWidth="1"/>
    <col min="14591" max="14591" width="13.44140625" style="232" customWidth="1"/>
    <col min="14592" max="14592" width="13" style="232" customWidth="1"/>
    <col min="14593" max="14593" width="13.109375" style="232" bestFit="1" customWidth="1"/>
    <col min="14594" max="14601" width="11.33203125" style="232" bestFit="1" customWidth="1"/>
    <col min="14602" max="14602" width="11.33203125" style="232" customWidth="1"/>
    <col min="14603" max="14603" width="13.109375" style="232" bestFit="1" customWidth="1"/>
    <col min="14604" max="14604" width="10" style="232" bestFit="1" customWidth="1"/>
    <col min="14605" max="14605" width="13.109375" style="232" bestFit="1" customWidth="1"/>
    <col min="14606" max="14839" width="9.109375" style="232"/>
    <col min="14840" max="14840" width="7.88671875" style="232" customWidth="1"/>
    <col min="14841" max="14841" width="68.44140625" style="232" customWidth="1"/>
    <col min="14842" max="14842" width="14.6640625" style="232" customWidth="1"/>
    <col min="14843" max="14843" width="18" style="232" customWidth="1"/>
    <col min="14844" max="14844" width="28" style="232" customWidth="1"/>
    <col min="14845" max="14845" width="11.88671875" style="232" bestFit="1" customWidth="1"/>
    <col min="14846" max="14846" width="16" style="232" customWidth="1"/>
    <col min="14847" max="14847" width="13.44140625" style="232" customWidth="1"/>
    <col min="14848" max="14848" width="13" style="232" customWidth="1"/>
    <col min="14849" max="14849" width="13.109375" style="232" bestFit="1" customWidth="1"/>
    <col min="14850" max="14857" width="11.33203125" style="232" bestFit="1" customWidth="1"/>
    <col min="14858" max="14858" width="11.33203125" style="232" customWidth="1"/>
    <col min="14859" max="14859" width="13.109375" style="232" bestFit="1" customWidth="1"/>
    <col min="14860" max="14860" width="10" style="232" bestFit="1" customWidth="1"/>
    <col min="14861" max="14861" width="13.109375" style="232" bestFit="1" customWidth="1"/>
    <col min="14862" max="15095" width="9.109375" style="232"/>
    <col min="15096" max="15096" width="7.88671875" style="232" customWidth="1"/>
    <col min="15097" max="15097" width="68.44140625" style="232" customWidth="1"/>
    <col min="15098" max="15098" width="14.6640625" style="232" customWidth="1"/>
    <col min="15099" max="15099" width="18" style="232" customWidth="1"/>
    <col min="15100" max="15100" width="28" style="232" customWidth="1"/>
    <col min="15101" max="15101" width="11.88671875" style="232" bestFit="1" customWidth="1"/>
    <col min="15102" max="15102" width="16" style="232" customWidth="1"/>
    <col min="15103" max="15103" width="13.44140625" style="232" customWidth="1"/>
    <col min="15104" max="15104" width="13" style="232" customWidth="1"/>
    <col min="15105" max="15105" width="13.109375" style="232" bestFit="1" customWidth="1"/>
    <col min="15106" max="15113" width="11.33203125" style="232" bestFit="1" customWidth="1"/>
    <col min="15114" max="15114" width="11.33203125" style="232" customWidth="1"/>
    <col min="15115" max="15115" width="13.109375" style="232" bestFit="1" customWidth="1"/>
    <col min="15116" max="15116" width="10" style="232" bestFit="1" customWidth="1"/>
    <col min="15117" max="15117" width="13.109375" style="232" bestFit="1" customWidth="1"/>
    <col min="15118" max="15351" width="9.109375" style="232"/>
    <col min="15352" max="15352" width="7.88671875" style="232" customWidth="1"/>
    <col min="15353" max="15353" width="68.44140625" style="232" customWidth="1"/>
    <col min="15354" max="15354" width="14.6640625" style="232" customWidth="1"/>
    <col min="15355" max="15355" width="18" style="232" customWidth="1"/>
    <col min="15356" max="15356" width="28" style="232" customWidth="1"/>
    <col min="15357" max="15357" width="11.88671875" style="232" bestFit="1" customWidth="1"/>
    <col min="15358" max="15358" width="16" style="232" customWidth="1"/>
    <col min="15359" max="15359" width="13.44140625" style="232" customWidth="1"/>
    <col min="15360" max="15360" width="13" style="232" customWidth="1"/>
    <col min="15361" max="15361" width="13.109375" style="232" bestFit="1" customWidth="1"/>
    <col min="15362" max="15369" width="11.33203125" style="232" bestFit="1" customWidth="1"/>
    <col min="15370" max="15370" width="11.33203125" style="232" customWidth="1"/>
    <col min="15371" max="15371" width="13.109375" style="232" bestFit="1" customWidth="1"/>
    <col min="15372" max="15372" width="10" style="232" bestFit="1" customWidth="1"/>
    <col min="15373" max="15373" width="13.109375" style="232" bestFit="1" customWidth="1"/>
    <col min="15374" max="15607" width="9.109375" style="232"/>
    <col min="15608" max="15608" width="7.88671875" style="232" customWidth="1"/>
    <col min="15609" max="15609" width="68.44140625" style="232" customWidth="1"/>
    <col min="15610" max="15610" width="14.6640625" style="232" customWidth="1"/>
    <col min="15611" max="15611" width="18" style="232" customWidth="1"/>
    <col min="15612" max="15612" width="28" style="232" customWidth="1"/>
    <col min="15613" max="15613" width="11.88671875" style="232" bestFit="1" customWidth="1"/>
    <col min="15614" max="15614" width="16" style="232" customWidth="1"/>
    <col min="15615" max="15615" width="13.44140625" style="232" customWidth="1"/>
    <col min="15616" max="15616" width="13" style="232" customWidth="1"/>
    <col min="15617" max="15617" width="13.109375" style="232" bestFit="1" customWidth="1"/>
    <col min="15618" max="15625" width="11.33203125" style="232" bestFit="1" customWidth="1"/>
    <col min="15626" max="15626" width="11.33203125" style="232" customWidth="1"/>
    <col min="15627" max="15627" width="13.109375" style="232" bestFit="1" customWidth="1"/>
    <col min="15628" max="15628" width="10" style="232" bestFit="1" customWidth="1"/>
    <col min="15629" max="15629" width="13.109375" style="232" bestFit="1" customWidth="1"/>
    <col min="15630" max="15863" width="9.109375" style="232"/>
    <col min="15864" max="15864" width="7.88671875" style="232" customWidth="1"/>
    <col min="15865" max="15865" width="68.44140625" style="232" customWidth="1"/>
    <col min="15866" max="15866" width="14.6640625" style="232" customWidth="1"/>
    <col min="15867" max="15867" width="18" style="232" customWidth="1"/>
    <col min="15868" max="15868" width="28" style="232" customWidth="1"/>
    <col min="15869" max="15869" width="11.88671875" style="232" bestFit="1" customWidth="1"/>
    <col min="15870" max="15870" width="16" style="232" customWidth="1"/>
    <col min="15871" max="15871" width="13.44140625" style="232" customWidth="1"/>
    <col min="15872" max="15872" width="13" style="232" customWidth="1"/>
    <col min="15873" max="15873" width="13.109375" style="232" bestFit="1" customWidth="1"/>
    <col min="15874" max="15881" width="11.33203125" style="232" bestFit="1" customWidth="1"/>
    <col min="15882" max="15882" width="11.33203125" style="232" customWidth="1"/>
    <col min="15883" max="15883" width="13.109375" style="232" bestFit="1" customWidth="1"/>
    <col min="15884" max="15884" width="10" style="232" bestFit="1" customWidth="1"/>
    <col min="15885" max="15885" width="13.109375" style="232" bestFit="1" customWidth="1"/>
    <col min="15886" max="16119" width="9.109375" style="232"/>
    <col min="16120" max="16120" width="7.88671875" style="232" customWidth="1"/>
    <col min="16121" max="16121" width="68.44140625" style="232" customWidth="1"/>
    <col min="16122" max="16122" width="14.6640625" style="232" customWidth="1"/>
    <col min="16123" max="16123" width="18" style="232" customWidth="1"/>
    <col min="16124" max="16124" width="28" style="232" customWidth="1"/>
    <col min="16125" max="16125" width="11.88671875" style="232" bestFit="1" customWidth="1"/>
    <col min="16126" max="16126" width="16" style="232" customWidth="1"/>
    <col min="16127" max="16127" width="13.44140625" style="232" customWidth="1"/>
    <col min="16128" max="16128" width="13" style="232" customWidth="1"/>
    <col min="16129" max="16129" width="13.109375" style="232" bestFit="1" customWidth="1"/>
    <col min="16130" max="16137" width="11.33203125" style="232" bestFit="1" customWidth="1"/>
    <col min="16138" max="16138" width="11.33203125" style="232" customWidth="1"/>
    <col min="16139" max="16139" width="13.109375" style="232" bestFit="1" customWidth="1"/>
    <col min="16140" max="16140" width="10" style="232" bestFit="1" customWidth="1"/>
    <col min="16141" max="16141" width="13.109375" style="232" bestFit="1" customWidth="1"/>
    <col min="16142" max="16384" width="9.109375" style="232"/>
  </cols>
  <sheetData>
    <row r="1" spans="1:28" ht="46.5" customHeight="1">
      <c r="A1" s="543" t="s">
        <v>1066</v>
      </c>
      <c r="B1" s="543"/>
      <c r="C1" s="543"/>
      <c r="D1" s="543"/>
      <c r="E1" s="543"/>
      <c r="F1" s="543"/>
      <c r="G1" s="543"/>
      <c r="H1" s="543"/>
      <c r="I1" s="543"/>
      <c r="J1" s="466"/>
      <c r="K1" s="466"/>
      <c r="M1" s="233"/>
    </row>
    <row r="2" spans="1:28" ht="30" customHeight="1">
      <c r="A2" s="544" t="s">
        <v>1488</v>
      </c>
      <c r="B2" s="544"/>
      <c r="C2" s="544"/>
      <c r="D2" s="544"/>
      <c r="E2" s="544"/>
      <c r="F2" s="544"/>
      <c r="G2" s="544"/>
      <c r="H2" s="544"/>
      <c r="I2" s="544"/>
      <c r="J2" s="466"/>
      <c r="K2" s="466"/>
      <c r="M2" s="234"/>
    </row>
    <row r="3" spans="1:28" ht="28.5" customHeight="1">
      <c r="A3" s="467"/>
      <c r="B3" s="466"/>
      <c r="C3" s="466"/>
      <c r="D3" s="545" t="s">
        <v>900</v>
      </c>
      <c r="E3" s="545"/>
      <c r="F3" s="545"/>
      <c r="G3" s="545"/>
      <c r="H3" s="545"/>
      <c r="I3" s="545"/>
      <c r="J3" s="466"/>
      <c r="K3" s="466"/>
      <c r="M3" s="236"/>
    </row>
    <row r="4" spans="1:28" ht="31.5" customHeight="1">
      <c r="A4" s="546" t="s">
        <v>1</v>
      </c>
      <c r="B4" s="546" t="s">
        <v>495</v>
      </c>
      <c r="C4" s="548" t="s">
        <v>455</v>
      </c>
      <c r="D4" s="549" t="s">
        <v>690</v>
      </c>
      <c r="E4" s="552" t="s">
        <v>1072</v>
      </c>
      <c r="F4" s="552" t="s">
        <v>1073</v>
      </c>
      <c r="G4" s="552" t="s">
        <v>1215</v>
      </c>
      <c r="H4" s="552" t="s">
        <v>1446</v>
      </c>
      <c r="I4" s="550" t="s">
        <v>6</v>
      </c>
      <c r="J4" s="466"/>
      <c r="K4" s="466"/>
      <c r="M4" s="57"/>
      <c r="N4" s="57" t="s">
        <v>455</v>
      </c>
      <c r="O4" s="56" t="s">
        <v>456</v>
      </c>
      <c r="P4" s="56" t="s">
        <v>474</v>
      </c>
      <c r="Q4" s="56" t="s">
        <v>629</v>
      </c>
      <c r="R4" s="56" t="s">
        <v>459</v>
      </c>
      <c r="S4" s="56" t="s">
        <v>460</v>
      </c>
      <c r="T4" s="56" t="s">
        <v>461</v>
      </c>
      <c r="U4" s="56" t="s">
        <v>462</v>
      </c>
      <c r="V4" s="56" t="s">
        <v>463</v>
      </c>
      <c r="W4" s="56" t="s">
        <v>464</v>
      </c>
      <c r="X4" s="56" t="s">
        <v>465</v>
      </c>
      <c r="Y4" s="56" t="s">
        <v>466</v>
      </c>
      <c r="Z4" s="56" t="s">
        <v>467</v>
      </c>
      <c r="AA4" s="56" t="s">
        <v>468</v>
      </c>
      <c r="AB4" s="56" t="s">
        <v>469</v>
      </c>
    </row>
    <row r="5" spans="1:28" ht="31.5" customHeight="1">
      <c r="A5" s="547"/>
      <c r="B5" s="547"/>
      <c r="C5" s="548"/>
      <c r="D5" s="549"/>
      <c r="E5" s="553"/>
      <c r="F5" s="553"/>
      <c r="G5" s="553"/>
      <c r="H5" s="553"/>
      <c r="I5" s="551"/>
      <c r="J5" s="466"/>
      <c r="K5" s="466"/>
      <c r="M5" s="58" t="s">
        <v>470</v>
      </c>
      <c r="N5" s="82">
        <f>SUM('1. CĐNS'!AL6,'2. SDĐ'!Z7,'3. XSKT'!AL7,'4. ĐƯCTMTQG'!AS7,'5. ĐPTTH'!AL6,'6. UBTP hoàn trả'!AH6,'7. XSKT CNT'!AB6,'9. KDSDĐ năm 2020'!AE6,'10. Boi chi'!W6,'11.VTXSKT'!U7,'12. KDCĐNS2022'!U6,'13. KDXSKT2022'!X6,'14. VTXSKT2022'!Z6)</f>
        <v>88</v>
      </c>
      <c r="O5" s="82">
        <f>SUM('1. CĐNS'!AM6,'2. SDĐ'!AA7,'3. XSKT'!AM7,'4. ĐƯCTMTQG'!AT7,'5. ĐPTTH'!AM6,'6. UBTP hoàn trả'!AI6,'7. XSKT CNT'!AC6,'9. KDSDĐ năm 2020'!AF6,'10. Boi chi'!X6,'11.VTXSKT'!V7,'12. KDCĐNS2022'!V6,'13. KDXSKT2022'!Y6,'14. VTXSKT2022'!AA6)</f>
        <v>1828215</v>
      </c>
      <c r="P5" s="82">
        <f>SUM('1. CĐNS'!AN6,'2. SDĐ'!AB7,'3. XSKT'!AN7,'4. ĐƯCTMTQG'!AU7,'5. ĐPTTH'!AN6,'6. UBTP hoàn trả'!AJ6,'7. XSKT CNT'!AD6,'9. KDSDĐ năm 2020'!AG6,'10. Boi chi'!Y6,'11.VTXSKT'!W7,'12. KDCĐNS2022'!W6,'13. KDXSKT2022'!Z6,'14. VTXSKT2022'!AB6)</f>
        <v>836319</v>
      </c>
      <c r="Q5" s="82">
        <f>SUM('1. CĐNS'!AO6,'2. SDĐ'!AC7,'3. XSKT'!AO7,'4. ĐƯCTMTQG'!AV7,'5. ĐPTTH'!AO6,'6. UBTP hoàn trả'!AK6,'7. XSKT CNT'!AE6,'9. KDSDĐ năm 2020'!AH6,'10. Boi chi'!Z6,'11.VTXSKT'!X7,'12. KDCĐNS2022'!X6,'13. KDXSKT2022'!AA6,'14. VTXSKT2022'!AC6)</f>
        <v>283535</v>
      </c>
      <c r="R5" s="82">
        <f>SUM('1. CĐNS'!AP6,'2. SDĐ'!AD7,'3. XSKT'!AP7,'4. ĐƯCTMTQG'!AW7,'5. ĐPTTH'!AP6,'6. UBTP hoàn trả'!AL6,'7. XSKT CNT'!AF6,'9. KDSDĐ năm 2020'!AI6,'10. Boi chi'!AA6,'11.VTXSKT'!Y7,'12. KDCĐNS2022'!Y6,'13. KDXSKT2022'!AB6,'14. VTXSKT2022'!AD6)</f>
        <v>127904</v>
      </c>
      <c r="S5" s="82">
        <f>SUM('1. CĐNS'!AQ6,'2. SDĐ'!AE7,'3. XSKT'!AQ7,'4. ĐƯCTMTQG'!AX7,'5. ĐPTTH'!AQ6,'6. UBTP hoàn trả'!AM6,'7. XSKT CNT'!AG6,'9. KDSDĐ năm 2020'!AJ6,'10. Boi chi'!AB6,'11.VTXSKT'!Z7,'12. KDCĐNS2022'!Z6,'13. KDXSKT2022'!AC6,'14. VTXSKT2022'!AE6)</f>
        <v>114377</v>
      </c>
      <c r="T5" s="82">
        <f>SUM('1. CĐNS'!AR6,'2. SDĐ'!AF7,'3. XSKT'!AR7,'4. ĐƯCTMTQG'!AY7,'5. ĐPTTH'!AR6,'6. UBTP hoàn trả'!AN6,'7. XSKT CNT'!AH6,'9. KDSDĐ năm 2020'!AK6,'10. Boi chi'!AC6,'11.VTXSKT'!AA7,'12. KDCĐNS2022'!AA6,'13. KDXSKT2022'!AD6,'14. VTXSKT2022'!AF6)</f>
        <v>245645</v>
      </c>
      <c r="U5" s="82">
        <f>SUM('1. CĐNS'!AS6,'2. SDĐ'!AG7,'3. XSKT'!AS7,'4. ĐƯCTMTQG'!AZ7,'5. ĐPTTH'!AS6,'6. UBTP hoàn trả'!AO6,'7. XSKT CNT'!AI6,'9. KDSDĐ năm 2020'!AL6,'10. Boi chi'!AD6,'11.VTXSKT'!AB7,'12. KDCĐNS2022'!AB6,'13. KDXSKT2022'!AE6,'14. VTXSKT2022'!AG6)</f>
        <v>13100</v>
      </c>
      <c r="V5" s="82">
        <f>SUM('1. CĐNS'!AT6,'2. SDĐ'!AH7,'3. XSKT'!AT7,'4. ĐƯCTMTQG'!BA7,'5. ĐPTTH'!AT6,'6. UBTP hoàn trả'!AP6,'7. XSKT CNT'!AJ6,'9. KDSDĐ năm 2020'!AM6,'10. Boi chi'!AE6,'11.VTXSKT'!AC7,'12. KDCĐNS2022'!AC6,'13. KDXSKT2022'!AF6,'14. VTXSKT2022'!AH6)</f>
        <v>27700</v>
      </c>
      <c r="W5" s="82">
        <f>SUM('1. CĐNS'!AU6,'2. SDĐ'!AI7,'3. XSKT'!AU7,'4. ĐƯCTMTQG'!BB7,'5. ĐPTTH'!AU6,'6. UBTP hoàn trả'!AQ6,'7. XSKT CNT'!AK6,'9. KDSDĐ năm 2020'!AN6,'10. Boi chi'!AF6,'11.VTXSKT'!AD7,'12. KDCĐNS2022'!AD6,'13. KDXSKT2022'!AG6,'14. VTXSKT2022'!AI6)</f>
        <v>950</v>
      </c>
      <c r="X5" s="82">
        <f>SUM('1. CĐNS'!AV6,'2. SDĐ'!AJ7,'3. XSKT'!AV7,'4. ĐƯCTMTQG'!BC7,'5. ĐPTTH'!AV6,'6. UBTP hoàn trả'!AR6,'7. XSKT CNT'!AL6,'9. KDSDĐ năm 2020'!AO6,'10. Boi chi'!AG6,'11.VTXSKT'!AE7,'12. KDCĐNS2022'!AE6,'13. KDXSKT2022'!AH6,'14. VTXSKT2022'!AJ6)</f>
        <v>0</v>
      </c>
      <c r="Y5" s="82">
        <f>SUM('1. CĐNS'!AW6,'2. SDĐ'!AK7,'3. XSKT'!AW7,'4. ĐƯCTMTQG'!BD7,'5. ĐPTTH'!AW6,'6. UBTP hoàn trả'!AS6,'7. XSKT CNT'!AM6,'9. KDSDĐ năm 2020'!AP6,'10. Boi chi'!AH6,'11.VTXSKT'!AF7,'12. KDCĐNS2022'!AF6,'13. KDXSKT2022'!AI6,'14. VTXSKT2022'!AK6)</f>
        <v>22328</v>
      </c>
      <c r="Z5" s="82">
        <f>SUM('1. CĐNS'!AX6,'2. SDĐ'!AL7,'3. XSKT'!AX7,'4. ĐƯCTMTQG'!BE7,'5. ĐPTTH'!AX6,'6. UBTP hoàn trả'!AT6,'7. XSKT CNT'!AN6,'9. KDSDĐ năm 2020'!AQ6,'10. Boi chi'!AI6,'11.VTXSKT'!AG7,'12. KDCĐNS2022'!AG6,'13. KDXSKT2022'!AJ6,'14. VTXSKT2022'!AL6)</f>
        <v>0</v>
      </c>
      <c r="AA5" s="82">
        <f>SUM('1. CĐNS'!AY6,'2. SDĐ'!AM7,'3. XSKT'!AY7,'4. ĐƯCTMTQG'!BF7,'5. ĐPTTH'!AY6,'6. UBTP hoàn trả'!AU6,'7. XSKT CNT'!AO6,'9. KDSDĐ năm 2020'!AR6,'10. Boi chi'!AJ6,'11.VTXSKT'!AH7,'12. KDCĐNS2022'!AH6,'13. KDXSKT2022'!AK6,'14. VTXSKT2022'!AM6)</f>
        <v>148857</v>
      </c>
      <c r="AB5" s="82">
        <f>SUM('1. CĐNS'!AZ6,'2. SDĐ'!AN7,'3. XSKT'!AZ7,'4. ĐƯCTMTQG'!BG7,'5. ĐPTTH'!AZ6,'6. UBTP hoàn trả'!AV6,'7. XSKT CNT'!AP6,'9. KDSDĐ năm 2020'!AS6,'10. Boi chi'!AK6,'11.VTXSKT'!AI7,'12. KDCĐNS2022'!AI6,'13. KDXSKT2022'!AL6,'14. VTXSKT2022'!AN6)</f>
        <v>7500</v>
      </c>
    </row>
    <row r="6" spans="1:28" s="233" customFormat="1" ht="41.25" customHeight="1">
      <c r="A6" s="468"/>
      <c r="B6" s="469" t="s">
        <v>280</v>
      </c>
      <c r="C6" s="470">
        <f>SUM(C7,C16,C23,C43,C47,C50,C54,C58,C61,C64,C68,C71,C79,)</f>
        <v>220</v>
      </c>
      <c r="D6" s="470">
        <f>SUM(D7,D16,D23,D43,D47,D50,D54,D58,D61,D64,D68,D71,D79,D85,D88,D91,D94,D97,D100,D103)</f>
        <v>4374085</v>
      </c>
      <c r="E6" s="470">
        <f>SUM(E7,E16,E23,E43,E47,E50,E54,E58,E61,E64,E68,E71,E79,E85,E88,E91,E94,E97,E100,E103)</f>
        <v>442169</v>
      </c>
      <c r="F6" s="471">
        <f>SUM(F7,F16,F23,F43,F47,F50,F54,F58,F61,F64,F68,F71,F79,F85,F88,F91,F94,F97,F100,F103)</f>
        <v>-1020208</v>
      </c>
      <c r="G6" s="470">
        <f>SUM(G7,G16,G23,G43,G47,G50,G54,G58,G61,G64,G68,G71,G79,G85,G88,G91,G94,G97,G100,G103)</f>
        <v>3796046</v>
      </c>
      <c r="H6" s="472">
        <f>G6-D6</f>
        <v>-578039</v>
      </c>
      <c r="I6" s="473"/>
      <c r="J6" s="474"/>
      <c r="K6" s="475"/>
      <c r="M6" s="57" t="s">
        <v>471</v>
      </c>
      <c r="N6" s="82">
        <f>SUM('1. CĐNS'!AL7,'2. SDĐ'!Z8,'3. XSKT'!AL8,'4. ĐƯCTMTQG'!AS8,'5. ĐPTTH'!AL7,'6. UBTP hoàn trả'!AH7,'7. XSKT CNT'!AB7,'9. KDSDĐ năm 2020'!AE7,'10. Boi chi'!W7,'11.VTXSKT'!U8,'12. KDCĐNS2022'!U7,'13. KDXSKT2022'!X7,'14. VTXSKT2022'!Z7)</f>
        <v>59</v>
      </c>
      <c r="O6" s="82">
        <f>SUM('1. CĐNS'!AM7,'2. SDĐ'!AA8,'3. XSKT'!AM8,'4. ĐƯCTMTQG'!AT8,'5. ĐPTTH'!AM7,'6. UBTP hoàn trả'!AI7,'7. XSKT CNT'!AC7,'9. KDSDĐ năm 2020'!AF7,'10. Boi chi'!X7,'11.VTXSKT'!V8,'12. KDCĐNS2022'!V7,'13. KDXSKT2022'!Y7,'14. VTXSKT2022'!AA7)</f>
        <v>390148</v>
      </c>
      <c r="P6" s="82">
        <f>SUM('1. CĐNS'!AN7,'2. SDĐ'!AB8,'3. XSKT'!AN8,'4. ĐƯCTMTQG'!AU8,'5. ĐPTTH'!AN7,'6. UBTP hoàn trả'!AJ7,'7. XSKT CNT'!AD7,'9. KDSDĐ năm 2020'!AG7,'10. Boi chi'!Y7,'11.VTXSKT'!W8,'12. KDCĐNS2022'!W7,'13. KDXSKT2022'!Z7,'14. VTXSKT2022'!AB7)</f>
        <v>134700</v>
      </c>
      <c r="Q6" s="82">
        <f>SUM('1. CĐNS'!AO7,'2. SDĐ'!AC8,'3. XSKT'!AO8,'4. ĐƯCTMTQG'!AV8,'5. ĐPTTH'!AO7,'6. UBTP hoàn trả'!AK7,'7. XSKT CNT'!AE7,'9. KDSDĐ năm 2020'!AH7,'10. Boi chi'!Z7,'11.VTXSKT'!X8,'12. KDCĐNS2022'!X7,'13. KDXSKT2022'!AA7,'14. VTXSKT2022'!AC7)</f>
        <v>7000</v>
      </c>
      <c r="R6" s="82">
        <f>SUM('1. CĐNS'!AP7,'2. SDĐ'!AD8,'3. XSKT'!AP8,'4. ĐƯCTMTQG'!AW8,'5. ĐPTTH'!AP7,'6. UBTP hoàn trả'!AL7,'7. XSKT CNT'!AF7,'9. KDSDĐ năm 2020'!AI7,'10. Boi chi'!AA7,'11.VTXSKT'!Y8,'12. KDCĐNS2022'!Y7,'13. KDXSKT2022'!AB7,'14. VTXSKT2022'!AD7)</f>
        <v>50800</v>
      </c>
      <c r="S6" s="82">
        <f>SUM('1. CĐNS'!AQ7,'2. SDĐ'!AE8,'3. XSKT'!AQ8,'4. ĐƯCTMTQG'!AX8,'5. ĐPTTH'!AQ7,'6. UBTP hoàn trả'!AM7,'7. XSKT CNT'!AG7,'9. KDSDĐ năm 2020'!AJ7,'10. Boi chi'!AB7,'11.VTXSKT'!Z8,'12. KDCĐNS2022'!Z7,'13. KDXSKT2022'!AC7,'14. VTXSKT2022'!AE7)</f>
        <v>8100</v>
      </c>
      <c r="T6" s="82">
        <f>SUM('1. CĐNS'!AR7,'2. SDĐ'!AF8,'3. XSKT'!AR8,'4. ĐƯCTMTQG'!AY8,'5. ĐPTTH'!AR7,'6. UBTP hoàn trả'!AN7,'7. XSKT CNT'!AH7,'9. KDSDĐ năm 2020'!AK7,'10. Boi chi'!AC7,'11.VTXSKT'!AA8,'12. KDCĐNS2022'!AA7,'13. KDXSKT2022'!AD7,'14. VTXSKT2022'!AF7)</f>
        <v>135400</v>
      </c>
      <c r="U6" s="82">
        <f>SUM('1. CĐNS'!AS7,'2. SDĐ'!AG8,'3. XSKT'!AS8,'4. ĐƯCTMTQG'!AZ8,'5. ĐPTTH'!AS7,'6. UBTP hoàn trả'!AO7,'7. XSKT CNT'!AI7,'9. KDSDĐ năm 2020'!AL7,'10. Boi chi'!AD7,'11.VTXSKT'!AB8,'12. KDCĐNS2022'!AB7,'13. KDXSKT2022'!AE7,'14. VTXSKT2022'!AG7)</f>
        <v>48</v>
      </c>
      <c r="V6" s="82">
        <f>SUM('1. CĐNS'!AT7,'2. SDĐ'!AH8,'3. XSKT'!AT8,'4. ĐƯCTMTQG'!BA8,'5. ĐPTTH'!AT7,'6. UBTP hoàn trả'!AP7,'7. XSKT CNT'!AJ7,'9. KDSDĐ năm 2020'!AM7,'10. Boi chi'!AE7,'11.VTXSKT'!AC8,'12. KDCĐNS2022'!AC7,'13. KDXSKT2022'!AF7,'14. VTXSKT2022'!AH7)</f>
        <v>0</v>
      </c>
      <c r="W6" s="82">
        <f>SUM('1. CĐNS'!AU7,'2. SDĐ'!AI8,'3. XSKT'!AU8,'4. ĐƯCTMTQG'!BB8,'5. ĐPTTH'!AU7,'6. UBTP hoàn trả'!AQ7,'7. XSKT CNT'!AK7,'9. KDSDĐ năm 2020'!AN7,'10. Boi chi'!AF7,'11.VTXSKT'!AD8,'12. KDCĐNS2022'!AD7,'13. KDXSKT2022'!AG7,'14. VTXSKT2022'!AI7)</f>
        <v>25300</v>
      </c>
      <c r="X6" s="82">
        <f>SUM('1. CĐNS'!AV7,'2. SDĐ'!AJ8,'3. XSKT'!AV8,'4. ĐƯCTMTQG'!BC8,'5. ĐPTTH'!AV7,'6. UBTP hoàn trả'!AR7,'7. XSKT CNT'!AL7,'9. KDSDĐ năm 2020'!AO7,'10. Boi chi'!AG7,'11.VTXSKT'!AE8,'12. KDCĐNS2022'!AE7,'13. KDXSKT2022'!AH7,'14. VTXSKT2022'!AJ7)</f>
        <v>0</v>
      </c>
      <c r="Y6" s="82">
        <f>SUM('1. CĐNS'!AW7,'2. SDĐ'!AK8,'3. XSKT'!AW8,'4. ĐƯCTMTQG'!BD8,'5. ĐPTTH'!AW7,'6. UBTP hoàn trả'!AS7,'7. XSKT CNT'!AM7,'9. KDSDĐ năm 2020'!AP7,'10. Boi chi'!AH7,'11.VTXSKT'!AF8,'12. KDCĐNS2022'!AF7,'13. KDXSKT2022'!AI7,'14. VTXSKT2022'!AK7)</f>
        <v>18500</v>
      </c>
      <c r="Z6" s="82">
        <f>SUM('1. CĐNS'!AX7,'2. SDĐ'!AL8,'3. XSKT'!AX8,'4. ĐƯCTMTQG'!BE8,'5. ĐPTTH'!AX7,'6. UBTP hoàn trả'!AT7,'7. XSKT CNT'!AN7,'9. KDSDĐ năm 2020'!AQ7,'10. Boi chi'!AI7,'11.VTXSKT'!AG8,'12. KDCĐNS2022'!AG7,'13. KDXSKT2022'!AJ7,'14. VTXSKT2022'!AL7)</f>
        <v>10300</v>
      </c>
      <c r="AA6" s="82">
        <f>SUM('1. CĐNS'!AY7,'2. SDĐ'!AM8,'3. XSKT'!AY8,'4. ĐƯCTMTQG'!BF8,'5. ĐPTTH'!AY7,'6. UBTP hoàn trả'!AU7,'7. XSKT CNT'!AO7,'9. KDSDĐ năm 2020'!AR7,'10. Boi chi'!AJ7,'11.VTXSKT'!AH8,'12. KDCĐNS2022'!AH7,'13. KDXSKT2022'!AK7,'14. VTXSKT2022'!AM7)</f>
        <v>0</v>
      </c>
      <c r="AB6" s="82">
        <f>SUM('1. CĐNS'!AZ7,'2. SDĐ'!AN8,'3. XSKT'!AZ8,'4. ĐƯCTMTQG'!BG8,'5. ĐPTTH'!AZ7,'6. UBTP hoàn trả'!AV7,'7. XSKT CNT'!AP7,'9. KDSDĐ năm 2020'!AS7,'10. Boi chi'!AK7,'11.VTXSKT'!AI8,'12. KDCĐNS2022'!AI7,'13. KDXSKT2022'!AL7,'14. VTXSKT2022'!AN7)</f>
        <v>0</v>
      </c>
    </row>
    <row r="7" spans="1:28" s="451" customFormat="1" ht="35.1" customHeight="1">
      <c r="A7" s="468" t="s">
        <v>86</v>
      </c>
      <c r="B7" s="476" t="s">
        <v>496</v>
      </c>
      <c r="C7" s="477">
        <f>SUM(C8:C10)</f>
        <v>37</v>
      </c>
      <c r="D7" s="470">
        <f>'1. CĐNS'!Y8</f>
        <v>555197</v>
      </c>
      <c r="E7" s="470">
        <f>'1. CĐNS'!Z8</f>
        <v>42850</v>
      </c>
      <c r="F7" s="471">
        <f>'1. CĐNS'!AA8</f>
        <v>-42850</v>
      </c>
      <c r="G7" s="470">
        <f>'1. CĐNS'!AB8</f>
        <v>555197</v>
      </c>
      <c r="H7" s="478">
        <f t="shared" ref="H7:H79" si="0">G7-D7</f>
        <v>0</v>
      </c>
      <c r="I7" s="479" t="s">
        <v>528</v>
      </c>
      <c r="J7" s="480"/>
      <c r="K7" s="480">
        <f>SUM(D8:D10)-D7</f>
        <v>0</v>
      </c>
      <c r="M7" s="452" t="s">
        <v>470</v>
      </c>
      <c r="N7" s="428">
        <f>SUM(P7:AB7)</f>
        <v>88</v>
      </c>
      <c r="O7" s="428"/>
      <c r="P7" s="428">
        <f>SUM('1. CĐNS'!AN8,'2. SDĐ'!AB9,'3. XSKT'!AN9,'4. ĐƯCTMTQG'!AU9,'5. ĐPTTH'!AN8,'6. UBTP hoàn trả'!AJ8,'7. XSKT CNT'!AD8,'9. KDSDĐ năm 2020'!AG8,'10. Boi chi'!Y8,'11.VTXSKT'!W9,'12. KDCĐNS2022'!W8,'13. KDXSKT2022'!Z8,'14. VTXSKT2022'!AB8)</f>
        <v>32</v>
      </c>
      <c r="Q7" s="428">
        <f>SUM('1. CĐNS'!AO8,'2. SDĐ'!AC9,'3. XSKT'!AO9,'4. ĐƯCTMTQG'!AV9,'5. ĐPTTH'!AO8,'6. UBTP hoàn trả'!AK8,'7. XSKT CNT'!AE8,'9. KDSDĐ năm 2020'!AH8,'10. Boi chi'!Z8,'11.VTXSKT'!X9,'12. KDCĐNS2022'!X8,'13. KDXSKT2022'!AA8,'14. VTXSKT2022'!AC8)</f>
        <v>14</v>
      </c>
      <c r="R7" s="428">
        <f>SUM('1. CĐNS'!AP8,'2. SDĐ'!AD9,'3. XSKT'!AP9,'4. ĐƯCTMTQG'!AW9,'5. ĐPTTH'!AP8,'6. UBTP hoàn trả'!AL8,'7. XSKT CNT'!AF8,'9. KDSDĐ năm 2020'!AI8,'10. Boi chi'!AA8,'11.VTXSKT'!Y9,'12. KDCĐNS2022'!Y8,'13. KDXSKT2022'!AB8,'14. VTXSKT2022'!AD8)</f>
        <v>16</v>
      </c>
      <c r="S7" s="428">
        <f>SUM('1. CĐNS'!AQ8,'2. SDĐ'!AE9,'3. XSKT'!AQ9,'4. ĐƯCTMTQG'!AX9,'5. ĐPTTH'!AQ8,'6. UBTP hoàn trả'!AM8,'7. XSKT CNT'!AG8,'9. KDSDĐ năm 2020'!AJ8,'10. Boi chi'!AB8,'11.VTXSKT'!Z9,'12. KDCĐNS2022'!Z8,'13. KDXSKT2022'!AC8,'14. VTXSKT2022'!AE8)</f>
        <v>3</v>
      </c>
      <c r="T7" s="428">
        <f>SUM('1. CĐNS'!AR8,'2. SDĐ'!AF9,'3. XSKT'!AR9,'4. ĐƯCTMTQG'!AY9,'5. ĐPTTH'!AR8,'6. UBTP hoàn trả'!AN8,'7. XSKT CNT'!AH8,'9. KDSDĐ năm 2020'!AK8,'10. Boi chi'!AC8,'11.VTXSKT'!AA9,'12. KDCĐNS2022'!AA8,'13. KDXSKT2022'!AD8,'14. VTXSKT2022'!AF8)</f>
        <v>9</v>
      </c>
      <c r="U7" s="428">
        <f>SUM('1. CĐNS'!AS8,'2. SDĐ'!AG9,'3. XSKT'!AS9,'4. ĐƯCTMTQG'!AZ9,'5. ĐPTTH'!AS8,'6. UBTP hoàn trả'!AO8,'7. XSKT CNT'!AI8,'9. KDSDĐ năm 2020'!AL8,'10. Boi chi'!AD8,'11.VTXSKT'!AB9,'12. KDCĐNS2022'!AB8,'13. KDXSKT2022'!AE8,'14. VTXSKT2022'!AG8)</f>
        <v>2</v>
      </c>
      <c r="V7" s="428">
        <f>SUM('1. CĐNS'!AT8,'2. SDĐ'!AH9,'3. XSKT'!AT9,'4. ĐƯCTMTQG'!BA9,'5. ĐPTTH'!AT8,'6. UBTP hoàn trả'!AP8,'7. XSKT CNT'!AJ8,'9. KDSDĐ năm 2020'!AM8,'10. Boi chi'!AE8,'11.VTXSKT'!AC9,'12. KDCĐNS2022'!AC8,'13. KDXSKT2022'!AF8,'14. VTXSKT2022'!AH8)</f>
        <v>5</v>
      </c>
      <c r="W7" s="428">
        <f>SUM('1. CĐNS'!AU8,'2. SDĐ'!AI9,'3. XSKT'!AU9,'4. ĐƯCTMTQG'!BB9,'5. ĐPTTH'!AU8,'6. UBTP hoàn trả'!AQ8,'7. XSKT CNT'!AK8,'9. KDSDĐ năm 2020'!AN8,'10. Boi chi'!AF8,'11.VTXSKT'!AD9,'12. KDCĐNS2022'!AD8,'13. KDXSKT2022'!AG8,'14. VTXSKT2022'!AI8)</f>
        <v>1</v>
      </c>
      <c r="X7" s="428">
        <f>SUM('1. CĐNS'!AV8,'2. SDĐ'!AJ9,'3. XSKT'!AV9,'4. ĐƯCTMTQG'!BC9,'5. ĐPTTH'!AV8,'6. UBTP hoàn trả'!AR8,'7. XSKT CNT'!AL8,'9. KDSDĐ năm 2020'!AO8,'10. Boi chi'!AG8,'11.VTXSKT'!AE9,'12. KDCĐNS2022'!AE8,'13. KDXSKT2022'!AH8,'14. VTXSKT2022'!AJ8)</f>
        <v>0</v>
      </c>
      <c r="Y7" s="428">
        <f>SUM('1. CĐNS'!AW8,'2. SDĐ'!AK9,'3. XSKT'!AW9,'4. ĐƯCTMTQG'!BD9,'5. ĐPTTH'!AW8,'6. UBTP hoàn trả'!AS8,'7. XSKT CNT'!AM8,'9. KDSDĐ năm 2020'!AP8,'10. Boi chi'!AH8,'11.VTXSKT'!AF9,'12. KDCĐNS2022'!AF8,'13. KDXSKT2022'!AI8,'14. VTXSKT2022'!AK8)</f>
        <v>3</v>
      </c>
      <c r="Z7" s="428">
        <f>SUM('1. CĐNS'!AX8,'2. SDĐ'!AL9,'3. XSKT'!AX9,'4. ĐƯCTMTQG'!BE9,'5. ĐPTTH'!AX8,'6. UBTP hoàn trả'!AT8,'7. XSKT CNT'!AN8,'9. KDSDĐ năm 2020'!AQ8,'10. Boi chi'!AI8,'11.VTXSKT'!AG9,'12. KDCĐNS2022'!AG8,'13. KDXSKT2022'!AJ8,'14. VTXSKT2022'!AL8)</f>
        <v>0</v>
      </c>
      <c r="AA7" s="428">
        <f>SUM('1. CĐNS'!AY8,'2. SDĐ'!AM9,'3. XSKT'!AY9,'4. ĐƯCTMTQG'!BF9,'5. ĐPTTH'!AY8,'6. UBTP hoàn trả'!AU8,'7. XSKT CNT'!AO8,'9. KDSDĐ năm 2020'!AR8,'10. Boi chi'!AJ8,'11.VTXSKT'!AH9,'12. KDCĐNS2022'!AH8,'13. KDXSKT2022'!AK8,'14. VTXSKT2022'!AM8)</f>
        <v>2</v>
      </c>
      <c r="AB7" s="428">
        <f>SUM('1. CĐNS'!AZ8,'2. SDĐ'!AN9,'3. XSKT'!AZ9,'4. ĐƯCTMTQG'!BG9,'5. ĐPTTH'!AZ8,'6. UBTP hoàn trả'!AV8,'7. XSKT CNT'!AP8,'9. KDSDĐ năm 2020'!AS8,'10. Boi chi'!AK8,'11.VTXSKT'!AI9,'12. KDCĐNS2022'!AI8,'13. KDXSKT2022'!AL8,'14. VTXSKT2022'!AN8)</f>
        <v>1</v>
      </c>
    </row>
    <row r="8" spans="1:28" s="239" customFormat="1" ht="39.75" customHeight="1">
      <c r="A8" s="481" t="s">
        <v>904</v>
      </c>
      <c r="B8" s="482" t="s">
        <v>497</v>
      </c>
      <c r="C8" s="483"/>
      <c r="D8" s="484">
        <f>'1. CĐNS'!Y9</f>
        <v>145200</v>
      </c>
      <c r="E8" s="484">
        <f>'1. CĐNS'!Z9</f>
        <v>0</v>
      </c>
      <c r="F8" s="485">
        <f>'1. CĐNS'!AA9</f>
        <v>0</v>
      </c>
      <c r="G8" s="484">
        <f>'1. CĐNS'!AB9</f>
        <v>145200</v>
      </c>
      <c r="H8" s="486">
        <f t="shared" si="0"/>
        <v>0</v>
      </c>
      <c r="I8" s="487"/>
      <c r="J8" s="488"/>
      <c r="K8" s="489"/>
      <c r="M8" s="42" t="s">
        <v>471</v>
      </c>
      <c r="N8" s="44">
        <f>SUM(P8:AB8)</f>
        <v>59</v>
      </c>
      <c r="O8" s="44"/>
      <c r="P8" s="44">
        <f>SUM('1. CĐNS'!AN9,'2. SDĐ'!AB10,'3. XSKT'!AN10,'4. ĐƯCTMTQG'!AU10,'5. ĐPTTH'!AN9,'6. UBTP hoàn trả'!AJ9,'7. XSKT CNT'!AD9,'9. KDSDĐ năm 2020'!AG9,'10. Boi chi'!Y9,'11.VTXSKT'!W10,'12. KDCĐNS2022'!W9,'13. KDXSKT2022'!Z9,'14. VTXSKT2022'!AB9)</f>
        <v>12</v>
      </c>
      <c r="Q8" s="44">
        <f>SUM('1. CĐNS'!AO9,'2. SDĐ'!AC10,'3. XSKT'!AO10,'4. ĐƯCTMTQG'!AV10,'5. ĐPTTH'!AO9,'6. UBTP hoàn trả'!AK9,'7. XSKT CNT'!AE9,'9. KDSDĐ năm 2020'!AH9,'10. Boi chi'!Z9,'11.VTXSKT'!X10,'12. KDCĐNS2022'!X9,'13. KDXSKT2022'!AA9,'14. VTXSKT2022'!AC9)</f>
        <v>3</v>
      </c>
      <c r="R8" s="44">
        <f>SUM('1. CĐNS'!AP9,'2. SDĐ'!AD10,'3. XSKT'!AP10,'4. ĐƯCTMTQG'!AW10,'5. ĐPTTH'!AP9,'6. UBTP hoàn trả'!AL9,'7. XSKT CNT'!AF9,'9. KDSDĐ năm 2020'!AI9,'10. Boi chi'!AA9,'11.VTXSKT'!Y10,'12. KDCĐNS2022'!Y9,'13. KDXSKT2022'!AB9,'14. VTXSKT2022'!AD9)</f>
        <v>7</v>
      </c>
      <c r="S8" s="44">
        <f>SUM('1. CĐNS'!AQ9,'2. SDĐ'!AE10,'3. XSKT'!AQ10,'4. ĐƯCTMTQG'!AX10,'5. ĐPTTH'!AQ9,'6. UBTP hoàn trả'!AM9,'7. XSKT CNT'!AG9,'9. KDSDĐ năm 2020'!AJ9,'10. Boi chi'!AB9,'11.VTXSKT'!Z10,'12. KDCĐNS2022'!Z9,'13. KDXSKT2022'!AC9,'14. VTXSKT2022'!AE9)</f>
        <v>13</v>
      </c>
      <c r="T8" s="44">
        <f>SUM('1. CĐNS'!AR9,'2. SDĐ'!AF10,'3. XSKT'!AR10,'4. ĐƯCTMTQG'!AY10,'5. ĐPTTH'!AR9,'6. UBTP hoàn trả'!AN9,'7. XSKT CNT'!AH9,'9. KDSDĐ năm 2020'!AK9,'10. Boi chi'!AC9,'11.VTXSKT'!AA10,'12. KDCĐNS2022'!AA9,'13. KDXSKT2022'!AD9,'14. VTXSKT2022'!AF9)</f>
        <v>11</v>
      </c>
      <c r="U8" s="44">
        <f>SUM('1. CĐNS'!AS9,'2. SDĐ'!AG10,'3. XSKT'!AS10,'4. ĐƯCTMTQG'!AZ10,'5. ĐPTTH'!AS9,'6. UBTP hoàn trả'!AO9,'7. XSKT CNT'!AI9,'9. KDSDĐ năm 2020'!AL9,'10. Boi chi'!AD9,'11.VTXSKT'!AB10,'12. KDCĐNS2022'!AB9,'13. KDXSKT2022'!AE9,'14. VTXSKT2022'!AG9)</f>
        <v>1</v>
      </c>
      <c r="V8" s="44">
        <f>SUM('1. CĐNS'!AT9,'2. SDĐ'!AH10,'3. XSKT'!AT10,'4. ĐƯCTMTQG'!BA10,'5. ĐPTTH'!AT9,'6. UBTP hoàn trả'!AP9,'7. XSKT CNT'!AJ9,'9. KDSDĐ năm 2020'!AM9,'10. Boi chi'!AE9,'11.VTXSKT'!AC10,'12. KDCĐNS2022'!AC9,'13. KDXSKT2022'!AF9,'14. VTXSKT2022'!AH9)</f>
        <v>0</v>
      </c>
      <c r="W8" s="44">
        <f>SUM('1. CĐNS'!AU9,'2. SDĐ'!AI10,'3. XSKT'!AU10,'4. ĐƯCTMTQG'!BB10,'5. ĐPTTH'!AU9,'6. UBTP hoàn trả'!AQ9,'7. XSKT CNT'!AK9,'9. KDSDĐ năm 2020'!AN9,'10. Boi chi'!AF9,'11.VTXSKT'!AD10,'12. KDCĐNS2022'!AD9,'13. KDXSKT2022'!AG9,'14. VTXSKT2022'!AI9)</f>
        <v>5</v>
      </c>
      <c r="X8" s="44">
        <f>SUM('1. CĐNS'!AV9,'2. SDĐ'!AJ10,'3. XSKT'!AV10,'4. ĐƯCTMTQG'!BC10,'5. ĐPTTH'!AV9,'6. UBTP hoàn trả'!AR9,'7. XSKT CNT'!AL9,'9. KDSDĐ năm 2020'!AO9,'10. Boi chi'!AG9,'11.VTXSKT'!AE10,'12. KDCĐNS2022'!AE9,'13. KDXSKT2022'!AH9,'14. VTXSKT2022'!AJ9)</f>
        <v>0</v>
      </c>
      <c r="Y8" s="44">
        <f>SUM('1. CĐNS'!AW9,'2. SDĐ'!AK10,'3. XSKT'!AW10,'4. ĐƯCTMTQG'!BD10,'5. ĐPTTH'!AW9,'6. UBTP hoàn trả'!AS9,'7. XSKT CNT'!AM9,'9. KDSDĐ năm 2020'!AP9,'10. Boi chi'!AH9,'11.VTXSKT'!AF10,'12. KDCĐNS2022'!AF9,'13. KDXSKT2022'!AI9,'14. VTXSKT2022'!AK9)</f>
        <v>4</v>
      </c>
      <c r="Z8" s="44">
        <f>SUM('1. CĐNS'!AX9,'2. SDĐ'!AL10,'3. XSKT'!AX10,'4. ĐƯCTMTQG'!BE10,'5. ĐPTTH'!AX9,'6. UBTP hoàn trả'!AT9,'7. XSKT CNT'!AN9,'9. KDSDĐ năm 2020'!AQ9,'10. Boi chi'!AI9,'11.VTXSKT'!AG10,'12. KDCĐNS2022'!AG9,'13. KDXSKT2022'!AJ9,'14. VTXSKT2022'!AL9)</f>
        <v>3</v>
      </c>
      <c r="AA8" s="44">
        <f>SUM('1. CĐNS'!AY9,'2. SDĐ'!AM10,'3. XSKT'!AY10,'4. ĐƯCTMTQG'!BF10,'5. ĐPTTH'!AY9,'6. UBTP hoàn trả'!AU9,'7. XSKT CNT'!AO9,'9. KDSDĐ năm 2020'!AR9,'10. Boi chi'!AJ9,'11.VTXSKT'!AH10,'12. KDCĐNS2022'!AH9,'13. KDXSKT2022'!AK9,'14. VTXSKT2022'!AM9)</f>
        <v>0</v>
      </c>
      <c r="AB8" s="44">
        <f>SUM('1. CĐNS'!AZ9,'2. SDĐ'!AN10,'3. XSKT'!AZ10,'4. ĐƯCTMTQG'!BG10,'5. ĐPTTH'!AZ9,'6. UBTP hoàn trả'!AV9,'7. XSKT CNT'!AP9,'9. KDSDĐ năm 2020'!AS9,'10. Boi chi'!AK9,'11.VTXSKT'!AI10,'12. KDCĐNS2022'!AI9,'13. KDXSKT2022'!AL9,'14. VTXSKT2022'!AN9)</f>
        <v>0</v>
      </c>
    </row>
    <row r="9" spans="1:28" s="239" customFormat="1" ht="39.75" customHeight="1">
      <c r="A9" s="481" t="s">
        <v>905</v>
      </c>
      <c r="B9" s="482" t="s">
        <v>903</v>
      </c>
      <c r="C9" s="483"/>
      <c r="D9" s="484">
        <f>'1. CĐNS'!Y18</f>
        <v>28700</v>
      </c>
      <c r="E9" s="484">
        <f>'1. CĐNS'!Z18</f>
        <v>0</v>
      </c>
      <c r="F9" s="485">
        <f>'1. CĐNS'!AA18</f>
        <v>0</v>
      </c>
      <c r="G9" s="484">
        <f>'1. CĐNS'!AB18</f>
        <v>28700</v>
      </c>
      <c r="H9" s="486">
        <f t="shared" si="0"/>
        <v>0</v>
      </c>
      <c r="I9" s="487"/>
      <c r="J9" s="488"/>
      <c r="K9" s="489"/>
      <c r="O9" s="238">
        <f>SUM(O5:O6,'16. DA chưa QĐĐT (2)'!Y8)</f>
        <v>2784663</v>
      </c>
    </row>
    <row r="10" spans="1:28" s="239" customFormat="1" ht="39.75" customHeight="1">
      <c r="A10" s="481" t="s">
        <v>913</v>
      </c>
      <c r="B10" s="482" t="s">
        <v>498</v>
      </c>
      <c r="C10" s="483">
        <f>SUM(C11:C12)</f>
        <v>37</v>
      </c>
      <c r="D10" s="484">
        <f>'1. CĐNS'!Y19</f>
        <v>381297</v>
      </c>
      <c r="E10" s="484">
        <f>'1. CĐNS'!Z19</f>
        <v>42850</v>
      </c>
      <c r="F10" s="485">
        <f>'1. CĐNS'!AA19</f>
        <v>-42850</v>
      </c>
      <c r="G10" s="484">
        <f>'1. CĐNS'!AB19</f>
        <v>381297</v>
      </c>
      <c r="H10" s="486">
        <f t="shared" si="0"/>
        <v>0</v>
      </c>
      <c r="I10" s="487"/>
      <c r="J10" s="488"/>
      <c r="K10" s="488">
        <f>SUM(D11:D12)-D10</f>
        <v>0</v>
      </c>
      <c r="O10" s="238">
        <f>D6-O9</f>
        <v>1589422</v>
      </c>
    </row>
    <row r="11" spans="1:28" s="234" customFormat="1" ht="39.75" customHeight="1">
      <c r="A11" s="490">
        <v>1</v>
      </c>
      <c r="B11" s="491" t="s">
        <v>901</v>
      </c>
      <c r="C11" s="477"/>
      <c r="D11" s="492">
        <f>'1. CĐNS'!Y20</f>
        <v>15000</v>
      </c>
      <c r="E11" s="492">
        <f>'1. CĐNS'!Z20</f>
        <v>2350</v>
      </c>
      <c r="F11" s="493">
        <f>'1. CĐNS'!AA20</f>
        <v>0</v>
      </c>
      <c r="G11" s="492">
        <f>'1. CĐNS'!AB20</f>
        <v>17350</v>
      </c>
      <c r="H11" s="494">
        <f t="shared" si="0"/>
        <v>2350</v>
      </c>
      <c r="I11" s="479"/>
      <c r="J11" s="480"/>
      <c r="K11" s="495"/>
      <c r="O11" s="237">
        <f>O10-963671</f>
        <v>625751</v>
      </c>
    </row>
    <row r="12" spans="1:28" s="234" customFormat="1" ht="39.75" customHeight="1">
      <c r="A12" s="490">
        <v>2</v>
      </c>
      <c r="B12" s="491" t="s">
        <v>499</v>
      </c>
      <c r="C12" s="496">
        <f>SUM(C13:C14)</f>
        <v>37</v>
      </c>
      <c r="D12" s="492">
        <f>'1. CĐNS'!Y21</f>
        <v>366297</v>
      </c>
      <c r="E12" s="492">
        <f>'1. CĐNS'!Z21</f>
        <v>40500</v>
      </c>
      <c r="F12" s="493">
        <f>'1. CĐNS'!AA21</f>
        <v>-42850</v>
      </c>
      <c r="G12" s="492">
        <f>'1. CĐNS'!AB21</f>
        <v>363947</v>
      </c>
      <c r="H12" s="494">
        <f t="shared" si="0"/>
        <v>-2350</v>
      </c>
      <c r="I12" s="479"/>
      <c r="J12" s="480"/>
      <c r="K12" s="480">
        <f>SUM(D13:D14)-D12</f>
        <v>0</v>
      </c>
      <c r="M12" s="57"/>
      <c r="N12" s="57" t="s">
        <v>455</v>
      </c>
      <c r="O12" s="56" t="s">
        <v>456</v>
      </c>
      <c r="P12" s="56" t="s">
        <v>474</v>
      </c>
      <c r="Q12" s="56" t="s">
        <v>629</v>
      </c>
      <c r="R12" s="56" t="s">
        <v>459</v>
      </c>
      <c r="S12" s="56" t="s">
        <v>460</v>
      </c>
      <c r="T12" s="56" t="s">
        <v>461</v>
      </c>
      <c r="U12" s="56" t="s">
        <v>462</v>
      </c>
      <c r="V12" s="56" t="s">
        <v>463</v>
      </c>
      <c r="W12" s="56" t="s">
        <v>464</v>
      </c>
      <c r="X12" s="56" t="s">
        <v>465</v>
      </c>
      <c r="Y12" s="56" t="s">
        <v>466</v>
      </c>
      <c r="Z12" s="56" t="s">
        <v>467</v>
      </c>
      <c r="AA12" s="56" t="s">
        <v>468</v>
      </c>
      <c r="AB12" s="56" t="s">
        <v>469</v>
      </c>
    </row>
    <row r="13" spans="1:28" s="240" customFormat="1" ht="35.1" customHeight="1">
      <c r="A13" s="497" t="s">
        <v>17</v>
      </c>
      <c r="B13" s="498" t="s">
        <v>70</v>
      </c>
      <c r="C13" s="499">
        <v>11</v>
      </c>
      <c r="D13" s="500">
        <f>'1. CĐNS'!Y22</f>
        <v>196410</v>
      </c>
      <c r="E13" s="500">
        <f>'1. CĐNS'!Z22</f>
        <v>22700</v>
      </c>
      <c r="F13" s="501">
        <f>'1. CĐNS'!AA22</f>
        <v>-18163</v>
      </c>
      <c r="G13" s="500">
        <f>'1. CĐNS'!AB22</f>
        <v>200947</v>
      </c>
      <c r="H13" s="502">
        <f t="shared" si="0"/>
        <v>4537</v>
      </c>
      <c r="I13" s="503"/>
      <c r="J13" s="504"/>
      <c r="K13" s="505"/>
      <c r="M13" s="58" t="s">
        <v>470</v>
      </c>
      <c r="N13" s="82">
        <f>SUM(N5,'DA chưa QĐĐT'!AG6)</f>
        <v>88</v>
      </c>
      <c r="O13" s="82">
        <f>SUM(O5,'DA chưa QĐĐT'!AH6)</f>
        <v>1828215</v>
      </c>
      <c r="P13" s="82">
        <f>SUM(P5,'DA chưa QĐĐT'!AI6)</f>
        <v>836319</v>
      </c>
      <c r="Q13" s="82">
        <f>SUM(Q5,'DA chưa QĐĐT'!AJ6)</f>
        <v>283535</v>
      </c>
      <c r="R13" s="82">
        <f>SUM(R5,'DA chưa QĐĐT'!AK6)</f>
        <v>127904</v>
      </c>
      <c r="S13" s="82">
        <f>SUM(S5,'DA chưa QĐĐT'!AL6)</f>
        <v>114377</v>
      </c>
      <c r="T13" s="82">
        <f>SUM(T5,'DA chưa QĐĐT'!AM6)</f>
        <v>245645</v>
      </c>
      <c r="U13" s="82">
        <f>SUM(U5,'DA chưa QĐĐT'!AN6)</f>
        <v>13100</v>
      </c>
      <c r="V13" s="82">
        <f>SUM(V5,'DA chưa QĐĐT'!AO6)</f>
        <v>27700</v>
      </c>
      <c r="W13" s="82">
        <f>SUM(W5,'DA chưa QĐĐT'!AP6)</f>
        <v>950</v>
      </c>
      <c r="X13" s="82">
        <f>SUM(X5,'DA chưa QĐĐT'!AQ6)</f>
        <v>0</v>
      </c>
      <c r="Y13" s="82">
        <f>SUM(Y5,'DA chưa QĐĐT'!AR6)</f>
        <v>22328</v>
      </c>
      <c r="Z13" s="82">
        <f>SUM(Z5,'DA chưa QĐĐT'!AS6)</f>
        <v>0</v>
      </c>
      <c r="AA13" s="82">
        <f>SUM(AA5,'DA chưa QĐĐT'!AT6)</f>
        <v>148857</v>
      </c>
      <c r="AB13" s="82">
        <f>SUM(AB5,'DA chưa QĐĐT'!AU6)</f>
        <v>7500</v>
      </c>
    </row>
    <row r="14" spans="1:28" s="240" customFormat="1" ht="35.1" customHeight="1">
      <c r="A14" s="497" t="s">
        <v>25</v>
      </c>
      <c r="B14" s="498" t="s">
        <v>74</v>
      </c>
      <c r="C14" s="499">
        <v>26</v>
      </c>
      <c r="D14" s="500">
        <f>'1. CĐNS'!Y39</f>
        <v>169887</v>
      </c>
      <c r="E14" s="500">
        <f>'1. CĐNS'!Z39</f>
        <v>17800</v>
      </c>
      <c r="F14" s="501">
        <f>'1. CĐNS'!AA39</f>
        <v>-24687</v>
      </c>
      <c r="G14" s="500">
        <f>'1. CĐNS'!AB39</f>
        <v>163000</v>
      </c>
      <c r="H14" s="502">
        <f t="shared" si="0"/>
        <v>-6887</v>
      </c>
      <c r="I14" s="503"/>
      <c r="J14" s="504"/>
      <c r="K14" s="505"/>
      <c r="M14" s="57" t="s">
        <v>471</v>
      </c>
      <c r="N14" s="82">
        <f>SUM(N6,'DA chưa QĐĐT'!AG7)</f>
        <v>131</v>
      </c>
      <c r="O14" s="82">
        <f>SUM(O6,'DA chưa QĐĐT'!AH7)</f>
        <v>956448</v>
      </c>
      <c r="P14" s="82">
        <f>SUM(P6,'DA chưa QĐĐT'!AI7)</f>
        <v>366000</v>
      </c>
      <c r="Q14" s="82">
        <f>SUM(Q6,'DA chưa QĐĐT'!AJ7)</f>
        <v>7000</v>
      </c>
      <c r="R14" s="82">
        <f>SUM(R6,'DA chưa QĐĐT'!AK7)</f>
        <v>249400</v>
      </c>
      <c r="S14" s="82">
        <f>SUM(S6,'DA chưa QĐĐT'!AL7)</f>
        <v>74500</v>
      </c>
      <c r="T14" s="82">
        <f>SUM(T6,'DA chưa QĐĐT'!AM7)</f>
        <v>168400</v>
      </c>
      <c r="U14" s="82">
        <f>SUM(U6,'DA chưa QĐĐT'!AN7)</f>
        <v>12048</v>
      </c>
      <c r="V14" s="82">
        <f>SUM(V6,'DA chưa QĐĐT'!AO7)</f>
        <v>0</v>
      </c>
      <c r="W14" s="82">
        <f>SUM(W6,'DA chưa QĐĐT'!AP7)</f>
        <v>28300</v>
      </c>
      <c r="X14" s="82">
        <f>SUM(X6,'DA chưa QĐĐT'!AQ7)</f>
        <v>0</v>
      </c>
      <c r="Y14" s="82">
        <f>SUM(Y6,'DA chưa QĐĐT'!AR7)</f>
        <v>23500</v>
      </c>
      <c r="Z14" s="82">
        <f>SUM(Z6,'DA chưa QĐĐT'!AS7)</f>
        <v>27300</v>
      </c>
      <c r="AA14" s="82">
        <f>SUM(AA6,'DA chưa QĐĐT'!AT7)</f>
        <v>0</v>
      </c>
      <c r="AB14" s="82">
        <f>SUM(AB6,'DA chưa QĐĐT'!AU7)</f>
        <v>0</v>
      </c>
    </row>
    <row r="15" spans="1:28" s="240" customFormat="1" ht="39.75" hidden="1" customHeight="1">
      <c r="A15" s="497" t="s">
        <v>30</v>
      </c>
      <c r="B15" s="498" t="s">
        <v>975</v>
      </c>
      <c r="C15" s="499"/>
      <c r="D15" s="500">
        <f>'1. CĐNS'!Y69</f>
        <v>0</v>
      </c>
      <c r="E15" s="500">
        <f>'1. CĐNS'!Z69</f>
        <v>0</v>
      </c>
      <c r="F15" s="501">
        <f>'1. CĐNS'!AA69</f>
        <v>0</v>
      </c>
      <c r="G15" s="500">
        <f>'1. CĐNS'!AB69</f>
        <v>0</v>
      </c>
      <c r="H15" s="506">
        <f t="shared" si="0"/>
        <v>0</v>
      </c>
      <c r="I15" s="507"/>
      <c r="J15" s="504"/>
      <c r="K15" s="505"/>
      <c r="M15" s="230" t="s">
        <v>470</v>
      </c>
      <c r="N15" s="44">
        <f>SUM(P15:AB15)</f>
        <v>88</v>
      </c>
      <c r="O15" s="44"/>
      <c r="P15" s="44">
        <f>SUM(P7,'DA chưa QĐĐT'!AI8)</f>
        <v>32</v>
      </c>
      <c r="Q15" s="44">
        <f>SUM(Q7,'DA chưa QĐĐT'!AJ8)</f>
        <v>14</v>
      </c>
      <c r="R15" s="44">
        <f>SUM(R7,'DA chưa QĐĐT'!AK8)</f>
        <v>16</v>
      </c>
      <c r="S15" s="44">
        <f>SUM(S7,'DA chưa QĐĐT'!AL8)</f>
        <v>3</v>
      </c>
      <c r="T15" s="44">
        <f>SUM(T7,'DA chưa QĐĐT'!AM8)</f>
        <v>9</v>
      </c>
      <c r="U15" s="44">
        <f>SUM(U7,'DA chưa QĐĐT'!AN8)</f>
        <v>2</v>
      </c>
      <c r="V15" s="44">
        <f>SUM(V7,'DA chưa QĐĐT'!AO8)</f>
        <v>5</v>
      </c>
      <c r="W15" s="44">
        <f>SUM(W7,'DA chưa QĐĐT'!AP8)</f>
        <v>1</v>
      </c>
      <c r="X15" s="44">
        <f>SUM(X7,'DA chưa QĐĐT'!AQ8)</f>
        <v>0</v>
      </c>
      <c r="Y15" s="44">
        <f>SUM(Y7,'DA chưa QĐĐT'!AR8)</f>
        <v>3</v>
      </c>
      <c r="Z15" s="44">
        <f>SUM(Z7,'DA chưa QĐĐT'!AS8)</f>
        <v>0</v>
      </c>
      <c r="AA15" s="44">
        <f>SUM(AA7,'DA chưa QĐĐT'!AT8)</f>
        <v>2</v>
      </c>
      <c r="AB15" s="44">
        <f>SUM(AB7,'DA chưa QĐĐT'!AU8)</f>
        <v>1</v>
      </c>
    </row>
    <row r="16" spans="1:28" s="453" customFormat="1" ht="35.1" customHeight="1">
      <c r="A16" s="481" t="s">
        <v>20</v>
      </c>
      <c r="B16" s="482" t="s">
        <v>500</v>
      </c>
      <c r="C16" s="483">
        <f>SUM(C17:C20)</f>
        <v>2</v>
      </c>
      <c r="D16" s="484">
        <f>'2. SDĐ'!P8</f>
        <v>700000</v>
      </c>
      <c r="E16" s="484">
        <f>'2. SDĐ'!Q8</f>
        <v>26375</v>
      </c>
      <c r="F16" s="485">
        <f>'2. SDĐ'!R8</f>
        <v>-276375</v>
      </c>
      <c r="G16" s="484">
        <f>'2. SDĐ'!S8</f>
        <v>450000</v>
      </c>
      <c r="H16" s="508">
        <f t="shared" si="0"/>
        <v>-250000</v>
      </c>
      <c r="I16" s="479" t="s">
        <v>529</v>
      </c>
      <c r="J16" s="509"/>
      <c r="K16" s="509">
        <f>SUM(D17:D20)-D16</f>
        <v>0</v>
      </c>
      <c r="M16" s="454" t="s">
        <v>471</v>
      </c>
      <c r="N16" s="428">
        <f>SUM(P16:AB16)</f>
        <v>131</v>
      </c>
      <c r="O16" s="428"/>
      <c r="P16" s="428">
        <f>SUM(P8,'DA chưa QĐĐT'!AI9)</f>
        <v>22</v>
      </c>
      <c r="Q16" s="428">
        <f>SUM(Q8,'DA chưa QĐĐT'!AJ9)</f>
        <v>3</v>
      </c>
      <c r="R16" s="428">
        <f>SUM(R8,'DA chưa QĐĐT'!AK9)</f>
        <v>35</v>
      </c>
      <c r="S16" s="428">
        <f>SUM(S8,'DA chưa QĐĐT'!AL9)</f>
        <v>25</v>
      </c>
      <c r="T16" s="428">
        <f>SUM(T8,'DA chưa QĐĐT'!AM9)</f>
        <v>19</v>
      </c>
      <c r="U16" s="428">
        <f>SUM(U8,'DA chưa QĐĐT'!AN9)</f>
        <v>2</v>
      </c>
      <c r="V16" s="428">
        <f>SUM(V8,'DA chưa QĐĐT'!AO9)</f>
        <v>0</v>
      </c>
      <c r="W16" s="428">
        <f>SUM(W8,'DA chưa QĐĐT'!AP9)</f>
        <v>6</v>
      </c>
      <c r="X16" s="428">
        <f>SUM(X8,'DA chưa QĐĐT'!AQ9)</f>
        <v>0</v>
      </c>
      <c r="Y16" s="428">
        <f>SUM(Y8,'DA chưa QĐĐT'!AR9)</f>
        <v>5</v>
      </c>
      <c r="Z16" s="428">
        <f>SUM(Z8,'DA chưa QĐĐT'!AS9)</f>
        <v>14</v>
      </c>
      <c r="AA16" s="428">
        <f>SUM(AA8,'DA chưa QĐĐT'!AT9)</f>
        <v>0</v>
      </c>
      <c r="AB16" s="428">
        <f>SUM(AB8,'DA chưa QĐĐT'!AU9)</f>
        <v>0</v>
      </c>
    </row>
    <row r="17" spans="1:28" s="242" customFormat="1" ht="35.1" customHeight="1">
      <c r="A17" s="481" t="s">
        <v>906</v>
      </c>
      <c r="B17" s="482" t="s">
        <v>1482</v>
      </c>
      <c r="C17" s="483"/>
      <c r="D17" s="484">
        <f>'2. SDĐ'!P9</f>
        <v>396000</v>
      </c>
      <c r="E17" s="484">
        <f>'2. SDĐ'!Q9</f>
        <v>26375</v>
      </c>
      <c r="F17" s="485">
        <f>'2. SDĐ'!R9</f>
        <v>0</v>
      </c>
      <c r="G17" s="484">
        <f>'2. SDĐ'!S9</f>
        <v>422375</v>
      </c>
      <c r="H17" s="508">
        <f t="shared" si="0"/>
        <v>26375</v>
      </c>
      <c r="I17" s="487"/>
      <c r="J17" s="509"/>
      <c r="K17" s="510"/>
      <c r="P17" s="241">
        <f>SUM(P13:P14)</f>
        <v>1202319</v>
      </c>
      <c r="Q17" s="241">
        <f t="shared" ref="Q17:AB17" si="1">SUM(Q13:Q14)</f>
        <v>290535</v>
      </c>
      <c r="R17" s="241">
        <f t="shared" si="1"/>
        <v>377304</v>
      </c>
      <c r="S17" s="241">
        <f t="shared" si="1"/>
        <v>188877</v>
      </c>
      <c r="T17" s="241">
        <f t="shared" si="1"/>
        <v>414045</v>
      </c>
      <c r="U17" s="241">
        <f t="shared" si="1"/>
        <v>25148</v>
      </c>
      <c r="V17" s="241">
        <f t="shared" si="1"/>
        <v>27700</v>
      </c>
      <c r="W17" s="241">
        <f t="shared" si="1"/>
        <v>29250</v>
      </c>
      <c r="X17" s="241">
        <f t="shared" si="1"/>
        <v>0</v>
      </c>
      <c r="Y17" s="241">
        <f t="shared" si="1"/>
        <v>45828</v>
      </c>
      <c r="Z17" s="241">
        <f t="shared" si="1"/>
        <v>27300</v>
      </c>
      <c r="AA17" s="241">
        <f t="shared" si="1"/>
        <v>148857</v>
      </c>
      <c r="AB17" s="241">
        <f t="shared" si="1"/>
        <v>7500</v>
      </c>
    </row>
    <row r="18" spans="1:28" s="242" customFormat="1" ht="35.1" customHeight="1">
      <c r="A18" s="481" t="s">
        <v>907</v>
      </c>
      <c r="B18" s="482" t="s">
        <v>910</v>
      </c>
      <c r="C18" s="483"/>
      <c r="D18" s="484">
        <f>'2. SDĐ'!P18</f>
        <v>70000</v>
      </c>
      <c r="E18" s="484">
        <f>'2. SDĐ'!Q18</f>
        <v>0</v>
      </c>
      <c r="F18" s="485">
        <f>'2. SDĐ'!R18</f>
        <v>-52375</v>
      </c>
      <c r="G18" s="484">
        <f>'2. SDĐ'!S18</f>
        <v>17625</v>
      </c>
      <c r="H18" s="508">
        <f t="shared" si="0"/>
        <v>-52375</v>
      </c>
      <c r="I18" s="487"/>
      <c r="J18" s="509"/>
      <c r="K18" s="510"/>
      <c r="P18" s="241">
        <f>SUM(P15:P16)</f>
        <v>54</v>
      </c>
      <c r="Q18" s="241">
        <f t="shared" ref="Q18:AB18" si="2">SUM(Q15:Q16)</f>
        <v>17</v>
      </c>
      <c r="R18" s="241">
        <f t="shared" si="2"/>
        <v>51</v>
      </c>
      <c r="S18" s="241">
        <f t="shared" si="2"/>
        <v>28</v>
      </c>
      <c r="T18" s="241">
        <f t="shared" si="2"/>
        <v>28</v>
      </c>
      <c r="U18" s="241">
        <f t="shared" si="2"/>
        <v>4</v>
      </c>
      <c r="V18" s="241">
        <f t="shared" si="2"/>
        <v>5</v>
      </c>
      <c r="W18" s="241">
        <f t="shared" si="2"/>
        <v>7</v>
      </c>
      <c r="X18" s="241">
        <f t="shared" si="2"/>
        <v>0</v>
      </c>
      <c r="Y18" s="241">
        <f t="shared" si="2"/>
        <v>8</v>
      </c>
      <c r="Z18" s="241">
        <f t="shared" si="2"/>
        <v>14</v>
      </c>
      <c r="AA18" s="241">
        <f t="shared" si="2"/>
        <v>2</v>
      </c>
      <c r="AB18" s="241">
        <f t="shared" si="2"/>
        <v>1</v>
      </c>
    </row>
    <row r="19" spans="1:28" s="242" customFormat="1" ht="35.1" customHeight="1">
      <c r="A19" s="481" t="s">
        <v>908</v>
      </c>
      <c r="B19" s="482" t="s">
        <v>903</v>
      </c>
      <c r="C19" s="483"/>
      <c r="D19" s="484">
        <f>'2. SDĐ'!P21</f>
        <v>9175</v>
      </c>
      <c r="E19" s="484">
        <f>'2. SDĐ'!Q21</f>
        <v>0</v>
      </c>
      <c r="F19" s="485">
        <f>'2. SDĐ'!R21</f>
        <v>-9175</v>
      </c>
      <c r="G19" s="484">
        <f>'2. SDĐ'!S21</f>
        <v>0</v>
      </c>
      <c r="H19" s="508">
        <f t="shared" si="0"/>
        <v>-9175</v>
      </c>
      <c r="I19" s="487"/>
      <c r="J19" s="509"/>
      <c r="K19" s="510"/>
    </row>
    <row r="20" spans="1:28" s="242" customFormat="1" ht="35.1" customHeight="1">
      <c r="A20" s="481" t="s">
        <v>909</v>
      </c>
      <c r="B20" s="482" t="s">
        <v>498</v>
      </c>
      <c r="C20" s="483">
        <f>SUM(C21)</f>
        <v>2</v>
      </c>
      <c r="D20" s="484">
        <f>'2. SDĐ'!P22</f>
        <v>224825</v>
      </c>
      <c r="E20" s="484">
        <f>'2. SDĐ'!Q22</f>
        <v>0</v>
      </c>
      <c r="F20" s="485">
        <f>'2. SDĐ'!R22</f>
        <v>-214825</v>
      </c>
      <c r="G20" s="484">
        <f>'2. SDĐ'!S22</f>
        <v>10000</v>
      </c>
      <c r="H20" s="508">
        <f t="shared" si="0"/>
        <v>-214825</v>
      </c>
      <c r="I20" s="487"/>
      <c r="J20" s="509"/>
      <c r="K20" s="510"/>
    </row>
    <row r="21" spans="1:28" s="242" customFormat="1" ht="35.1" customHeight="1">
      <c r="A21" s="481" t="s">
        <v>15</v>
      </c>
      <c r="B21" s="482" t="s">
        <v>912</v>
      </c>
      <c r="C21" s="483">
        <f>SUM(C22)</f>
        <v>2</v>
      </c>
      <c r="D21" s="484">
        <f>'2. SDĐ'!P23</f>
        <v>224825</v>
      </c>
      <c r="E21" s="484">
        <f>'2. SDĐ'!Q23</f>
        <v>0</v>
      </c>
      <c r="F21" s="485">
        <f>'2. SDĐ'!R23</f>
        <v>-214825</v>
      </c>
      <c r="G21" s="484">
        <f>'2. SDĐ'!S23</f>
        <v>10000</v>
      </c>
      <c r="H21" s="508">
        <f t="shared" si="0"/>
        <v>-214825</v>
      </c>
      <c r="I21" s="487"/>
      <c r="J21" s="509"/>
      <c r="K21" s="511">
        <f>SUM(D22:D22)-D21</f>
        <v>0</v>
      </c>
    </row>
    <row r="22" spans="1:28" s="240" customFormat="1" ht="35.1" customHeight="1">
      <c r="A22" s="497" t="s">
        <v>17</v>
      </c>
      <c r="B22" s="498" t="s">
        <v>70</v>
      </c>
      <c r="C22" s="499">
        <v>2</v>
      </c>
      <c r="D22" s="500">
        <f>'2. SDĐ'!P23</f>
        <v>224825</v>
      </c>
      <c r="E22" s="500">
        <f>'2. SDĐ'!Q23</f>
        <v>0</v>
      </c>
      <c r="F22" s="501">
        <f>'2. SDĐ'!R23</f>
        <v>-214825</v>
      </c>
      <c r="G22" s="500">
        <f>'2. SDĐ'!S23</f>
        <v>10000</v>
      </c>
      <c r="H22" s="502">
        <f t="shared" si="0"/>
        <v>-214825</v>
      </c>
      <c r="I22" s="503"/>
      <c r="J22" s="504"/>
      <c r="K22" s="505"/>
    </row>
    <row r="23" spans="1:28" s="455" customFormat="1" ht="35.1" customHeight="1">
      <c r="A23" s="468" t="s">
        <v>19</v>
      </c>
      <c r="B23" s="476" t="s">
        <v>501</v>
      </c>
      <c r="C23" s="477">
        <f>SUM(C24:C26,C37)</f>
        <v>129</v>
      </c>
      <c r="D23" s="470">
        <f>'3. XSKT'!Y8</f>
        <v>1771000</v>
      </c>
      <c r="E23" s="470">
        <f>'3. XSKT'!Z8</f>
        <v>205419</v>
      </c>
      <c r="F23" s="471">
        <f>'3. XSKT'!AA8</f>
        <v>-205419</v>
      </c>
      <c r="G23" s="470">
        <f>'3. XSKT'!AB8</f>
        <v>1771000</v>
      </c>
      <c r="H23" s="478">
        <f t="shared" si="0"/>
        <v>0</v>
      </c>
      <c r="I23" s="479" t="s">
        <v>530</v>
      </c>
      <c r="J23" s="512"/>
      <c r="K23" s="512"/>
    </row>
    <row r="24" spans="1:28" s="239" customFormat="1" ht="39.75" customHeight="1">
      <c r="A24" s="481" t="s">
        <v>524</v>
      </c>
      <c r="B24" s="482" t="s">
        <v>497</v>
      </c>
      <c r="C24" s="483"/>
      <c r="D24" s="484">
        <f>'3. XSKT'!Y9</f>
        <v>65000</v>
      </c>
      <c r="E24" s="484">
        <f>'3. XSKT'!Z9</f>
        <v>0</v>
      </c>
      <c r="F24" s="485">
        <f>'3. XSKT'!AA9</f>
        <v>0</v>
      </c>
      <c r="G24" s="484">
        <f>'3. XSKT'!AB9</f>
        <v>65000</v>
      </c>
      <c r="H24" s="486">
        <f t="shared" si="0"/>
        <v>0</v>
      </c>
      <c r="I24" s="487"/>
      <c r="J24" s="488"/>
      <c r="K24" s="489"/>
    </row>
    <row r="25" spans="1:28" s="239" customFormat="1" ht="39.75" customHeight="1">
      <c r="A25" s="481" t="s">
        <v>525</v>
      </c>
      <c r="B25" s="482" t="s">
        <v>903</v>
      </c>
      <c r="C25" s="483"/>
      <c r="D25" s="484">
        <f>'3. XSKT'!Y18</f>
        <v>119420.00000000001</v>
      </c>
      <c r="E25" s="484">
        <f>'3. XSKT'!Z18</f>
        <v>0</v>
      </c>
      <c r="F25" s="485">
        <f>'3. XSKT'!AA18</f>
        <v>0</v>
      </c>
      <c r="G25" s="484">
        <f>'3. XSKT'!AB18</f>
        <v>119420.00000000001</v>
      </c>
      <c r="H25" s="486">
        <f t="shared" si="0"/>
        <v>0</v>
      </c>
      <c r="I25" s="487"/>
      <c r="J25" s="488"/>
      <c r="K25" s="489"/>
    </row>
    <row r="26" spans="1:28" s="242" customFormat="1" ht="39.75" customHeight="1">
      <c r="A26" s="481" t="s">
        <v>914</v>
      </c>
      <c r="B26" s="482" t="s">
        <v>498</v>
      </c>
      <c r="C26" s="483">
        <f>SUM(C27:C29,C32,C33,C36,C37,C38,C41)</f>
        <v>128</v>
      </c>
      <c r="D26" s="484">
        <f>'3. XSKT'!Y19</f>
        <v>1586580</v>
      </c>
      <c r="E26" s="484">
        <f>'3. XSKT'!Z19</f>
        <v>205419</v>
      </c>
      <c r="F26" s="485">
        <f>'3. XSKT'!AA19</f>
        <v>-205419</v>
      </c>
      <c r="G26" s="484">
        <f>'3. XSKT'!AB19</f>
        <v>1586580</v>
      </c>
      <c r="H26" s="486">
        <f t="shared" si="0"/>
        <v>0</v>
      </c>
      <c r="I26" s="487"/>
      <c r="J26" s="509">
        <f>SUM(D27,D28,D29,D32,D33,D36,D37,D38,D41,D42)-D26</f>
        <v>0</v>
      </c>
      <c r="K26" s="510"/>
    </row>
    <row r="27" spans="1:28" s="243" customFormat="1" ht="39.75" customHeight="1">
      <c r="A27" s="490">
        <v>1</v>
      </c>
      <c r="B27" s="491" t="s">
        <v>902</v>
      </c>
      <c r="C27" s="496"/>
      <c r="D27" s="492">
        <f>'3. XSKT'!Y20</f>
        <v>5700</v>
      </c>
      <c r="E27" s="492">
        <f>'3. XSKT'!Z20</f>
        <v>0</v>
      </c>
      <c r="F27" s="493">
        <f>'3. XSKT'!AA20</f>
        <v>-4117</v>
      </c>
      <c r="G27" s="492">
        <f>'3. XSKT'!AB20</f>
        <v>1583</v>
      </c>
      <c r="H27" s="494">
        <f t="shared" si="0"/>
        <v>-4117</v>
      </c>
      <c r="I27" s="513"/>
      <c r="J27" s="514"/>
      <c r="K27" s="515"/>
    </row>
    <row r="28" spans="1:28" s="243" customFormat="1" ht="39.75" customHeight="1">
      <c r="A28" s="490">
        <v>2</v>
      </c>
      <c r="B28" s="491" t="s">
        <v>901</v>
      </c>
      <c r="C28" s="496"/>
      <c r="D28" s="492">
        <f>'3. XSKT'!Y21</f>
        <v>15141</v>
      </c>
      <c r="E28" s="492">
        <f>'3. XSKT'!Z21</f>
        <v>0</v>
      </c>
      <c r="F28" s="493">
        <f>'3. XSKT'!AA21</f>
        <v>0</v>
      </c>
      <c r="G28" s="492">
        <f>'3. XSKT'!AB21</f>
        <v>15141</v>
      </c>
      <c r="H28" s="516">
        <f t="shared" si="0"/>
        <v>0</v>
      </c>
      <c r="I28" s="513"/>
      <c r="J28" s="514"/>
      <c r="K28" s="515"/>
    </row>
    <row r="29" spans="1:28" s="243" customFormat="1" ht="39.75" customHeight="1">
      <c r="A29" s="490">
        <v>3</v>
      </c>
      <c r="B29" s="491" t="s">
        <v>918</v>
      </c>
      <c r="C29" s="496">
        <f>SUM(C30:C31)</f>
        <v>48</v>
      </c>
      <c r="D29" s="492">
        <f>'3. XSKT'!Y22</f>
        <v>277790</v>
      </c>
      <c r="E29" s="492">
        <f>'3. XSKT'!Z22</f>
        <v>20500</v>
      </c>
      <c r="F29" s="493">
        <f>'3. XSKT'!AA22</f>
        <v>-17390</v>
      </c>
      <c r="G29" s="492">
        <f>'3. XSKT'!AB22</f>
        <v>280900</v>
      </c>
      <c r="H29" s="516">
        <f t="shared" si="0"/>
        <v>3110</v>
      </c>
      <c r="I29" s="479" t="s">
        <v>531</v>
      </c>
      <c r="J29" s="514"/>
      <c r="K29" s="514">
        <f>SUM(D30:D31)-D29</f>
        <v>0</v>
      </c>
    </row>
    <row r="30" spans="1:28" s="244" customFormat="1" ht="31.5" customHeight="1">
      <c r="A30" s="497" t="s">
        <v>17</v>
      </c>
      <c r="B30" s="498" t="s">
        <v>70</v>
      </c>
      <c r="C30" s="499">
        <v>14</v>
      </c>
      <c r="D30" s="500">
        <f>SUM('4. ĐƯCTMTQG'!Y10)</f>
        <v>98490</v>
      </c>
      <c r="E30" s="500">
        <f>SUM('4. ĐƯCTMTQG'!Z10)</f>
        <v>19200</v>
      </c>
      <c r="F30" s="501">
        <f>SUM('4. ĐƯCTMTQG'!AA10)</f>
        <v>-8290</v>
      </c>
      <c r="G30" s="500">
        <f>SUM('4. ĐƯCTMTQG'!AB10)</f>
        <v>109400</v>
      </c>
      <c r="H30" s="506">
        <f t="shared" si="0"/>
        <v>10910</v>
      </c>
      <c r="I30" s="517"/>
      <c r="J30" s="518"/>
      <c r="K30" s="519"/>
    </row>
    <row r="31" spans="1:28" s="244" customFormat="1" ht="31.5" customHeight="1">
      <c r="A31" s="497" t="s">
        <v>25</v>
      </c>
      <c r="B31" s="498" t="s">
        <v>74</v>
      </c>
      <c r="C31" s="499">
        <v>34</v>
      </c>
      <c r="D31" s="500">
        <f>'4. ĐƯCTMTQG'!Y55</f>
        <v>179300</v>
      </c>
      <c r="E31" s="500">
        <f>'4. ĐƯCTMTQG'!Z55</f>
        <v>1300</v>
      </c>
      <c r="F31" s="501">
        <f>'4. ĐƯCTMTQG'!AA55</f>
        <v>-9100</v>
      </c>
      <c r="G31" s="500">
        <f>'4. ĐƯCTMTQG'!AB55</f>
        <v>171500</v>
      </c>
      <c r="H31" s="502">
        <f t="shared" si="0"/>
        <v>-7800</v>
      </c>
      <c r="I31" s="517"/>
      <c r="J31" s="518"/>
      <c r="K31" s="519"/>
    </row>
    <row r="32" spans="1:28" s="243" customFormat="1" ht="39.75" customHeight="1">
      <c r="A32" s="490">
        <v>4</v>
      </c>
      <c r="B32" s="491" t="s">
        <v>89</v>
      </c>
      <c r="C32" s="496">
        <v>1</v>
      </c>
      <c r="D32" s="492">
        <f>'3. XSKT'!Y23</f>
        <v>120000</v>
      </c>
      <c r="E32" s="492">
        <f>'3. XSKT'!Z23</f>
        <v>0</v>
      </c>
      <c r="F32" s="493">
        <f>'3. XSKT'!AA23</f>
        <v>0</v>
      </c>
      <c r="G32" s="492">
        <f>'3. XSKT'!AB23</f>
        <v>120000</v>
      </c>
      <c r="H32" s="516">
        <f t="shared" si="0"/>
        <v>0</v>
      </c>
      <c r="I32" s="513"/>
      <c r="J32" s="514"/>
      <c r="K32" s="515"/>
    </row>
    <row r="33" spans="1:11" s="233" customFormat="1" ht="45.75" customHeight="1">
      <c r="A33" s="520">
        <v>5</v>
      </c>
      <c r="B33" s="521" t="s">
        <v>499</v>
      </c>
      <c r="C33" s="522">
        <f>SUM(C34:C35)</f>
        <v>64</v>
      </c>
      <c r="D33" s="523">
        <f>'3. XSKT'!Y25</f>
        <v>1111372</v>
      </c>
      <c r="E33" s="523">
        <f>'3. XSKT'!Z25</f>
        <v>184919</v>
      </c>
      <c r="F33" s="524">
        <f>'3. XSKT'!AA25</f>
        <v>-170135</v>
      </c>
      <c r="G33" s="523">
        <f>'3. XSKT'!AB25</f>
        <v>1126156</v>
      </c>
      <c r="H33" s="525">
        <f t="shared" si="0"/>
        <v>14784</v>
      </c>
      <c r="I33" s="526"/>
      <c r="J33" s="474">
        <f>SUM(D34,D35)-D33</f>
        <v>0</v>
      </c>
      <c r="K33" s="474"/>
    </row>
    <row r="34" spans="1:11" s="240" customFormat="1" ht="42" customHeight="1">
      <c r="A34" s="497" t="s">
        <v>17</v>
      </c>
      <c r="B34" s="498" t="s">
        <v>70</v>
      </c>
      <c r="C34" s="499">
        <v>39</v>
      </c>
      <c r="D34" s="500">
        <f>'3. XSKT'!Y26</f>
        <v>825062</v>
      </c>
      <c r="E34" s="500">
        <f>'3. XSKT'!Z26</f>
        <v>172259</v>
      </c>
      <c r="F34" s="501">
        <f>'3. XSKT'!AA26</f>
        <v>-131164</v>
      </c>
      <c r="G34" s="500">
        <f>'3. XSKT'!AB26</f>
        <v>866157</v>
      </c>
      <c r="H34" s="506">
        <f t="shared" si="0"/>
        <v>41095</v>
      </c>
      <c r="I34" s="527"/>
      <c r="J34" s="504"/>
      <c r="K34" s="504"/>
    </row>
    <row r="35" spans="1:11" s="240" customFormat="1" ht="44.25" customHeight="1">
      <c r="A35" s="497" t="s">
        <v>25</v>
      </c>
      <c r="B35" s="498" t="s">
        <v>74</v>
      </c>
      <c r="C35" s="499">
        <v>25</v>
      </c>
      <c r="D35" s="500">
        <f>'3. XSKT'!Y74</f>
        <v>286310</v>
      </c>
      <c r="E35" s="500">
        <f>'3. XSKT'!Z74</f>
        <v>12660</v>
      </c>
      <c r="F35" s="501">
        <f>'3. XSKT'!AA74</f>
        <v>-38971</v>
      </c>
      <c r="G35" s="500">
        <f>'3. XSKT'!AB74</f>
        <v>259999</v>
      </c>
      <c r="H35" s="502">
        <f t="shared" si="0"/>
        <v>-26311</v>
      </c>
      <c r="I35" s="528"/>
      <c r="J35" s="504"/>
      <c r="K35" s="504"/>
    </row>
    <row r="36" spans="1:11" s="233" customFormat="1" ht="47.25" customHeight="1">
      <c r="A36" s="520">
        <v>6</v>
      </c>
      <c r="B36" s="521" t="s">
        <v>431</v>
      </c>
      <c r="C36" s="522"/>
      <c r="D36" s="523">
        <f>'3. XSKT'!Y104</f>
        <v>20000</v>
      </c>
      <c r="E36" s="523">
        <f>'3. XSKT'!Z104</f>
        <v>0</v>
      </c>
      <c r="F36" s="524">
        <f>'3. XSKT'!AA104</f>
        <v>0</v>
      </c>
      <c r="G36" s="523">
        <f>'3. XSKT'!AB104</f>
        <v>20000</v>
      </c>
      <c r="H36" s="525">
        <f t="shared" si="0"/>
        <v>0</v>
      </c>
      <c r="I36" s="526"/>
      <c r="J36" s="474"/>
      <c r="K36" s="474"/>
    </row>
    <row r="37" spans="1:11" s="233" customFormat="1" ht="56.25" customHeight="1">
      <c r="A37" s="520">
        <v>7</v>
      </c>
      <c r="B37" s="521" t="s">
        <v>915</v>
      </c>
      <c r="C37" s="522">
        <v>1</v>
      </c>
      <c r="D37" s="523">
        <f>'3. XSKT'!Y106</f>
        <v>1000</v>
      </c>
      <c r="E37" s="523">
        <f>'3. XSKT'!Z106</f>
        <v>0</v>
      </c>
      <c r="F37" s="524">
        <f>'3. XSKT'!AA106</f>
        <v>-1000</v>
      </c>
      <c r="G37" s="523">
        <f>'3. XSKT'!AB106</f>
        <v>0</v>
      </c>
      <c r="H37" s="529">
        <f t="shared" si="0"/>
        <v>-1000</v>
      </c>
      <c r="I37" s="526"/>
      <c r="J37" s="474"/>
      <c r="K37" s="475"/>
    </row>
    <row r="38" spans="1:11" s="233" customFormat="1" ht="46.5" customHeight="1">
      <c r="A38" s="520">
        <v>8</v>
      </c>
      <c r="B38" s="521" t="s">
        <v>852</v>
      </c>
      <c r="C38" s="522">
        <f>SUM(C39:C40)</f>
        <v>14</v>
      </c>
      <c r="D38" s="523">
        <f>'3. XSKT'!Y107</f>
        <v>23000</v>
      </c>
      <c r="E38" s="523">
        <f>'3. XSKT'!Z107</f>
        <v>0</v>
      </c>
      <c r="F38" s="524">
        <f>'3. XSKT'!AA107</f>
        <v>-200</v>
      </c>
      <c r="G38" s="523">
        <f>'3. XSKT'!AB107</f>
        <v>22800</v>
      </c>
      <c r="H38" s="529">
        <f t="shared" si="0"/>
        <v>-200</v>
      </c>
      <c r="I38" s="526"/>
      <c r="J38" s="474"/>
      <c r="K38" s="475"/>
    </row>
    <row r="39" spans="1:11" s="240" customFormat="1" ht="42" customHeight="1">
      <c r="A39" s="497" t="s">
        <v>17</v>
      </c>
      <c r="B39" s="498" t="s">
        <v>70</v>
      </c>
      <c r="C39" s="499">
        <v>2</v>
      </c>
      <c r="D39" s="500">
        <f>'3. XSKT'!Y108</f>
        <v>6800</v>
      </c>
      <c r="E39" s="500">
        <f>'3. XSKT'!Z108</f>
        <v>0</v>
      </c>
      <c r="F39" s="501">
        <f>'3. XSKT'!AA108</f>
        <v>0</v>
      </c>
      <c r="G39" s="500">
        <f>'3. XSKT'!AB108</f>
        <v>6800</v>
      </c>
      <c r="H39" s="506">
        <f t="shared" si="0"/>
        <v>0</v>
      </c>
      <c r="I39" s="527"/>
      <c r="J39" s="504"/>
      <c r="K39" s="504"/>
    </row>
    <row r="40" spans="1:11" s="240" customFormat="1" ht="44.25" customHeight="1">
      <c r="A40" s="497" t="s">
        <v>25</v>
      </c>
      <c r="B40" s="498" t="s">
        <v>74</v>
      </c>
      <c r="C40" s="499">
        <v>12</v>
      </c>
      <c r="D40" s="500">
        <f>'3. XSKT'!Y112</f>
        <v>16200</v>
      </c>
      <c r="E40" s="500">
        <f>'3. XSKT'!Z112</f>
        <v>0</v>
      </c>
      <c r="F40" s="501">
        <f>'3. XSKT'!AA112</f>
        <v>-200</v>
      </c>
      <c r="G40" s="500">
        <f>'3. XSKT'!AB112</f>
        <v>16000</v>
      </c>
      <c r="H40" s="502">
        <f t="shared" si="0"/>
        <v>-200</v>
      </c>
      <c r="I40" s="528"/>
      <c r="J40" s="504"/>
      <c r="K40" s="504"/>
    </row>
    <row r="41" spans="1:11" s="233" customFormat="1" ht="49.5" customHeight="1">
      <c r="A41" s="520">
        <v>9</v>
      </c>
      <c r="B41" s="521" t="s">
        <v>963</v>
      </c>
      <c r="C41" s="522"/>
      <c r="D41" s="523">
        <f>'3. XSKT'!Y122</f>
        <v>7287</v>
      </c>
      <c r="E41" s="523">
        <f>'3. XSKT'!Z122</f>
        <v>0</v>
      </c>
      <c r="F41" s="524">
        <f>'3. XSKT'!AA122</f>
        <v>-7287</v>
      </c>
      <c r="G41" s="523">
        <f>'3. XSKT'!AB122</f>
        <v>0</v>
      </c>
      <c r="H41" s="529">
        <f t="shared" si="0"/>
        <v>-7287</v>
      </c>
      <c r="I41" s="526"/>
      <c r="J41" s="474"/>
      <c r="K41" s="475"/>
    </row>
    <row r="42" spans="1:11" s="233" customFormat="1" ht="49.5" customHeight="1">
      <c r="A42" s="520">
        <v>10</v>
      </c>
      <c r="B42" s="521" t="s">
        <v>975</v>
      </c>
      <c r="C42" s="522"/>
      <c r="D42" s="523">
        <f>'3. XSKT'!Y128</f>
        <v>5290</v>
      </c>
      <c r="E42" s="523">
        <f>'3. XSKT'!Z128</f>
        <v>0</v>
      </c>
      <c r="F42" s="524">
        <f>'3. XSKT'!AA128</f>
        <v>-5290</v>
      </c>
      <c r="G42" s="523">
        <f>'3. XSKT'!AB128</f>
        <v>0</v>
      </c>
      <c r="H42" s="529">
        <f t="shared" si="0"/>
        <v>-5290</v>
      </c>
      <c r="I42" s="526"/>
      <c r="J42" s="474"/>
      <c r="K42" s="475"/>
    </row>
    <row r="43" spans="1:11" s="455" customFormat="1" ht="52.5" customHeight="1">
      <c r="A43" s="468" t="s">
        <v>502</v>
      </c>
      <c r="B43" s="476" t="s">
        <v>503</v>
      </c>
      <c r="C43" s="477">
        <f>SUM(C45:C46)</f>
        <v>13</v>
      </c>
      <c r="D43" s="470">
        <f>'5. ĐPTTH'!Y8</f>
        <v>429693</v>
      </c>
      <c r="E43" s="470">
        <f>'5. ĐPTTH'!Z8</f>
        <v>0</v>
      </c>
      <c r="F43" s="471">
        <f>'5. ĐPTTH'!AA8</f>
        <v>-85467</v>
      </c>
      <c r="G43" s="470">
        <f>'5. ĐPTTH'!AB8</f>
        <v>344226</v>
      </c>
      <c r="H43" s="472">
        <f t="shared" si="0"/>
        <v>-85467</v>
      </c>
      <c r="I43" s="479" t="s">
        <v>532</v>
      </c>
      <c r="J43" s="512"/>
      <c r="K43" s="530"/>
    </row>
    <row r="44" spans="1:11" s="234" customFormat="1" ht="39.75" customHeight="1">
      <c r="A44" s="490">
        <v>1</v>
      </c>
      <c r="B44" s="491" t="s">
        <v>659</v>
      </c>
      <c r="C44" s="496">
        <f>SUM(C45:C45)</f>
        <v>11</v>
      </c>
      <c r="D44" s="492">
        <f>'5. ĐPTTH'!Y8</f>
        <v>429693</v>
      </c>
      <c r="E44" s="492" t="e">
        <f>'14. VTXSKT2022'!#REF!</f>
        <v>#REF!</v>
      </c>
      <c r="F44" s="493" t="e">
        <f>'14. VTXSKT2022'!#REF!</f>
        <v>#REF!</v>
      </c>
      <c r="G44" s="492">
        <f>'5. ĐPTTH'!AB8</f>
        <v>344226</v>
      </c>
      <c r="H44" s="529">
        <f t="shared" si="0"/>
        <v>-85467</v>
      </c>
      <c r="I44" s="479"/>
      <c r="J44" s="480"/>
      <c r="K44" s="480">
        <f>SUM(D45:D45)-D44</f>
        <v>-102000</v>
      </c>
    </row>
    <row r="45" spans="1:11" s="245" customFormat="1" ht="35.1" customHeight="1">
      <c r="A45" s="531" t="s">
        <v>17</v>
      </c>
      <c r="B45" s="532" t="s">
        <v>70</v>
      </c>
      <c r="C45" s="533">
        <v>11</v>
      </c>
      <c r="D45" s="534">
        <f>'5. ĐPTTH'!Y9</f>
        <v>327693</v>
      </c>
      <c r="E45" s="534">
        <f>'5. ĐPTTH'!Z9</f>
        <v>0</v>
      </c>
      <c r="F45" s="535">
        <f>'5. ĐPTTH'!AA9</f>
        <v>-85467</v>
      </c>
      <c r="G45" s="534">
        <f>'5. ĐPTTH'!AB9</f>
        <v>242226</v>
      </c>
      <c r="H45" s="536">
        <f t="shared" si="0"/>
        <v>-85467</v>
      </c>
      <c r="I45" s="537"/>
      <c r="J45" s="538"/>
      <c r="K45" s="539"/>
    </row>
    <row r="46" spans="1:11" s="245" customFormat="1" ht="35.1" customHeight="1">
      <c r="A46" s="531" t="s">
        <v>25</v>
      </c>
      <c r="B46" s="532" t="s">
        <v>74</v>
      </c>
      <c r="C46" s="533">
        <v>2</v>
      </c>
      <c r="D46" s="534">
        <f>'5. ĐPTTH'!Y23</f>
        <v>102000</v>
      </c>
      <c r="E46" s="534">
        <f>'5. ĐPTTH'!Z23</f>
        <v>0</v>
      </c>
      <c r="F46" s="535">
        <f>'5. ĐPTTH'!AA23</f>
        <v>0</v>
      </c>
      <c r="G46" s="534">
        <f>'5. ĐPTTH'!AB23</f>
        <v>102000</v>
      </c>
      <c r="H46" s="540">
        <f t="shared" si="0"/>
        <v>0</v>
      </c>
      <c r="I46" s="537"/>
      <c r="J46" s="538"/>
      <c r="K46" s="539"/>
    </row>
    <row r="47" spans="1:11" s="455" customFormat="1" ht="88.5" customHeight="1">
      <c r="A47" s="468" t="s">
        <v>504</v>
      </c>
      <c r="B47" s="476" t="s">
        <v>554</v>
      </c>
      <c r="C47" s="477">
        <f>SUM(C49)</f>
        <v>1</v>
      </c>
      <c r="D47" s="470">
        <f>'6. UBTP hoàn trả'!X8</f>
        <v>10000</v>
      </c>
      <c r="E47" s="470">
        <f>'6. UBTP hoàn trả'!Y8</f>
        <v>0</v>
      </c>
      <c r="F47" s="471">
        <f>'6. UBTP hoàn trả'!Z8</f>
        <v>0</v>
      </c>
      <c r="G47" s="470">
        <f>'6. UBTP hoàn trả'!AA8</f>
        <v>10000</v>
      </c>
      <c r="H47" s="478">
        <f t="shared" si="0"/>
        <v>0</v>
      </c>
      <c r="I47" s="479" t="s">
        <v>533</v>
      </c>
      <c r="J47" s="512"/>
      <c r="K47" s="530"/>
    </row>
    <row r="48" spans="1:11" s="234" customFormat="1" ht="39.75" customHeight="1">
      <c r="A48" s="490">
        <v>1</v>
      </c>
      <c r="B48" s="491" t="s">
        <v>659</v>
      </c>
      <c r="C48" s="496">
        <f>SUM(C49:C49)</f>
        <v>1</v>
      </c>
      <c r="D48" s="492">
        <f>'6. UBTP hoàn trả'!X9</f>
        <v>10000</v>
      </c>
      <c r="E48" s="492" t="e">
        <f>'14. VTXSKT2022'!#REF!</f>
        <v>#REF!</v>
      </c>
      <c r="F48" s="493" t="e">
        <f>'14. VTXSKT2022'!#REF!</f>
        <v>#REF!</v>
      </c>
      <c r="G48" s="492">
        <f>'6. UBTP hoàn trả'!AA8</f>
        <v>10000</v>
      </c>
      <c r="H48" s="540">
        <f>G48-D48</f>
        <v>0</v>
      </c>
      <c r="I48" s="479"/>
      <c r="J48" s="480"/>
      <c r="K48" s="480">
        <f>SUM(D49:D49)-D48</f>
        <v>0</v>
      </c>
    </row>
    <row r="49" spans="1:11" s="245" customFormat="1" ht="35.1" customHeight="1">
      <c r="A49" s="531" t="s">
        <v>17</v>
      </c>
      <c r="B49" s="532" t="s">
        <v>70</v>
      </c>
      <c r="C49" s="533">
        <v>1</v>
      </c>
      <c r="D49" s="534">
        <f>'6. UBTP hoàn trả'!X10</f>
        <v>10000</v>
      </c>
      <c r="E49" s="534">
        <f>'6. UBTP hoàn trả'!Y10</f>
        <v>0</v>
      </c>
      <c r="F49" s="535">
        <f>'6. UBTP hoàn trả'!Z10</f>
        <v>0</v>
      </c>
      <c r="G49" s="534">
        <f>'6. UBTP hoàn trả'!AA10</f>
        <v>10000</v>
      </c>
      <c r="H49" s="540">
        <f t="shared" si="0"/>
        <v>0</v>
      </c>
      <c r="I49" s="537"/>
      <c r="J49" s="538"/>
      <c r="K49" s="539"/>
    </row>
    <row r="50" spans="1:11" s="455" customFormat="1" ht="37.5" customHeight="1">
      <c r="A50" s="468" t="s">
        <v>505</v>
      </c>
      <c r="B50" s="476" t="s">
        <v>507</v>
      </c>
      <c r="C50" s="477">
        <f>SUM(C52)</f>
        <v>23</v>
      </c>
      <c r="D50" s="470">
        <f>'7. XSKT CNT'!R8</f>
        <v>20000</v>
      </c>
      <c r="E50" s="470">
        <f>'7. XSKT CNT'!S8</f>
        <v>0</v>
      </c>
      <c r="F50" s="471">
        <f>'7. XSKT CNT'!T8</f>
        <v>-3810</v>
      </c>
      <c r="G50" s="470">
        <f>'7. XSKT CNT'!U8</f>
        <v>16190</v>
      </c>
      <c r="H50" s="472">
        <f t="shared" si="0"/>
        <v>-3810</v>
      </c>
      <c r="I50" s="479" t="s">
        <v>534</v>
      </c>
      <c r="J50" s="512"/>
      <c r="K50" s="530"/>
    </row>
    <row r="51" spans="1:11" s="234" customFormat="1" ht="39.75" customHeight="1">
      <c r="A51" s="490">
        <v>1</v>
      </c>
      <c r="B51" s="491" t="s">
        <v>659</v>
      </c>
      <c r="C51" s="496">
        <f>SUM(C52:C52)</f>
        <v>23</v>
      </c>
      <c r="D51" s="492">
        <f>'7. XSKT CNT'!R8</f>
        <v>20000</v>
      </c>
      <c r="E51" s="492" t="e">
        <f>'14. VTXSKT2022'!#REF!</f>
        <v>#REF!</v>
      </c>
      <c r="F51" s="493" t="e">
        <f>'14. VTXSKT2022'!#REF!</f>
        <v>#REF!</v>
      </c>
      <c r="G51" s="492">
        <f>'7. XSKT CNT'!U9</f>
        <v>16190</v>
      </c>
      <c r="H51" s="529">
        <f t="shared" si="0"/>
        <v>-3810</v>
      </c>
      <c r="I51" s="479"/>
      <c r="J51" s="480"/>
      <c r="K51" s="480">
        <f>SUM(D52:D52)-D51</f>
        <v>-3810</v>
      </c>
    </row>
    <row r="52" spans="1:11" s="245" customFormat="1" ht="35.1" customHeight="1">
      <c r="A52" s="531" t="s">
        <v>17</v>
      </c>
      <c r="B52" s="532" t="s">
        <v>74</v>
      </c>
      <c r="C52" s="533">
        <v>23</v>
      </c>
      <c r="D52" s="534">
        <f>'7. XSKT CNT'!R9</f>
        <v>16190</v>
      </c>
      <c r="E52" s="534">
        <f>'7. XSKT CNT'!S9</f>
        <v>0</v>
      </c>
      <c r="F52" s="535">
        <f>'7. XSKT CNT'!T9</f>
        <v>0</v>
      </c>
      <c r="G52" s="534">
        <f>'7. XSKT CNT'!U9</f>
        <v>16190</v>
      </c>
      <c r="H52" s="540">
        <f t="shared" si="0"/>
        <v>0</v>
      </c>
      <c r="I52" s="537"/>
      <c r="J52" s="538"/>
      <c r="K52" s="539"/>
    </row>
    <row r="53" spans="1:11" s="245" customFormat="1" ht="44.25" customHeight="1">
      <c r="A53" s="531" t="s">
        <v>25</v>
      </c>
      <c r="B53" s="532" t="s">
        <v>975</v>
      </c>
      <c r="C53" s="533"/>
      <c r="D53" s="534">
        <f>'7. XSKT CNT'!R33</f>
        <v>3810</v>
      </c>
      <c r="E53" s="534">
        <f>'7. XSKT CNT'!S33</f>
        <v>0</v>
      </c>
      <c r="F53" s="535">
        <f>'7. XSKT CNT'!T33</f>
        <v>-3810</v>
      </c>
      <c r="G53" s="534">
        <f>'7. XSKT CNT'!U33</f>
        <v>0</v>
      </c>
      <c r="H53" s="536">
        <f t="shared" si="0"/>
        <v>-3810</v>
      </c>
      <c r="I53" s="537"/>
      <c r="J53" s="538"/>
      <c r="K53" s="539"/>
    </row>
    <row r="54" spans="1:11" s="456" customFormat="1" ht="35.1" customHeight="1">
      <c r="A54" s="468" t="s">
        <v>506</v>
      </c>
      <c r="B54" s="476" t="s">
        <v>527</v>
      </c>
      <c r="C54" s="477"/>
      <c r="D54" s="470">
        <f>'8. KDXSKT'!O8</f>
        <v>56503</v>
      </c>
      <c r="E54" s="470">
        <f>'8. KDXSKT'!P8</f>
        <v>0</v>
      </c>
      <c r="F54" s="471">
        <f>'8. KDXSKT'!Q8</f>
        <v>0</v>
      </c>
      <c r="G54" s="470">
        <f>'8. KDXSKT'!R8</f>
        <v>56503</v>
      </c>
      <c r="H54" s="478">
        <f t="shared" si="0"/>
        <v>0</v>
      </c>
      <c r="I54" s="479" t="s">
        <v>535</v>
      </c>
      <c r="J54" s="541"/>
      <c r="K54" s="542"/>
    </row>
    <row r="55" spans="1:11" s="234" customFormat="1" ht="39.75" customHeight="1">
      <c r="A55" s="490">
        <v>1</v>
      </c>
      <c r="B55" s="491" t="s">
        <v>814</v>
      </c>
      <c r="C55" s="496"/>
      <c r="D55" s="492">
        <f>'8. KDXSKT'!O9</f>
        <v>55303</v>
      </c>
      <c r="E55" s="492">
        <f>'8. KDXSKT'!P9</f>
        <v>0</v>
      </c>
      <c r="F55" s="493">
        <f>'8. KDXSKT'!Q9</f>
        <v>0</v>
      </c>
      <c r="G55" s="492">
        <f>'8. KDXSKT'!R9</f>
        <v>55303</v>
      </c>
      <c r="H55" s="540">
        <f t="shared" si="0"/>
        <v>0</v>
      </c>
      <c r="I55" s="479"/>
      <c r="J55" s="480"/>
      <c r="K55" s="480"/>
    </row>
    <row r="56" spans="1:11" s="234" customFormat="1" ht="39.75" customHeight="1">
      <c r="A56" s="490">
        <v>2</v>
      </c>
      <c r="B56" s="491" t="s">
        <v>659</v>
      </c>
      <c r="C56" s="496">
        <f>SUM(C57:C57)</f>
        <v>0</v>
      </c>
      <c r="D56" s="492">
        <f>'8. KDXSKT'!O11</f>
        <v>1200</v>
      </c>
      <c r="E56" s="492" t="e">
        <f>'14. VTXSKT2022'!#REF!</f>
        <v>#REF!</v>
      </c>
      <c r="F56" s="493" t="e">
        <f>'14. VTXSKT2022'!#REF!</f>
        <v>#REF!</v>
      </c>
      <c r="G56" s="492">
        <f>'8. KDXSKT'!R11</f>
        <v>1200</v>
      </c>
      <c r="H56" s="540">
        <f>G56-D56</f>
        <v>0</v>
      </c>
      <c r="I56" s="479"/>
      <c r="J56" s="480"/>
      <c r="K56" s="480">
        <f>SUM(D57:D57)-D56</f>
        <v>0</v>
      </c>
    </row>
    <row r="57" spans="1:11" s="245" customFormat="1" ht="39" customHeight="1">
      <c r="A57" s="531" t="s">
        <v>17</v>
      </c>
      <c r="B57" s="532" t="s">
        <v>74</v>
      </c>
      <c r="C57" s="533"/>
      <c r="D57" s="534">
        <f>'8. KDXSKT'!O14</f>
        <v>1200</v>
      </c>
      <c r="E57" s="534">
        <f>'8. KDXSKT'!P14</f>
        <v>0</v>
      </c>
      <c r="F57" s="535">
        <f>'8. KDXSKT'!Q14</f>
        <v>0</v>
      </c>
      <c r="G57" s="534">
        <f>'8. KDXSKT'!R14</f>
        <v>1200</v>
      </c>
      <c r="H57" s="540">
        <f t="shared" si="0"/>
        <v>0</v>
      </c>
      <c r="I57" s="537"/>
      <c r="J57" s="538"/>
      <c r="K57" s="539"/>
    </row>
    <row r="58" spans="1:11" s="456" customFormat="1" ht="48.75" customHeight="1">
      <c r="A58" s="468" t="s">
        <v>508</v>
      </c>
      <c r="B58" s="476" t="s">
        <v>511</v>
      </c>
      <c r="C58" s="477">
        <f>SUM(C60)</f>
        <v>1</v>
      </c>
      <c r="D58" s="470">
        <f>'9. KDSDĐ năm 2020'!U8</f>
        <v>5500</v>
      </c>
      <c r="E58" s="470">
        <f>'9. KDSDĐ năm 2020'!V8</f>
        <v>0</v>
      </c>
      <c r="F58" s="471">
        <f>'9. KDSDĐ năm 2020'!W8</f>
        <v>0</v>
      </c>
      <c r="G58" s="470">
        <f>'9. KDSDĐ năm 2020'!X8</f>
        <v>5500</v>
      </c>
      <c r="H58" s="478">
        <f t="shared" si="0"/>
        <v>0</v>
      </c>
      <c r="I58" s="479" t="s">
        <v>536</v>
      </c>
      <c r="J58" s="541"/>
      <c r="K58" s="542"/>
    </row>
    <row r="59" spans="1:11" s="234" customFormat="1" ht="39.75" customHeight="1">
      <c r="A59" s="490">
        <v>1</v>
      </c>
      <c r="B59" s="491" t="s">
        <v>659</v>
      </c>
      <c r="C59" s="496">
        <f>SUM(C60:C60)</f>
        <v>1</v>
      </c>
      <c r="D59" s="492">
        <f>'9. KDSDĐ năm 2020'!U9</f>
        <v>5500</v>
      </c>
      <c r="E59" s="492" t="e">
        <f>'14. VTXSKT2022'!#REF!</f>
        <v>#REF!</v>
      </c>
      <c r="F59" s="493" t="e">
        <f>'14. VTXSKT2022'!#REF!</f>
        <v>#REF!</v>
      </c>
      <c r="G59" s="492">
        <f>'9. KDSDĐ năm 2020'!X9</f>
        <v>5500</v>
      </c>
      <c r="H59" s="540">
        <f t="shared" si="0"/>
        <v>0</v>
      </c>
      <c r="I59" s="479"/>
      <c r="J59" s="480"/>
      <c r="K59" s="480">
        <f>SUM(D60:D60)-D59</f>
        <v>0</v>
      </c>
    </row>
    <row r="60" spans="1:11" s="245" customFormat="1" ht="37.5" customHeight="1">
      <c r="A60" s="531" t="s">
        <v>17</v>
      </c>
      <c r="B60" s="532" t="s">
        <v>70</v>
      </c>
      <c r="C60" s="533">
        <v>1</v>
      </c>
      <c r="D60" s="534">
        <f>'9. KDSDĐ năm 2020'!U9</f>
        <v>5500</v>
      </c>
      <c r="E60" s="534">
        <f>'9. KDSDĐ năm 2020'!V9</f>
        <v>0</v>
      </c>
      <c r="F60" s="535">
        <f>'9. KDSDĐ năm 2020'!W9</f>
        <v>0</v>
      </c>
      <c r="G60" s="534">
        <f>'9. KDSDĐ năm 2020'!X9</f>
        <v>5500</v>
      </c>
      <c r="H60" s="540">
        <f t="shared" si="0"/>
        <v>0</v>
      </c>
      <c r="I60" s="537"/>
      <c r="J60" s="538"/>
      <c r="K60" s="539"/>
    </row>
    <row r="61" spans="1:11" s="455" customFormat="1" ht="38.25" customHeight="1">
      <c r="A61" s="468" t="s">
        <v>15</v>
      </c>
      <c r="B61" s="476" t="s">
        <v>965</v>
      </c>
      <c r="C61" s="477">
        <f>SUM(C63)</f>
        <v>1</v>
      </c>
      <c r="D61" s="470">
        <f>'10. Boi chi'!M8</f>
        <v>40000</v>
      </c>
      <c r="E61" s="470">
        <f>'10. Boi chi'!N8</f>
        <v>167525</v>
      </c>
      <c r="F61" s="471">
        <f>'10. Boi chi'!O8</f>
        <v>-25239</v>
      </c>
      <c r="G61" s="470">
        <f>'10. Boi chi'!P8</f>
        <v>182286</v>
      </c>
      <c r="H61" s="478">
        <f t="shared" si="0"/>
        <v>142286</v>
      </c>
      <c r="I61" s="479" t="s">
        <v>537</v>
      </c>
      <c r="J61" s="512"/>
      <c r="K61" s="530"/>
    </row>
    <row r="62" spans="1:11" s="234" customFormat="1" ht="39.75" customHeight="1">
      <c r="A62" s="490">
        <v>1</v>
      </c>
      <c r="B62" s="491" t="s">
        <v>659</v>
      </c>
      <c r="C62" s="496">
        <f>SUM(C63:C63)</f>
        <v>1</v>
      </c>
      <c r="D62" s="492">
        <f>'10. Boi chi'!M9</f>
        <v>40000</v>
      </c>
      <c r="E62" s="492" t="e">
        <f>'14. VTXSKT2022'!#REF!</f>
        <v>#REF!</v>
      </c>
      <c r="F62" s="493" t="e">
        <f>'14. VTXSKT2022'!#REF!</f>
        <v>#REF!</v>
      </c>
      <c r="G62" s="492">
        <f>'10. Boi chi'!P9</f>
        <v>182286</v>
      </c>
      <c r="H62" s="525">
        <f>G62-D62</f>
        <v>142286</v>
      </c>
      <c r="I62" s="479"/>
      <c r="J62" s="480"/>
      <c r="K62" s="480">
        <f>SUM(D63:D63)-D62</f>
        <v>0</v>
      </c>
    </row>
    <row r="63" spans="1:11" s="245" customFormat="1" ht="35.1" customHeight="1">
      <c r="A63" s="531" t="s">
        <v>17</v>
      </c>
      <c r="B63" s="532" t="s">
        <v>70</v>
      </c>
      <c r="C63" s="533">
        <v>1</v>
      </c>
      <c r="D63" s="534">
        <f>'10. Boi chi'!M9</f>
        <v>40000</v>
      </c>
      <c r="E63" s="534">
        <f>'10. Boi chi'!N9</f>
        <v>167525</v>
      </c>
      <c r="F63" s="535">
        <f>'10. Boi chi'!O9</f>
        <v>-25239</v>
      </c>
      <c r="G63" s="534">
        <f>'10. Boi chi'!P9</f>
        <v>182286</v>
      </c>
      <c r="H63" s="540">
        <f t="shared" si="0"/>
        <v>142286</v>
      </c>
      <c r="I63" s="537"/>
      <c r="J63" s="538"/>
      <c r="K63" s="539"/>
    </row>
    <row r="64" spans="1:11" s="455" customFormat="1" ht="41.25" customHeight="1">
      <c r="A64" s="468" t="s">
        <v>509</v>
      </c>
      <c r="B64" s="476" t="s">
        <v>810</v>
      </c>
      <c r="C64" s="477">
        <f>SUM(C66)</f>
        <v>1</v>
      </c>
      <c r="D64" s="470">
        <f>'11.VTXSKT'!K8</f>
        <v>15687</v>
      </c>
      <c r="E64" s="470">
        <f>'11.VTXSKT'!L8</f>
        <v>0</v>
      </c>
      <c r="F64" s="471">
        <f>'11.VTXSKT'!M8</f>
        <v>0</v>
      </c>
      <c r="G64" s="470">
        <f>'11.VTXSKT'!N8</f>
        <v>15687</v>
      </c>
      <c r="H64" s="478">
        <f t="shared" si="0"/>
        <v>0</v>
      </c>
      <c r="I64" s="479" t="s">
        <v>538</v>
      </c>
      <c r="J64" s="512"/>
      <c r="K64" s="530"/>
    </row>
    <row r="65" spans="1:11" s="234" customFormat="1" ht="39.75" customHeight="1">
      <c r="A65" s="490">
        <v>1</v>
      </c>
      <c r="B65" s="491" t="s">
        <v>659</v>
      </c>
      <c r="C65" s="496">
        <f>SUM(C66:C66)</f>
        <v>1</v>
      </c>
      <c r="D65" s="492">
        <f>'11.VTXSKT'!K8</f>
        <v>15687</v>
      </c>
      <c r="E65" s="492" t="e">
        <f>'14. VTXSKT2022'!#REF!</f>
        <v>#REF!</v>
      </c>
      <c r="F65" s="493" t="e">
        <f>'14. VTXSKT2022'!#REF!</f>
        <v>#REF!</v>
      </c>
      <c r="G65" s="492">
        <f>'11.VTXSKT'!N8</f>
        <v>15687</v>
      </c>
      <c r="H65" s="525">
        <f t="shared" si="0"/>
        <v>0</v>
      </c>
      <c r="I65" s="479"/>
      <c r="J65" s="480"/>
      <c r="K65" s="480">
        <f>SUM(D66:D66)-D65</f>
        <v>-5000</v>
      </c>
    </row>
    <row r="66" spans="1:11" s="245" customFormat="1" ht="37.5" customHeight="1">
      <c r="A66" s="531" t="s">
        <v>17</v>
      </c>
      <c r="B66" s="532" t="s">
        <v>70</v>
      </c>
      <c r="C66" s="533">
        <v>1</v>
      </c>
      <c r="D66" s="534">
        <f>'11.VTXSKT'!K9</f>
        <v>10687</v>
      </c>
      <c r="E66" s="534">
        <f>'11.VTXSKT'!L9</f>
        <v>0</v>
      </c>
      <c r="F66" s="535">
        <f>'11.VTXSKT'!M9</f>
        <v>0</v>
      </c>
      <c r="G66" s="534">
        <f>'11.VTXSKT'!N9</f>
        <v>10687</v>
      </c>
      <c r="H66" s="540">
        <f t="shared" si="0"/>
        <v>0</v>
      </c>
      <c r="I66" s="537"/>
      <c r="J66" s="538"/>
      <c r="K66" s="539"/>
    </row>
    <row r="67" spans="1:11" s="245" customFormat="1" ht="37.5" customHeight="1">
      <c r="A67" s="531" t="s">
        <v>25</v>
      </c>
      <c r="B67" s="532" t="s">
        <v>74</v>
      </c>
      <c r="C67" s="533"/>
      <c r="D67" s="534">
        <f>'11.VTXSKT'!K12</f>
        <v>5000</v>
      </c>
      <c r="E67" s="534">
        <f>'11.VTXSKT'!L12</f>
        <v>0</v>
      </c>
      <c r="F67" s="534">
        <f>'11.VTXSKT'!M12</f>
        <v>0</v>
      </c>
      <c r="G67" s="534">
        <f>'11.VTXSKT'!N12</f>
        <v>5000</v>
      </c>
      <c r="H67" s="534">
        <f>'11.VTXSKT'!O12</f>
        <v>0</v>
      </c>
      <c r="I67" s="537"/>
      <c r="J67" s="538"/>
      <c r="K67" s="539"/>
    </row>
    <row r="68" spans="1:11" s="455" customFormat="1" ht="41.25" customHeight="1">
      <c r="A68" s="468" t="s">
        <v>510</v>
      </c>
      <c r="B68" s="476" t="s">
        <v>916</v>
      </c>
      <c r="C68" s="477">
        <f>SUM(C70)</f>
        <v>1</v>
      </c>
      <c r="D68" s="470">
        <f>'12. KDCĐNS2022'!K8</f>
        <v>913</v>
      </c>
      <c r="E68" s="470">
        <f>'12. KDCĐNS2022'!L8</f>
        <v>0</v>
      </c>
      <c r="F68" s="471">
        <f>'12. KDCĐNS2022'!M8</f>
        <v>0</v>
      </c>
      <c r="G68" s="470">
        <f>'12. KDCĐNS2022'!N8</f>
        <v>913</v>
      </c>
      <c r="H68" s="478">
        <f t="shared" si="0"/>
        <v>0</v>
      </c>
      <c r="I68" s="479" t="s">
        <v>539</v>
      </c>
      <c r="J68" s="512"/>
      <c r="K68" s="530"/>
    </row>
    <row r="69" spans="1:11" s="234" customFormat="1" ht="39.75" customHeight="1">
      <c r="A69" s="490">
        <v>1</v>
      </c>
      <c r="B69" s="491" t="s">
        <v>659</v>
      </c>
      <c r="C69" s="496">
        <f>SUM(C70:C70)</f>
        <v>1</v>
      </c>
      <c r="D69" s="492">
        <f>'12. KDCĐNS2022'!K9</f>
        <v>913</v>
      </c>
      <c r="E69" s="492">
        <f>'14. VTXSKT2022'!Q4</f>
        <v>0</v>
      </c>
      <c r="F69" s="493">
        <f>'14. VTXSKT2022'!R4</f>
        <v>0</v>
      </c>
      <c r="G69" s="492">
        <f>'12. KDCĐNS2022'!N8</f>
        <v>913</v>
      </c>
      <c r="H69" s="540">
        <f t="shared" si="0"/>
        <v>0</v>
      </c>
      <c r="I69" s="479"/>
      <c r="J69" s="480"/>
      <c r="K69" s="480">
        <f>SUM(D70:D70)-D69</f>
        <v>0</v>
      </c>
    </row>
    <row r="70" spans="1:11" s="245" customFormat="1" ht="37.5" customHeight="1">
      <c r="A70" s="531" t="s">
        <v>17</v>
      </c>
      <c r="B70" s="532" t="s">
        <v>74</v>
      </c>
      <c r="C70" s="533">
        <v>1</v>
      </c>
      <c r="D70" s="534">
        <f>'12. KDCĐNS2022'!K9</f>
        <v>913</v>
      </c>
      <c r="E70" s="534">
        <f>'12. KDCĐNS2022'!L9</f>
        <v>0</v>
      </c>
      <c r="F70" s="535">
        <f>'12. KDCĐNS2022'!M9</f>
        <v>0</v>
      </c>
      <c r="G70" s="534">
        <f>'12. KDCĐNS2022'!N9</f>
        <v>913</v>
      </c>
      <c r="H70" s="540">
        <f t="shared" si="0"/>
        <v>0</v>
      </c>
      <c r="I70" s="537"/>
      <c r="J70" s="538"/>
      <c r="K70" s="539"/>
    </row>
    <row r="71" spans="1:11" s="455" customFormat="1" ht="41.25" customHeight="1">
      <c r="A71" s="468" t="s">
        <v>520</v>
      </c>
      <c r="B71" s="476" t="s">
        <v>811</v>
      </c>
      <c r="C71" s="477">
        <f>SUM(C72,C74,C76,C78)</f>
        <v>5</v>
      </c>
      <c r="D71" s="470">
        <f>'13. KDXSKT2022'!N8</f>
        <v>5052</v>
      </c>
      <c r="E71" s="470">
        <f>'13. KDXSKT2022'!O8</f>
        <v>0</v>
      </c>
      <c r="F71" s="471">
        <f>'13. KDXSKT2022'!P8</f>
        <v>-48</v>
      </c>
      <c r="G71" s="470">
        <f>'13. KDXSKT2022'!Q8</f>
        <v>5004</v>
      </c>
      <c r="H71" s="472">
        <f t="shared" si="0"/>
        <v>-48</v>
      </c>
      <c r="I71" s="479" t="s">
        <v>540</v>
      </c>
      <c r="J71" s="512"/>
      <c r="K71" s="530"/>
    </row>
    <row r="72" spans="1:11" s="233" customFormat="1" ht="41.25" customHeight="1">
      <c r="A72" s="520">
        <v>1</v>
      </c>
      <c r="B72" s="521" t="s">
        <v>660</v>
      </c>
      <c r="C72" s="522">
        <v>2</v>
      </c>
      <c r="D72" s="523">
        <f>'13. KDXSKT2022'!N9</f>
        <v>1500</v>
      </c>
      <c r="E72" s="523">
        <f>'13. KDXSKT2022'!O9</f>
        <v>0</v>
      </c>
      <c r="F72" s="524">
        <f>'13. KDXSKT2022'!P9</f>
        <v>0</v>
      </c>
      <c r="G72" s="523">
        <f>'13. KDXSKT2022'!Q9</f>
        <v>1500</v>
      </c>
      <c r="H72" s="525">
        <f t="shared" si="0"/>
        <v>0</v>
      </c>
      <c r="I72" s="526"/>
      <c r="J72" s="474"/>
      <c r="K72" s="475"/>
    </row>
    <row r="73" spans="1:11" s="244" customFormat="1" ht="31.5" customHeight="1">
      <c r="A73" s="497" t="s">
        <v>17</v>
      </c>
      <c r="B73" s="498" t="s">
        <v>70</v>
      </c>
      <c r="C73" s="499">
        <v>2</v>
      </c>
      <c r="D73" s="500">
        <f>'13. KDXSKT2022'!N9</f>
        <v>1500</v>
      </c>
      <c r="E73" s="500">
        <f>'13. KDXSKT2022'!O9</f>
        <v>0</v>
      </c>
      <c r="F73" s="501">
        <f>'13. KDXSKT2022'!P9</f>
        <v>0</v>
      </c>
      <c r="G73" s="500">
        <f>'13. KDXSKT2022'!Q9</f>
        <v>1500</v>
      </c>
      <c r="H73" s="506">
        <f t="shared" si="0"/>
        <v>0</v>
      </c>
      <c r="I73" s="517"/>
      <c r="J73" s="518"/>
      <c r="K73" s="519"/>
    </row>
    <row r="74" spans="1:11" s="233" customFormat="1" ht="41.25" customHeight="1">
      <c r="A74" s="520">
        <v>2</v>
      </c>
      <c r="B74" s="521" t="s">
        <v>921</v>
      </c>
      <c r="C74" s="522">
        <v>1</v>
      </c>
      <c r="D74" s="523">
        <f>'13. KDXSKT2022'!N14</f>
        <v>1504</v>
      </c>
      <c r="E74" s="523">
        <f>'13. KDXSKT2022'!O14</f>
        <v>0</v>
      </c>
      <c r="F74" s="524">
        <f>'13. KDXSKT2022'!P14</f>
        <v>0</v>
      </c>
      <c r="G74" s="523">
        <f>'13. KDXSKT2022'!Q14</f>
        <v>1504</v>
      </c>
      <c r="H74" s="525">
        <f t="shared" si="0"/>
        <v>0</v>
      </c>
      <c r="I74" s="526"/>
      <c r="J74" s="474"/>
      <c r="K74" s="475"/>
    </row>
    <row r="75" spans="1:11" s="244" customFormat="1" ht="31.5" customHeight="1">
      <c r="A75" s="497" t="s">
        <v>17</v>
      </c>
      <c r="B75" s="498" t="s">
        <v>70</v>
      </c>
      <c r="C75" s="499">
        <v>1</v>
      </c>
      <c r="D75" s="500">
        <f>'13. KDXSKT2022'!N17</f>
        <v>1504</v>
      </c>
      <c r="E75" s="500">
        <f>'13. KDXSKT2022'!O17</f>
        <v>0</v>
      </c>
      <c r="F75" s="501">
        <f>'13. KDXSKT2022'!P17</f>
        <v>0</v>
      </c>
      <c r="G75" s="500">
        <f>'13. KDXSKT2022'!Q17</f>
        <v>1504</v>
      </c>
      <c r="H75" s="506">
        <f t="shared" si="0"/>
        <v>0</v>
      </c>
      <c r="I75" s="517"/>
      <c r="J75" s="518"/>
      <c r="K75" s="519"/>
    </row>
    <row r="76" spans="1:11" s="233" customFormat="1" ht="81.75" customHeight="1">
      <c r="A76" s="520">
        <v>3</v>
      </c>
      <c r="B76" s="521" t="s">
        <v>845</v>
      </c>
      <c r="C76" s="522">
        <v>1</v>
      </c>
      <c r="D76" s="523">
        <f>'13. KDXSKT2022'!N18</f>
        <v>48</v>
      </c>
      <c r="E76" s="523">
        <f>'13. KDXSKT2022'!O18</f>
        <v>0</v>
      </c>
      <c r="F76" s="524">
        <f>'13. KDXSKT2022'!P18</f>
        <v>-48</v>
      </c>
      <c r="G76" s="523">
        <f>'13. KDXSKT2022'!Q18</f>
        <v>0</v>
      </c>
      <c r="H76" s="529">
        <f t="shared" si="0"/>
        <v>-48</v>
      </c>
      <c r="I76" s="526"/>
      <c r="J76" s="474"/>
      <c r="K76" s="475"/>
    </row>
    <row r="77" spans="1:11" s="244" customFormat="1" ht="31.5" customHeight="1">
      <c r="A77" s="497" t="s">
        <v>17</v>
      </c>
      <c r="B77" s="498" t="s">
        <v>74</v>
      </c>
      <c r="C77" s="499">
        <v>1</v>
      </c>
      <c r="D77" s="500">
        <f>'13. KDXSKT2022'!N20</f>
        <v>48</v>
      </c>
      <c r="E77" s="500">
        <f>'13. KDXSKT2022'!O20</f>
        <v>0</v>
      </c>
      <c r="F77" s="501">
        <f>'13. KDXSKT2022'!P20</f>
        <v>-48</v>
      </c>
      <c r="G77" s="500">
        <f>'13. KDXSKT2022'!Q20</f>
        <v>0</v>
      </c>
      <c r="H77" s="502">
        <f t="shared" si="0"/>
        <v>-48</v>
      </c>
      <c r="I77" s="517"/>
      <c r="J77" s="518"/>
      <c r="K77" s="519"/>
    </row>
    <row r="78" spans="1:11" s="233" customFormat="1" ht="45.75" hidden="1" customHeight="1">
      <c r="A78" s="520">
        <v>4</v>
      </c>
      <c r="B78" s="521" t="s">
        <v>975</v>
      </c>
      <c r="C78" s="522">
        <v>1</v>
      </c>
      <c r="D78" s="523">
        <f>'13. KDXSKT2022'!N24</f>
        <v>0</v>
      </c>
      <c r="E78" s="523">
        <f>'13. KDXSKT2022'!O24</f>
        <v>0</v>
      </c>
      <c r="F78" s="524">
        <f>'13. KDXSKT2022'!P24</f>
        <v>0</v>
      </c>
      <c r="G78" s="523">
        <f>'13. KDXSKT2022'!Q24</f>
        <v>0</v>
      </c>
      <c r="H78" s="525">
        <f t="shared" si="0"/>
        <v>0</v>
      </c>
      <c r="I78" s="526"/>
      <c r="J78" s="474"/>
      <c r="K78" s="474"/>
    </row>
    <row r="79" spans="1:11" s="455" customFormat="1" ht="41.25" customHeight="1">
      <c r="A79" s="468" t="s">
        <v>917</v>
      </c>
      <c r="B79" s="476" t="s">
        <v>812</v>
      </c>
      <c r="C79" s="477">
        <f>SUM(C80,C82)</f>
        <v>6</v>
      </c>
      <c r="D79" s="470">
        <f>'14. VTXSKT2022'!P8</f>
        <v>144700</v>
      </c>
      <c r="E79" s="470">
        <f>'14. VTXSKT2022'!Q8</f>
        <v>0</v>
      </c>
      <c r="F79" s="471">
        <f>'14. VTXSKT2022'!R8</f>
        <v>-1000</v>
      </c>
      <c r="G79" s="470">
        <f>'14. VTXSKT2022'!S8</f>
        <v>143700</v>
      </c>
      <c r="H79" s="472">
        <f t="shared" si="0"/>
        <v>-1000</v>
      </c>
      <c r="I79" s="479" t="s">
        <v>920</v>
      </c>
      <c r="J79" s="512"/>
      <c r="K79" s="530"/>
    </row>
    <row r="80" spans="1:11" s="233" customFormat="1" ht="41.25" customHeight="1">
      <c r="A80" s="520">
        <v>1</v>
      </c>
      <c r="B80" s="521" t="s">
        <v>660</v>
      </c>
      <c r="C80" s="522">
        <v>3</v>
      </c>
      <c r="D80" s="523">
        <f>'14. VTXSKT2022'!P10</f>
        <v>10700</v>
      </c>
      <c r="E80" s="523">
        <f>'14. VTXSKT2022'!Q10</f>
        <v>0</v>
      </c>
      <c r="F80" s="524">
        <f>'14. VTXSKT2022'!R10</f>
        <v>0</v>
      </c>
      <c r="G80" s="523">
        <f>'14. VTXSKT2022'!S10</f>
        <v>10700</v>
      </c>
      <c r="H80" s="525">
        <f t="shared" ref="H80:H105" si="3">G80-D80</f>
        <v>0</v>
      </c>
      <c r="I80" s="526"/>
      <c r="J80" s="474"/>
      <c r="K80" s="475"/>
    </row>
    <row r="81" spans="1:11" s="244" customFormat="1" ht="31.5" customHeight="1">
      <c r="A81" s="497" t="s">
        <v>17</v>
      </c>
      <c r="B81" s="498" t="s">
        <v>74</v>
      </c>
      <c r="C81" s="499">
        <v>3</v>
      </c>
      <c r="D81" s="500">
        <f>'14. VTXSKT2022'!P10</f>
        <v>10700</v>
      </c>
      <c r="E81" s="500">
        <f>'14. VTXSKT2022'!Q10</f>
        <v>0</v>
      </c>
      <c r="F81" s="501">
        <f>'14. VTXSKT2022'!R10</f>
        <v>0</v>
      </c>
      <c r="G81" s="500">
        <f>'14. VTXSKT2022'!S10</f>
        <v>10700</v>
      </c>
      <c r="H81" s="506">
        <f t="shared" si="3"/>
        <v>0</v>
      </c>
      <c r="I81" s="517"/>
      <c r="J81" s="518"/>
      <c r="K81" s="519"/>
    </row>
    <row r="82" spans="1:11" s="234" customFormat="1" ht="39.75" customHeight="1">
      <c r="A82" s="490">
        <v>2</v>
      </c>
      <c r="B82" s="491" t="s">
        <v>499</v>
      </c>
      <c r="C82" s="496">
        <f>SUM(C83:C83)</f>
        <v>3</v>
      </c>
      <c r="D82" s="492">
        <f>'14. VTXSKT2022'!P17</f>
        <v>125500</v>
      </c>
      <c r="E82" s="492">
        <f>'14. VTXSKT2022'!Q17</f>
        <v>0</v>
      </c>
      <c r="F82" s="493">
        <f>'14. VTXSKT2022'!R17</f>
        <v>-1000</v>
      </c>
      <c r="G82" s="492">
        <f>'14. VTXSKT2022'!S17</f>
        <v>124500</v>
      </c>
      <c r="H82" s="494">
        <f t="shared" si="3"/>
        <v>-1000</v>
      </c>
      <c r="I82" s="479"/>
      <c r="J82" s="480"/>
      <c r="K82" s="480">
        <f>SUM(D83:D83)-D82</f>
        <v>0</v>
      </c>
    </row>
    <row r="83" spans="1:11" s="240" customFormat="1" ht="35.1" customHeight="1">
      <c r="A83" s="497" t="s">
        <v>17</v>
      </c>
      <c r="B83" s="498" t="s">
        <v>74</v>
      </c>
      <c r="C83" s="499">
        <v>3</v>
      </c>
      <c r="D83" s="500">
        <f>'14. VTXSKT2022'!P17</f>
        <v>125500</v>
      </c>
      <c r="E83" s="500">
        <f>'14. VTXSKT2022'!Q17</f>
        <v>0</v>
      </c>
      <c r="F83" s="501">
        <f>'14. VTXSKT2022'!R17</f>
        <v>-1000</v>
      </c>
      <c r="G83" s="500">
        <f>'14. VTXSKT2022'!S17</f>
        <v>124500</v>
      </c>
      <c r="H83" s="502">
        <f t="shared" si="3"/>
        <v>-1000</v>
      </c>
      <c r="I83" s="503"/>
      <c r="J83" s="504"/>
      <c r="K83" s="505"/>
    </row>
    <row r="84" spans="1:11" s="234" customFormat="1" ht="42.75" hidden="1" customHeight="1">
      <c r="A84" s="490">
        <v>3</v>
      </c>
      <c r="B84" s="491" t="s">
        <v>975</v>
      </c>
      <c r="C84" s="496"/>
      <c r="D84" s="492">
        <f>'14. VTXSKT2022'!P26</f>
        <v>0</v>
      </c>
      <c r="E84" s="492">
        <f>'14. VTXSKT2022'!Q26</f>
        <v>0</v>
      </c>
      <c r="F84" s="493">
        <f>'14. VTXSKT2022'!R26</f>
        <v>0</v>
      </c>
      <c r="G84" s="492">
        <f>'14. VTXSKT2022'!S26</f>
        <v>0</v>
      </c>
      <c r="H84" s="516">
        <f t="shared" si="3"/>
        <v>0</v>
      </c>
      <c r="I84" s="526"/>
      <c r="J84" s="480"/>
      <c r="K84" s="480"/>
    </row>
    <row r="85" spans="1:11" s="455" customFormat="1" ht="41.25" customHeight="1">
      <c r="A85" s="468" t="s">
        <v>1416</v>
      </c>
      <c r="B85" s="476" t="s">
        <v>1417</v>
      </c>
      <c r="C85" s="477">
        <f>SUM(C87)</f>
        <v>1</v>
      </c>
      <c r="D85" s="470">
        <f>'17. KDXS2020-CNT'!V8</f>
        <v>6500</v>
      </c>
      <c r="E85" s="470">
        <f>'17. KDXS2020-CNT'!W8</f>
        <v>0</v>
      </c>
      <c r="F85" s="470">
        <f>'17. KDXS2020-CNT'!X8</f>
        <v>0</v>
      </c>
      <c r="G85" s="470">
        <f>'17. KDXS2020-CNT'!Y8</f>
        <v>6500</v>
      </c>
      <c r="H85" s="478">
        <f t="shared" si="3"/>
        <v>0</v>
      </c>
      <c r="I85" s="479" t="s">
        <v>1418</v>
      </c>
      <c r="J85" s="512"/>
      <c r="K85" s="530"/>
    </row>
    <row r="86" spans="1:11" s="234" customFormat="1" ht="39.75" customHeight="1">
      <c r="A86" s="490">
        <v>1</v>
      </c>
      <c r="B86" s="521" t="s">
        <v>660</v>
      </c>
      <c r="C86" s="496">
        <f>SUM(C87:C87)</f>
        <v>1</v>
      </c>
      <c r="D86" s="492">
        <f>'17. KDXS2020-CNT'!Y9</f>
        <v>6500</v>
      </c>
      <c r="E86" s="492">
        <f>'17. KDXS2020-CNT'!Z9</f>
        <v>0</v>
      </c>
      <c r="F86" s="492">
        <f>'17. KDXS2020-CNT'!AA9</f>
        <v>0</v>
      </c>
      <c r="G86" s="492">
        <f>'17. KDXS2020-CNT'!Y9</f>
        <v>6500</v>
      </c>
      <c r="H86" s="534">
        <f t="shared" si="3"/>
        <v>0</v>
      </c>
      <c r="I86" s="479"/>
      <c r="J86" s="480"/>
      <c r="K86" s="480"/>
    </row>
    <row r="87" spans="1:11" s="245" customFormat="1" ht="37.5" customHeight="1">
      <c r="A87" s="531" t="s">
        <v>17</v>
      </c>
      <c r="B87" s="498" t="s">
        <v>70</v>
      </c>
      <c r="C87" s="533">
        <v>1</v>
      </c>
      <c r="D87" s="534">
        <f>'17. KDXS2020-CNT'!V8</f>
        <v>6500</v>
      </c>
      <c r="E87" s="534">
        <f>'17. KDXS2020-CNT'!W8</f>
        <v>0</v>
      </c>
      <c r="F87" s="534">
        <f>'17. KDXS2020-CNT'!X8</f>
        <v>0</v>
      </c>
      <c r="G87" s="534">
        <f>'17. KDXS2020-CNT'!Y10</f>
        <v>6500</v>
      </c>
      <c r="H87" s="534">
        <f t="shared" si="3"/>
        <v>0</v>
      </c>
      <c r="I87" s="537"/>
      <c r="J87" s="538"/>
      <c r="K87" s="539"/>
    </row>
    <row r="88" spans="1:11" s="455" customFormat="1" ht="41.25" customHeight="1">
      <c r="A88" s="468" t="s">
        <v>1419</v>
      </c>
      <c r="B88" s="476" t="s">
        <v>1420</v>
      </c>
      <c r="C88" s="477">
        <f>SUM(C90)</f>
        <v>1</v>
      </c>
      <c r="D88" s="470">
        <f>'18. Muon ĐPTTH'!J8</f>
        <v>600000</v>
      </c>
      <c r="E88" s="470">
        <f>'18. Muon ĐPTTH'!K8</f>
        <v>0</v>
      </c>
      <c r="F88" s="470">
        <f>'18. Muon ĐPTTH'!L8</f>
        <v>-380000</v>
      </c>
      <c r="G88" s="470">
        <f>'18. Muon ĐPTTH'!M8</f>
        <v>220000</v>
      </c>
      <c r="H88" s="472">
        <f t="shared" si="3"/>
        <v>-380000</v>
      </c>
      <c r="I88" s="479" t="s">
        <v>1421</v>
      </c>
      <c r="J88" s="512"/>
      <c r="K88" s="530"/>
    </row>
    <row r="89" spans="1:11" s="234" customFormat="1" ht="39.75" customHeight="1">
      <c r="A89" s="490">
        <v>1</v>
      </c>
      <c r="B89" s="491" t="s">
        <v>659</v>
      </c>
      <c r="C89" s="496">
        <f>SUM(C90:C90)</f>
        <v>1</v>
      </c>
      <c r="D89" s="492">
        <f>'18. Muon ĐPTTH'!J9</f>
        <v>600000</v>
      </c>
      <c r="E89" s="492">
        <f>'14. VTXSKT2022'!Q24</f>
        <v>0</v>
      </c>
      <c r="F89" s="493">
        <f>'14. VTXSKT2022'!R24</f>
        <v>0</v>
      </c>
      <c r="G89" s="492">
        <f>'18. Muon ĐPTTH'!M9</f>
        <v>220000</v>
      </c>
      <c r="H89" s="494">
        <f>G89-D89</f>
        <v>-380000</v>
      </c>
      <c r="I89" s="479"/>
      <c r="J89" s="480"/>
      <c r="K89" s="480">
        <f>SUM(D90:D90)-D89</f>
        <v>0</v>
      </c>
    </row>
    <row r="90" spans="1:11" s="245" customFormat="1" ht="37.5" customHeight="1">
      <c r="A90" s="531" t="s">
        <v>17</v>
      </c>
      <c r="B90" s="498" t="s">
        <v>70</v>
      </c>
      <c r="C90" s="533">
        <v>1</v>
      </c>
      <c r="D90" s="534">
        <f>'18. Muon ĐPTTH'!J8</f>
        <v>600000</v>
      </c>
      <c r="E90" s="534">
        <f>'18. Muon ĐPTTH'!K8</f>
        <v>0</v>
      </c>
      <c r="F90" s="534">
        <f>'18. Muon ĐPTTH'!L8</f>
        <v>-380000</v>
      </c>
      <c r="G90" s="534">
        <f>'18. Muon ĐPTTH'!M8</f>
        <v>220000</v>
      </c>
      <c r="H90" s="536">
        <f t="shared" si="3"/>
        <v>-380000</v>
      </c>
      <c r="I90" s="537"/>
      <c r="J90" s="538"/>
      <c r="K90" s="539"/>
    </row>
    <row r="91" spans="1:11" s="455" customFormat="1" ht="41.25" customHeight="1">
      <c r="A91" s="468" t="s">
        <v>1422</v>
      </c>
      <c r="B91" s="476" t="s">
        <v>1423</v>
      </c>
      <c r="C91" s="477">
        <f>SUM(C93)</f>
        <v>1</v>
      </c>
      <c r="D91" s="470">
        <f>'19. DP NST 2024'!J8</f>
        <v>1300</v>
      </c>
      <c r="E91" s="470">
        <f>'19. DP NST 2024'!K8</f>
        <v>0</v>
      </c>
      <c r="F91" s="470">
        <f>'19. DP NST 2024'!L8</f>
        <v>0</v>
      </c>
      <c r="G91" s="470">
        <f>'19. DP NST 2024'!M8</f>
        <v>1300</v>
      </c>
      <c r="H91" s="478">
        <f t="shared" si="3"/>
        <v>0</v>
      </c>
      <c r="I91" s="479" t="s">
        <v>1424</v>
      </c>
      <c r="J91" s="512"/>
      <c r="K91" s="530"/>
    </row>
    <row r="92" spans="1:11" s="234" customFormat="1" ht="39.75" customHeight="1">
      <c r="A92" s="490">
        <v>1</v>
      </c>
      <c r="B92" s="491" t="s">
        <v>659</v>
      </c>
      <c r="C92" s="496">
        <f>SUM(C93:C93)</f>
        <v>1</v>
      </c>
      <c r="D92" s="492">
        <f>'19. DP NST 2024'!J9</f>
        <v>1300</v>
      </c>
      <c r="E92" s="492">
        <f>'14. VTXSKT2022'!Q27</f>
        <v>0</v>
      </c>
      <c r="F92" s="493">
        <f>'14. VTXSKT2022'!R27</f>
        <v>0</v>
      </c>
      <c r="G92" s="492">
        <f>'19. DP NST 2024'!M9</f>
        <v>1300</v>
      </c>
      <c r="H92" s="540">
        <f t="shared" si="3"/>
        <v>0</v>
      </c>
      <c r="I92" s="479"/>
      <c r="J92" s="480"/>
      <c r="K92" s="480"/>
    </row>
    <row r="93" spans="1:11" s="245" customFormat="1" ht="37.5" customHeight="1">
      <c r="A93" s="531" t="s">
        <v>17</v>
      </c>
      <c r="B93" s="532" t="s">
        <v>74</v>
      </c>
      <c r="C93" s="533">
        <v>1</v>
      </c>
      <c r="D93" s="534">
        <f>'19. DP NST 2024'!J8</f>
        <v>1300</v>
      </c>
      <c r="E93" s="534">
        <f>'19. DP NST 2024'!K8</f>
        <v>0</v>
      </c>
      <c r="F93" s="534">
        <f>'19. DP NST 2024'!L8</f>
        <v>0</v>
      </c>
      <c r="G93" s="534">
        <f>'19. DP NST 2024'!M8</f>
        <v>1300</v>
      </c>
      <c r="H93" s="540">
        <f t="shared" si="3"/>
        <v>0</v>
      </c>
      <c r="I93" s="537"/>
      <c r="J93" s="538"/>
      <c r="K93" s="539"/>
    </row>
    <row r="94" spans="1:11" s="455" customFormat="1" ht="41.25" customHeight="1">
      <c r="A94" s="468" t="s">
        <v>1425</v>
      </c>
      <c r="B94" s="476" t="s">
        <v>1426</v>
      </c>
      <c r="C94" s="477">
        <f>SUM(C96)</f>
        <v>1</v>
      </c>
      <c r="D94" s="470">
        <f>'20. Tỉnh Trà Vinh hỗ trợ'!J8</f>
        <v>3000</v>
      </c>
      <c r="E94" s="470">
        <f>'20. Tỉnh Trà Vinh hỗ trợ'!K8</f>
        <v>0</v>
      </c>
      <c r="F94" s="470">
        <f>'20. Tỉnh Trà Vinh hỗ trợ'!L8</f>
        <v>0</v>
      </c>
      <c r="G94" s="470">
        <f>'20. Tỉnh Trà Vinh hỗ trợ'!M8</f>
        <v>3000</v>
      </c>
      <c r="H94" s="478">
        <f t="shared" si="3"/>
        <v>0</v>
      </c>
      <c r="I94" s="479" t="s">
        <v>1427</v>
      </c>
      <c r="J94" s="512"/>
      <c r="K94" s="530"/>
    </row>
    <row r="95" spans="1:11" s="234" customFormat="1" ht="39.75" customHeight="1">
      <c r="A95" s="490">
        <v>1</v>
      </c>
      <c r="B95" s="491" t="s">
        <v>659</v>
      </c>
      <c r="C95" s="496">
        <f>SUM(C96:C96)</f>
        <v>1</v>
      </c>
      <c r="D95" s="492">
        <f>'20. Tỉnh Trà Vinh hỗ trợ'!J9</f>
        <v>3000</v>
      </c>
      <c r="E95" s="492">
        <f>'14. VTXSKT2022'!Q30</f>
        <v>0</v>
      </c>
      <c r="F95" s="493">
        <f>'14. VTXSKT2022'!R30</f>
        <v>0</v>
      </c>
      <c r="G95" s="492">
        <f>'20. Tỉnh Trà Vinh hỗ trợ'!M9</f>
        <v>3000</v>
      </c>
      <c r="H95" s="540">
        <f>G95-D95</f>
        <v>0</v>
      </c>
      <c r="I95" s="479"/>
      <c r="J95" s="480"/>
      <c r="K95" s="480"/>
    </row>
    <row r="96" spans="1:11" s="245" customFormat="1" ht="37.5" customHeight="1">
      <c r="A96" s="531" t="s">
        <v>17</v>
      </c>
      <c r="B96" s="498" t="s">
        <v>70</v>
      </c>
      <c r="C96" s="533">
        <v>1</v>
      </c>
      <c r="D96" s="534">
        <f>'20. Tỉnh Trà Vinh hỗ trợ'!J8</f>
        <v>3000</v>
      </c>
      <c r="E96" s="534">
        <f>'20. Tỉnh Trà Vinh hỗ trợ'!K8</f>
        <v>0</v>
      </c>
      <c r="F96" s="534">
        <f>'20. Tỉnh Trà Vinh hỗ trợ'!L8</f>
        <v>0</v>
      </c>
      <c r="G96" s="534">
        <f>'20. Tỉnh Trà Vinh hỗ trợ'!M8</f>
        <v>3000</v>
      </c>
      <c r="H96" s="540">
        <f t="shared" si="3"/>
        <v>0</v>
      </c>
      <c r="I96" s="537"/>
      <c r="J96" s="538"/>
      <c r="K96" s="539"/>
    </row>
    <row r="97" spans="1:11" s="455" customFormat="1" ht="41.25" customHeight="1">
      <c r="A97" s="468" t="s">
        <v>1428</v>
      </c>
      <c r="B97" s="476" t="s">
        <v>1429</v>
      </c>
      <c r="C97" s="477">
        <f>SUM(C99)</f>
        <v>1</v>
      </c>
      <c r="D97" s="470">
        <f>'21. BQP hỗ trợ'!J8</f>
        <v>1000</v>
      </c>
      <c r="E97" s="470">
        <f>'21. BQP hỗ trợ'!K8</f>
        <v>0</v>
      </c>
      <c r="F97" s="470">
        <f>'21. BQP hỗ trợ'!L8</f>
        <v>0</v>
      </c>
      <c r="G97" s="470">
        <f>'21. BQP hỗ trợ'!M8</f>
        <v>1000</v>
      </c>
      <c r="H97" s="478">
        <f t="shared" si="3"/>
        <v>0</v>
      </c>
      <c r="I97" s="479" t="s">
        <v>1434</v>
      </c>
      <c r="J97" s="512"/>
      <c r="K97" s="530"/>
    </row>
    <row r="98" spans="1:11" s="234" customFormat="1" ht="39.75" customHeight="1">
      <c r="A98" s="490">
        <v>1</v>
      </c>
      <c r="B98" s="491" t="s">
        <v>659</v>
      </c>
      <c r="C98" s="496">
        <f>SUM(C99:C99)</f>
        <v>1</v>
      </c>
      <c r="D98" s="492">
        <f>'21. BQP hỗ trợ'!J9</f>
        <v>1000</v>
      </c>
      <c r="E98" s="492">
        <f>'14. VTXSKT2022'!Q33</f>
        <v>0</v>
      </c>
      <c r="F98" s="493">
        <f>'14. VTXSKT2022'!R33</f>
        <v>0</v>
      </c>
      <c r="G98" s="492">
        <f>'21. BQP hỗ trợ'!M9</f>
        <v>1000</v>
      </c>
      <c r="H98" s="540">
        <f t="shared" si="3"/>
        <v>0</v>
      </c>
      <c r="I98" s="479"/>
      <c r="J98" s="480"/>
      <c r="K98" s="480"/>
    </row>
    <row r="99" spans="1:11" s="245" customFormat="1" ht="37.5" customHeight="1">
      <c r="A99" s="531" t="s">
        <v>17</v>
      </c>
      <c r="B99" s="498" t="s">
        <v>70</v>
      </c>
      <c r="C99" s="533">
        <v>1</v>
      </c>
      <c r="D99" s="534">
        <f>'21. BQP hỗ trợ'!J8</f>
        <v>1000</v>
      </c>
      <c r="E99" s="534">
        <f>'21. BQP hỗ trợ'!K8</f>
        <v>0</v>
      </c>
      <c r="F99" s="534">
        <f>'21. BQP hỗ trợ'!L8</f>
        <v>0</v>
      </c>
      <c r="G99" s="534">
        <f>'21. BQP hỗ trợ'!M8</f>
        <v>1000</v>
      </c>
      <c r="H99" s="540">
        <f t="shared" si="3"/>
        <v>0</v>
      </c>
      <c r="I99" s="537"/>
      <c r="J99" s="538"/>
      <c r="K99" s="539"/>
    </row>
    <row r="100" spans="1:11" s="455" customFormat="1" ht="41.25" customHeight="1">
      <c r="A100" s="468" t="s">
        <v>1430</v>
      </c>
      <c r="B100" s="476" t="s">
        <v>1431</v>
      </c>
      <c r="C100" s="477">
        <f>SUM(C102)</f>
        <v>1</v>
      </c>
      <c r="D100" s="470">
        <f>'22. NHNN'!K8</f>
        <v>3000</v>
      </c>
      <c r="E100" s="470">
        <f>'22. NHNN'!L8</f>
        <v>0</v>
      </c>
      <c r="F100" s="470">
        <f>'22. NHNN'!M8</f>
        <v>0</v>
      </c>
      <c r="G100" s="470">
        <f>'22. NHNN'!N8</f>
        <v>3000</v>
      </c>
      <c r="H100" s="478">
        <f t="shared" si="3"/>
        <v>0</v>
      </c>
      <c r="I100" s="479" t="s">
        <v>1435</v>
      </c>
      <c r="J100" s="512"/>
      <c r="K100" s="530"/>
    </row>
    <row r="101" spans="1:11" s="234" customFormat="1" ht="39.75" customHeight="1">
      <c r="A101" s="490">
        <v>1</v>
      </c>
      <c r="B101" s="491" t="s">
        <v>659</v>
      </c>
      <c r="C101" s="496">
        <f>SUM(C102:C102)</f>
        <v>1</v>
      </c>
      <c r="D101" s="492">
        <f>'22. NHNN'!K9</f>
        <v>3000</v>
      </c>
      <c r="E101" s="492">
        <f>'14. VTXSKT2022'!Q36</f>
        <v>0</v>
      </c>
      <c r="F101" s="493">
        <f>'14. VTXSKT2022'!R36</f>
        <v>0</v>
      </c>
      <c r="G101" s="492">
        <f>'22. NHNN'!N9</f>
        <v>3000</v>
      </c>
      <c r="H101" s="540">
        <f>G101-D101</f>
        <v>0</v>
      </c>
      <c r="I101" s="479"/>
      <c r="J101" s="480"/>
      <c r="K101" s="480"/>
    </row>
    <row r="102" spans="1:11" s="245" customFormat="1" ht="37.5" customHeight="1">
      <c r="A102" s="531" t="s">
        <v>17</v>
      </c>
      <c r="B102" s="532" t="s">
        <v>74</v>
      </c>
      <c r="C102" s="533">
        <v>1</v>
      </c>
      <c r="D102" s="534">
        <f>'22. NHNN'!K9</f>
        <v>3000</v>
      </c>
      <c r="E102" s="534">
        <f>'22. NHNN'!L9</f>
        <v>0</v>
      </c>
      <c r="F102" s="534">
        <f>'22. NHNN'!M9</f>
        <v>0</v>
      </c>
      <c r="G102" s="534">
        <f>'22. NHNN'!N9</f>
        <v>3000</v>
      </c>
      <c r="H102" s="540">
        <f t="shared" si="3"/>
        <v>0</v>
      </c>
      <c r="I102" s="537"/>
      <c r="J102" s="538"/>
      <c r="K102" s="539"/>
    </row>
    <row r="103" spans="1:11" s="455" customFormat="1" ht="41.25" customHeight="1">
      <c r="A103" s="468" t="s">
        <v>1432</v>
      </c>
      <c r="B103" s="476" t="s">
        <v>1433</v>
      </c>
      <c r="C103" s="477">
        <f>SUM(C105)</f>
        <v>1</v>
      </c>
      <c r="D103" s="470">
        <f>'23. VTPCP'!K8</f>
        <v>5040</v>
      </c>
      <c r="E103" s="470">
        <f>'23. VTPCP'!L8</f>
        <v>0</v>
      </c>
      <c r="F103" s="470">
        <f>'23. VTPCP'!M8</f>
        <v>0</v>
      </c>
      <c r="G103" s="470">
        <f>'23. VTPCP'!N8</f>
        <v>5040</v>
      </c>
      <c r="H103" s="478">
        <f t="shared" si="3"/>
        <v>0</v>
      </c>
      <c r="I103" s="479" t="s">
        <v>1436</v>
      </c>
      <c r="J103" s="512"/>
      <c r="K103" s="530"/>
    </row>
    <row r="104" spans="1:11" s="234" customFormat="1" ht="39.75" customHeight="1">
      <c r="A104" s="490">
        <v>1</v>
      </c>
      <c r="B104" s="491" t="s">
        <v>659</v>
      </c>
      <c r="C104" s="496">
        <f>SUM(C105:C105)</f>
        <v>1</v>
      </c>
      <c r="D104" s="492">
        <f>'23. VTPCP'!K9</f>
        <v>5040</v>
      </c>
      <c r="E104" s="492">
        <f>'14. VTXSKT2022'!Q39</f>
        <v>0</v>
      </c>
      <c r="F104" s="493">
        <f>'14. VTXSKT2022'!R39</f>
        <v>0</v>
      </c>
      <c r="G104" s="492">
        <f>'23. VTPCP'!N9</f>
        <v>5040</v>
      </c>
      <c r="H104" s="540">
        <f t="shared" si="3"/>
        <v>0</v>
      </c>
      <c r="I104" s="479"/>
      <c r="J104" s="480"/>
      <c r="K104" s="480"/>
    </row>
    <row r="105" spans="1:11" s="245" customFormat="1" ht="37.5" customHeight="1">
      <c r="A105" s="531" t="s">
        <v>17</v>
      </c>
      <c r="B105" s="532" t="s">
        <v>74</v>
      </c>
      <c r="C105" s="533">
        <v>1</v>
      </c>
      <c r="D105" s="534">
        <f>'23. VTPCP'!K9</f>
        <v>5040</v>
      </c>
      <c r="E105" s="534">
        <f>'23. VTPCP'!L9</f>
        <v>0</v>
      </c>
      <c r="F105" s="534">
        <f>'23. VTPCP'!M9</f>
        <v>0</v>
      </c>
      <c r="G105" s="534">
        <f>'23. VTPCP'!N9</f>
        <v>5040</v>
      </c>
      <c r="H105" s="540">
        <f t="shared" si="3"/>
        <v>0</v>
      </c>
      <c r="I105" s="537"/>
      <c r="J105" s="538"/>
      <c r="K105" s="539"/>
    </row>
  </sheetData>
  <mergeCells count="12">
    <mergeCell ref="A1:I1"/>
    <mergeCell ref="A2:I2"/>
    <mergeCell ref="D3:I3"/>
    <mergeCell ref="A4:A5"/>
    <mergeCell ref="B4:B5"/>
    <mergeCell ref="C4:C5"/>
    <mergeCell ref="D4:D5"/>
    <mergeCell ref="I4:I5"/>
    <mergeCell ref="E4:E5"/>
    <mergeCell ref="F4:F5"/>
    <mergeCell ref="G4:G5"/>
    <mergeCell ref="H4:H5"/>
  </mergeCells>
  <printOptions horizontalCentered="1"/>
  <pageMargins left="0.39370078740157483" right="0.39370078740157483" top="0.39370078740157483" bottom="0.39370078740157483" header="0.24" footer="0.19685039370078741"/>
  <pageSetup paperSize="9" scale="89" fitToHeight="0" orientation="landscape" r:id="rId1"/>
  <headerFooter>
    <oddFooter>&amp;C&amp;"Times New Roman,Regular"&amp;P/&amp;N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11"/>
  <sheetViews>
    <sheetView view="pageBreakPreview" zoomScale="60" zoomScaleNormal="70" workbookViewId="0">
      <selection activeCell="G11" sqref="G11"/>
    </sheetView>
  </sheetViews>
  <sheetFormatPr defaultColWidth="9.109375" defaultRowHeight="16.8"/>
  <cols>
    <col min="1" max="1" width="8.6640625" style="11" customWidth="1"/>
    <col min="2" max="2" width="50.6640625" style="11" customWidth="1"/>
    <col min="3" max="6" width="20.6640625" style="11" customWidth="1"/>
    <col min="7" max="7" width="22.88671875" style="11" customWidth="1"/>
    <col min="8" max="9" width="20.6640625" style="11" customWidth="1"/>
    <col min="10" max="20" width="20.6640625" style="11" hidden="1" customWidth="1"/>
    <col min="21" max="24" width="20.6640625" style="11" customWidth="1"/>
    <col min="25" max="25" width="30.6640625" style="11" customWidth="1"/>
    <col min="26" max="26" width="19.109375" style="11" customWidth="1"/>
    <col min="27" max="27" width="14.88671875" style="11" customWidth="1"/>
    <col min="28" max="28" width="13.44140625" style="11" customWidth="1"/>
    <col min="29" max="29" width="17.88671875" style="11" customWidth="1"/>
    <col min="30" max="30" width="19.33203125" style="11" customWidth="1"/>
    <col min="31" max="31" width="17.33203125" style="11" customWidth="1"/>
    <col min="32" max="32" width="10.88671875" style="11" bestFit="1" customWidth="1"/>
    <col min="33" max="33" width="9.88671875" style="11" bestFit="1" customWidth="1"/>
    <col min="34" max="16384" width="9.109375" style="11"/>
  </cols>
  <sheetData>
    <row r="1" spans="1:46" ht="39.9" customHeight="1">
      <c r="A1" s="554" t="s">
        <v>444</v>
      </c>
      <c r="B1" s="554"/>
      <c r="C1" s="554"/>
      <c r="D1" s="554"/>
      <c r="E1" s="554"/>
      <c r="F1" s="554"/>
      <c r="G1" s="554"/>
      <c r="H1" s="554"/>
      <c r="I1" s="554"/>
      <c r="J1" s="554"/>
      <c r="K1" s="554"/>
      <c r="L1" s="554"/>
      <c r="M1" s="554"/>
      <c r="N1" s="554"/>
      <c r="O1" s="554"/>
      <c r="P1" s="554"/>
      <c r="Q1" s="554"/>
      <c r="R1" s="554"/>
      <c r="S1" s="554"/>
      <c r="T1" s="554"/>
      <c r="U1" s="554"/>
      <c r="V1" s="554"/>
      <c r="W1" s="554"/>
      <c r="X1" s="554"/>
      <c r="Y1" s="554"/>
    </row>
    <row r="2" spans="1:46" ht="69.900000000000006" customHeight="1">
      <c r="A2" s="555" t="s">
        <v>1461</v>
      </c>
      <c r="B2" s="555"/>
      <c r="C2" s="555"/>
      <c r="D2" s="555"/>
      <c r="E2" s="555"/>
      <c r="F2" s="555"/>
      <c r="G2" s="555"/>
      <c r="H2" s="555"/>
      <c r="I2" s="555"/>
      <c r="J2" s="555"/>
      <c r="K2" s="555"/>
      <c r="L2" s="555"/>
      <c r="M2" s="555"/>
      <c r="N2" s="555"/>
      <c r="O2" s="555"/>
      <c r="P2" s="555"/>
      <c r="Q2" s="555"/>
      <c r="R2" s="555"/>
      <c r="S2" s="555"/>
      <c r="T2" s="555"/>
      <c r="U2" s="555"/>
      <c r="V2" s="555"/>
      <c r="W2" s="555"/>
      <c r="X2" s="555"/>
      <c r="Y2" s="555"/>
    </row>
    <row r="3" spans="1:46" ht="57.75" customHeight="1">
      <c r="A3" s="556" t="str">
        <f>'1. CĐNS'!A3</f>
        <v>(Ban hành kèm theo Quyết định số: 2571/QĐ-UBND ngày 12/12/2024 của Ủy ban nhân dân tỉnh)</v>
      </c>
      <c r="B3" s="556"/>
      <c r="C3" s="556"/>
      <c r="D3" s="556"/>
      <c r="E3" s="556"/>
      <c r="F3" s="556"/>
      <c r="G3" s="556"/>
      <c r="H3" s="556"/>
      <c r="I3" s="556"/>
      <c r="J3" s="556"/>
      <c r="K3" s="556"/>
      <c r="L3" s="556"/>
      <c r="M3" s="556"/>
      <c r="N3" s="556"/>
      <c r="O3" s="556"/>
      <c r="P3" s="556"/>
      <c r="Q3" s="556"/>
      <c r="R3" s="556"/>
      <c r="S3" s="556"/>
      <c r="T3" s="556"/>
      <c r="U3" s="556"/>
      <c r="V3" s="556"/>
      <c r="W3" s="556"/>
      <c r="X3" s="556"/>
      <c r="Y3" s="556"/>
    </row>
    <row r="4" spans="1:46" ht="33.75" customHeight="1">
      <c r="J4" s="12"/>
      <c r="K4" s="12"/>
      <c r="L4" s="12"/>
      <c r="M4" s="12"/>
      <c r="N4" s="12"/>
      <c r="O4" s="12"/>
      <c r="P4" s="12"/>
      <c r="Q4" s="12"/>
      <c r="R4" s="12"/>
      <c r="S4" s="12"/>
      <c r="T4" s="12"/>
      <c r="U4" s="12"/>
      <c r="V4" s="12"/>
      <c r="W4" s="12"/>
      <c r="X4" s="12"/>
      <c r="Y4" s="12" t="s">
        <v>0</v>
      </c>
    </row>
    <row r="5" spans="1:46" ht="50.1" customHeight="1">
      <c r="A5" s="562" t="s">
        <v>1</v>
      </c>
      <c r="B5" s="561" t="s">
        <v>513</v>
      </c>
      <c r="C5" s="562" t="s">
        <v>2</v>
      </c>
      <c r="D5" s="562" t="s">
        <v>3</v>
      </c>
      <c r="E5" s="562" t="s">
        <v>4</v>
      </c>
      <c r="F5" s="562" t="s">
        <v>5</v>
      </c>
      <c r="G5" s="585" t="s">
        <v>148</v>
      </c>
      <c r="H5" s="585"/>
      <c r="I5" s="585"/>
      <c r="J5" s="565" t="s">
        <v>696</v>
      </c>
      <c r="K5" s="565" t="s">
        <v>512</v>
      </c>
      <c r="L5" s="565"/>
      <c r="M5" s="565"/>
      <c r="N5" s="565"/>
      <c r="O5" s="565"/>
      <c r="P5" s="565"/>
      <c r="Q5" s="565"/>
      <c r="R5" s="565"/>
      <c r="S5" s="565" t="s">
        <v>809</v>
      </c>
      <c r="T5" s="565"/>
      <c r="U5" s="565" t="s">
        <v>690</v>
      </c>
      <c r="V5" s="557" t="s">
        <v>1072</v>
      </c>
      <c r="W5" s="557" t="s">
        <v>1073</v>
      </c>
      <c r="X5" s="557" t="s">
        <v>1215</v>
      </c>
      <c r="Y5" s="562" t="s">
        <v>6</v>
      </c>
      <c r="Z5" s="14"/>
      <c r="AA5" s="56" t="s">
        <v>452</v>
      </c>
      <c r="AB5" s="56" t="s">
        <v>453</v>
      </c>
      <c r="AC5" s="57" t="s">
        <v>454</v>
      </c>
      <c r="AD5" s="57"/>
      <c r="AE5" s="57" t="s">
        <v>455</v>
      </c>
      <c r="AF5" s="56" t="s">
        <v>456</v>
      </c>
      <c r="AG5" s="56" t="s">
        <v>474</v>
      </c>
      <c r="AH5" s="56" t="s">
        <v>629</v>
      </c>
      <c r="AI5" s="56" t="s">
        <v>459</v>
      </c>
      <c r="AJ5" s="56" t="s">
        <v>460</v>
      </c>
      <c r="AK5" s="56" t="s">
        <v>461</v>
      </c>
      <c r="AL5" s="56" t="s">
        <v>462</v>
      </c>
      <c r="AM5" s="56" t="s">
        <v>463</v>
      </c>
      <c r="AN5" s="56" t="s">
        <v>464</v>
      </c>
      <c r="AO5" s="56" t="s">
        <v>465</v>
      </c>
      <c r="AP5" s="56" t="s">
        <v>466</v>
      </c>
      <c r="AQ5" s="56" t="s">
        <v>467</v>
      </c>
      <c r="AR5" s="56" t="s">
        <v>468</v>
      </c>
      <c r="AS5" s="56" t="s">
        <v>469</v>
      </c>
      <c r="AT5" s="57"/>
    </row>
    <row r="6" spans="1:46" ht="50.1" customHeight="1">
      <c r="A6" s="562"/>
      <c r="B6" s="561"/>
      <c r="C6" s="562"/>
      <c r="D6" s="562"/>
      <c r="E6" s="562"/>
      <c r="F6" s="562"/>
      <c r="G6" s="562" t="s">
        <v>7</v>
      </c>
      <c r="H6" s="562" t="s">
        <v>8</v>
      </c>
      <c r="I6" s="562"/>
      <c r="J6" s="565"/>
      <c r="K6" s="565" t="s">
        <v>558</v>
      </c>
      <c r="L6" s="565" t="s">
        <v>559</v>
      </c>
      <c r="M6" s="565"/>
      <c r="N6" s="565"/>
      <c r="O6" s="565"/>
      <c r="P6" s="565"/>
      <c r="Q6" s="565"/>
      <c r="R6" s="565"/>
      <c r="S6" s="565" t="s">
        <v>9</v>
      </c>
      <c r="T6" s="557" t="s">
        <v>753</v>
      </c>
      <c r="U6" s="565"/>
      <c r="V6" s="569"/>
      <c r="W6" s="569"/>
      <c r="X6" s="569"/>
      <c r="Y6" s="562"/>
      <c r="Z6" s="14"/>
      <c r="AA6" s="56"/>
      <c r="AB6" s="56"/>
      <c r="AC6" s="57"/>
      <c r="AD6" s="58" t="s">
        <v>470</v>
      </c>
      <c r="AE6" s="57">
        <f>COUNTIF(AA8:AA920,"CT")</f>
        <v>1</v>
      </c>
      <c r="AF6" s="82">
        <f>SUMIF(AA8:AA920,"CT",AC8:AC920)</f>
        <v>5500</v>
      </c>
      <c r="AG6" s="82">
        <f>SUMIFS($AC$8:$AC$1022,$AA$8:$AA$1022,"CT",$AB$8:$AB$1022,AG5)</f>
        <v>5500</v>
      </c>
      <c r="AH6" s="82">
        <f t="shared" ref="AH6:AS6" si="0">SUMIFS($AC$8:$AC$1022,$AA$8:$AA$1022,"CT",$AB$8:$AB$1022,AH5)</f>
        <v>0</v>
      </c>
      <c r="AI6" s="82">
        <f t="shared" si="0"/>
        <v>0</v>
      </c>
      <c r="AJ6" s="82">
        <f t="shared" si="0"/>
        <v>0</v>
      </c>
      <c r="AK6" s="82">
        <f t="shared" si="0"/>
        <v>0</v>
      </c>
      <c r="AL6" s="82">
        <f t="shared" si="0"/>
        <v>0</v>
      </c>
      <c r="AM6" s="82">
        <f t="shared" si="0"/>
        <v>0</v>
      </c>
      <c r="AN6" s="82">
        <f t="shared" si="0"/>
        <v>0</v>
      </c>
      <c r="AO6" s="82">
        <f t="shared" si="0"/>
        <v>0</v>
      </c>
      <c r="AP6" s="82">
        <f t="shared" si="0"/>
        <v>0</v>
      </c>
      <c r="AQ6" s="82">
        <f t="shared" si="0"/>
        <v>0</v>
      </c>
      <c r="AR6" s="82">
        <f t="shared" si="0"/>
        <v>0</v>
      </c>
      <c r="AS6" s="82">
        <f t="shared" si="0"/>
        <v>0</v>
      </c>
      <c r="AT6" s="58">
        <f>SUM(AG6:AS6)</f>
        <v>5500</v>
      </c>
    </row>
    <row r="7" spans="1:46" ht="66" customHeight="1">
      <c r="A7" s="562"/>
      <c r="B7" s="561"/>
      <c r="C7" s="562"/>
      <c r="D7" s="562"/>
      <c r="E7" s="562"/>
      <c r="F7" s="562"/>
      <c r="G7" s="562"/>
      <c r="H7" s="13" t="s">
        <v>66</v>
      </c>
      <c r="I7" s="13" t="s">
        <v>67</v>
      </c>
      <c r="J7" s="565"/>
      <c r="K7" s="565"/>
      <c r="L7" s="85" t="s">
        <v>560</v>
      </c>
      <c r="M7" s="85" t="s">
        <v>562</v>
      </c>
      <c r="N7" s="85" t="s">
        <v>565</v>
      </c>
      <c r="O7" s="85" t="s">
        <v>573</v>
      </c>
      <c r="P7" s="85" t="s">
        <v>586</v>
      </c>
      <c r="Q7" s="85" t="s">
        <v>589</v>
      </c>
      <c r="R7" s="85"/>
      <c r="S7" s="565"/>
      <c r="T7" s="558"/>
      <c r="U7" s="565"/>
      <c r="V7" s="558"/>
      <c r="W7" s="558"/>
      <c r="X7" s="558"/>
      <c r="Y7" s="562"/>
      <c r="Z7" s="6"/>
      <c r="AA7" s="56"/>
      <c r="AB7" s="56"/>
      <c r="AC7" s="57"/>
      <c r="AD7" s="57" t="s">
        <v>471</v>
      </c>
      <c r="AE7" s="57">
        <f>COUNTIF(AA8:AA919,"KCM")</f>
        <v>0</v>
      </c>
      <c r="AF7" s="82">
        <f>SUMIF(AA8:AA919,"KCM",AC8:AC919)</f>
        <v>0</v>
      </c>
      <c r="AG7" s="82">
        <f>SUMIFS($AC$8:$AC$1022,$AA$8:$AA$1022,"KCM",$AB$8:$AB$1022,AG5)</f>
        <v>0</v>
      </c>
      <c r="AH7" s="82">
        <f t="shared" ref="AH7:AS7" si="1">SUMIFS($AC$8:$AC$1022,$AA$8:$AA$1022,"KCM",$AB$8:$AB$1022,AH5)</f>
        <v>0</v>
      </c>
      <c r="AI7" s="82">
        <f t="shared" si="1"/>
        <v>0</v>
      </c>
      <c r="AJ7" s="82">
        <f t="shared" si="1"/>
        <v>0</v>
      </c>
      <c r="AK7" s="82">
        <f t="shared" si="1"/>
        <v>0</v>
      </c>
      <c r="AL7" s="82">
        <f t="shared" si="1"/>
        <v>0</v>
      </c>
      <c r="AM7" s="82">
        <f t="shared" si="1"/>
        <v>0</v>
      </c>
      <c r="AN7" s="82">
        <f t="shared" si="1"/>
        <v>0</v>
      </c>
      <c r="AO7" s="82">
        <f t="shared" si="1"/>
        <v>0</v>
      </c>
      <c r="AP7" s="82">
        <f t="shared" si="1"/>
        <v>0</v>
      </c>
      <c r="AQ7" s="82">
        <f t="shared" si="1"/>
        <v>0</v>
      </c>
      <c r="AR7" s="82">
        <f t="shared" si="1"/>
        <v>0</v>
      </c>
      <c r="AS7" s="82">
        <f t="shared" si="1"/>
        <v>0</v>
      </c>
      <c r="AT7" s="58">
        <f>SUM(AG7:AS7)</f>
        <v>0</v>
      </c>
    </row>
    <row r="8" spans="1:46" s="2" customFormat="1" ht="60" customHeight="1">
      <c r="A8" s="21"/>
      <c r="B8" s="24" t="s">
        <v>280</v>
      </c>
      <c r="C8" s="21"/>
      <c r="D8" s="21"/>
      <c r="E8" s="21"/>
      <c r="F8" s="21"/>
      <c r="G8" s="21"/>
      <c r="H8" s="7">
        <f>SUM(H9)</f>
        <v>18766</v>
      </c>
      <c r="I8" s="7">
        <f t="shared" ref="I8:X8" si="2">SUM(I9)</f>
        <v>11500</v>
      </c>
      <c r="J8" s="7">
        <f t="shared" si="2"/>
        <v>11500</v>
      </c>
      <c r="K8" s="7">
        <f t="shared" si="2"/>
        <v>0</v>
      </c>
      <c r="L8" s="7">
        <f t="shared" si="2"/>
        <v>0</v>
      </c>
      <c r="M8" s="7">
        <f t="shared" si="2"/>
        <v>0</v>
      </c>
      <c r="N8" s="7">
        <f t="shared" si="2"/>
        <v>11500</v>
      </c>
      <c r="O8" s="7">
        <f t="shared" si="2"/>
        <v>0</v>
      </c>
      <c r="P8" s="7">
        <f t="shared" si="2"/>
        <v>0</v>
      </c>
      <c r="Q8" s="7">
        <f t="shared" si="2"/>
        <v>0</v>
      </c>
      <c r="R8" s="7">
        <f t="shared" si="2"/>
        <v>0</v>
      </c>
      <c r="S8" s="7">
        <f t="shared" si="2"/>
        <v>6000</v>
      </c>
      <c r="T8" s="7">
        <f t="shared" si="2"/>
        <v>6000</v>
      </c>
      <c r="U8" s="7">
        <f t="shared" si="2"/>
        <v>5500</v>
      </c>
      <c r="V8" s="7">
        <f t="shared" si="2"/>
        <v>0</v>
      </c>
      <c r="W8" s="7">
        <f t="shared" si="2"/>
        <v>0</v>
      </c>
      <c r="X8" s="7">
        <f t="shared" si="2"/>
        <v>5500</v>
      </c>
      <c r="Y8" s="25"/>
      <c r="Z8" s="38">
        <f>13556-K8</f>
        <v>13556</v>
      </c>
      <c r="AD8" s="230" t="s">
        <v>470</v>
      </c>
      <c r="AE8" s="44">
        <f>SUM(AG8:AS8)</f>
        <v>1</v>
      </c>
      <c r="AF8" s="44"/>
      <c r="AG8" s="44">
        <f>COUNTIFS($AA$8:$AA$920,"CT",$AB$8:$AB$920,AG5)</f>
        <v>1</v>
      </c>
      <c r="AH8" s="44">
        <f t="shared" ref="AH8:AS8" si="3">COUNTIFS($AA$8:$AA$920,"CT",$AB$8:$AB$920,AH5)</f>
        <v>0</v>
      </c>
      <c r="AI8" s="44">
        <f t="shared" si="3"/>
        <v>0</v>
      </c>
      <c r="AJ8" s="44">
        <f t="shared" si="3"/>
        <v>0</v>
      </c>
      <c r="AK8" s="44">
        <f t="shared" si="3"/>
        <v>0</v>
      </c>
      <c r="AL8" s="44">
        <f t="shared" si="3"/>
        <v>0</v>
      </c>
      <c r="AM8" s="44">
        <f t="shared" si="3"/>
        <v>0</v>
      </c>
      <c r="AN8" s="44">
        <f t="shared" si="3"/>
        <v>0</v>
      </c>
      <c r="AO8" s="44">
        <f t="shared" si="3"/>
        <v>0</v>
      </c>
      <c r="AP8" s="44">
        <f t="shared" si="3"/>
        <v>0</v>
      </c>
      <c r="AQ8" s="44">
        <f t="shared" si="3"/>
        <v>0</v>
      </c>
      <c r="AR8" s="44">
        <f t="shared" si="3"/>
        <v>0</v>
      </c>
      <c r="AS8" s="44">
        <f t="shared" si="3"/>
        <v>0</v>
      </c>
      <c r="AT8" s="45"/>
    </row>
    <row r="9" spans="1:46" ht="60" customHeight="1">
      <c r="A9" s="13" t="s">
        <v>15</v>
      </c>
      <c r="B9" s="30" t="s">
        <v>16</v>
      </c>
      <c r="C9" s="10"/>
      <c r="D9" s="10"/>
      <c r="E9" s="10"/>
      <c r="F9" s="10"/>
      <c r="G9" s="10"/>
      <c r="H9" s="8">
        <f>SUM(H10)</f>
        <v>18766</v>
      </c>
      <c r="I9" s="8">
        <f t="shared" ref="I9:S9" si="4">SUM(I10)</f>
        <v>11500</v>
      </c>
      <c r="J9" s="8">
        <f t="shared" si="4"/>
        <v>11500</v>
      </c>
      <c r="K9" s="8">
        <f t="shared" si="4"/>
        <v>0</v>
      </c>
      <c r="L9" s="8">
        <f t="shared" si="4"/>
        <v>0</v>
      </c>
      <c r="M9" s="8">
        <f t="shared" si="4"/>
        <v>0</v>
      </c>
      <c r="N9" s="8">
        <f t="shared" si="4"/>
        <v>11500</v>
      </c>
      <c r="O9" s="8">
        <f t="shared" si="4"/>
        <v>0</v>
      </c>
      <c r="P9" s="8">
        <f t="shared" si="4"/>
        <v>0</v>
      </c>
      <c r="Q9" s="8">
        <f t="shared" si="4"/>
        <v>0</v>
      </c>
      <c r="R9" s="8">
        <f t="shared" si="4"/>
        <v>0</v>
      </c>
      <c r="S9" s="8">
        <f t="shared" si="4"/>
        <v>6000</v>
      </c>
      <c r="T9" s="8">
        <f>SUM(T10)</f>
        <v>6000</v>
      </c>
      <c r="U9" s="8">
        <f>SUM(U10)</f>
        <v>5500</v>
      </c>
      <c r="V9" s="8">
        <f>SUM(V10)</f>
        <v>0</v>
      </c>
      <c r="W9" s="8">
        <f>SUM(W10)</f>
        <v>0</v>
      </c>
      <c r="X9" s="8">
        <f>SUM(X10)</f>
        <v>5500</v>
      </c>
      <c r="Y9" s="17"/>
      <c r="AD9" s="42" t="s">
        <v>471</v>
      </c>
      <c r="AE9" s="44">
        <f>SUM(AG9:AS9)</f>
        <v>0</v>
      </c>
      <c r="AF9" s="44"/>
      <c r="AG9" s="44">
        <f>COUNTIFS($AA$8:$AA$920,"KCM",$AB$8:$AB$920,AG5)</f>
        <v>0</v>
      </c>
      <c r="AH9" s="44">
        <f t="shared" ref="AH9:AS9" si="5">COUNTIFS($AA$8:$AA$920,"KCM",$AB$8:$AB$920,AH5)</f>
        <v>0</v>
      </c>
      <c r="AI9" s="44">
        <f t="shared" si="5"/>
        <v>0</v>
      </c>
      <c r="AJ9" s="44">
        <f t="shared" si="5"/>
        <v>0</v>
      </c>
      <c r="AK9" s="44">
        <f t="shared" si="5"/>
        <v>0</v>
      </c>
      <c r="AL9" s="44">
        <f t="shared" si="5"/>
        <v>0</v>
      </c>
      <c r="AM9" s="44">
        <f t="shared" si="5"/>
        <v>0</v>
      </c>
      <c r="AN9" s="44">
        <f t="shared" si="5"/>
        <v>0</v>
      </c>
      <c r="AO9" s="44">
        <f t="shared" si="5"/>
        <v>0</v>
      </c>
      <c r="AP9" s="44">
        <f t="shared" si="5"/>
        <v>0</v>
      </c>
      <c r="AQ9" s="44">
        <f t="shared" si="5"/>
        <v>0</v>
      </c>
      <c r="AR9" s="44">
        <f t="shared" si="5"/>
        <v>0</v>
      </c>
      <c r="AS9" s="44">
        <f t="shared" si="5"/>
        <v>0</v>
      </c>
      <c r="AT9" s="44"/>
    </row>
    <row r="10" spans="1:46" s="146" customFormat="1" ht="44.25" customHeight="1">
      <c r="A10" s="15" t="s">
        <v>17</v>
      </c>
      <c r="B10" s="16" t="s">
        <v>64</v>
      </c>
      <c r="C10" s="16"/>
      <c r="D10" s="16"/>
      <c r="E10" s="16"/>
      <c r="F10" s="16"/>
      <c r="G10" s="16"/>
      <c r="H10" s="29">
        <f t="shared" ref="H10:X10" si="6">SUM(H11:H11)</f>
        <v>18766</v>
      </c>
      <c r="I10" s="29">
        <f t="shared" si="6"/>
        <v>11500</v>
      </c>
      <c r="J10" s="29">
        <f t="shared" si="6"/>
        <v>11500</v>
      </c>
      <c r="K10" s="29">
        <f t="shared" si="6"/>
        <v>0</v>
      </c>
      <c r="L10" s="29">
        <f t="shared" si="6"/>
        <v>0</v>
      </c>
      <c r="M10" s="29">
        <f t="shared" si="6"/>
        <v>0</v>
      </c>
      <c r="N10" s="29">
        <f t="shared" si="6"/>
        <v>11500</v>
      </c>
      <c r="O10" s="29">
        <f t="shared" si="6"/>
        <v>0</v>
      </c>
      <c r="P10" s="29">
        <f t="shared" si="6"/>
        <v>0</v>
      </c>
      <c r="Q10" s="29">
        <f t="shared" si="6"/>
        <v>0</v>
      </c>
      <c r="R10" s="29">
        <f t="shared" si="6"/>
        <v>0</v>
      </c>
      <c r="S10" s="29">
        <f t="shared" si="6"/>
        <v>6000</v>
      </c>
      <c r="T10" s="29">
        <f t="shared" si="6"/>
        <v>6000</v>
      </c>
      <c r="U10" s="29">
        <f t="shared" si="6"/>
        <v>5500</v>
      </c>
      <c r="V10" s="29">
        <f t="shared" si="6"/>
        <v>0</v>
      </c>
      <c r="W10" s="29">
        <f t="shared" si="6"/>
        <v>0</v>
      </c>
      <c r="X10" s="29">
        <f t="shared" si="6"/>
        <v>5500</v>
      </c>
      <c r="Y10" s="19"/>
    </row>
    <row r="11" spans="1:46" ht="88.5" customHeight="1">
      <c r="A11" s="10">
        <v>1</v>
      </c>
      <c r="B11" s="180" t="s">
        <v>566</v>
      </c>
      <c r="C11" s="28" t="s">
        <v>126</v>
      </c>
      <c r="D11" s="150" t="s">
        <v>19</v>
      </c>
      <c r="E11" s="181" t="s">
        <v>238</v>
      </c>
      <c r="F11" s="91" t="s">
        <v>116</v>
      </c>
      <c r="G11" s="91" t="s">
        <v>804</v>
      </c>
      <c r="H11" s="49">
        <v>18766</v>
      </c>
      <c r="I11" s="49">
        <v>11500</v>
      </c>
      <c r="J11" s="49">
        <f>SUM(K11,L11:O11)</f>
        <v>11500</v>
      </c>
      <c r="K11" s="49"/>
      <c r="L11" s="49"/>
      <c r="M11" s="49"/>
      <c r="N11" s="49">
        <v>11500</v>
      </c>
      <c r="O11" s="49"/>
      <c r="P11" s="49"/>
      <c r="Q11" s="49"/>
      <c r="R11" s="49"/>
      <c r="S11" s="49">
        <f>SUM(T11:T11)</f>
        <v>6000</v>
      </c>
      <c r="T11" s="182">
        <v>6000</v>
      </c>
      <c r="U11" s="182">
        <v>5500</v>
      </c>
      <c r="V11" s="182"/>
      <c r="W11" s="182"/>
      <c r="X11" s="84">
        <f>SUM(U11:W11)</f>
        <v>5500</v>
      </c>
      <c r="Y11" s="31"/>
      <c r="AA11" s="11" t="s">
        <v>472</v>
      </c>
      <c r="AB11" s="11" t="s">
        <v>474</v>
      </c>
      <c r="AC11" s="6">
        <f>U11</f>
        <v>5500</v>
      </c>
    </row>
  </sheetData>
  <mergeCells count="24">
    <mergeCell ref="V5:V7"/>
    <mergeCell ref="W5:W7"/>
    <mergeCell ref="X5:X7"/>
    <mergeCell ref="U5:U7"/>
    <mergeCell ref="A1:Y1"/>
    <mergeCell ref="A2:Y2"/>
    <mergeCell ref="A3:Y3"/>
    <mergeCell ref="A5:A7"/>
    <mergeCell ref="B5:B7"/>
    <mergeCell ref="C5:C7"/>
    <mergeCell ref="D5:D7"/>
    <mergeCell ref="E5:E7"/>
    <mergeCell ref="F5:F7"/>
    <mergeCell ref="G5:I5"/>
    <mergeCell ref="Y5:Y7"/>
    <mergeCell ref="G6:G7"/>
    <mergeCell ref="H6:I6"/>
    <mergeCell ref="S5:T5"/>
    <mergeCell ref="K6:K7"/>
    <mergeCell ref="L6:R6"/>
    <mergeCell ref="S6:S7"/>
    <mergeCell ref="K5:R5"/>
    <mergeCell ref="J5:J7"/>
    <mergeCell ref="T6:T7"/>
  </mergeCells>
  <printOptions horizontalCentered="1"/>
  <pageMargins left="0.39370078740157499" right="0.39370078740157499" top="0.39370078740157499" bottom="0.39370078740157499" header="0.196850393700787" footer="0.196850393700787"/>
  <pageSetup paperSize="9" scale="44" fitToHeight="0" orientation="landscape" r:id="rId1"/>
  <headerFooter alignWithMargins="0">
    <oddFooter>&amp;C&amp;"Times New Roman,thường"&amp;11&amp;P/&amp;N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15"/>
  <sheetViews>
    <sheetView view="pageBreakPreview" zoomScale="70" zoomScaleNormal="50" zoomScaleSheetLayoutView="70" workbookViewId="0">
      <selection activeCell="C14" sqref="C14"/>
    </sheetView>
  </sheetViews>
  <sheetFormatPr defaultColWidth="9.109375" defaultRowHeight="16.8"/>
  <cols>
    <col min="1" max="1" width="8.6640625" style="164" customWidth="1"/>
    <col min="2" max="2" width="50.6640625" style="164" customWidth="1"/>
    <col min="3" max="6" width="20.6640625" style="164" customWidth="1"/>
    <col min="7" max="7" width="22.6640625" style="164" customWidth="1"/>
    <col min="8" max="9" width="20.6640625" style="164" customWidth="1"/>
    <col min="10" max="12" width="20.6640625" style="164" hidden="1" customWidth="1"/>
    <col min="13" max="16" width="20.6640625" style="164" customWidth="1"/>
    <col min="17" max="17" width="30.6640625" style="164" customWidth="1"/>
    <col min="18" max="20" width="9.109375" style="164"/>
    <col min="21" max="21" width="10.6640625" style="164" bestFit="1" customWidth="1"/>
    <col min="22" max="22" width="16.88671875" style="164" customWidth="1"/>
    <col min="23" max="23" width="9.33203125" style="164" bestFit="1" customWidth="1"/>
    <col min="24" max="24" width="13.109375" style="164" bestFit="1" customWidth="1"/>
    <col min="25" max="25" width="11.33203125" style="164" bestFit="1" customWidth="1"/>
    <col min="26" max="27" width="9.109375" style="164"/>
    <col min="28" max="28" width="12.88671875" style="164" customWidth="1"/>
    <col min="29" max="32" width="9.109375" style="164"/>
    <col min="33" max="33" width="9.33203125" style="164" bestFit="1" customWidth="1"/>
    <col min="34" max="35" width="9.109375" style="164"/>
    <col min="36" max="36" width="13.44140625" style="164" customWidth="1"/>
    <col min="37" max="37" width="9.109375" style="164"/>
    <col min="38" max="38" width="14.88671875" style="164" customWidth="1"/>
    <col min="39" max="16384" width="9.109375" style="164"/>
  </cols>
  <sheetData>
    <row r="1" spans="1:38" ht="39.9" customHeight="1">
      <c r="A1" s="590" t="s">
        <v>445</v>
      </c>
      <c r="B1" s="590"/>
      <c r="C1" s="590"/>
      <c r="D1" s="590"/>
      <c r="E1" s="590"/>
      <c r="F1" s="590"/>
      <c r="G1" s="590"/>
      <c r="H1" s="590"/>
      <c r="I1" s="590"/>
      <c r="J1" s="590"/>
      <c r="K1" s="590"/>
      <c r="L1" s="590"/>
      <c r="M1" s="590"/>
      <c r="N1" s="590"/>
      <c r="O1" s="590"/>
      <c r="P1" s="590"/>
      <c r="Q1" s="590"/>
    </row>
    <row r="2" spans="1:38" ht="75" customHeight="1">
      <c r="A2" s="591" t="s">
        <v>1462</v>
      </c>
      <c r="B2" s="591"/>
      <c r="C2" s="591"/>
      <c r="D2" s="591"/>
      <c r="E2" s="591"/>
      <c r="F2" s="591"/>
      <c r="G2" s="591"/>
      <c r="H2" s="591"/>
      <c r="I2" s="591"/>
      <c r="J2" s="591"/>
      <c r="K2" s="591"/>
      <c r="L2" s="591"/>
      <c r="M2" s="591"/>
      <c r="N2" s="591"/>
      <c r="O2" s="591"/>
      <c r="P2" s="591"/>
      <c r="Q2" s="591"/>
    </row>
    <row r="3" spans="1:38" ht="47.25" customHeight="1">
      <c r="A3" s="592" t="str">
        <f>'1. CĐNS'!A3:AC3</f>
        <v>(Ban hành kèm theo Quyết định số: 2571/QĐ-UBND ngày 12/12/2024 của Ủy ban nhân dân tỉnh)</v>
      </c>
      <c r="B3" s="592"/>
      <c r="C3" s="592"/>
      <c r="D3" s="592"/>
      <c r="E3" s="592"/>
      <c r="F3" s="592"/>
      <c r="G3" s="592"/>
      <c r="H3" s="592"/>
      <c r="I3" s="592"/>
      <c r="J3" s="592"/>
      <c r="K3" s="592"/>
      <c r="L3" s="592"/>
      <c r="M3" s="592"/>
      <c r="N3" s="592"/>
      <c r="O3" s="592"/>
      <c r="P3" s="592"/>
      <c r="Q3" s="592"/>
    </row>
    <row r="4" spans="1:38" ht="33.75" customHeight="1">
      <c r="J4" s="165"/>
      <c r="K4" s="165"/>
      <c r="L4" s="165"/>
      <c r="M4" s="165"/>
      <c r="N4" s="165"/>
      <c r="O4" s="165"/>
      <c r="P4" s="165"/>
      <c r="Q4" s="166" t="s">
        <v>0</v>
      </c>
    </row>
    <row r="5" spans="1:38" ht="50.1" customHeight="1">
      <c r="A5" s="561" t="s">
        <v>1</v>
      </c>
      <c r="B5" s="561" t="s">
        <v>513</v>
      </c>
      <c r="C5" s="561" t="s">
        <v>2</v>
      </c>
      <c r="D5" s="561" t="s">
        <v>514</v>
      </c>
      <c r="E5" s="561" t="s">
        <v>515</v>
      </c>
      <c r="F5" s="561" t="s">
        <v>516</v>
      </c>
      <c r="G5" s="585" t="s">
        <v>148</v>
      </c>
      <c r="H5" s="585"/>
      <c r="I5" s="585"/>
      <c r="J5" s="593" t="s">
        <v>696</v>
      </c>
      <c r="K5" s="596" t="s">
        <v>630</v>
      </c>
      <c r="L5" s="596"/>
      <c r="M5" s="586" t="s">
        <v>690</v>
      </c>
      <c r="N5" s="557" t="s">
        <v>1072</v>
      </c>
      <c r="O5" s="557" t="s">
        <v>1073</v>
      </c>
      <c r="P5" s="557" t="s">
        <v>1215</v>
      </c>
      <c r="Q5" s="561" t="s">
        <v>6</v>
      </c>
      <c r="S5" s="56" t="s">
        <v>452</v>
      </c>
      <c r="T5" s="56" t="s">
        <v>453</v>
      </c>
      <c r="U5" s="57" t="s">
        <v>454</v>
      </c>
      <c r="V5" s="57"/>
      <c r="W5" s="57" t="s">
        <v>455</v>
      </c>
      <c r="X5" s="56" t="s">
        <v>456</v>
      </c>
      <c r="Y5" s="56" t="s">
        <v>474</v>
      </c>
      <c r="Z5" s="56" t="s">
        <v>629</v>
      </c>
      <c r="AA5" s="56" t="s">
        <v>459</v>
      </c>
      <c r="AB5" s="56" t="s">
        <v>460</v>
      </c>
      <c r="AC5" s="56" t="s">
        <v>461</v>
      </c>
      <c r="AD5" s="56" t="s">
        <v>462</v>
      </c>
      <c r="AE5" s="56" t="s">
        <v>463</v>
      </c>
      <c r="AF5" s="56" t="s">
        <v>464</v>
      </c>
      <c r="AG5" s="56" t="s">
        <v>465</v>
      </c>
      <c r="AH5" s="56" t="s">
        <v>466</v>
      </c>
      <c r="AI5" s="56" t="s">
        <v>467</v>
      </c>
      <c r="AJ5" s="56" t="s">
        <v>468</v>
      </c>
      <c r="AK5" s="56" t="s">
        <v>469</v>
      </c>
      <c r="AL5" s="57"/>
    </row>
    <row r="6" spans="1:38" ht="50.1" customHeight="1">
      <c r="A6" s="561"/>
      <c r="B6" s="561"/>
      <c r="C6" s="561"/>
      <c r="D6" s="561"/>
      <c r="E6" s="561"/>
      <c r="F6" s="561"/>
      <c r="G6" s="561" t="s">
        <v>7</v>
      </c>
      <c r="H6" s="561" t="s">
        <v>8</v>
      </c>
      <c r="I6" s="561"/>
      <c r="J6" s="594"/>
      <c r="K6" s="596" t="s">
        <v>9</v>
      </c>
      <c r="L6" s="586" t="s">
        <v>753</v>
      </c>
      <c r="M6" s="597"/>
      <c r="N6" s="569"/>
      <c r="O6" s="569"/>
      <c r="P6" s="569"/>
      <c r="Q6" s="561"/>
      <c r="S6" s="56"/>
      <c r="T6" s="56"/>
      <c r="U6" s="57"/>
      <c r="V6" s="58" t="s">
        <v>470</v>
      </c>
      <c r="W6" s="57">
        <f>COUNTIF(S8:S923,"CT")</f>
        <v>1</v>
      </c>
      <c r="X6" s="82">
        <f>SUMIF(S8:S923,"CT",U8:U923)</f>
        <v>28857</v>
      </c>
      <c r="Y6" s="82">
        <f>SUMIFS($U$8:$U$1025,$S$8:$S$1025,"CT",$T$8:$T$1025,Y5)</f>
        <v>0</v>
      </c>
      <c r="Z6" s="82">
        <f t="shared" ref="Z6:AK6" si="0">SUMIFS($U$8:$U$1025,$S$8:$S$1025,"CT",$T$8:$T$1025,Z5)</f>
        <v>0</v>
      </c>
      <c r="AA6" s="82">
        <f t="shared" si="0"/>
        <v>0</v>
      </c>
      <c r="AB6" s="82">
        <f t="shared" si="0"/>
        <v>0</v>
      </c>
      <c r="AC6" s="82">
        <f t="shared" si="0"/>
        <v>0</v>
      </c>
      <c r="AD6" s="82">
        <f t="shared" si="0"/>
        <v>0</v>
      </c>
      <c r="AE6" s="82">
        <f t="shared" si="0"/>
        <v>0</v>
      </c>
      <c r="AF6" s="82">
        <f t="shared" si="0"/>
        <v>0</v>
      </c>
      <c r="AG6" s="82">
        <f t="shared" si="0"/>
        <v>0</v>
      </c>
      <c r="AH6" s="82">
        <f t="shared" si="0"/>
        <v>0</v>
      </c>
      <c r="AI6" s="82">
        <f t="shared" si="0"/>
        <v>0</v>
      </c>
      <c r="AJ6" s="82">
        <f t="shared" si="0"/>
        <v>28857</v>
      </c>
      <c r="AK6" s="82">
        <f t="shared" si="0"/>
        <v>0</v>
      </c>
      <c r="AL6" s="58">
        <f>SUM(Y6:AK6)</f>
        <v>28857</v>
      </c>
    </row>
    <row r="7" spans="1:38" ht="66" customHeight="1">
      <c r="A7" s="561"/>
      <c r="B7" s="561"/>
      <c r="C7" s="561"/>
      <c r="D7" s="561"/>
      <c r="E7" s="561"/>
      <c r="F7" s="561"/>
      <c r="G7" s="561"/>
      <c r="H7" s="144" t="s">
        <v>66</v>
      </c>
      <c r="I7" s="167" t="s">
        <v>517</v>
      </c>
      <c r="J7" s="595"/>
      <c r="K7" s="596"/>
      <c r="L7" s="587"/>
      <c r="M7" s="587"/>
      <c r="N7" s="558"/>
      <c r="O7" s="558"/>
      <c r="P7" s="558"/>
      <c r="Q7" s="561"/>
      <c r="S7" s="56"/>
      <c r="T7" s="56"/>
      <c r="U7" s="57"/>
      <c r="V7" s="57" t="s">
        <v>471</v>
      </c>
      <c r="W7" s="57">
        <f>COUNTIF(S8:S922,"KCM")</f>
        <v>0</v>
      </c>
      <c r="X7" s="82">
        <f>SUMIF(S8:S922,"KCM",U8:U922)</f>
        <v>0</v>
      </c>
      <c r="Y7" s="82">
        <f>SUMIFS($U$8:$U$1025,$S$8:$S$1025,"KCM",$T$8:$T$1025,Y5)</f>
        <v>0</v>
      </c>
      <c r="Z7" s="82">
        <f t="shared" ref="Z7:AK7" si="1">SUMIFS($U$8:$U$1025,$S$8:$S$1025,"KCM",$T$8:$T$1025,Z5)</f>
        <v>0</v>
      </c>
      <c r="AA7" s="82">
        <f t="shared" si="1"/>
        <v>0</v>
      </c>
      <c r="AB7" s="82">
        <f t="shared" si="1"/>
        <v>0</v>
      </c>
      <c r="AC7" s="82">
        <f t="shared" si="1"/>
        <v>0</v>
      </c>
      <c r="AD7" s="82">
        <f t="shared" si="1"/>
        <v>0</v>
      </c>
      <c r="AE7" s="82">
        <f t="shared" si="1"/>
        <v>0</v>
      </c>
      <c r="AF7" s="82">
        <f t="shared" si="1"/>
        <v>0</v>
      </c>
      <c r="AG7" s="82">
        <f t="shared" si="1"/>
        <v>0</v>
      </c>
      <c r="AH7" s="82">
        <f t="shared" si="1"/>
        <v>0</v>
      </c>
      <c r="AI7" s="82">
        <f t="shared" si="1"/>
        <v>0</v>
      </c>
      <c r="AJ7" s="82">
        <f t="shared" si="1"/>
        <v>0</v>
      </c>
      <c r="AK7" s="82">
        <f t="shared" si="1"/>
        <v>0</v>
      </c>
      <c r="AL7" s="58">
        <f>SUM(Y7:AK7)</f>
        <v>0</v>
      </c>
    </row>
    <row r="8" spans="1:38" s="169" customFormat="1" ht="54.75" customHeight="1">
      <c r="A8" s="168"/>
      <c r="B8" s="134" t="s">
        <v>280</v>
      </c>
      <c r="C8" s="134"/>
      <c r="D8" s="134"/>
      <c r="E8" s="168"/>
      <c r="F8" s="168"/>
      <c r="G8" s="168"/>
      <c r="H8" s="51">
        <f>SUM(H9)</f>
        <v>6288124</v>
      </c>
      <c r="I8" s="51">
        <f t="shared" ref="I8:P8" si="2">SUM(I9)</f>
        <v>2017278</v>
      </c>
      <c r="J8" s="51">
        <f t="shared" si="2"/>
        <v>1569386</v>
      </c>
      <c r="K8" s="51">
        <f t="shared" si="2"/>
        <v>168445</v>
      </c>
      <c r="L8" s="51">
        <f t="shared" si="2"/>
        <v>168445</v>
      </c>
      <c r="M8" s="51">
        <f t="shared" si="2"/>
        <v>40000</v>
      </c>
      <c r="N8" s="51">
        <f t="shared" si="2"/>
        <v>167525</v>
      </c>
      <c r="O8" s="384">
        <f t="shared" si="2"/>
        <v>-25239</v>
      </c>
      <c r="P8" s="51">
        <f t="shared" si="2"/>
        <v>182286</v>
      </c>
      <c r="Q8" s="52"/>
      <c r="S8" s="2"/>
      <c r="T8" s="2"/>
      <c r="U8" s="2"/>
      <c r="V8" s="230" t="s">
        <v>470</v>
      </c>
      <c r="W8" s="44">
        <f>SUM(Y8:AK8)</f>
        <v>1</v>
      </c>
      <c r="X8" s="44"/>
      <c r="Y8" s="44">
        <f>COUNTIFS($S$8:$S$923,"CT",$T$8:$T$923,Y5)</f>
        <v>0</v>
      </c>
      <c r="Z8" s="44">
        <f t="shared" ref="Z8:AK8" si="3">COUNTIFS($S$8:$S$923,"CT",$T$8:$T$923,Z5)</f>
        <v>0</v>
      </c>
      <c r="AA8" s="44">
        <f t="shared" si="3"/>
        <v>0</v>
      </c>
      <c r="AB8" s="44">
        <f t="shared" si="3"/>
        <v>0</v>
      </c>
      <c r="AC8" s="44">
        <f t="shared" si="3"/>
        <v>0</v>
      </c>
      <c r="AD8" s="44">
        <f t="shared" si="3"/>
        <v>0</v>
      </c>
      <c r="AE8" s="44">
        <f t="shared" si="3"/>
        <v>0</v>
      </c>
      <c r="AF8" s="44">
        <f t="shared" si="3"/>
        <v>0</v>
      </c>
      <c r="AG8" s="44">
        <f t="shared" si="3"/>
        <v>0</v>
      </c>
      <c r="AH8" s="44">
        <f t="shared" si="3"/>
        <v>0</v>
      </c>
      <c r="AI8" s="44">
        <f t="shared" si="3"/>
        <v>0</v>
      </c>
      <c r="AJ8" s="44">
        <f t="shared" si="3"/>
        <v>1</v>
      </c>
      <c r="AK8" s="44">
        <f t="shared" si="3"/>
        <v>0</v>
      </c>
      <c r="AL8" s="45"/>
    </row>
    <row r="9" spans="1:38" s="172" customFormat="1" ht="50.25" customHeight="1">
      <c r="A9" s="13" t="s">
        <v>15</v>
      </c>
      <c r="B9" s="50" t="s">
        <v>16</v>
      </c>
      <c r="C9" s="50"/>
      <c r="D9" s="170"/>
      <c r="E9" s="170"/>
      <c r="F9" s="170"/>
      <c r="G9" s="170"/>
      <c r="H9" s="171">
        <f>SUM(H10,H13)</f>
        <v>6288124</v>
      </c>
      <c r="I9" s="171">
        <f t="shared" ref="I9:P9" si="4">SUM(I10,I13)</f>
        <v>2017278</v>
      </c>
      <c r="J9" s="171">
        <f t="shared" si="4"/>
        <v>1569386</v>
      </c>
      <c r="K9" s="171">
        <f t="shared" si="4"/>
        <v>168445</v>
      </c>
      <c r="L9" s="171">
        <f t="shared" si="4"/>
        <v>168445</v>
      </c>
      <c r="M9" s="171">
        <f t="shared" si="4"/>
        <v>40000</v>
      </c>
      <c r="N9" s="171">
        <f t="shared" si="4"/>
        <v>167525</v>
      </c>
      <c r="O9" s="385">
        <f t="shared" si="4"/>
        <v>-25239</v>
      </c>
      <c r="P9" s="171">
        <f t="shared" si="4"/>
        <v>182286</v>
      </c>
      <c r="Q9" s="170"/>
      <c r="S9" s="11"/>
      <c r="T9" s="11"/>
      <c r="U9" s="11"/>
      <c r="V9" s="42" t="s">
        <v>471</v>
      </c>
      <c r="W9" s="44">
        <f>SUM(Y9:AK9)</f>
        <v>0</v>
      </c>
      <c r="X9" s="44"/>
      <c r="Y9" s="44">
        <f>COUNTIFS($S$8:$S$923,"KCM",$T$8:$T$923,Y5)</f>
        <v>0</v>
      </c>
      <c r="Z9" s="44">
        <f t="shared" ref="Z9:AK9" si="5">COUNTIFS($S$8:$S$923,"KCM",$T$8:$T$923,Z5)</f>
        <v>0</v>
      </c>
      <c r="AA9" s="44">
        <f t="shared" si="5"/>
        <v>0</v>
      </c>
      <c r="AB9" s="44">
        <f t="shared" si="5"/>
        <v>0</v>
      </c>
      <c r="AC9" s="44">
        <f t="shared" si="5"/>
        <v>0</v>
      </c>
      <c r="AD9" s="44">
        <f t="shared" si="5"/>
        <v>0</v>
      </c>
      <c r="AE9" s="44">
        <f t="shared" si="5"/>
        <v>0</v>
      </c>
      <c r="AF9" s="44">
        <f t="shared" si="5"/>
        <v>0</v>
      </c>
      <c r="AG9" s="44">
        <f t="shared" si="5"/>
        <v>0</v>
      </c>
      <c r="AH9" s="44">
        <f t="shared" si="5"/>
        <v>0</v>
      </c>
      <c r="AI9" s="44">
        <f t="shared" si="5"/>
        <v>0</v>
      </c>
      <c r="AJ9" s="44">
        <f t="shared" si="5"/>
        <v>0</v>
      </c>
      <c r="AK9" s="44">
        <f t="shared" si="5"/>
        <v>0</v>
      </c>
      <c r="AL9" s="44"/>
    </row>
    <row r="10" spans="1:38" s="175" customFormat="1" ht="49.5" customHeight="1">
      <c r="A10" s="15" t="s">
        <v>17</v>
      </c>
      <c r="B10" s="173" t="s">
        <v>518</v>
      </c>
      <c r="C10" s="173"/>
      <c r="D10" s="173"/>
      <c r="E10" s="173"/>
      <c r="F10" s="173"/>
      <c r="G10" s="173"/>
      <c r="H10" s="174">
        <f>SUM(H11:H12)</f>
        <v>5977365</v>
      </c>
      <c r="I10" s="174">
        <f t="shared" ref="I10:P10" si="6">SUM(I11:I12)</f>
        <v>1932622</v>
      </c>
      <c r="J10" s="174">
        <f t="shared" si="6"/>
        <v>1484730</v>
      </c>
      <c r="K10" s="174">
        <f t="shared" si="6"/>
        <v>168445</v>
      </c>
      <c r="L10" s="174">
        <f t="shared" si="6"/>
        <v>168445</v>
      </c>
      <c r="M10" s="174">
        <f t="shared" si="6"/>
        <v>28857</v>
      </c>
      <c r="N10" s="174">
        <f t="shared" si="6"/>
        <v>167525</v>
      </c>
      <c r="O10" s="386">
        <f t="shared" si="6"/>
        <v>-25239</v>
      </c>
      <c r="P10" s="174">
        <f t="shared" si="6"/>
        <v>171143</v>
      </c>
      <c r="Q10" s="174"/>
      <c r="S10" s="146"/>
      <c r="T10" s="146"/>
      <c r="U10" s="146"/>
      <c r="V10" s="146"/>
      <c r="W10" s="146"/>
      <c r="X10" s="146"/>
      <c r="Y10" s="146"/>
      <c r="Z10" s="146"/>
      <c r="AA10" s="146"/>
      <c r="AB10" s="146"/>
      <c r="AC10" s="146"/>
      <c r="AD10" s="146"/>
      <c r="AE10" s="146"/>
      <c r="AF10" s="146"/>
      <c r="AG10" s="146"/>
      <c r="AH10" s="146"/>
      <c r="AI10" s="146"/>
      <c r="AJ10" s="146"/>
      <c r="AK10" s="146"/>
      <c r="AL10" s="146"/>
    </row>
    <row r="11" spans="1:38" s="172" customFormat="1" ht="99.75" customHeight="1">
      <c r="A11" s="176">
        <v>1</v>
      </c>
      <c r="B11" s="121" t="s">
        <v>700</v>
      </c>
      <c r="C11" s="176" t="s">
        <v>18</v>
      </c>
      <c r="D11" s="177" t="s">
        <v>86</v>
      </c>
      <c r="E11" s="176" t="s">
        <v>550</v>
      </c>
      <c r="F11" s="177" t="s">
        <v>36</v>
      </c>
      <c r="G11" s="176" t="s">
        <v>761</v>
      </c>
      <c r="H11" s="178">
        <v>4731473</v>
      </c>
      <c r="I11" s="43">
        <v>1484730</v>
      </c>
      <c r="J11" s="43">
        <v>1484730</v>
      </c>
      <c r="K11" s="178">
        <f>SUM(L11:L11)</f>
        <v>168445</v>
      </c>
      <c r="L11" s="84">
        <v>168445</v>
      </c>
      <c r="M11" s="84">
        <v>28857</v>
      </c>
      <c r="N11" s="84">
        <f>109143+25239</f>
        <v>134382</v>
      </c>
      <c r="O11" s="387">
        <v>-25239</v>
      </c>
      <c r="P11" s="84">
        <f>SUM(M11:O11)</f>
        <v>138000</v>
      </c>
      <c r="Q11" s="588" t="s">
        <v>1483</v>
      </c>
      <c r="S11" s="11" t="s">
        <v>472</v>
      </c>
      <c r="T11" s="11" t="s">
        <v>468</v>
      </c>
      <c r="U11" s="6">
        <f>M11</f>
        <v>28857</v>
      </c>
      <c r="V11" s="84">
        <f>142286-V12</f>
        <v>109143</v>
      </c>
      <c r="W11" s="11"/>
      <c r="X11" s="11"/>
      <c r="Y11" s="11"/>
      <c r="Z11" s="11"/>
      <c r="AA11" s="11"/>
      <c r="AB11" s="11"/>
      <c r="AC11" s="11"/>
      <c r="AD11" s="11"/>
      <c r="AE11" s="11"/>
      <c r="AF11" s="11"/>
      <c r="AG11" s="11"/>
      <c r="AH11" s="11"/>
      <c r="AI11" s="11"/>
      <c r="AJ11" s="11"/>
      <c r="AK11" s="11"/>
      <c r="AL11" s="11"/>
    </row>
    <row r="12" spans="1:38" s="172" customFormat="1" ht="99.75" customHeight="1">
      <c r="A12" s="176">
        <v>2</v>
      </c>
      <c r="B12" s="121" t="s">
        <v>1216</v>
      </c>
      <c r="C12" s="176" t="s">
        <v>18</v>
      </c>
      <c r="D12" s="177" t="s">
        <v>20</v>
      </c>
      <c r="E12" s="176" t="s">
        <v>550</v>
      </c>
      <c r="F12" s="177" t="s">
        <v>1217</v>
      </c>
      <c r="G12" s="176" t="s">
        <v>1218</v>
      </c>
      <c r="H12" s="178">
        <v>1245892</v>
      </c>
      <c r="I12" s="43">
        <v>447892</v>
      </c>
      <c r="J12" s="43"/>
      <c r="K12" s="178"/>
      <c r="L12" s="84"/>
      <c r="M12" s="84">
        <v>0</v>
      </c>
      <c r="N12" s="84">
        <f>25239+7904</f>
        <v>33143</v>
      </c>
      <c r="O12" s="84"/>
      <c r="P12" s="84">
        <f>SUM(M12:O12)</f>
        <v>33143</v>
      </c>
      <c r="Q12" s="589"/>
      <c r="S12" s="11"/>
      <c r="T12" s="11"/>
      <c r="U12" s="6"/>
      <c r="V12" s="84">
        <v>33143</v>
      </c>
      <c r="W12" s="6">
        <f>V12-N12</f>
        <v>0</v>
      </c>
      <c r="X12" s="11"/>
      <c r="Y12" s="11"/>
      <c r="Z12" s="11"/>
      <c r="AA12" s="11"/>
      <c r="AB12" s="11"/>
      <c r="AC12" s="11"/>
      <c r="AD12" s="11"/>
      <c r="AE12" s="11"/>
      <c r="AF12" s="11"/>
      <c r="AG12" s="11"/>
      <c r="AH12" s="11"/>
      <c r="AI12" s="11"/>
      <c r="AJ12" s="11"/>
      <c r="AK12" s="11"/>
      <c r="AL12" s="11"/>
    </row>
    <row r="13" spans="1:38" s="175" customFormat="1" ht="49.5" customHeight="1">
      <c r="A13" s="15" t="s">
        <v>17</v>
      </c>
      <c r="B13" s="16" t="s">
        <v>355</v>
      </c>
      <c r="C13" s="16"/>
      <c r="D13" s="15"/>
      <c r="E13" s="16"/>
      <c r="F13" s="16"/>
      <c r="G13" s="16"/>
      <c r="H13" s="29">
        <f>SUM(H14:H14)</f>
        <v>310759</v>
      </c>
      <c r="I13" s="29">
        <f>SUM(I14:I14)</f>
        <v>84656</v>
      </c>
      <c r="J13" s="29">
        <f t="shared" ref="J13:P13" si="7">SUM(J14:J14)</f>
        <v>84656</v>
      </c>
      <c r="K13" s="29">
        <f t="shared" si="7"/>
        <v>0</v>
      </c>
      <c r="L13" s="29">
        <f t="shared" si="7"/>
        <v>0</v>
      </c>
      <c r="M13" s="29">
        <f t="shared" si="7"/>
        <v>11143</v>
      </c>
      <c r="N13" s="29">
        <f t="shared" si="7"/>
        <v>0</v>
      </c>
      <c r="O13" s="29">
        <f t="shared" si="7"/>
        <v>0</v>
      </c>
      <c r="P13" s="29">
        <f t="shared" si="7"/>
        <v>11143</v>
      </c>
      <c r="Q13" s="174"/>
      <c r="S13" s="146"/>
      <c r="T13" s="146"/>
      <c r="U13" s="146"/>
      <c r="V13" s="146"/>
      <c r="W13" s="146"/>
      <c r="X13" s="146"/>
      <c r="Y13" s="146"/>
      <c r="Z13" s="146"/>
      <c r="AA13" s="146"/>
      <c r="AB13" s="146"/>
      <c r="AC13" s="146"/>
      <c r="AD13" s="146"/>
      <c r="AE13" s="146"/>
      <c r="AF13" s="146"/>
      <c r="AG13" s="146"/>
      <c r="AH13" s="146"/>
      <c r="AI13" s="146"/>
      <c r="AJ13" s="146"/>
      <c r="AK13" s="146"/>
      <c r="AL13" s="146"/>
    </row>
    <row r="14" spans="1:38" s="172" customFormat="1" ht="128.25" customHeight="1">
      <c r="A14" s="10">
        <v>1</v>
      </c>
      <c r="B14" s="115" t="s">
        <v>1088</v>
      </c>
      <c r="C14" s="272" t="s">
        <v>132</v>
      </c>
      <c r="D14" s="272" t="s">
        <v>20</v>
      </c>
      <c r="E14" s="273" t="s">
        <v>282</v>
      </c>
      <c r="F14" s="273" t="s">
        <v>1089</v>
      </c>
      <c r="G14" s="273" t="s">
        <v>1090</v>
      </c>
      <c r="H14" s="274">
        <v>310759</v>
      </c>
      <c r="I14" s="274">
        <v>84656</v>
      </c>
      <c r="J14" s="274">
        <v>84656</v>
      </c>
      <c r="K14" s="178"/>
      <c r="L14" s="84"/>
      <c r="M14" s="84">
        <v>11143</v>
      </c>
      <c r="N14" s="84"/>
      <c r="O14" s="84"/>
      <c r="P14" s="84">
        <f>SUM(M14:O14)</f>
        <v>11143</v>
      </c>
      <c r="Q14" s="53"/>
      <c r="S14" s="11"/>
      <c r="T14" s="11"/>
      <c r="U14" s="6"/>
      <c r="V14" s="11"/>
      <c r="W14" s="11"/>
      <c r="X14" s="11"/>
      <c r="Y14" s="11"/>
      <c r="Z14" s="11"/>
      <c r="AA14" s="11"/>
      <c r="AB14" s="11"/>
      <c r="AC14" s="11"/>
      <c r="AD14" s="11"/>
      <c r="AE14" s="11"/>
      <c r="AF14" s="11"/>
      <c r="AG14" s="11"/>
      <c r="AH14" s="11"/>
      <c r="AI14" s="11"/>
      <c r="AJ14" s="11"/>
      <c r="AK14" s="11"/>
      <c r="AL14" s="11"/>
    </row>
    <row r="15" spans="1:38" ht="13.5" customHeight="1"/>
  </sheetData>
  <mergeCells count="22">
    <mergeCell ref="Q11:Q12"/>
    <mergeCell ref="A1:Q1"/>
    <mergeCell ref="A2:Q2"/>
    <mergeCell ref="A3:Q3"/>
    <mergeCell ref="G5:I5"/>
    <mergeCell ref="Q5:Q7"/>
    <mergeCell ref="G6:G7"/>
    <mergeCell ref="H6:I6"/>
    <mergeCell ref="J5:J7"/>
    <mergeCell ref="K5:L5"/>
    <mergeCell ref="K6:K7"/>
    <mergeCell ref="A5:A7"/>
    <mergeCell ref="B5:B7"/>
    <mergeCell ref="M5:M7"/>
    <mergeCell ref="N5:N7"/>
    <mergeCell ref="O5:O7"/>
    <mergeCell ref="C5:C7"/>
    <mergeCell ref="P5:P7"/>
    <mergeCell ref="L6:L7"/>
    <mergeCell ref="D5:D7"/>
    <mergeCell ref="E5:E7"/>
    <mergeCell ref="F5:F7"/>
  </mergeCells>
  <printOptions horizontalCentered="1"/>
  <pageMargins left="0.39370078740157483" right="0.39370078740157483" top="0.39370078740157483" bottom="0.39370078740157483" header="0.19685039370078741" footer="0.19685039370078741"/>
  <pageSetup paperSize="9" scale="44" fitToHeight="0" orientation="landscape" r:id="rId1"/>
  <headerFoot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J14"/>
  <sheetViews>
    <sheetView view="pageBreakPreview" zoomScale="60" zoomScaleNormal="60" workbookViewId="0">
      <selection activeCell="E14" sqref="E14"/>
    </sheetView>
  </sheetViews>
  <sheetFormatPr defaultColWidth="9.109375" defaultRowHeight="16.8"/>
  <cols>
    <col min="1" max="1" width="8.6640625" style="11" customWidth="1"/>
    <col min="2" max="2" width="50.6640625" style="11" customWidth="1"/>
    <col min="3" max="3" width="20.6640625" style="11" customWidth="1"/>
    <col min="4" max="4" width="20.6640625" style="22" customWidth="1"/>
    <col min="5" max="6" width="20.6640625" style="11" customWidth="1"/>
    <col min="7" max="7" width="22.6640625" style="11" customWidth="1"/>
    <col min="8" max="9" width="20.6640625" style="11" customWidth="1"/>
    <col min="10" max="10" width="20.6640625" style="11" hidden="1" customWidth="1"/>
    <col min="11" max="14" width="20.6640625" style="11" customWidth="1"/>
    <col min="15" max="15" width="30.6640625" style="11" customWidth="1"/>
    <col min="16" max="16" width="19.109375" style="11" customWidth="1"/>
    <col min="17" max="17" width="14.88671875" style="22" customWidth="1"/>
    <col min="18" max="18" width="13.44140625" style="22" customWidth="1"/>
    <col min="19" max="19" width="17.88671875" style="11" customWidth="1"/>
    <col min="20" max="20" width="19.33203125" style="11" customWidth="1"/>
    <col min="21" max="21" width="17.33203125" style="11" customWidth="1"/>
    <col min="22" max="36" width="15.109375" style="11" customWidth="1"/>
    <col min="37" max="16384" width="9.109375" style="11"/>
  </cols>
  <sheetData>
    <row r="1" spans="1:36" ht="39.9" customHeight="1">
      <c r="A1" s="554" t="s">
        <v>752</v>
      </c>
      <c r="B1" s="554"/>
      <c r="C1" s="554"/>
      <c r="D1" s="554"/>
      <c r="E1" s="554"/>
      <c r="F1" s="554"/>
      <c r="G1" s="554"/>
      <c r="H1" s="554"/>
      <c r="I1" s="554"/>
      <c r="J1" s="554"/>
      <c r="K1" s="554"/>
      <c r="L1" s="554"/>
      <c r="M1" s="554"/>
      <c r="N1" s="554"/>
      <c r="O1" s="554"/>
    </row>
    <row r="2" spans="1:36" s="157" customFormat="1" ht="69.900000000000006" customHeight="1">
      <c r="A2" s="555" t="s">
        <v>1463</v>
      </c>
      <c r="B2" s="555"/>
      <c r="C2" s="555"/>
      <c r="D2" s="555"/>
      <c r="E2" s="555"/>
      <c r="F2" s="555"/>
      <c r="G2" s="555"/>
      <c r="H2" s="555"/>
      <c r="I2" s="555"/>
      <c r="J2" s="555"/>
      <c r="K2" s="555"/>
      <c r="L2" s="555"/>
      <c r="M2" s="555"/>
      <c r="N2" s="555"/>
      <c r="O2" s="555"/>
      <c r="Q2" s="158"/>
      <c r="R2" s="158"/>
    </row>
    <row r="3" spans="1:36" ht="39.9" customHeight="1">
      <c r="A3" s="556" t="str">
        <f>'1. CĐNS'!A3:AC3</f>
        <v>(Ban hành kèm theo Quyết định số: 2571/QĐ-UBND ngày 12/12/2024 của Ủy ban nhân dân tỉnh)</v>
      </c>
      <c r="B3" s="556"/>
      <c r="C3" s="556"/>
      <c r="D3" s="556"/>
      <c r="E3" s="556"/>
      <c r="F3" s="556"/>
      <c r="G3" s="556"/>
      <c r="H3" s="556"/>
      <c r="I3" s="556"/>
      <c r="J3" s="556"/>
      <c r="K3" s="556"/>
      <c r="L3" s="556"/>
      <c r="M3" s="556"/>
      <c r="N3" s="556"/>
      <c r="O3" s="556"/>
    </row>
    <row r="4" spans="1:36" ht="33.75" customHeight="1">
      <c r="J4" s="12"/>
      <c r="K4" s="12"/>
      <c r="L4" s="12"/>
      <c r="M4" s="12"/>
      <c r="N4" s="12"/>
      <c r="O4" s="12" t="s">
        <v>0</v>
      </c>
    </row>
    <row r="5" spans="1:36" s="141" customFormat="1" ht="50.1" customHeight="1">
      <c r="A5" s="598" t="s">
        <v>1</v>
      </c>
      <c r="B5" s="561" t="s">
        <v>513</v>
      </c>
      <c r="C5" s="598" t="s">
        <v>2</v>
      </c>
      <c r="D5" s="598" t="s">
        <v>514</v>
      </c>
      <c r="E5" s="585" t="s">
        <v>4</v>
      </c>
      <c r="F5" s="585" t="s">
        <v>5</v>
      </c>
      <c r="G5" s="585" t="s">
        <v>148</v>
      </c>
      <c r="H5" s="585"/>
      <c r="I5" s="585"/>
      <c r="J5" s="593" t="s">
        <v>696</v>
      </c>
      <c r="K5" s="600" t="s">
        <v>690</v>
      </c>
      <c r="L5" s="557" t="s">
        <v>1072</v>
      </c>
      <c r="M5" s="557" t="s">
        <v>1073</v>
      </c>
      <c r="N5" s="557" t="s">
        <v>1215</v>
      </c>
      <c r="O5" s="598" t="s">
        <v>6</v>
      </c>
      <c r="P5" s="63"/>
      <c r="Q5" s="140"/>
      <c r="R5" s="140"/>
    </row>
    <row r="6" spans="1:36" s="141" customFormat="1" ht="50.1" customHeight="1">
      <c r="A6" s="599"/>
      <c r="B6" s="561"/>
      <c r="C6" s="599"/>
      <c r="D6" s="599"/>
      <c r="E6" s="585"/>
      <c r="F6" s="585"/>
      <c r="G6" s="585" t="s">
        <v>7</v>
      </c>
      <c r="H6" s="585" t="s">
        <v>8</v>
      </c>
      <c r="I6" s="585"/>
      <c r="J6" s="594"/>
      <c r="K6" s="601"/>
      <c r="L6" s="569"/>
      <c r="M6" s="569"/>
      <c r="N6" s="569"/>
      <c r="O6" s="599"/>
      <c r="P6" s="63"/>
      <c r="Q6" s="142" t="s">
        <v>452</v>
      </c>
      <c r="R6" s="142" t="s">
        <v>453</v>
      </c>
      <c r="S6" s="143" t="s">
        <v>454</v>
      </c>
      <c r="T6" s="57"/>
      <c r="U6" s="57" t="s">
        <v>455</v>
      </c>
      <c r="V6" s="56" t="s">
        <v>456</v>
      </c>
      <c r="W6" s="56" t="s">
        <v>474</v>
      </c>
      <c r="X6" s="56" t="s">
        <v>629</v>
      </c>
      <c r="Y6" s="56" t="s">
        <v>459</v>
      </c>
      <c r="Z6" s="56" t="s">
        <v>460</v>
      </c>
      <c r="AA6" s="56" t="s">
        <v>461</v>
      </c>
      <c r="AB6" s="56" t="s">
        <v>462</v>
      </c>
      <c r="AC6" s="56" t="s">
        <v>463</v>
      </c>
      <c r="AD6" s="56" t="s">
        <v>464</v>
      </c>
      <c r="AE6" s="56" t="s">
        <v>465</v>
      </c>
      <c r="AF6" s="56" t="s">
        <v>466</v>
      </c>
      <c r="AG6" s="56" t="s">
        <v>467</v>
      </c>
      <c r="AH6" s="56" t="s">
        <v>468</v>
      </c>
      <c r="AI6" s="56" t="s">
        <v>469</v>
      </c>
      <c r="AJ6" s="57"/>
    </row>
    <row r="7" spans="1:36" s="141" customFormat="1" ht="78" customHeight="1">
      <c r="A7" s="599"/>
      <c r="B7" s="561"/>
      <c r="C7" s="599"/>
      <c r="D7" s="603"/>
      <c r="E7" s="585"/>
      <c r="F7" s="585"/>
      <c r="G7" s="585"/>
      <c r="H7" s="144" t="s">
        <v>66</v>
      </c>
      <c r="I7" s="144" t="s">
        <v>67</v>
      </c>
      <c r="J7" s="595"/>
      <c r="K7" s="602"/>
      <c r="L7" s="558"/>
      <c r="M7" s="558"/>
      <c r="N7" s="558"/>
      <c r="O7" s="599"/>
      <c r="P7" s="145"/>
      <c r="Q7" s="142"/>
      <c r="R7" s="142"/>
      <c r="S7" s="143"/>
      <c r="T7" s="58" t="s">
        <v>470</v>
      </c>
      <c r="U7" s="57">
        <f>COUNTIF(Q8:Q923,"CT")</f>
        <v>2</v>
      </c>
      <c r="V7" s="82">
        <f>SUMIF(Q8:Q923,"CT",S8:S923)</f>
        <v>21374</v>
      </c>
      <c r="W7" s="82">
        <f>SUMIFS($S$8:$S$1025,$Q$8:$Q$1025,"CT",$R$8:$R$1025,W6)</f>
        <v>21374</v>
      </c>
      <c r="X7" s="82">
        <f t="shared" ref="X7:AI7" si="0">SUMIFS($S$8:$S$1025,$Q$8:$Q$1025,"CT",$R$8:$R$1025,X6)</f>
        <v>0</v>
      </c>
      <c r="Y7" s="82">
        <f t="shared" si="0"/>
        <v>0</v>
      </c>
      <c r="Z7" s="82">
        <f t="shared" si="0"/>
        <v>0</v>
      </c>
      <c r="AA7" s="82">
        <f t="shared" si="0"/>
        <v>0</v>
      </c>
      <c r="AB7" s="82">
        <f t="shared" si="0"/>
        <v>0</v>
      </c>
      <c r="AC7" s="82">
        <f t="shared" si="0"/>
        <v>0</v>
      </c>
      <c r="AD7" s="82">
        <f t="shared" si="0"/>
        <v>0</v>
      </c>
      <c r="AE7" s="82">
        <f t="shared" si="0"/>
        <v>0</v>
      </c>
      <c r="AF7" s="82">
        <f t="shared" si="0"/>
        <v>0</v>
      </c>
      <c r="AG7" s="82">
        <f t="shared" si="0"/>
        <v>0</v>
      </c>
      <c r="AH7" s="82">
        <f t="shared" si="0"/>
        <v>0</v>
      </c>
      <c r="AI7" s="82">
        <f t="shared" si="0"/>
        <v>0</v>
      </c>
      <c r="AJ7" s="58">
        <f>SUM(W7:AI7)</f>
        <v>21374</v>
      </c>
    </row>
    <row r="8" spans="1:36" s="2" customFormat="1" ht="60" customHeight="1">
      <c r="A8" s="21"/>
      <c r="B8" s="154" t="s">
        <v>280</v>
      </c>
      <c r="C8" s="21"/>
      <c r="D8" s="21"/>
      <c r="E8" s="21"/>
      <c r="F8" s="21"/>
      <c r="G8" s="21"/>
      <c r="H8" s="7">
        <f>SUM(H9,H12)</f>
        <v>723277</v>
      </c>
      <c r="I8" s="7">
        <f t="shared" ref="I8:N8" si="1">SUM(I9,I12)</f>
        <v>275965</v>
      </c>
      <c r="J8" s="7">
        <f t="shared" si="1"/>
        <v>21374</v>
      </c>
      <c r="K8" s="7">
        <f t="shared" si="1"/>
        <v>15687</v>
      </c>
      <c r="L8" s="7">
        <f t="shared" si="1"/>
        <v>0</v>
      </c>
      <c r="M8" s="7">
        <f t="shared" si="1"/>
        <v>0</v>
      </c>
      <c r="N8" s="7">
        <f t="shared" si="1"/>
        <v>15687</v>
      </c>
      <c r="O8" s="25"/>
      <c r="P8" s="38"/>
      <c r="Q8" s="155"/>
      <c r="R8" s="155"/>
      <c r="S8" s="156"/>
      <c r="T8" s="57" t="s">
        <v>471</v>
      </c>
      <c r="U8" s="57">
        <f>COUNTIF(Q8:Q922,"KCM")</f>
        <v>0</v>
      </c>
      <c r="V8" s="82">
        <f>SUMIF(Q8:Q922,"KCM",S8:S922)</f>
        <v>0</v>
      </c>
      <c r="W8" s="82">
        <f>SUMIFS($S$8:$S$1025,$Q$8:$Q$1025,"KCM",$R$8:$R$1025,W6)</f>
        <v>0</v>
      </c>
      <c r="X8" s="82">
        <f t="shared" ref="X8:AI8" si="2">SUMIFS($S$8:$S$1025,$Q$8:$Q$1025,"KCM",$R$8:$R$1025,X6)</f>
        <v>0</v>
      </c>
      <c r="Y8" s="82">
        <f t="shared" si="2"/>
        <v>0</v>
      </c>
      <c r="Z8" s="82">
        <f t="shared" si="2"/>
        <v>0</v>
      </c>
      <c r="AA8" s="82">
        <f t="shared" si="2"/>
        <v>0</v>
      </c>
      <c r="AB8" s="82">
        <f t="shared" si="2"/>
        <v>0</v>
      </c>
      <c r="AC8" s="82">
        <f t="shared" si="2"/>
        <v>0</v>
      </c>
      <c r="AD8" s="82">
        <f t="shared" si="2"/>
        <v>0</v>
      </c>
      <c r="AE8" s="82">
        <f t="shared" si="2"/>
        <v>0</v>
      </c>
      <c r="AF8" s="82">
        <f t="shared" si="2"/>
        <v>0</v>
      </c>
      <c r="AG8" s="82">
        <f t="shared" si="2"/>
        <v>0</v>
      </c>
      <c r="AH8" s="82">
        <f t="shared" si="2"/>
        <v>0</v>
      </c>
      <c r="AI8" s="82">
        <f t="shared" si="2"/>
        <v>0</v>
      </c>
      <c r="AJ8" s="58">
        <f>SUM(W8:AI8)</f>
        <v>0</v>
      </c>
    </row>
    <row r="9" spans="1:36" s="18" customFormat="1" ht="60" customHeight="1">
      <c r="A9" s="13" t="s">
        <v>15</v>
      </c>
      <c r="B9" s="26" t="s">
        <v>70</v>
      </c>
      <c r="C9" s="13"/>
      <c r="D9" s="13"/>
      <c r="E9" s="13"/>
      <c r="F9" s="13"/>
      <c r="G9" s="13"/>
      <c r="H9" s="8">
        <f>SUM(H10)</f>
        <v>704500</v>
      </c>
      <c r="I9" s="8">
        <f t="shared" ref="I9:N9" si="3">SUM(I10)</f>
        <v>265965</v>
      </c>
      <c r="J9" s="8">
        <f t="shared" si="3"/>
        <v>10687</v>
      </c>
      <c r="K9" s="8">
        <f t="shared" si="3"/>
        <v>10687</v>
      </c>
      <c r="L9" s="8">
        <f t="shared" si="3"/>
        <v>0</v>
      </c>
      <c r="M9" s="8">
        <f t="shared" si="3"/>
        <v>0</v>
      </c>
      <c r="N9" s="8">
        <f t="shared" si="3"/>
        <v>10687</v>
      </c>
      <c r="O9" s="27"/>
      <c r="Q9" s="55"/>
      <c r="R9" s="55"/>
      <c r="T9" s="230" t="s">
        <v>470</v>
      </c>
      <c r="U9" s="44">
        <f>SUM(W9:AI9)</f>
        <v>2</v>
      </c>
      <c r="V9" s="44"/>
      <c r="W9" s="44">
        <f>COUNTIFS($Q$8:$Q$923,"CT",$R$8:$R$923,W6)</f>
        <v>2</v>
      </c>
      <c r="X9" s="44">
        <f t="shared" ref="X9:AI9" si="4">COUNTIFS($Q$8:$Q$923,"CT",$R$8:$R$923,X6)</f>
        <v>0</v>
      </c>
      <c r="Y9" s="44">
        <f t="shared" si="4"/>
        <v>0</v>
      </c>
      <c r="Z9" s="44">
        <f t="shared" si="4"/>
        <v>0</v>
      </c>
      <c r="AA9" s="44">
        <f t="shared" si="4"/>
        <v>0</v>
      </c>
      <c r="AB9" s="44">
        <f t="shared" si="4"/>
        <v>0</v>
      </c>
      <c r="AC9" s="44">
        <f t="shared" si="4"/>
        <v>0</v>
      </c>
      <c r="AD9" s="44">
        <f t="shared" si="4"/>
        <v>0</v>
      </c>
      <c r="AE9" s="44">
        <f t="shared" si="4"/>
        <v>0</v>
      </c>
      <c r="AF9" s="44">
        <f t="shared" si="4"/>
        <v>0</v>
      </c>
      <c r="AG9" s="44">
        <f t="shared" si="4"/>
        <v>0</v>
      </c>
      <c r="AH9" s="44">
        <f t="shared" si="4"/>
        <v>0</v>
      </c>
      <c r="AI9" s="44">
        <f t="shared" si="4"/>
        <v>0</v>
      </c>
      <c r="AJ9" s="45"/>
    </row>
    <row r="10" spans="1:36" s="146" customFormat="1" ht="44.25" customHeight="1">
      <c r="A10" s="15" t="s">
        <v>17</v>
      </c>
      <c r="B10" s="16" t="s">
        <v>64</v>
      </c>
      <c r="C10" s="16"/>
      <c r="D10" s="15"/>
      <c r="E10" s="16"/>
      <c r="F10" s="16"/>
      <c r="G10" s="16"/>
      <c r="H10" s="29">
        <f t="shared" ref="H10:N10" si="5">SUM(H11:H11)</f>
        <v>704500</v>
      </c>
      <c r="I10" s="29">
        <f t="shared" si="5"/>
        <v>265965</v>
      </c>
      <c r="J10" s="29">
        <f t="shared" si="5"/>
        <v>10687</v>
      </c>
      <c r="K10" s="29">
        <f t="shared" si="5"/>
        <v>10687</v>
      </c>
      <c r="L10" s="29">
        <f t="shared" si="5"/>
        <v>0</v>
      </c>
      <c r="M10" s="29">
        <f t="shared" si="5"/>
        <v>0</v>
      </c>
      <c r="N10" s="29">
        <f t="shared" si="5"/>
        <v>10687</v>
      </c>
      <c r="O10" s="19"/>
      <c r="Q10" s="147"/>
      <c r="R10" s="147"/>
      <c r="T10" s="42" t="s">
        <v>471</v>
      </c>
      <c r="U10" s="44">
        <f>SUM(W10:AI10)</f>
        <v>0</v>
      </c>
      <c r="V10" s="44"/>
      <c r="W10" s="44">
        <f>COUNTIFS($Q$8:$Q$923,"KCM",$R$8:$R$923,W6)</f>
        <v>0</v>
      </c>
      <c r="X10" s="44">
        <f t="shared" ref="X10:AI10" si="6">COUNTIFS($Q$8:$Q$923,"KCM",$R$8:$R$923,X6)</f>
        <v>0</v>
      </c>
      <c r="Y10" s="44">
        <f t="shared" si="6"/>
        <v>0</v>
      </c>
      <c r="Z10" s="44">
        <f t="shared" si="6"/>
        <v>0</v>
      </c>
      <c r="AA10" s="44">
        <f t="shared" si="6"/>
        <v>0</v>
      </c>
      <c r="AB10" s="44">
        <f t="shared" si="6"/>
        <v>0</v>
      </c>
      <c r="AC10" s="44">
        <f t="shared" si="6"/>
        <v>0</v>
      </c>
      <c r="AD10" s="44">
        <f t="shared" si="6"/>
        <v>0</v>
      </c>
      <c r="AE10" s="44">
        <f t="shared" si="6"/>
        <v>0</v>
      </c>
      <c r="AF10" s="44">
        <f t="shared" si="6"/>
        <v>0</v>
      </c>
      <c r="AG10" s="44">
        <f t="shared" si="6"/>
        <v>0</v>
      </c>
      <c r="AH10" s="44">
        <f t="shared" si="6"/>
        <v>0</v>
      </c>
      <c r="AI10" s="44">
        <f t="shared" si="6"/>
        <v>0</v>
      </c>
      <c r="AJ10" s="44"/>
    </row>
    <row r="11" spans="1:36" ht="195" customHeight="1">
      <c r="A11" s="10">
        <v>1</v>
      </c>
      <c r="B11" s="148" t="s">
        <v>319</v>
      </c>
      <c r="C11" s="149" t="s">
        <v>320</v>
      </c>
      <c r="D11" s="150" t="s">
        <v>20</v>
      </c>
      <c r="E11" s="28" t="s">
        <v>572</v>
      </c>
      <c r="F11" s="28" t="s">
        <v>296</v>
      </c>
      <c r="G11" s="23" t="s">
        <v>755</v>
      </c>
      <c r="H11" s="37">
        <v>704500</v>
      </c>
      <c r="I11" s="37">
        <f>H11-438535</f>
        <v>265965</v>
      </c>
      <c r="J11" s="49">
        <v>10687</v>
      </c>
      <c r="K11" s="49">
        <v>10687</v>
      </c>
      <c r="L11" s="49"/>
      <c r="M11" s="49"/>
      <c r="N11" s="84">
        <f>SUM(K11:M11)</f>
        <v>10687</v>
      </c>
      <c r="O11" s="151" t="s">
        <v>899</v>
      </c>
      <c r="Q11" s="152" t="s">
        <v>472</v>
      </c>
      <c r="R11" s="152" t="s">
        <v>474</v>
      </c>
      <c r="S11" s="153">
        <f>J11</f>
        <v>10687</v>
      </c>
    </row>
    <row r="12" spans="1:36" s="18" customFormat="1" ht="60" customHeight="1">
      <c r="A12" s="463" t="s">
        <v>31</v>
      </c>
      <c r="B12" s="26" t="s">
        <v>74</v>
      </c>
      <c r="C12" s="463"/>
      <c r="D12" s="463"/>
      <c r="E12" s="463"/>
      <c r="F12" s="463"/>
      <c r="G12" s="463"/>
      <c r="H12" s="8">
        <f>SUM(H13)</f>
        <v>18777</v>
      </c>
      <c r="I12" s="8">
        <f t="shared" ref="I12:N12" si="7">SUM(I13)</f>
        <v>10000</v>
      </c>
      <c r="J12" s="8">
        <f t="shared" si="7"/>
        <v>10687</v>
      </c>
      <c r="K12" s="8">
        <f t="shared" si="7"/>
        <v>5000</v>
      </c>
      <c r="L12" s="8">
        <f t="shared" si="7"/>
        <v>0</v>
      </c>
      <c r="M12" s="8">
        <f t="shared" si="7"/>
        <v>0</v>
      </c>
      <c r="N12" s="8">
        <f t="shared" si="7"/>
        <v>5000</v>
      </c>
      <c r="O12" s="27"/>
      <c r="Q12" s="55"/>
      <c r="R12" s="55"/>
      <c r="T12" s="230" t="s">
        <v>470</v>
      </c>
      <c r="U12" s="44">
        <f>SUM(W12:AI12)</f>
        <v>0</v>
      </c>
      <c r="V12" s="44"/>
      <c r="W12" s="44">
        <f>COUNTIFS($Q$8:$Q$923,"CT",$R$8:$R$923,W9)</f>
        <v>0</v>
      </c>
      <c r="X12" s="44">
        <f t="shared" ref="X12:AI12" si="8">COUNTIFS($Q$8:$Q$923,"CT",$R$8:$R$923,X9)</f>
        <v>0</v>
      </c>
      <c r="Y12" s="44">
        <f t="shared" si="8"/>
        <v>0</v>
      </c>
      <c r="Z12" s="44">
        <f t="shared" si="8"/>
        <v>0</v>
      </c>
      <c r="AA12" s="44">
        <f t="shared" si="8"/>
        <v>0</v>
      </c>
      <c r="AB12" s="44">
        <f t="shared" si="8"/>
        <v>0</v>
      </c>
      <c r="AC12" s="44">
        <f t="shared" si="8"/>
        <v>0</v>
      </c>
      <c r="AD12" s="44">
        <f t="shared" si="8"/>
        <v>0</v>
      </c>
      <c r="AE12" s="44">
        <f t="shared" si="8"/>
        <v>0</v>
      </c>
      <c r="AF12" s="44">
        <f t="shared" si="8"/>
        <v>0</v>
      </c>
      <c r="AG12" s="44">
        <f t="shared" si="8"/>
        <v>0</v>
      </c>
      <c r="AH12" s="44">
        <f t="shared" si="8"/>
        <v>0</v>
      </c>
      <c r="AI12" s="44">
        <f t="shared" si="8"/>
        <v>0</v>
      </c>
      <c r="AJ12" s="45"/>
    </row>
    <row r="13" spans="1:36" s="146" customFormat="1" ht="44.25" customHeight="1">
      <c r="A13" s="15" t="s">
        <v>17</v>
      </c>
      <c r="B13" s="16" t="s">
        <v>64</v>
      </c>
      <c r="C13" s="16"/>
      <c r="D13" s="15"/>
      <c r="E13" s="16"/>
      <c r="F13" s="16"/>
      <c r="G13" s="16"/>
      <c r="H13" s="29">
        <f t="shared" ref="H13:N13" si="9">SUM(H14:H14)</f>
        <v>18777</v>
      </c>
      <c r="I13" s="29">
        <f t="shared" si="9"/>
        <v>10000</v>
      </c>
      <c r="J13" s="29">
        <f t="shared" si="9"/>
        <v>10687</v>
      </c>
      <c r="K13" s="29">
        <f t="shared" si="9"/>
        <v>5000</v>
      </c>
      <c r="L13" s="29">
        <f t="shared" si="9"/>
        <v>0</v>
      </c>
      <c r="M13" s="29">
        <f t="shared" si="9"/>
        <v>0</v>
      </c>
      <c r="N13" s="29">
        <f t="shared" si="9"/>
        <v>5000</v>
      </c>
      <c r="O13" s="19"/>
      <c r="Q13" s="147"/>
      <c r="R13" s="147"/>
      <c r="T13" s="42" t="s">
        <v>471</v>
      </c>
      <c r="U13" s="44">
        <f>SUM(W13:AI13)</f>
        <v>0</v>
      </c>
      <c r="V13" s="44"/>
      <c r="W13" s="44">
        <f>COUNTIFS($Q$8:$Q$923,"KCM",$R$8:$R$923,W9)</f>
        <v>0</v>
      </c>
      <c r="X13" s="44">
        <f t="shared" ref="X13:AI13" si="10">COUNTIFS($Q$8:$Q$923,"KCM",$R$8:$R$923,X9)</f>
        <v>0</v>
      </c>
      <c r="Y13" s="44">
        <f t="shared" si="10"/>
        <v>0</v>
      </c>
      <c r="Z13" s="44">
        <f t="shared" si="10"/>
        <v>0</v>
      </c>
      <c r="AA13" s="44">
        <f t="shared" si="10"/>
        <v>0</v>
      </c>
      <c r="AB13" s="44">
        <f t="shared" si="10"/>
        <v>0</v>
      </c>
      <c r="AC13" s="44">
        <f t="shared" si="10"/>
        <v>0</v>
      </c>
      <c r="AD13" s="44">
        <f t="shared" si="10"/>
        <v>0</v>
      </c>
      <c r="AE13" s="44">
        <f t="shared" si="10"/>
        <v>0</v>
      </c>
      <c r="AF13" s="44">
        <f t="shared" si="10"/>
        <v>0</v>
      </c>
      <c r="AG13" s="44">
        <f t="shared" si="10"/>
        <v>0</v>
      </c>
      <c r="AH13" s="44">
        <f t="shared" si="10"/>
        <v>0</v>
      </c>
      <c r="AI13" s="44">
        <f t="shared" si="10"/>
        <v>0</v>
      </c>
      <c r="AJ13" s="44"/>
    </row>
    <row r="14" spans="1:36" ht="133.5" customHeight="1">
      <c r="A14" s="10">
        <v>1</v>
      </c>
      <c r="B14" s="148" t="s">
        <v>1130</v>
      </c>
      <c r="C14" s="149" t="s">
        <v>343</v>
      </c>
      <c r="D14" s="150" t="s">
        <v>20</v>
      </c>
      <c r="E14" s="28"/>
      <c r="F14" s="28" t="s">
        <v>391</v>
      </c>
      <c r="G14" s="23" t="s">
        <v>1131</v>
      </c>
      <c r="H14" s="37">
        <v>18777</v>
      </c>
      <c r="I14" s="37">
        <v>10000</v>
      </c>
      <c r="J14" s="49">
        <v>10687</v>
      </c>
      <c r="K14" s="49">
        <v>5000</v>
      </c>
      <c r="L14" s="49"/>
      <c r="M14" s="49"/>
      <c r="N14" s="84">
        <f>SUM(K14:M14)</f>
        <v>5000</v>
      </c>
      <c r="O14" s="151" t="s">
        <v>1132</v>
      </c>
      <c r="Q14" s="152" t="s">
        <v>472</v>
      </c>
      <c r="R14" s="152" t="s">
        <v>474</v>
      </c>
      <c r="S14" s="153">
        <f>J14</f>
        <v>10687</v>
      </c>
    </row>
  </sheetData>
  <mergeCells count="18">
    <mergeCell ref="M5:M7"/>
    <mergeCell ref="N5:N7"/>
    <mergeCell ref="A1:O1"/>
    <mergeCell ref="A2:O2"/>
    <mergeCell ref="A3:O3"/>
    <mergeCell ref="J5:J7"/>
    <mergeCell ref="A5:A7"/>
    <mergeCell ref="B5:B7"/>
    <mergeCell ref="C5:C7"/>
    <mergeCell ref="K5:K7"/>
    <mergeCell ref="D5:D7"/>
    <mergeCell ref="E5:E7"/>
    <mergeCell ref="F5:F7"/>
    <mergeCell ref="G5:I5"/>
    <mergeCell ref="O5:O7"/>
    <mergeCell ref="G6:G7"/>
    <mergeCell ref="H6:I6"/>
    <mergeCell ref="L5:L7"/>
  </mergeCells>
  <printOptions horizontalCentered="1"/>
  <pageMargins left="0.39370078740157499" right="0.39370078740157499" top="0.39370078740157499" bottom="0.39370078740157499" header="0.196850393700787" footer="0.196850393700787"/>
  <pageSetup paperSize="9" scale="44" fitToHeight="0" orientation="landscape" r:id="rId1"/>
  <headerFooter alignWithMargins="0">
    <oddFooter>&amp;C&amp;"Times New Roman,thường"&amp;11&amp;P/&amp;N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
  <sheetViews>
    <sheetView view="pageBreakPreview" zoomScale="60" zoomScaleNormal="70" workbookViewId="0">
      <selection activeCell="H22" sqref="H22"/>
    </sheetView>
  </sheetViews>
  <sheetFormatPr defaultColWidth="9.109375" defaultRowHeight="16.8"/>
  <cols>
    <col min="1" max="1" width="8.6640625" style="11" customWidth="1"/>
    <col min="2" max="2" width="50.88671875" style="11" customWidth="1"/>
    <col min="3" max="3" width="20.6640625" style="11" customWidth="1"/>
    <col min="4" max="4" width="20.6640625" style="22" customWidth="1"/>
    <col min="5" max="6" width="20.6640625" style="11" customWidth="1"/>
    <col min="7" max="7" width="22.6640625" style="11" customWidth="1"/>
    <col min="8" max="9" width="20.6640625" style="11" customWidth="1"/>
    <col min="10" max="10" width="20.6640625" style="11" hidden="1" customWidth="1"/>
    <col min="11" max="14" width="20.6640625" style="11" customWidth="1"/>
    <col min="15" max="15" width="40.6640625" style="11" customWidth="1"/>
    <col min="16" max="16" width="19.109375" style="11" customWidth="1"/>
    <col min="17" max="17" width="14.88671875" style="22" customWidth="1"/>
    <col min="18" max="18" width="13.44140625" style="22" customWidth="1"/>
    <col min="19" max="19" width="17.88671875" style="11" customWidth="1"/>
    <col min="20" max="20" width="19.33203125" style="11" customWidth="1"/>
    <col min="21" max="21" width="17.33203125" style="11" customWidth="1"/>
    <col min="22" max="22" width="15.33203125" style="11" customWidth="1"/>
    <col min="23" max="24" width="12.6640625" style="11" customWidth="1"/>
    <col min="25" max="26" width="9.109375" style="11" customWidth="1"/>
    <col min="27" max="27" width="11.33203125" style="11" customWidth="1"/>
    <col min="28" max="28" width="9.109375" style="11" customWidth="1"/>
    <col min="29" max="29" width="12.6640625" style="11" customWidth="1"/>
    <col min="30" max="30" width="9.109375" style="11" customWidth="1"/>
    <col min="31" max="31" width="12.44140625" style="11" customWidth="1"/>
    <col min="32" max="32" width="15.33203125" style="11" customWidth="1"/>
    <col min="33" max="33" width="15" style="11" customWidth="1"/>
    <col min="34" max="34" width="9.109375" style="11" customWidth="1"/>
    <col min="35" max="35" width="11.33203125" style="11" customWidth="1"/>
    <col min="36" max="36" width="14.88671875" style="11" customWidth="1"/>
    <col min="37" max="47" width="9.109375" style="11" customWidth="1"/>
    <col min="48" max="16384" width="9.109375" style="11"/>
  </cols>
  <sheetData>
    <row r="1" spans="1:37" ht="39.9" customHeight="1">
      <c r="A1" s="554" t="s">
        <v>751</v>
      </c>
      <c r="B1" s="554"/>
      <c r="C1" s="554"/>
      <c r="D1" s="554"/>
      <c r="E1" s="554"/>
      <c r="F1" s="554"/>
      <c r="G1" s="554"/>
      <c r="H1" s="554"/>
      <c r="I1" s="554"/>
      <c r="J1" s="554"/>
      <c r="K1" s="554"/>
      <c r="L1" s="554"/>
      <c r="M1" s="554"/>
      <c r="N1" s="554"/>
      <c r="O1" s="554"/>
    </row>
    <row r="2" spans="1:37" ht="69.900000000000006" customHeight="1">
      <c r="A2" s="555" t="s">
        <v>1464</v>
      </c>
      <c r="B2" s="555"/>
      <c r="C2" s="555"/>
      <c r="D2" s="555"/>
      <c r="E2" s="555"/>
      <c r="F2" s="555"/>
      <c r="G2" s="555"/>
      <c r="H2" s="555"/>
      <c r="I2" s="555"/>
      <c r="J2" s="555"/>
      <c r="K2" s="555"/>
      <c r="L2" s="555"/>
      <c r="M2" s="555"/>
      <c r="N2" s="555"/>
      <c r="O2" s="555"/>
    </row>
    <row r="3" spans="1:37" ht="39.9" customHeight="1">
      <c r="A3" s="606" t="str">
        <f>'1. CĐNS'!A3:AC3</f>
        <v>(Ban hành kèm theo Quyết định số: 2571/QĐ-UBND ngày 12/12/2024 của Ủy ban nhân dân tỉnh)</v>
      </c>
      <c r="B3" s="606"/>
      <c r="C3" s="606"/>
      <c r="D3" s="606"/>
      <c r="E3" s="606"/>
      <c r="F3" s="606"/>
      <c r="G3" s="606"/>
      <c r="H3" s="606"/>
      <c r="I3" s="606"/>
      <c r="J3" s="606"/>
      <c r="K3" s="606"/>
      <c r="L3" s="606"/>
      <c r="M3" s="606"/>
      <c r="N3" s="606"/>
      <c r="O3" s="606"/>
    </row>
    <row r="4" spans="1:37" ht="33.75" customHeight="1">
      <c r="J4" s="12"/>
      <c r="K4" s="12"/>
      <c r="L4" s="12"/>
      <c r="M4" s="12"/>
      <c r="N4" s="12"/>
      <c r="O4" s="12" t="s">
        <v>0</v>
      </c>
    </row>
    <row r="5" spans="1:37" s="125" customFormat="1" ht="50.1" customHeight="1">
      <c r="A5" s="604" t="s">
        <v>1</v>
      </c>
      <c r="B5" s="561" t="s">
        <v>513</v>
      </c>
      <c r="C5" s="604" t="s">
        <v>2</v>
      </c>
      <c r="D5" s="604" t="s">
        <v>3</v>
      </c>
      <c r="E5" s="608" t="s">
        <v>4</v>
      </c>
      <c r="F5" s="608" t="s">
        <v>5</v>
      </c>
      <c r="G5" s="585" t="s">
        <v>148</v>
      </c>
      <c r="H5" s="585"/>
      <c r="I5" s="585"/>
      <c r="J5" s="593" t="s">
        <v>696</v>
      </c>
      <c r="K5" s="600" t="s">
        <v>690</v>
      </c>
      <c r="L5" s="557" t="s">
        <v>1072</v>
      </c>
      <c r="M5" s="557" t="s">
        <v>1073</v>
      </c>
      <c r="N5" s="557" t="s">
        <v>1215</v>
      </c>
      <c r="O5" s="604" t="s">
        <v>6</v>
      </c>
      <c r="P5" s="77"/>
      <c r="Q5" s="93" t="s">
        <v>452</v>
      </c>
      <c r="R5" s="93" t="s">
        <v>453</v>
      </c>
      <c r="S5" s="42" t="s">
        <v>454</v>
      </c>
      <c r="T5" s="57"/>
      <c r="U5" s="57" t="s">
        <v>455</v>
      </c>
      <c r="V5" s="56" t="s">
        <v>456</v>
      </c>
      <c r="W5" s="56" t="s">
        <v>474</v>
      </c>
      <c r="X5" s="56" t="s">
        <v>629</v>
      </c>
      <c r="Y5" s="56" t="s">
        <v>459</v>
      </c>
      <c r="Z5" s="56" t="s">
        <v>460</v>
      </c>
      <c r="AA5" s="56" t="s">
        <v>461</v>
      </c>
      <c r="AB5" s="56" t="s">
        <v>462</v>
      </c>
      <c r="AC5" s="56" t="s">
        <v>463</v>
      </c>
      <c r="AD5" s="56" t="s">
        <v>464</v>
      </c>
      <c r="AE5" s="56" t="s">
        <v>465</v>
      </c>
      <c r="AF5" s="56" t="s">
        <v>466</v>
      </c>
      <c r="AG5" s="56" t="s">
        <v>467</v>
      </c>
      <c r="AH5" s="56" t="s">
        <v>468</v>
      </c>
      <c r="AI5" s="56" t="s">
        <v>469</v>
      </c>
      <c r="AJ5" s="57"/>
      <c r="AK5" s="42"/>
    </row>
    <row r="6" spans="1:37" s="125" customFormat="1" ht="50.1" customHeight="1">
      <c r="A6" s="605"/>
      <c r="B6" s="561"/>
      <c r="C6" s="605"/>
      <c r="D6" s="605"/>
      <c r="E6" s="608"/>
      <c r="F6" s="608"/>
      <c r="G6" s="585" t="s">
        <v>7</v>
      </c>
      <c r="H6" s="585" t="s">
        <v>8</v>
      </c>
      <c r="I6" s="585"/>
      <c r="J6" s="594"/>
      <c r="K6" s="601"/>
      <c r="L6" s="569"/>
      <c r="M6" s="569"/>
      <c r="N6" s="569"/>
      <c r="O6" s="605"/>
      <c r="P6" s="77"/>
      <c r="Q6" s="93"/>
      <c r="R6" s="93"/>
      <c r="S6" s="42"/>
      <c r="T6" s="58" t="s">
        <v>470</v>
      </c>
      <c r="U6" s="57">
        <f>COUNTIF(Q8:Q920,"CT")</f>
        <v>0</v>
      </c>
      <c r="V6" s="82">
        <f>SUMIF(Q8:Q920,"CT",S8:S920)</f>
        <v>0</v>
      </c>
      <c r="W6" s="82">
        <f>SUMIFS($S$8:$S$1022,$Q$8:$Q$1022,"CT",$R$8:$R$1022,W5)</f>
        <v>0</v>
      </c>
      <c r="X6" s="82">
        <f t="shared" ref="X6:AI6" si="0">SUMIFS($S$8:$S$1022,$Q$8:$Q$1022,"CT",$R$8:$R$1022,X5)</f>
        <v>0</v>
      </c>
      <c r="Y6" s="82">
        <f t="shared" si="0"/>
        <v>0</v>
      </c>
      <c r="Z6" s="82">
        <f t="shared" si="0"/>
        <v>0</v>
      </c>
      <c r="AA6" s="82">
        <f t="shared" si="0"/>
        <v>0</v>
      </c>
      <c r="AB6" s="82">
        <f t="shared" si="0"/>
        <v>0</v>
      </c>
      <c r="AC6" s="82">
        <f t="shared" si="0"/>
        <v>0</v>
      </c>
      <c r="AD6" s="82">
        <f t="shared" si="0"/>
        <v>0</v>
      </c>
      <c r="AE6" s="82">
        <f t="shared" si="0"/>
        <v>0</v>
      </c>
      <c r="AF6" s="82">
        <f t="shared" si="0"/>
        <v>0</v>
      </c>
      <c r="AG6" s="82">
        <f t="shared" si="0"/>
        <v>0</v>
      </c>
      <c r="AH6" s="82">
        <f t="shared" si="0"/>
        <v>0</v>
      </c>
      <c r="AI6" s="82">
        <f t="shared" si="0"/>
        <v>0</v>
      </c>
      <c r="AJ6" s="58">
        <f>SUM(W6:AI6)</f>
        <v>0</v>
      </c>
      <c r="AK6" s="42"/>
    </row>
    <row r="7" spans="1:37" s="125" customFormat="1" ht="78" customHeight="1">
      <c r="A7" s="605"/>
      <c r="B7" s="561"/>
      <c r="C7" s="605"/>
      <c r="D7" s="607"/>
      <c r="E7" s="608"/>
      <c r="F7" s="608"/>
      <c r="G7" s="585"/>
      <c r="H7" s="144" t="s">
        <v>66</v>
      </c>
      <c r="I7" s="144" t="s">
        <v>67</v>
      </c>
      <c r="J7" s="595"/>
      <c r="K7" s="602"/>
      <c r="L7" s="558"/>
      <c r="M7" s="558"/>
      <c r="N7" s="558"/>
      <c r="O7" s="605"/>
      <c r="P7" s="132"/>
      <c r="Q7" s="93"/>
      <c r="R7" s="93"/>
      <c r="S7" s="42"/>
      <c r="T7" s="57" t="s">
        <v>471</v>
      </c>
      <c r="U7" s="57">
        <f>COUNTIF(Q8:Q919,"KCM")</f>
        <v>1</v>
      </c>
      <c r="V7" s="82">
        <f>SUMIF(Q8:Q919,"KCM",S8:S919)</f>
        <v>913</v>
      </c>
      <c r="W7" s="82">
        <f>SUMIFS($S$8:$S$1022,$Q$8:$Q$1022,"KCM",$R$8:$R$1022,W5)</f>
        <v>0</v>
      </c>
      <c r="X7" s="82">
        <f t="shared" ref="X7:AI7" si="1">SUMIFS($S$8:$S$1022,$Q$8:$Q$1022,"KCM",$R$8:$R$1022,X5)</f>
        <v>0</v>
      </c>
      <c r="Y7" s="82">
        <f t="shared" si="1"/>
        <v>0</v>
      </c>
      <c r="Z7" s="82">
        <f t="shared" si="1"/>
        <v>0</v>
      </c>
      <c r="AA7" s="82">
        <f t="shared" si="1"/>
        <v>0</v>
      </c>
      <c r="AB7" s="82">
        <f t="shared" si="1"/>
        <v>0</v>
      </c>
      <c r="AC7" s="82">
        <f t="shared" si="1"/>
        <v>0</v>
      </c>
      <c r="AD7" s="82">
        <f t="shared" si="1"/>
        <v>0</v>
      </c>
      <c r="AE7" s="82">
        <f t="shared" si="1"/>
        <v>0</v>
      </c>
      <c r="AF7" s="82">
        <f t="shared" si="1"/>
        <v>913</v>
      </c>
      <c r="AG7" s="82">
        <f t="shared" si="1"/>
        <v>0</v>
      </c>
      <c r="AH7" s="82">
        <f t="shared" si="1"/>
        <v>0</v>
      </c>
      <c r="AI7" s="82">
        <f t="shared" si="1"/>
        <v>0</v>
      </c>
      <c r="AJ7" s="58">
        <f>SUM(W7:AI7)</f>
        <v>913</v>
      </c>
      <c r="AK7" s="42"/>
    </row>
    <row r="8" spans="1:37" s="136" customFormat="1" ht="97.5" customHeight="1">
      <c r="A8" s="133"/>
      <c r="B8" s="134" t="s">
        <v>280</v>
      </c>
      <c r="C8" s="133"/>
      <c r="D8" s="133"/>
      <c r="E8" s="133"/>
      <c r="F8" s="133"/>
      <c r="G8" s="133"/>
      <c r="H8" s="135">
        <f t="shared" ref="H8:N9" si="2">SUM(H9)</f>
        <v>7805</v>
      </c>
      <c r="I8" s="135">
        <f t="shared" si="2"/>
        <v>4000</v>
      </c>
      <c r="J8" s="135">
        <f t="shared" si="2"/>
        <v>913</v>
      </c>
      <c r="K8" s="135">
        <f t="shared" si="2"/>
        <v>913</v>
      </c>
      <c r="L8" s="135">
        <f t="shared" si="2"/>
        <v>0</v>
      </c>
      <c r="M8" s="135">
        <f t="shared" si="2"/>
        <v>0</v>
      </c>
      <c r="N8" s="135">
        <f t="shared" si="2"/>
        <v>913</v>
      </c>
      <c r="O8" s="78" t="s">
        <v>658</v>
      </c>
      <c r="P8" s="126"/>
      <c r="Q8" s="40"/>
      <c r="R8" s="40"/>
      <c r="S8" s="45"/>
      <c r="T8" s="230" t="s">
        <v>470</v>
      </c>
      <c r="U8" s="44">
        <f>SUM(W8:AI8)</f>
        <v>0</v>
      </c>
      <c r="V8" s="44"/>
      <c r="W8" s="44">
        <f>COUNTIFS($Q$8:$Q$920,"CT",$R$8:$R$920,W5)</f>
        <v>0</v>
      </c>
      <c r="X8" s="44">
        <f t="shared" ref="X8:AI8" si="3">COUNTIFS($Q$8:$Q$920,"CT",$R$8:$R$920,X5)</f>
        <v>0</v>
      </c>
      <c r="Y8" s="44">
        <f t="shared" si="3"/>
        <v>0</v>
      </c>
      <c r="Z8" s="44">
        <f t="shared" si="3"/>
        <v>0</v>
      </c>
      <c r="AA8" s="44">
        <f t="shared" si="3"/>
        <v>0</v>
      </c>
      <c r="AB8" s="44">
        <f t="shared" si="3"/>
        <v>0</v>
      </c>
      <c r="AC8" s="44">
        <f t="shared" si="3"/>
        <v>0</v>
      </c>
      <c r="AD8" s="44">
        <f t="shared" si="3"/>
        <v>0</v>
      </c>
      <c r="AE8" s="44">
        <f t="shared" si="3"/>
        <v>0</v>
      </c>
      <c r="AF8" s="44">
        <f t="shared" si="3"/>
        <v>0</v>
      </c>
      <c r="AG8" s="44">
        <f t="shared" si="3"/>
        <v>0</v>
      </c>
      <c r="AH8" s="44">
        <f t="shared" si="3"/>
        <v>0</v>
      </c>
      <c r="AI8" s="44">
        <f t="shared" si="3"/>
        <v>0</v>
      </c>
      <c r="AJ8" s="45"/>
      <c r="AK8" s="45"/>
    </row>
    <row r="9" spans="1:37" s="127" customFormat="1" ht="60" customHeight="1">
      <c r="A9" s="13" t="s">
        <v>15</v>
      </c>
      <c r="B9" s="108" t="s">
        <v>557</v>
      </c>
      <c r="C9" s="107"/>
      <c r="D9" s="107"/>
      <c r="E9" s="107"/>
      <c r="F9" s="107"/>
      <c r="G9" s="107"/>
      <c r="H9" s="68">
        <f t="shared" si="2"/>
        <v>7805</v>
      </c>
      <c r="I9" s="68">
        <f t="shared" si="2"/>
        <v>4000</v>
      </c>
      <c r="J9" s="68">
        <f t="shared" si="2"/>
        <v>913</v>
      </c>
      <c r="K9" s="68">
        <f t="shared" si="2"/>
        <v>913</v>
      </c>
      <c r="L9" s="68">
        <f t="shared" si="2"/>
        <v>0</v>
      </c>
      <c r="M9" s="68">
        <f t="shared" si="2"/>
        <v>0</v>
      </c>
      <c r="N9" s="68">
        <f t="shared" si="2"/>
        <v>913</v>
      </c>
      <c r="O9" s="53"/>
      <c r="P9" s="137"/>
      <c r="Q9" s="39"/>
      <c r="R9" s="39"/>
      <c r="S9" s="44"/>
      <c r="T9" s="42" t="s">
        <v>471</v>
      </c>
      <c r="U9" s="44">
        <f>SUM(W9:AI9)</f>
        <v>1</v>
      </c>
      <c r="V9" s="44"/>
      <c r="W9" s="44">
        <f>COUNTIFS($Q$8:$Q$920,"KCM",$R$8:$R$920,W5)</f>
        <v>0</v>
      </c>
      <c r="X9" s="44">
        <f t="shared" ref="X9:AI9" si="4">COUNTIFS($Q$8:$Q$920,"KCM",$R$8:$R$920,X5)</f>
        <v>0</v>
      </c>
      <c r="Y9" s="44">
        <f t="shared" si="4"/>
        <v>0</v>
      </c>
      <c r="Z9" s="44">
        <f t="shared" si="4"/>
        <v>0</v>
      </c>
      <c r="AA9" s="44">
        <f t="shared" si="4"/>
        <v>0</v>
      </c>
      <c r="AB9" s="44">
        <f t="shared" si="4"/>
        <v>0</v>
      </c>
      <c r="AC9" s="44">
        <f t="shared" si="4"/>
        <v>0</v>
      </c>
      <c r="AD9" s="44">
        <f t="shared" si="4"/>
        <v>0</v>
      </c>
      <c r="AE9" s="44">
        <f t="shared" si="4"/>
        <v>0</v>
      </c>
      <c r="AF9" s="44">
        <f t="shared" si="4"/>
        <v>1</v>
      </c>
      <c r="AG9" s="44">
        <f t="shared" si="4"/>
        <v>0</v>
      </c>
      <c r="AH9" s="44">
        <f t="shared" si="4"/>
        <v>0</v>
      </c>
      <c r="AI9" s="44">
        <f t="shared" si="4"/>
        <v>0</v>
      </c>
      <c r="AJ9" s="44"/>
      <c r="AK9" s="44"/>
    </row>
    <row r="10" spans="1:37" s="138" customFormat="1" ht="44.25" customHeight="1">
      <c r="A10" s="15" t="s">
        <v>17</v>
      </c>
      <c r="B10" s="110" t="s">
        <v>96</v>
      </c>
      <c r="C10" s="110"/>
      <c r="D10" s="109"/>
      <c r="E10" s="110"/>
      <c r="F10" s="110"/>
      <c r="G10" s="110"/>
      <c r="H10" s="111">
        <f t="shared" ref="H10:N10" si="5">SUM(H11:H11)</f>
        <v>7805</v>
      </c>
      <c r="I10" s="111">
        <f t="shared" si="5"/>
        <v>4000</v>
      </c>
      <c r="J10" s="111">
        <f t="shared" si="5"/>
        <v>913</v>
      </c>
      <c r="K10" s="111">
        <f t="shared" si="5"/>
        <v>913</v>
      </c>
      <c r="L10" s="111">
        <f t="shared" si="5"/>
        <v>0</v>
      </c>
      <c r="M10" s="111">
        <f t="shared" si="5"/>
        <v>0</v>
      </c>
      <c r="N10" s="111">
        <f t="shared" si="5"/>
        <v>913</v>
      </c>
      <c r="O10" s="112"/>
      <c r="Q10" s="139"/>
      <c r="R10" s="139"/>
    </row>
    <row r="11" spans="1:37" s="125" customFormat="1" ht="69.75" customHeight="1">
      <c r="A11" s="114">
        <v>1</v>
      </c>
      <c r="B11" s="36" t="s">
        <v>649</v>
      </c>
      <c r="C11" s="23" t="s">
        <v>54</v>
      </c>
      <c r="D11" s="34" t="s">
        <v>19</v>
      </c>
      <c r="E11" s="23" t="s">
        <v>650</v>
      </c>
      <c r="F11" s="23" t="s">
        <v>391</v>
      </c>
      <c r="G11" s="33" t="s">
        <v>695</v>
      </c>
      <c r="H11" s="37">
        <v>7805</v>
      </c>
      <c r="I11" s="37">
        <v>4000</v>
      </c>
      <c r="J11" s="37">
        <v>913</v>
      </c>
      <c r="K11" s="37">
        <v>913</v>
      </c>
      <c r="L11" s="37"/>
      <c r="M11" s="37"/>
      <c r="N11" s="84">
        <f>SUM(K11:M11)</f>
        <v>913</v>
      </c>
      <c r="O11" s="35"/>
      <c r="Q11" s="124" t="s">
        <v>473</v>
      </c>
      <c r="R11" s="124" t="s">
        <v>466</v>
      </c>
      <c r="S11" s="132">
        <f>K11</f>
        <v>913</v>
      </c>
    </row>
  </sheetData>
  <mergeCells count="18">
    <mergeCell ref="M5:M7"/>
    <mergeCell ref="N5:N7"/>
    <mergeCell ref="J5:J7"/>
    <mergeCell ref="O5:O7"/>
    <mergeCell ref="G6:G7"/>
    <mergeCell ref="H6:I6"/>
    <mergeCell ref="A1:O1"/>
    <mergeCell ref="A2:O2"/>
    <mergeCell ref="A3:O3"/>
    <mergeCell ref="A5:A7"/>
    <mergeCell ref="B5:B7"/>
    <mergeCell ref="C5:C7"/>
    <mergeCell ref="D5:D7"/>
    <mergeCell ref="E5:E7"/>
    <mergeCell ref="F5:F7"/>
    <mergeCell ref="G5:I5"/>
    <mergeCell ref="K5:K7"/>
    <mergeCell ref="L5:L7"/>
  </mergeCells>
  <printOptions horizontalCentered="1"/>
  <pageMargins left="0.39370078740157499" right="0.39370078740157499" top="0.39370078740157499" bottom="0.39370078740157499" header="0.196850393700787" footer="0.196850393700787"/>
  <pageSetup paperSize="9" scale="43" fitToHeight="0" orientation="landscape" r:id="rId1"/>
  <headerFooter alignWithMargins="0">
    <oddFooter>&amp;C&amp;"Times New Roman,thường"&amp;11&amp;P/&amp;N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5"/>
  <sheetViews>
    <sheetView view="pageBreakPreview" topLeftCell="H1" zoomScale="60" zoomScaleNormal="70" workbookViewId="0">
      <selection activeCell="F22" sqref="F22"/>
    </sheetView>
  </sheetViews>
  <sheetFormatPr defaultColWidth="9.109375" defaultRowHeight="16.8"/>
  <cols>
    <col min="1" max="1" width="8.6640625" style="11" customWidth="1"/>
    <col min="2" max="2" width="50.6640625" style="11" customWidth="1"/>
    <col min="3" max="3" width="20.6640625" style="11" customWidth="1"/>
    <col min="4" max="4" width="20.6640625" style="22" customWidth="1"/>
    <col min="5" max="6" width="20.6640625" style="11" customWidth="1"/>
    <col min="7" max="7" width="22.6640625" style="11" hidden="1" customWidth="1"/>
    <col min="8" max="8" width="22.6640625" style="11" customWidth="1"/>
    <col min="9" max="10" width="20.6640625" style="11" customWidth="1"/>
    <col min="11" max="13" width="20.6640625" style="11" hidden="1" customWidth="1"/>
    <col min="14" max="17" width="20.6640625" style="11" customWidth="1"/>
    <col min="18" max="18" width="30.6640625" style="11" customWidth="1"/>
    <col min="19" max="19" width="19.109375" style="11" customWidth="1"/>
    <col min="20" max="20" width="14.88671875" style="22" customWidth="1"/>
    <col min="21" max="21" width="13.44140625" style="22" customWidth="1"/>
    <col min="22" max="22" width="17.88671875" style="11" customWidth="1"/>
    <col min="23" max="23" width="19.33203125" style="11" customWidth="1"/>
    <col min="24" max="24" width="17.33203125" style="11" customWidth="1"/>
    <col min="25" max="25" width="15.33203125" style="11" customWidth="1"/>
    <col min="26" max="27" width="12.6640625" style="11" bestFit="1" customWidth="1"/>
    <col min="28" max="29" width="9.109375" style="11"/>
    <col min="30" max="30" width="11.33203125" style="11" bestFit="1" customWidth="1"/>
    <col min="31" max="31" width="9.109375" style="11"/>
    <col min="32" max="32" width="12.6640625" style="11" bestFit="1" customWidth="1"/>
    <col min="33" max="33" width="9.109375" style="11"/>
    <col min="34" max="34" width="12.44140625" style="11" customWidth="1"/>
    <col min="35" max="35" width="15.33203125" style="11" customWidth="1"/>
    <col min="36" max="36" width="15" style="11" customWidth="1"/>
    <col min="37" max="37" width="9.109375" style="11"/>
    <col min="38" max="38" width="11.33203125" style="11" bestFit="1" customWidth="1"/>
    <col min="39" max="39" width="14.88671875" style="11" customWidth="1"/>
    <col min="40" max="16384" width="9.109375" style="11"/>
  </cols>
  <sheetData>
    <row r="1" spans="1:40" ht="39.9" customHeight="1">
      <c r="A1" s="554" t="s">
        <v>519</v>
      </c>
      <c r="B1" s="554"/>
      <c r="C1" s="554"/>
      <c r="D1" s="554"/>
      <c r="E1" s="554"/>
      <c r="F1" s="554"/>
      <c r="G1" s="554"/>
      <c r="H1" s="554"/>
      <c r="I1" s="554"/>
      <c r="J1" s="554"/>
      <c r="K1" s="554"/>
      <c r="L1" s="554"/>
      <c r="M1" s="554"/>
      <c r="N1" s="554"/>
      <c r="O1" s="554"/>
      <c r="P1" s="554"/>
      <c r="Q1" s="554"/>
      <c r="R1" s="554"/>
    </row>
    <row r="2" spans="1:40" ht="69.900000000000006" customHeight="1">
      <c r="A2" s="555" t="s">
        <v>1465</v>
      </c>
      <c r="B2" s="555"/>
      <c r="C2" s="555"/>
      <c r="D2" s="555"/>
      <c r="E2" s="555"/>
      <c r="F2" s="555"/>
      <c r="G2" s="555"/>
      <c r="H2" s="555"/>
      <c r="I2" s="555"/>
      <c r="J2" s="555"/>
      <c r="K2" s="555"/>
      <c r="L2" s="555"/>
      <c r="M2" s="555"/>
      <c r="N2" s="555"/>
      <c r="O2" s="555"/>
      <c r="P2" s="555"/>
      <c r="Q2" s="555"/>
      <c r="R2" s="555"/>
    </row>
    <row r="3" spans="1:40" ht="39.9" customHeight="1">
      <c r="A3" s="606" t="str">
        <f>'12. KDCĐNS2022'!A3:O3</f>
        <v>(Ban hành kèm theo Quyết định số: 2571/QĐ-UBND ngày 12/12/2024 của Ủy ban nhân dân tỉnh)</v>
      </c>
      <c r="B3" s="606"/>
      <c r="C3" s="606"/>
      <c r="D3" s="606"/>
      <c r="E3" s="606"/>
      <c r="F3" s="606"/>
      <c r="G3" s="606"/>
      <c r="H3" s="606"/>
      <c r="I3" s="606"/>
      <c r="J3" s="606"/>
      <c r="K3" s="606"/>
      <c r="L3" s="606"/>
      <c r="M3" s="606"/>
      <c r="N3" s="606"/>
      <c r="O3" s="606"/>
      <c r="P3" s="606"/>
      <c r="Q3" s="606"/>
      <c r="R3" s="606"/>
    </row>
    <row r="4" spans="1:40" ht="33.75" customHeight="1">
      <c r="K4" s="12"/>
      <c r="L4" s="12"/>
      <c r="M4" s="12"/>
      <c r="N4" s="12"/>
      <c r="O4" s="12"/>
      <c r="P4" s="12"/>
      <c r="Q4" s="12"/>
      <c r="R4" s="12" t="s">
        <v>0</v>
      </c>
    </row>
    <row r="5" spans="1:40" ht="50.1" customHeight="1">
      <c r="A5" s="559" t="s">
        <v>1</v>
      </c>
      <c r="B5" s="561" t="s">
        <v>513</v>
      </c>
      <c r="C5" s="559" t="s">
        <v>2</v>
      </c>
      <c r="D5" s="559" t="s">
        <v>3</v>
      </c>
      <c r="E5" s="562" t="s">
        <v>4</v>
      </c>
      <c r="F5" s="562" t="s">
        <v>5</v>
      </c>
      <c r="G5" s="13"/>
      <c r="H5" s="585" t="s">
        <v>148</v>
      </c>
      <c r="I5" s="585"/>
      <c r="J5" s="585"/>
      <c r="K5" s="609" t="s">
        <v>696</v>
      </c>
      <c r="L5" s="612" t="s">
        <v>808</v>
      </c>
      <c r="M5" s="612"/>
      <c r="N5" s="600" t="s">
        <v>690</v>
      </c>
      <c r="O5" s="557" t="s">
        <v>1072</v>
      </c>
      <c r="P5" s="557" t="s">
        <v>1073</v>
      </c>
      <c r="Q5" s="557" t="s">
        <v>1215</v>
      </c>
      <c r="R5" s="559" t="s">
        <v>6</v>
      </c>
      <c r="S5" s="14"/>
      <c r="T5" s="93" t="s">
        <v>452</v>
      </c>
      <c r="U5" s="93" t="s">
        <v>453</v>
      </c>
      <c r="V5" s="42" t="s">
        <v>454</v>
      </c>
      <c r="W5" s="57"/>
      <c r="X5" s="57" t="s">
        <v>455</v>
      </c>
      <c r="Y5" s="56" t="s">
        <v>456</v>
      </c>
      <c r="Z5" s="56" t="s">
        <v>474</v>
      </c>
      <c r="AA5" s="56" t="s">
        <v>629</v>
      </c>
      <c r="AB5" s="56" t="s">
        <v>459</v>
      </c>
      <c r="AC5" s="56" t="s">
        <v>460</v>
      </c>
      <c r="AD5" s="56" t="s">
        <v>461</v>
      </c>
      <c r="AE5" s="56" t="s">
        <v>462</v>
      </c>
      <c r="AF5" s="56" t="s">
        <v>463</v>
      </c>
      <c r="AG5" s="56" t="s">
        <v>464</v>
      </c>
      <c r="AH5" s="56" t="s">
        <v>465</v>
      </c>
      <c r="AI5" s="56" t="s">
        <v>466</v>
      </c>
      <c r="AJ5" s="56" t="s">
        <v>467</v>
      </c>
      <c r="AK5" s="56" t="s">
        <v>468</v>
      </c>
      <c r="AL5" s="56" t="s">
        <v>469</v>
      </c>
      <c r="AM5" s="57"/>
      <c r="AN5" s="42"/>
    </row>
    <row r="6" spans="1:40" ht="50.1" customHeight="1">
      <c r="A6" s="560"/>
      <c r="B6" s="561"/>
      <c r="C6" s="560"/>
      <c r="D6" s="560"/>
      <c r="E6" s="562"/>
      <c r="F6" s="562"/>
      <c r="G6" s="13"/>
      <c r="H6" s="585" t="s">
        <v>7</v>
      </c>
      <c r="I6" s="585" t="s">
        <v>8</v>
      </c>
      <c r="J6" s="585"/>
      <c r="K6" s="610"/>
      <c r="L6" s="612" t="s">
        <v>9</v>
      </c>
      <c r="M6" s="612" t="s">
        <v>753</v>
      </c>
      <c r="N6" s="601"/>
      <c r="O6" s="569"/>
      <c r="P6" s="569"/>
      <c r="Q6" s="569"/>
      <c r="R6" s="560"/>
      <c r="S6" s="14"/>
      <c r="T6" s="93"/>
      <c r="U6" s="93"/>
      <c r="V6" s="42"/>
      <c r="W6" s="58" t="s">
        <v>470</v>
      </c>
      <c r="X6" s="57">
        <f>COUNTIF(T8:T922,"CT")</f>
        <v>3</v>
      </c>
      <c r="Y6" s="82">
        <f>SUMIF(T8:T922,"CT",V8:V922)</f>
        <v>3004</v>
      </c>
      <c r="Z6" s="82">
        <f t="shared" ref="Z6:AL6" si="0">SUMIFS($V$8:$V$1024,$T$8:$T$1024,"CT",$U$8:$U$1024,Z5)</f>
        <v>1500</v>
      </c>
      <c r="AA6" s="82">
        <f t="shared" si="0"/>
        <v>0</v>
      </c>
      <c r="AB6" s="82">
        <f t="shared" si="0"/>
        <v>1504</v>
      </c>
      <c r="AC6" s="82">
        <f t="shared" si="0"/>
        <v>0</v>
      </c>
      <c r="AD6" s="82">
        <f t="shared" si="0"/>
        <v>0</v>
      </c>
      <c r="AE6" s="82">
        <f t="shared" si="0"/>
        <v>0</v>
      </c>
      <c r="AF6" s="82">
        <f t="shared" si="0"/>
        <v>0</v>
      </c>
      <c r="AG6" s="82">
        <f t="shared" si="0"/>
        <v>0</v>
      </c>
      <c r="AH6" s="82">
        <f t="shared" si="0"/>
        <v>0</v>
      </c>
      <c r="AI6" s="82">
        <f t="shared" si="0"/>
        <v>0</v>
      </c>
      <c r="AJ6" s="82">
        <f t="shared" si="0"/>
        <v>0</v>
      </c>
      <c r="AK6" s="82">
        <f t="shared" si="0"/>
        <v>0</v>
      </c>
      <c r="AL6" s="82">
        <f t="shared" si="0"/>
        <v>0</v>
      </c>
      <c r="AM6" s="58">
        <f>SUM(Z6:AL6)</f>
        <v>3004</v>
      </c>
      <c r="AN6" s="42"/>
    </row>
    <row r="7" spans="1:40" ht="67.5" customHeight="1">
      <c r="A7" s="560"/>
      <c r="B7" s="561"/>
      <c r="C7" s="560"/>
      <c r="D7" s="563"/>
      <c r="E7" s="562"/>
      <c r="F7" s="562"/>
      <c r="G7" s="13"/>
      <c r="H7" s="585"/>
      <c r="I7" s="144" t="s">
        <v>66</v>
      </c>
      <c r="J7" s="144" t="s">
        <v>67</v>
      </c>
      <c r="K7" s="611"/>
      <c r="L7" s="612"/>
      <c r="M7" s="612"/>
      <c r="N7" s="602"/>
      <c r="O7" s="558"/>
      <c r="P7" s="558"/>
      <c r="Q7" s="558"/>
      <c r="R7" s="560"/>
      <c r="S7" s="6"/>
      <c r="T7" s="93"/>
      <c r="U7" s="93"/>
      <c r="V7" s="42"/>
      <c r="W7" s="57" t="s">
        <v>471</v>
      </c>
      <c r="X7" s="57">
        <f>COUNTIF(T8:T921,"KCM")</f>
        <v>1</v>
      </c>
      <c r="Y7" s="82">
        <f>SUMIF(T8:T921,"KCM",V8:V921)</f>
        <v>48</v>
      </c>
      <c r="Z7" s="82">
        <f t="shared" ref="Z7:AL7" si="1">SUMIFS($V$8:$V$1024,$T$8:$T$1024,"KCM",$U$8:$U$1024,Z5)</f>
        <v>0</v>
      </c>
      <c r="AA7" s="82">
        <f t="shared" si="1"/>
        <v>0</v>
      </c>
      <c r="AB7" s="82">
        <f t="shared" si="1"/>
        <v>0</v>
      </c>
      <c r="AC7" s="82">
        <f t="shared" si="1"/>
        <v>0</v>
      </c>
      <c r="AD7" s="82">
        <f t="shared" si="1"/>
        <v>0</v>
      </c>
      <c r="AE7" s="82">
        <f t="shared" si="1"/>
        <v>48</v>
      </c>
      <c r="AF7" s="82">
        <f t="shared" si="1"/>
        <v>0</v>
      </c>
      <c r="AG7" s="82">
        <f t="shared" si="1"/>
        <v>0</v>
      </c>
      <c r="AH7" s="82">
        <f t="shared" si="1"/>
        <v>0</v>
      </c>
      <c r="AI7" s="82">
        <f t="shared" si="1"/>
        <v>0</v>
      </c>
      <c r="AJ7" s="82">
        <f t="shared" si="1"/>
        <v>0</v>
      </c>
      <c r="AK7" s="82">
        <f t="shared" si="1"/>
        <v>0</v>
      </c>
      <c r="AL7" s="82">
        <f t="shared" si="1"/>
        <v>0</v>
      </c>
      <c r="AM7" s="58">
        <f>SUM(Z7:AL7)</f>
        <v>48</v>
      </c>
      <c r="AN7" s="42"/>
    </row>
    <row r="8" spans="1:40" s="136" customFormat="1" ht="60" customHeight="1">
      <c r="A8" s="133"/>
      <c r="B8" s="134" t="s">
        <v>280</v>
      </c>
      <c r="C8" s="133"/>
      <c r="D8" s="133"/>
      <c r="E8" s="133"/>
      <c r="F8" s="133"/>
      <c r="G8" s="133"/>
      <c r="H8" s="133"/>
      <c r="I8" s="135">
        <f>SUM(I14,I9,I18,I21,I24)</f>
        <v>25508</v>
      </c>
      <c r="J8" s="135">
        <f t="shared" ref="J8:Q8" si="2">SUM(J14,J9,J18,J21,J24)</f>
        <v>12448</v>
      </c>
      <c r="K8" s="135" t="e">
        <f t="shared" si="2"/>
        <v>#REF!</v>
      </c>
      <c r="L8" s="135" t="e">
        <f t="shared" si="2"/>
        <v>#REF!</v>
      </c>
      <c r="M8" s="135" t="e">
        <f t="shared" si="2"/>
        <v>#REF!</v>
      </c>
      <c r="N8" s="135">
        <f t="shared" si="2"/>
        <v>5052</v>
      </c>
      <c r="O8" s="135">
        <f t="shared" si="2"/>
        <v>0</v>
      </c>
      <c r="P8" s="382">
        <f t="shared" si="2"/>
        <v>-48</v>
      </c>
      <c r="Q8" s="135">
        <f t="shared" si="2"/>
        <v>5004</v>
      </c>
      <c r="R8" s="79"/>
      <c r="S8" s="126"/>
      <c r="T8" s="40"/>
      <c r="U8" s="40"/>
      <c r="V8" s="45"/>
      <c r="W8" s="230" t="s">
        <v>470</v>
      </c>
      <c r="X8" s="44">
        <f>SUM(Z8:AL8)</f>
        <v>3</v>
      </c>
      <c r="Y8" s="44"/>
      <c r="Z8" s="44">
        <f t="shared" ref="Z8:AL8" si="3">COUNTIFS($T$8:$T$922,"CT",$U$8:$U$922,Z5)</f>
        <v>2</v>
      </c>
      <c r="AA8" s="44">
        <f t="shared" si="3"/>
        <v>0</v>
      </c>
      <c r="AB8" s="44">
        <f t="shared" si="3"/>
        <v>1</v>
      </c>
      <c r="AC8" s="44">
        <f t="shared" si="3"/>
        <v>0</v>
      </c>
      <c r="AD8" s="44">
        <f t="shared" si="3"/>
        <v>0</v>
      </c>
      <c r="AE8" s="44">
        <f t="shared" si="3"/>
        <v>0</v>
      </c>
      <c r="AF8" s="44">
        <f t="shared" si="3"/>
        <v>0</v>
      </c>
      <c r="AG8" s="44">
        <f t="shared" si="3"/>
        <v>0</v>
      </c>
      <c r="AH8" s="44">
        <f t="shared" si="3"/>
        <v>0</v>
      </c>
      <c r="AI8" s="44">
        <f t="shared" si="3"/>
        <v>0</v>
      </c>
      <c r="AJ8" s="44">
        <f t="shared" si="3"/>
        <v>0</v>
      </c>
      <c r="AK8" s="44">
        <f t="shared" si="3"/>
        <v>0</v>
      </c>
      <c r="AL8" s="44">
        <f t="shared" si="3"/>
        <v>0</v>
      </c>
      <c r="AM8" s="45"/>
      <c r="AN8" s="45"/>
    </row>
    <row r="9" spans="1:40" s="18" customFormat="1" ht="60" customHeight="1">
      <c r="A9" s="13" t="s">
        <v>15</v>
      </c>
      <c r="B9" s="26" t="s">
        <v>660</v>
      </c>
      <c r="C9" s="107"/>
      <c r="D9" s="107"/>
      <c r="E9" s="107"/>
      <c r="F9" s="107"/>
      <c r="G9" s="107"/>
      <c r="H9" s="107"/>
      <c r="I9" s="68">
        <f>SUM(I10)</f>
        <v>11878</v>
      </c>
      <c r="J9" s="68">
        <f t="shared" ref="J9:Q10" si="4">SUM(J10)</f>
        <v>8400</v>
      </c>
      <c r="K9" s="68">
        <f t="shared" si="4"/>
        <v>4500</v>
      </c>
      <c r="L9" s="68">
        <f t="shared" si="4"/>
        <v>3000</v>
      </c>
      <c r="M9" s="68">
        <f t="shared" si="4"/>
        <v>3000</v>
      </c>
      <c r="N9" s="68">
        <f t="shared" si="4"/>
        <v>1500</v>
      </c>
      <c r="O9" s="68">
        <f t="shared" si="4"/>
        <v>0</v>
      </c>
      <c r="P9" s="68">
        <f t="shared" si="4"/>
        <v>0</v>
      </c>
      <c r="Q9" s="68">
        <f t="shared" si="4"/>
        <v>1500</v>
      </c>
      <c r="R9" s="53"/>
      <c r="T9" s="55"/>
      <c r="U9" s="55"/>
      <c r="W9" s="42" t="s">
        <v>471</v>
      </c>
      <c r="X9" s="44">
        <f>SUM(Z9:AL9)</f>
        <v>1</v>
      </c>
      <c r="Y9" s="44"/>
      <c r="Z9" s="44">
        <f t="shared" ref="Z9:AL9" si="5">COUNTIFS($T$8:$T$922,"KCM",$U$8:$U$922,Z5)</f>
        <v>0</v>
      </c>
      <c r="AA9" s="44">
        <f t="shared" si="5"/>
        <v>0</v>
      </c>
      <c r="AB9" s="44">
        <f t="shared" si="5"/>
        <v>0</v>
      </c>
      <c r="AC9" s="44">
        <f t="shared" si="5"/>
        <v>0</v>
      </c>
      <c r="AD9" s="44">
        <f t="shared" si="5"/>
        <v>0</v>
      </c>
      <c r="AE9" s="44">
        <f t="shared" si="5"/>
        <v>1</v>
      </c>
      <c r="AF9" s="44">
        <f t="shared" si="5"/>
        <v>0</v>
      </c>
      <c r="AG9" s="44">
        <f t="shared" si="5"/>
        <v>0</v>
      </c>
      <c r="AH9" s="44">
        <f t="shared" si="5"/>
        <v>0</v>
      </c>
      <c r="AI9" s="44">
        <f t="shared" si="5"/>
        <v>0</v>
      </c>
      <c r="AJ9" s="44">
        <f t="shared" si="5"/>
        <v>0</v>
      </c>
      <c r="AK9" s="44">
        <f t="shared" si="5"/>
        <v>0</v>
      </c>
      <c r="AL9" s="44">
        <f t="shared" si="5"/>
        <v>0</v>
      </c>
      <c r="AM9" s="44"/>
    </row>
    <row r="10" spans="1:40" s="18" customFormat="1" ht="60" customHeight="1">
      <c r="A10" s="13" t="s">
        <v>139</v>
      </c>
      <c r="B10" s="26" t="s">
        <v>70</v>
      </c>
      <c r="C10" s="107"/>
      <c r="D10" s="107"/>
      <c r="E10" s="107"/>
      <c r="F10" s="107"/>
      <c r="G10" s="107"/>
      <c r="H10" s="107"/>
      <c r="I10" s="68">
        <f>SUM(I11)</f>
        <v>11878</v>
      </c>
      <c r="J10" s="68">
        <f t="shared" si="4"/>
        <v>8400</v>
      </c>
      <c r="K10" s="68">
        <f t="shared" si="4"/>
        <v>4500</v>
      </c>
      <c r="L10" s="68">
        <f t="shared" si="4"/>
        <v>3000</v>
      </c>
      <c r="M10" s="68">
        <f t="shared" si="4"/>
        <v>3000</v>
      </c>
      <c r="N10" s="68">
        <f t="shared" si="4"/>
        <v>1500</v>
      </c>
      <c r="O10" s="68">
        <f t="shared" si="4"/>
        <v>0</v>
      </c>
      <c r="P10" s="68">
        <f t="shared" si="4"/>
        <v>0</v>
      </c>
      <c r="Q10" s="68">
        <f t="shared" si="4"/>
        <v>1500</v>
      </c>
      <c r="R10" s="53"/>
      <c r="T10" s="55"/>
      <c r="U10" s="55"/>
      <c r="W10" s="42"/>
      <c r="X10" s="44"/>
      <c r="Y10" s="44"/>
      <c r="Z10" s="44"/>
      <c r="AA10" s="44"/>
      <c r="AB10" s="44"/>
      <c r="AC10" s="44"/>
      <c r="AD10" s="44"/>
      <c r="AE10" s="44"/>
      <c r="AF10" s="44"/>
      <c r="AG10" s="44"/>
      <c r="AH10" s="44"/>
      <c r="AI10" s="44"/>
      <c r="AJ10" s="44"/>
      <c r="AK10" s="44"/>
      <c r="AL10" s="44"/>
      <c r="AM10" s="44"/>
    </row>
    <row r="11" spans="1:40" s="20" customFormat="1" ht="44.25" customHeight="1">
      <c r="A11" s="15" t="s">
        <v>17</v>
      </c>
      <c r="B11" s="16" t="s">
        <v>64</v>
      </c>
      <c r="C11" s="110"/>
      <c r="D11" s="109"/>
      <c r="E11" s="110"/>
      <c r="F11" s="110"/>
      <c r="G11" s="110"/>
      <c r="H11" s="110"/>
      <c r="I11" s="111">
        <f t="shared" ref="I11:N11" si="6">SUM(I12:I13)</f>
        <v>11878</v>
      </c>
      <c r="J11" s="29">
        <f t="shared" si="6"/>
        <v>8400</v>
      </c>
      <c r="K11" s="111">
        <f t="shared" si="6"/>
        <v>4500</v>
      </c>
      <c r="L11" s="111">
        <f t="shared" si="6"/>
        <v>3000</v>
      </c>
      <c r="M11" s="111">
        <f t="shared" si="6"/>
        <v>3000</v>
      </c>
      <c r="N11" s="111">
        <f t="shared" si="6"/>
        <v>1500</v>
      </c>
      <c r="O11" s="111">
        <f>SUM(O12:O13)</f>
        <v>0</v>
      </c>
      <c r="P11" s="111">
        <f>SUM(P12:P13)</f>
        <v>0</v>
      </c>
      <c r="Q11" s="111">
        <f>SUM(Q12:Q13)</f>
        <v>1500</v>
      </c>
      <c r="R11" s="112"/>
      <c r="T11" s="113"/>
      <c r="U11" s="113"/>
    </row>
    <row r="12" spans="1:40" ht="104.25" customHeight="1">
      <c r="A12" s="10">
        <v>1</v>
      </c>
      <c r="B12" s="36" t="s">
        <v>661</v>
      </c>
      <c r="C12" s="114" t="s">
        <v>662</v>
      </c>
      <c r="D12" s="34" t="s">
        <v>19</v>
      </c>
      <c r="E12" s="114" t="s">
        <v>663</v>
      </c>
      <c r="F12" s="114" t="s">
        <v>391</v>
      </c>
      <c r="G12" s="118" t="s">
        <v>709</v>
      </c>
      <c r="H12" s="118" t="s">
        <v>709</v>
      </c>
      <c r="I12" s="80">
        <v>8418</v>
      </c>
      <c r="J12" s="162">
        <v>5900</v>
      </c>
      <c r="K12" s="81">
        <v>2800</v>
      </c>
      <c r="L12" s="32">
        <f>SUM(M12)</f>
        <v>2000</v>
      </c>
      <c r="M12" s="81">
        <v>2000</v>
      </c>
      <c r="N12" s="81">
        <v>800</v>
      </c>
      <c r="O12" s="81"/>
      <c r="P12" s="81"/>
      <c r="Q12" s="81">
        <f>SUM(N12:P12)</f>
        <v>800</v>
      </c>
      <c r="R12" s="119" t="s">
        <v>698</v>
      </c>
      <c r="S12" s="328"/>
      <c r="T12" s="22" t="s">
        <v>472</v>
      </c>
      <c r="U12" s="22" t="s">
        <v>474</v>
      </c>
      <c r="V12" s="6">
        <f>N12</f>
        <v>800</v>
      </c>
    </row>
    <row r="13" spans="1:40" ht="104.25" customHeight="1">
      <c r="A13" s="10">
        <v>2</v>
      </c>
      <c r="B13" s="36" t="s">
        <v>664</v>
      </c>
      <c r="C13" s="23" t="s">
        <v>113</v>
      </c>
      <c r="D13" s="89" t="s">
        <v>19</v>
      </c>
      <c r="E13" s="23" t="s">
        <v>665</v>
      </c>
      <c r="F13" s="23" t="s">
        <v>391</v>
      </c>
      <c r="G13" s="114" t="s">
        <v>710</v>
      </c>
      <c r="H13" s="114" t="s">
        <v>710</v>
      </c>
      <c r="I13" s="37">
        <v>3460</v>
      </c>
      <c r="J13" s="49">
        <v>2500</v>
      </c>
      <c r="K13" s="37">
        <v>1700</v>
      </c>
      <c r="L13" s="32">
        <f>SUM(M13)</f>
        <v>1000</v>
      </c>
      <c r="M13" s="32">
        <v>1000</v>
      </c>
      <c r="N13" s="81">
        <v>700</v>
      </c>
      <c r="O13" s="81"/>
      <c r="P13" s="81"/>
      <c r="Q13" s="81">
        <f>SUM(N13:P13)</f>
        <v>700</v>
      </c>
      <c r="R13" s="119" t="s">
        <v>697</v>
      </c>
      <c r="S13" s="328"/>
      <c r="T13" s="22" t="s">
        <v>472</v>
      </c>
      <c r="U13" s="22" t="s">
        <v>474</v>
      </c>
      <c r="V13" s="6">
        <f>N13</f>
        <v>700</v>
      </c>
    </row>
    <row r="14" spans="1:40" s="18" customFormat="1" ht="60" customHeight="1">
      <c r="A14" s="13" t="s">
        <v>31</v>
      </c>
      <c r="B14" s="26" t="s">
        <v>921</v>
      </c>
      <c r="C14" s="107"/>
      <c r="D14" s="107"/>
      <c r="E14" s="107"/>
      <c r="F14" s="107"/>
      <c r="G14" s="107"/>
      <c r="H14" s="107"/>
      <c r="I14" s="68">
        <f>SUM(I15)</f>
        <v>11500</v>
      </c>
      <c r="J14" s="8">
        <f t="shared" ref="J14:Q16" si="7">SUM(J15)</f>
        <v>2000</v>
      </c>
      <c r="K14" s="68">
        <f t="shared" si="7"/>
        <v>1504</v>
      </c>
      <c r="L14" s="68">
        <f t="shared" si="7"/>
        <v>0</v>
      </c>
      <c r="M14" s="68">
        <f t="shared" si="7"/>
        <v>0</v>
      </c>
      <c r="N14" s="68">
        <f t="shared" si="7"/>
        <v>1504</v>
      </c>
      <c r="O14" s="68">
        <f t="shared" si="7"/>
        <v>0</v>
      </c>
      <c r="P14" s="68">
        <f t="shared" si="7"/>
        <v>0</v>
      </c>
      <c r="Q14" s="68">
        <f t="shared" si="7"/>
        <v>1504</v>
      </c>
      <c r="R14" s="53"/>
      <c r="T14" s="55"/>
      <c r="U14" s="55"/>
    </row>
    <row r="15" spans="1:40" s="18" customFormat="1" ht="60" customHeight="1">
      <c r="A15" s="13" t="s">
        <v>479</v>
      </c>
      <c r="B15" s="26" t="s">
        <v>667</v>
      </c>
      <c r="C15" s="107"/>
      <c r="D15" s="107"/>
      <c r="E15" s="107"/>
      <c r="F15" s="107"/>
      <c r="G15" s="107"/>
      <c r="H15" s="107"/>
      <c r="I15" s="68">
        <f>SUM(I16)</f>
        <v>11500</v>
      </c>
      <c r="J15" s="8">
        <f t="shared" si="7"/>
        <v>2000</v>
      </c>
      <c r="K15" s="68">
        <f t="shared" si="7"/>
        <v>1504</v>
      </c>
      <c r="L15" s="68">
        <f t="shared" si="7"/>
        <v>0</v>
      </c>
      <c r="M15" s="68">
        <f t="shared" si="7"/>
        <v>0</v>
      </c>
      <c r="N15" s="68">
        <f t="shared" si="7"/>
        <v>1504</v>
      </c>
      <c r="O15" s="68">
        <f t="shared" si="7"/>
        <v>0</v>
      </c>
      <c r="P15" s="68">
        <f t="shared" si="7"/>
        <v>0</v>
      </c>
      <c r="Q15" s="68">
        <f t="shared" si="7"/>
        <v>1504</v>
      </c>
      <c r="R15" s="53"/>
      <c r="T15" s="55"/>
      <c r="U15" s="55"/>
    </row>
    <row r="16" spans="1:40" s="20" customFormat="1" ht="44.25" customHeight="1">
      <c r="A16" s="15" t="s">
        <v>17</v>
      </c>
      <c r="B16" s="16" t="s">
        <v>668</v>
      </c>
      <c r="C16" s="110"/>
      <c r="D16" s="109"/>
      <c r="E16" s="110"/>
      <c r="F16" s="110"/>
      <c r="G16" s="110"/>
      <c r="H16" s="110"/>
      <c r="I16" s="111">
        <f>SUM(I17)</f>
        <v>11500</v>
      </c>
      <c r="J16" s="29">
        <f t="shared" si="7"/>
        <v>2000</v>
      </c>
      <c r="K16" s="111">
        <f t="shared" si="7"/>
        <v>1504</v>
      </c>
      <c r="L16" s="111">
        <f t="shared" si="7"/>
        <v>0</v>
      </c>
      <c r="M16" s="111">
        <f t="shared" si="7"/>
        <v>0</v>
      </c>
      <c r="N16" s="111">
        <f t="shared" si="7"/>
        <v>1504</v>
      </c>
      <c r="O16" s="111">
        <f t="shared" si="7"/>
        <v>0</v>
      </c>
      <c r="P16" s="111">
        <f t="shared" si="7"/>
        <v>0</v>
      </c>
      <c r="Q16" s="111">
        <f t="shared" si="7"/>
        <v>1504</v>
      </c>
      <c r="R16" s="112"/>
      <c r="T16" s="113"/>
      <c r="U16" s="113"/>
    </row>
    <row r="17" spans="1:39" ht="122.1" customHeight="1">
      <c r="A17" s="10">
        <v>1</v>
      </c>
      <c r="B17" s="36" t="s">
        <v>669</v>
      </c>
      <c r="C17" s="23" t="s">
        <v>670</v>
      </c>
      <c r="D17" s="89" t="s">
        <v>19</v>
      </c>
      <c r="E17" s="23" t="s">
        <v>671</v>
      </c>
      <c r="F17" s="23" t="s">
        <v>116</v>
      </c>
      <c r="G17" s="329" t="s">
        <v>805</v>
      </c>
      <c r="H17" s="329" t="s">
        <v>805</v>
      </c>
      <c r="I17" s="37">
        <v>11500</v>
      </c>
      <c r="J17" s="49">
        <v>2000</v>
      </c>
      <c r="K17" s="32">
        <v>1504</v>
      </c>
      <c r="L17" s="32">
        <f>SUM(M17)</f>
        <v>0</v>
      </c>
      <c r="M17" s="32"/>
      <c r="N17" s="81">
        <v>1504</v>
      </c>
      <c r="O17" s="81"/>
      <c r="P17" s="81"/>
      <c r="Q17" s="81">
        <f>SUM(N17:P17)</f>
        <v>1504</v>
      </c>
      <c r="R17" s="117"/>
      <c r="T17" s="22" t="s">
        <v>472</v>
      </c>
      <c r="U17" s="22" t="s">
        <v>459</v>
      </c>
      <c r="V17" s="6">
        <f>N17</f>
        <v>1504</v>
      </c>
    </row>
    <row r="18" spans="1:39" s="18" customFormat="1" ht="110.1" customHeight="1">
      <c r="A18" s="13" t="s">
        <v>90</v>
      </c>
      <c r="B18" s="26" t="s">
        <v>1444</v>
      </c>
      <c r="C18" s="107"/>
      <c r="D18" s="107"/>
      <c r="E18" s="107"/>
      <c r="F18" s="107"/>
      <c r="G18" s="107"/>
      <c r="H18" s="68"/>
      <c r="I18" s="8">
        <f t="shared" ref="I18:Q19" si="8">SUM(I19)</f>
        <v>0</v>
      </c>
      <c r="J18" s="68">
        <f t="shared" si="8"/>
        <v>48</v>
      </c>
      <c r="K18" s="68">
        <f t="shared" si="8"/>
        <v>0</v>
      </c>
      <c r="L18" s="68">
        <f t="shared" si="8"/>
        <v>0</v>
      </c>
      <c r="M18" s="68">
        <f t="shared" si="8"/>
        <v>48</v>
      </c>
      <c r="N18" s="68">
        <f t="shared" si="8"/>
        <v>48</v>
      </c>
      <c r="O18" s="68">
        <f t="shared" si="8"/>
        <v>0</v>
      </c>
      <c r="P18" s="379">
        <f t="shared" si="8"/>
        <v>-48</v>
      </c>
      <c r="Q18" s="68">
        <f t="shared" si="8"/>
        <v>0</v>
      </c>
      <c r="R18" s="53"/>
      <c r="T18" s="55"/>
      <c r="U18" s="55"/>
    </row>
    <row r="19" spans="1:39" s="18" customFormat="1" ht="81.75" customHeight="1">
      <c r="A19" s="13" t="s">
        <v>846</v>
      </c>
      <c r="B19" s="26" t="s">
        <v>847</v>
      </c>
      <c r="C19" s="107"/>
      <c r="D19" s="107"/>
      <c r="E19" s="107"/>
      <c r="F19" s="107"/>
      <c r="G19" s="107"/>
      <c r="H19" s="68"/>
      <c r="I19" s="8">
        <f t="shared" si="8"/>
        <v>0</v>
      </c>
      <c r="J19" s="68">
        <f t="shared" si="8"/>
        <v>48</v>
      </c>
      <c r="K19" s="68">
        <f t="shared" si="8"/>
        <v>0</v>
      </c>
      <c r="L19" s="68">
        <f t="shared" si="8"/>
        <v>0</v>
      </c>
      <c r="M19" s="68">
        <f t="shared" si="8"/>
        <v>48</v>
      </c>
      <c r="N19" s="68">
        <f t="shared" si="8"/>
        <v>48</v>
      </c>
      <c r="O19" s="68">
        <f t="shared" si="8"/>
        <v>0</v>
      </c>
      <c r="P19" s="379">
        <f t="shared" si="8"/>
        <v>-48</v>
      </c>
      <c r="Q19" s="68">
        <f t="shared" si="8"/>
        <v>0</v>
      </c>
      <c r="R19" s="53"/>
      <c r="T19" s="55"/>
      <c r="U19" s="55"/>
    </row>
    <row r="20" spans="1:39" ht="81.75" customHeight="1">
      <c r="A20" s="10">
        <v>1</v>
      </c>
      <c r="B20" s="36" t="s">
        <v>848</v>
      </c>
      <c r="C20" s="23"/>
      <c r="D20" s="89"/>
      <c r="E20" s="23"/>
      <c r="F20" s="23"/>
      <c r="G20" s="114"/>
      <c r="H20" s="37"/>
      <c r="I20" s="49"/>
      <c r="J20" s="32">
        <v>48</v>
      </c>
      <c r="K20" s="32">
        <f>SUM(L20)</f>
        <v>0</v>
      </c>
      <c r="L20" s="32"/>
      <c r="M20" s="32">
        <f>J20-K20</f>
        <v>48</v>
      </c>
      <c r="N20" s="81">
        <v>48</v>
      </c>
      <c r="O20" s="81"/>
      <c r="P20" s="383">
        <v>-48</v>
      </c>
      <c r="Q20" s="81">
        <f>SUM(N20:P20)</f>
        <v>0</v>
      </c>
      <c r="R20" s="117" t="s">
        <v>1147</v>
      </c>
      <c r="T20" s="22" t="s">
        <v>473</v>
      </c>
      <c r="U20" s="22" t="s">
        <v>462</v>
      </c>
      <c r="V20" s="6">
        <f>N20</f>
        <v>48</v>
      </c>
    </row>
    <row r="21" spans="1:39" s="18" customFormat="1" ht="60" customHeight="1">
      <c r="A21" s="13" t="s">
        <v>284</v>
      </c>
      <c r="B21" s="26" t="s">
        <v>74</v>
      </c>
      <c r="C21" s="107"/>
      <c r="D21" s="107"/>
      <c r="E21" s="107"/>
      <c r="F21" s="107"/>
      <c r="G21" s="107"/>
      <c r="H21" s="107"/>
      <c r="I21" s="68">
        <f>SUM(I22)</f>
        <v>2130</v>
      </c>
      <c r="J21" s="68">
        <f t="shared" ref="J21:Q22" si="9">SUM(J22)</f>
        <v>2000</v>
      </c>
      <c r="K21" s="68">
        <f t="shared" si="9"/>
        <v>0</v>
      </c>
      <c r="L21" s="68">
        <f t="shared" si="9"/>
        <v>0</v>
      </c>
      <c r="M21" s="68">
        <f t="shared" si="9"/>
        <v>0</v>
      </c>
      <c r="N21" s="68">
        <f t="shared" si="9"/>
        <v>2000</v>
      </c>
      <c r="O21" s="68">
        <f t="shared" si="9"/>
        <v>0</v>
      </c>
      <c r="P21" s="68">
        <f t="shared" si="9"/>
        <v>0</v>
      </c>
      <c r="Q21" s="68">
        <f t="shared" si="9"/>
        <v>2000</v>
      </c>
      <c r="R21" s="53"/>
      <c r="T21" s="55"/>
      <c r="U21" s="55"/>
      <c r="W21" s="42"/>
      <c r="X21" s="44"/>
      <c r="Y21" s="44"/>
      <c r="Z21" s="44"/>
      <c r="AA21" s="44"/>
      <c r="AB21" s="44"/>
      <c r="AC21" s="44"/>
      <c r="AD21" s="44"/>
      <c r="AE21" s="44"/>
      <c r="AF21" s="44"/>
      <c r="AG21" s="44"/>
      <c r="AH21" s="44"/>
      <c r="AI21" s="44"/>
      <c r="AJ21" s="44"/>
      <c r="AK21" s="44"/>
      <c r="AL21" s="44"/>
      <c r="AM21" s="44"/>
    </row>
    <row r="22" spans="1:39" s="20" customFormat="1" ht="44.25" customHeight="1">
      <c r="A22" s="15" t="s">
        <v>17</v>
      </c>
      <c r="B22" s="16" t="s">
        <v>65</v>
      </c>
      <c r="C22" s="110"/>
      <c r="D22" s="109"/>
      <c r="E22" s="110"/>
      <c r="F22" s="110"/>
      <c r="G22" s="110"/>
      <c r="H22" s="110"/>
      <c r="I22" s="111">
        <f>SUM(I23)</f>
        <v>2130</v>
      </c>
      <c r="J22" s="111">
        <f t="shared" si="9"/>
        <v>2000</v>
      </c>
      <c r="K22" s="111">
        <f t="shared" si="9"/>
        <v>0</v>
      </c>
      <c r="L22" s="111">
        <f t="shared" si="9"/>
        <v>0</v>
      </c>
      <c r="M22" s="111">
        <f t="shared" si="9"/>
        <v>0</v>
      </c>
      <c r="N22" s="111">
        <f t="shared" si="9"/>
        <v>2000</v>
      </c>
      <c r="O22" s="111">
        <f t="shared" si="9"/>
        <v>0</v>
      </c>
      <c r="P22" s="111">
        <f t="shared" si="9"/>
        <v>0</v>
      </c>
      <c r="Q22" s="111">
        <f t="shared" si="9"/>
        <v>2000</v>
      </c>
      <c r="R22" s="112"/>
      <c r="T22" s="113"/>
      <c r="U22" s="113"/>
    </row>
    <row r="23" spans="1:39" ht="81.75" customHeight="1">
      <c r="A23" s="10">
        <v>1</v>
      </c>
      <c r="B23" s="115" t="s">
        <v>672</v>
      </c>
      <c r="C23" s="10" t="s">
        <v>128</v>
      </c>
      <c r="D23" s="185" t="s">
        <v>19</v>
      </c>
      <c r="E23" s="10" t="s">
        <v>422</v>
      </c>
      <c r="F23" s="10" t="s">
        <v>391</v>
      </c>
      <c r="G23" s="114"/>
      <c r="H23" s="373" t="s">
        <v>1152</v>
      </c>
      <c r="I23" s="49">
        <v>2130</v>
      </c>
      <c r="J23" s="32">
        <v>2000</v>
      </c>
      <c r="K23" s="32"/>
      <c r="L23" s="32"/>
      <c r="M23" s="32"/>
      <c r="N23" s="81">
        <v>2000</v>
      </c>
      <c r="O23" s="81"/>
      <c r="P23" s="81"/>
      <c r="Q23" s="81">
        <f>SUM(N23:P23)</f>
        <v>2000</v>
      </c>
      <c r="R23" s="117"/>
      <c r="V23" s="6"/>
    </row>
    <row r="24" spans="1:39" s="18" customFormat="1" ht="110.25" customHeight="1">
      <c r="A24" s="13" t="s">
        <v>286</v>
      </c>
      <c r="B24" s="26" t="s">
        <v>975</v>
      </c>
      <c r="C24" s="107"/>
      <c r="D24" s="107"/>
      <c r="E24" s="107"/>
      <c r="F24" s="107"/>
      <c r="G24" s="107"/>
      <c r="H24" s="107"/>
      <c r="I24" s="68"/>
      <c r="J24" s="8"/>
      <c r="K24" s="68" t="e">
        <f>SUM(#REF!)</f>
        <v>#REF!</v>
      </c>
      <c r="L24" s="68" t="e">
        <f>SUM(#REF!)</f>
        <v>#REF!</v>
      </c>
      <c r="M24" s="68" t="e">
        <f>SUM(#REF!)</f>
        <v>#REF!</v>
      </c>
      <c r="N24" s="68"/>
      <c r="O24" s="68"/>
      <c r="P24" s="68"/>
      <c r="Q24" s="68"/>
      <c r="R24" s="1" t="s">
        <v>1479</v>
      </c>
      <c r="T24" s="55"/>
      <c r="U24" s="55"/>
    </row>
    <row r="25" spans="1:39" ht="12.75" customHeight="1"/>
  </sheetData>
  <mergeCells count="21">
    <mergeCell ref="O5:O7"/>
    <mergeCell ref="P5:P7"/>
    <mergeCell ref="Q5:Q7"/>
    <mergeCell ref="N5:N7"/>
    <mergeCell ref="M6:M7"/>
    <mergeCell ref="A1:R1"/>
    <mergeCell ref="A2:R2"/>
    <mergeCell ref="A3:R3"/>
    <mergeCell ref="A5:A7"/>
    <mergeCell ref="B5:B7"/>
    <mergeCell ref="C5:C7"/>
    <mergeCell ref="D5:D7"/>
    <mergeCell ref="E5:E7"/>
    <mergeCell ref="F5:F7"/>
    <mergeCell ref="H5:J5"/>
    <mergeCell ref="K5:K7"/>
    <mergeCell ref="R5:R7"/>
    <mergeCell ref="H6:H7"/>
    <mergeCell ref="I6:J6"/>
    <mergeCell ref="L5:M5"/>
    <mergeCell ref="L6:L7"/>
  </mergeCells>
  <printOptions horizontalCentered="1"/>
  <pageMargins left="0.39370078740157499" right="0.39370078740157499" top="0.39370078740157499" bottom="0.39370078740157499" header="0.196850393700787" footer="0.196850393700787"/>
  <pageSetup paperSize="9" scale="44" fitToHeight="0" orientation="landscape" r:id="rId1"/>
  <headerFooter alignWithMargins="0">
    <oddFooter>&amp;C&amp;"Times New Roman,thường"&amp;11&amp;P/&amp;N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7"/>
  <sheetViews>
    <sheetView view="pageBreakPreview" zoomScale="60" zoomScaleNormal="70" workbookViewId="0">
      <selection activeCell="Q23" sqref="Q23"/>
    </sheetView>
  </sheetViews>
  <sheetFormatPr defaultColWidth="9.109375" defaultRowHeight="16.8"/>
  <cols>
    <col min="1" max="1" width="8.6640625" style="11" customWidth="1"/>
    <col min="2" max="2" width="50.6640625" style="11" customWidth="1"/>
    <col min="3" max="3" width="20.6640625" style="11" customWidth="1"/>
    <col min="4" max="4" width="20.6640625" style="22" customWidth="1"/>
    <col min="5" max="6" width="20.6640625" style="11" customWidth="1"/>
    <col min="7" max="7" width="22.6640625" style="11" hidden="1" customWidth="1"/>
    <col min="8" max="8" width="22.6640625" style="11" customWidth="1"/>
    <col min="9" max="10" width="20.6640625" style="11" customWidth="1"/>
    <col min="11" max="15" width="20.6640625" style="11" hidden="1" customWidth="1"/>
    <col min="16" max="19" width="20.6640625" style="11" customWidth="1"/>
    <col min="20" max="20" width="40.6640625" style="11" customWidth="1"/>
    <col min="21" max="21" width="19.109375" style="11" customWidth="1"/>
    <col min="22" max="22" width="14.88671875" style="22" customWidth="1"/>
    <col min="23" max="23" width="13.44140625" style="22" customWidth="1"/>
    <col min="24" max="24" width="17.88671875" style="11" customWidth="1"/>
    <col min="25" max="25" width="19.33203125" style="11" customWidth="1"/>
    <col min="26" max="26" width="17.33203125" style="11" customWidth="1"/>
    <col min="27" max="27" width="15.33203125" style="11" customWidth="1"/>
    <col min="28" max="29" width="12.6640625" style="11" bestFit="1" customWidth="1"/>
    <col min="30" max="30" width="10.44140625" style="11" bestFit="1" customWidth="1"/>
    <col min="31" max="31" width="9.109375" style="11"/>
    <col min="32" max="32" width="11.33203125" style="11" bestFit="1" customWidth="1"/>
    <col min="33" max="33" width="9.109375" style="11"/>
    <col min="34" max="34" width="12.6640625" style="11" bestFit="1" customWidth="1"/>
    <col min="35" max="35" width="9.109375" style="11"/>
    <col min="36" max="36" width="12.44140625" style="11" customWidth="1"/>
    <col min="37" max="37" width="15.33203125" style="11" customWidth="1"/>
    <col min="38" max="38" width="15" style="11" customWidth="1"/>
    <col min="39" max="39" width="9.109375" style="11"/>
    <col min="40" max="40" width="11.33203125" style="11" bestFit="1" customWidth="1"/>
    <col min="41" max="41" width="14.88671875" style="11" customWidth="1"/>
    <col min="42" max="16384" width="9.109375" style="11"/>
  </cols>
  <sheetData>
    <row r="1" spans="1:42" ht="39.9" customHeight="1">
      <c r="A1" s="554" t="s">
        <v>839</v>
      </c>
      <c r="B1" s="554"/>
      <c r="C1" s="554"/>
      <c r="D1" s="554"/>
      <c r="E1" s="554"/>
      <c r="F1" s="554"/>
      <c r="G1" s="554"/>
      <c r="H1" s="554"/>
      <c r="I1" s="554"/>
      <c r="J1" s="554"/>
      <c r="K1" s="554"/>
      <c r="L1" s="554"/>
      <c r="M1" s="554"/>
      <c r="N1" s="554"/>
      <c r="O1" s="554"/>
      <c r="P1" s="554"/>
      <c r="Q1" s="554"/>
      <c r="R1" s="554"/>
      <c r="S1" s="554"/>
      <c r="T1" s="554"/>
      <c r="U1" s="22"/>
      <c r="V1" s="11"/>
      <c r="W1" s="11"/>
    </row>
    <row r="2" spans="1:42" ht="69.900000000000006" customHeight="1">
      <c r="A2" s="555" t="s">
        <v>1466</v>
      </c>
      <c r="B2" s="555"/>
      <c r="C2" s="555"/>
      <c r="D2" s="555"/>
      <c r="E2" s="555"/>
      <c r="F2" s="555"/>
      <c r="G2" s="555"/>
      <c r="H2" s="555"/>
      <c r="I2" s="555"/>
      <c r="J2" s="555"/>
      <c r="K2" s="555"/>
      <c r="L2" s="555"/>
      <c r="M2" s="555"/>
      <c r="N2" s="555"/>
      <c r="O2" s="555"/>
      <c r="P2" s="555"/>
      <c r="Q2" s="555"/>
      <c r="R2" s="555"/>
      <c r="S2" s="555"/>
      <c r="T2" s="555"/>
      <c r="U2" s="22"/>
      <c r="V2" s="11"/>
      <c r="W2" s="11"/>
    </row>
    <row r="3" spans="1:42" ht="39.9" customHeight="1">
      <c r="A3" s="556" t="str">
        <f>'12. KDCĐNS2022'!A3:O3</f>
        <v>(Ban hành kèm theo Quyết định số: 2571/QĐ-UBND ngày 12/12/2024 của Ủy ban nhân dân tỉnh)</v>
      </c>
      <c r="B3" s="556"/>
      <c r="C3" s="556"/>
      <c r="D3" s="556"/>
      <c r="E3" s="556"/>
      <c r="F3" s="556"/>
      <c r="G3" s="556"/>
      <c r="H3" s="556"/>
      <c r="I3" s="556"/>
      <c r="J3" s="556"/>
      <c r="K3" s="556"/>
      <c r="L3" s="556"/>
      <c r="M3" s="556"/>
      <c r="N3" s="556"/>
      <c r="O3" s="556"/>
      <c r="P3" s="556"/>
      <c r="Q3" s="556"/>
      <c r="R3" s="556"/>
      <c r="S3" s="556"/>
      <c r="T3" s="556"/>
      <c r="U3" s="22"/>
      <c r="V3" s="11"/>
      <c r="W3" s="11"/>
    </row>
    <row r="4" spans="1:42" ht="33.75" customHeight="1">
      <c r="L4" s="12"/>
      <c r="M4" s="12"/>
      <c r="N4" s="12"/>
      <c r="O4" s="12"/>
      <c r="P4" s="12"/>
      <c r="Q4" s="12"/>
      <c r="R4" s="12"/>
      <c r="S4" s="12"/>
      <c r="T4" s="12" t="s">
        <v>0</v>
      </c>
    </row>
    <row r="5" spans="1:42" ht="50.1" customHeight="1">
      <c r="A5" s="559" t="s">
        <v>1</v>
      </c>
      <c r="B5" s="561" t="s">
        <v>513</v>
      </c>
      <c r="C5" s="559" t="s">
        <v>2</v>
      </c>
      <c r="D5" s="559" t="s">
        <v>3</v>
      </c>
      <c r="E5" s="562" t="s">
        <v>4</v>
      </c>
      <c r="F5" s="562" t="s">
        <v>5</v>
      </c>
      <c r="G5" s="13"/>
      <c r="H5" s="585" t="s">
        <v>148</v>
      </c>
      <c r="I5" s="585"/>
      <c r="J5" s="585"/>
      <c r="K5" s="600" t="s">
        <v>696</v>
      </c>
      <c r="L5" s="613" t="s">
        <v>512</v>
      </c>
      <c r="M5" s="614"/>
      <c r="N5" s="612" t="s">
        <v>808</v>
      </c>
      <c r="O5" s="612"/>
      <c r="P5" s="600" t="s">
        <v>690</v>
      </c>
      <c r="Q5" s="557" t="s">
        <v>1072</v>
      </c>
      <c r="R5" s="557" t="s">
        <v>1073</v>
      </c>
      <c r="S5" s="557" t="s">
        <v>1215</v>
      </c>
      <c r="T5" s="559" t="s">
        <v>6</v>
      </c>
      <c r="U5" s="14"/>
      <c r="V5" s="56" t="s">
        <v>452</v>
      </c>
      <c r="W5" s="56" t="s">
        <v>453</v>
      </c>
      <c r="X5" s="57" t="s">
        <v>454</v>
      </c>
      <c r="Y5" s="57"/>
      <c r="Z5" s="57" t="s">
        <v>455</v>
      </c>
      <c r="AA5" s="56" t="s">
        <v>456</v>
      </c>
      <c r="AB5" s="56" t="s">
        <v>474</v>
      </c>
      <c r="AC5" s="56" t="s">
        <v>629</v>
      </c>
      <c r="AD5" s="56" t="s">
        <v>459</v>
      </c>
      <c r="AE5" s="56" t="s">
        <v>460</v>
      </c>
      <c r="AF5" s="56" t="s">
        <v>461</v>
      </c>
      <c r="AG5" s="56" t="s">
        <v>462</v>
      </c>
      <c r="AH5" s="56" t="s">
        <v>463</v>
      </c>
      <c r="AI5" s="56" t="s">
        <v>464</v>
      </c>
      <c r="AJ5" s="56" t="s">
        <v>465</v>
      </c>
      <c r="AK5" s="56" t="s">
        <v>466</v>
      </c>
      <c r="AL5" s="56" t="s">
        <v>467</v>
      </c>
      <c r="AM5" s="56" t="s">
        <v>468</v>
      </c>
      <c r="AN5" s="56" t="s">
        <v>469</v>
      </c>
      <c r="AO5" s="57"/>
      <c r="AP5" s="57"/>
    </row>
    <row r="6" spans="1:42" ht="50.1" customHeight="1">
      <c r="A6" s="560"/>
      <c r="B6" s="561"/>
      <c r="C6" s="560"/>
      <c r="D6" s="560"/>
      <c r="E6" s="562"/>
      <c r="F6" s="562"/>
      <c r="G6" s="13"/>
      <c r="H6" s="585" t="s">
        <v>7</v>
      </c>
      <c r="I6" s="585" t="s">
        <v>8</v>
      </c>
      <c r="J6" s="585"/>
      <c r="K6" s="601"/>
      <c r="L6" s="612" t="s">
        <v>10</v>
      </c>
      <c r="M6" s="612"/>
      <c r="N6" s="612" t="s">
        <v>9</v>
      </c>
      <c r="O6" s="612" t="s">
        <v>753</v>
      </c>
      <c r="P6" s="601"/>
      <c r="Q6" s="569"/>
      <c r="R6" s="569"/>
      <c r="S6" s="569"/>
      <c r="T6" s="560"/>
      <c r="U6" s="14"/>
      <c r="V6" s="56"/>
      <c r="W6" s="56"/>
      <c r="X6" s="57"/>
      <c r="Y6" s="58" t="s">
        <v>470</v>
      </c>
      <c r="Z6" s="57">
        <f>COUNTIF(V8:V925,"CT")</f>
        <v>0</v>
      </c>
      <c r="AA6" s="82">
        <f>SUMIF(V8:V925,"CT",X8:X925)</f>
        <v>0</v>
      </c>
      <c r="AB6" s="82">
        <f t="shared" ref="AB6:AN6" si="0">SUMIFS($X$8:$X$1027,$V$8:$V$1027,"CT",$W$8:$W$1027,AB5)</f>
        <v>0</v>
      </c>
      <c r="AC6" s="82">
        <f t="shared" si="0"/>
        <v>0</v>
      </c>
      <c r="AD6" s="82">
        <f t="shared" si="0"/>
        <v>0</v>
      </c>
      <c r="AE6" s="82">
        <f t="shared" si="0"/>
        <v>0</v>
      </c>
      <c r="AF6" s="82">
        <f t="shared" si="0"/>
        <v>0</v>
      </c>
      <c r="AG6" s="82">
        <f t="shared" si="0"/>
        <v>0</v>
      </c>
      <c r="AH6" s="82">
        <f t="shared" si="0"/>
        <v>0</v>
      </c>
      <c r="AI6" s="82">
        <f t="shared" si="0"/>
        <v>0</v>
      </c>
      <c r="AJ6" s="82">
        <f t="shared" si="0"/>
        <v>0</v>
      </c>
      <c r="AK6" s="82">
        <f t="shared" si="0"/>
        <v>0</v>
      </c>
      <c r="AL6" s="82">
        <f t="shared" si="0"/>
        <v>0</v>
      </c>
      <c r="AM6" s="82">
        <f t="shared" si="0"/>
        <v>0</v>
      </c>
      <c r="AN6" s="82">
        <f t="shared" si="0"/>
        <v>0</v>
      </c>
      <c r="AO6" s="58">
        <f>SUM(AB6:AN6)</f>
        <v>0</v>
      </c>
      <c r="AP6" s="57"/>
    </row>
    <row r="7" spans="1:42" ht="75" customHeight="1">
      <c r="A7" s="560"/>
      <c r="B7" s="561"/>
      <c r="C7" s="560"/>
      <c r="D7" s="563"/>
      <c r="E7" s="562"/>
      <c r="F7" s="562"/>
      <c r="G7" s="13"/>
      <c r="H7" s="585"/>
      <c r="I7" s="144" t="s">
        <v>66</v>
      </c>
      <c r="J7" s="144" t="s">
        <v>67</v>
      </c>
      <c r="K7" s="602"/>
      <c r="L7" s="251" t="s">
        <v>648</v>
      </c>
      <c r="M7" s="251" t="s">
        <v>686</v>
      </c>
      <c r="N7" s="612"/>
      <c r="O7" s="612"/>
      <c r="P7" s="602"/>
      <c r="Q7" s="558"/>
      <c r="R7" s="558"/>
      <c r="S7" s="558"/>
      <c r="T7" s="560"/>
      <c r="U7" s="6"/>
      <c r="V7" s="56"/>
      <c r="W7" s="56"/>
      <c r="X7" s="57"/>
      <c r="Y7" s="57" t="s">
        <v>471</v>
      </c>
      <c r="Z7" s="57">
        <f>COUNTIF(V8:V924,"KCM")</f>
        <v>3</v>
      </c>
      <c r="AA7" s="82">
        <f>SUMIF(V8:V924,"KCM",X8:X924)</f>
        <v>11700</v>
      </c>
      <c r="AB7" s="82">
        <f t="shared" ref="AB7:AN7" si="1">SUMIFS($X$8:$X$1027,$V$8:$V$1027,"KCM",$W$8:$W$1027,AB5)</f>
        <v>0</v>
      </c>
      <c r="AC7" s="82">
        <f t="shared" si="1"/>
        <v>1000</v>
      </c>
      <c r="AD7" s="82">
        <f t="shared" si="1"/>
        <v>10700</v>
      </c>
      <c r="AE7" s="82">
        <f t="shared" si="1"/>
        <v>0</v>
      </c>
      <c r="AF7" s="82">
        <f t="shared" si="1"/>
        <v>0</v>
      </c>
      <c r="AG7" s="82">
        <f t="shared" si="1"/>
        <v>0</v>
      </c>
      <c r="AH7" s="82">
        <f t="shared" si="1"/>
        <v>0</v>
      </c>
      <c r="AI7" s="82">
        <f t="shared" si="1"/>
        <v>0</v>
      </c>
      <c r="AJ7" s="82">
        <f t="shared" si="1"/>
        <v>0</v>
      </c>
      <c r="AK7" s="82">
        <f t="shared" si="1"/>
        <v>0</v>
      </c>
      <c r="AL7" s="82">
        <f t="shared" si="1"/>
        <v>0</v>
      </c>
      <c r="AM7" s="82">
        <f t="shared" si="1"/>
        <v>0</v>
      </c>
      <c r="AN7" s="82">
        <f t="shared" si="1"/>
        <v>0</v>
      </c>
      <c r="AO7" s="58">
        <f>SUM(AB7:AN7)</f>
        <v>11700</v>
      </c>
      <c r="AP7" s="57"/>
    </row>
    <row r="8" spans="1:42" s="2" customFormat="1" ht="69.900000000000006" customHeight="1">
      <c r="A8" s="21"/>
      <c r="B8" s="24" t="s">
        <v>280</v>
      </c>
      <c r="C8" s="21"/>
      <c r="D8" s="21"/>
      <c r="E8" s="21"/>
      <c r="F8" s="21"/>
      <c r="G8" s="21"/>
      <c r="H8" s="21"/>
      <c r="I8" s="7">
        <f t="shared" ref="I8:S8" si="2">SUM(I9,I17,I26)</f>
        <v>921472</v>
      </c>
      <c r="J8" s="7">
        <f t="shared" si="2"/>
        <v>330403</v>
      </c>
      <c r="K8" s="7">
        <f t="shared" si="2"/>
        <v>59700</v>
      </c>
      <c r="L8" s="7">
        <f t="shared" si="2"/>
        <v>59700</v>
      </c>
      <c r="M8" s="7">
        <f t="shared" si="2"/>
        <v>0</v>
      </c>
      <c r="N8" s="7">
        <f t="shared" si="2"/>
        <v>9000</v>
      </c>
      <c r="O8" s="7">
        <f t="shared" si="2"/>
        <v>9000</v>
      </c>
      <c r="P8" s="7">
        <f t="shared" si="2"/>
        <v>144700</v>
      </c>
      <c r="Q8" s="7">
        <f t="shared" si="2"/>
        <v>0</v>
      </c>
      <c r="R8" s="369">
        <f t="shared" si="2"/>
        <v>-1000</v>
      </c>
      <c r="S8" s="7">
        <f t="shared" si="2"/>
        <v>143700</v>
      </c>
      <c r="T8" s="83"/>
      <c r="U8" s="38">
        <f>256158-L8</f>
        <v>196458</v>
      </c>
      <c r="V8" s="330"/>
      <c r="W8" s="330"/>
      <c r="X8" s="331"/>
      <c r="Y8" s="230" t="s">
        <v>470</v>
      </c>
      <c r="Z8" s="44">
        <f>SUM(AB8:AN8)</f>
        <v>0</v>
      </c>
      <c r="AA8" s="44"/>
      <c r="AB8" s="44">
        <f t="shared" ref="AB8:AN8" si="3">COUNTIFS($V$8:$V$925,"CT",$W$8:$W$925,AB5)</f>
        <v>0</v>
      </c>
      <c r="AC8" s="44">
        <f t="shared" si="3"/>
        <v>0</v>
      </c>
      <c r="AD8" s="44">
        <f t="shared" si="3"/>
        <v>0</v>
      </c>
      <c r="AE8" s="44">
        <f t="shared" si="3"/>
        <v>0</v>
      </c>
      <c r="AF8" s="44">
        <f t="shared" si="3"/>
        <v>0</v>
      </c>
      <c r="AG8" s="44">
        <f t="shared" si="3"/>
        <v>0</v>
      </c>
      <c r="AH8" s="44">
        <f t="shared" si="3"/>
        <v>0</v>
      </c>
      <c r="AI8" s="44">
        <f t="shared" si="3"/>
        <v>0</v>
      </c>
      <c r="AJ8" s="44">
        <f t="shared" si="3"/>
        <v>0</v>
      </c>
      <c r="AK8" s="44">
        <f t="shared" si="3"/>
        <v>0</v>
      </c>
      <c r="AL8" s="44">
        <f t="shared" si="3"/>
        <v>0</v>
      </c>
      <c r="AM8" s="44">
        <f t="shared" si="3"/>
        <v>0</v>
      </c>
      <c r="AN8" s="44">
        <f t="shared" si="3"/>
        <v>0</v>
      </c>
      <c r="AO8" s="45"/>
      <c r="AP8" s="331"/>
    </row>
    <row r="9" spans="1:42" s="18" customFormat="1" ht="60" customHeight="1">
      <c r="A9" s="13" t="s">
        <v>15</v>
      </c>
      <c r="B9" s="26" t="s">
        <v>660</v>
      </c>
      <c r="C9" s="13"/>
      <c r="D9" s="13"/>
      <c r="E9" s="13"/>
      <c r="F9" s="13"/>
      <c r="G9" s="13"/>
      <c r="H9" s="13"/>
      <c r="I9" s="8">
        <f>SUM(I10,I14)</f>
        <v>111569</v>
      </c>
      <c r="J9" s="8">
        <f t="shared" ref="J9:S9" si="4">SUM(J10,J14)</f>
        <v>45500</v>
      </c>
      <c r="K9" s="8">
        <f t="shared" si="4"/>
        <v>19700</v>
      </c>
      <c r="L9" s="8">
        <f t="shared" si="4"/>
        <v>19700</v>
      </c>
      <c r="M9" s="8">
        <f t="shared" si="4"/>
        <v>0</v>
      </c>
      <c r="N9" s="8">
        <f t="shared" si="4"/>
        <v>9000</v>
      </c>
      <c r="O9" s="8">
        <f t="shared" si="4"/>
        <v>9000</v>
      </c>
      <c r="P9" s="8">
        <f t="shared" si="4"/>
        <v>19200</v>
      </c>
      <c r="Q9" s="8">
        <f t="shared" si="4"/>
        <v>0</v>
      </c>
      <c r="R9" s="8">
        <f t="shared" si="4"/>
        <v>0</v>
      </c>
      <c r="S9" s="8">
        <f t="shared" si="4"/>
        <v>19200</v>
      </c>
      <c r="T9" s="27"/>
      <c r="V9" s="332"/>
      <c r="W9" s="55"/>
      <c r="Y9" s="42" t="s">
        <v>471</v>
      </c>
      <c r="Z9" s="44">
        <f>SUM(AB9:AN9)</f>
        <v>3</v>
      </c>
      <c r="AA9" s="44"/>
      <c r="AB9" s="44">
        <f t="shared" ref="AB9:AN9" si="5">COUNTIFS($V$8:$V$925,"KCM",$W$8:$W$925,AB5)</f>
        <v>0</v>
      </c>
      <c r="AC9" s="44">
        <f t="shared" si="5"/>
        <v>1</v>
      </c>
      <c r="AD9" s="44">
        <f t="shared" si="5"/>
        <v>2</v>
      </c>
      <c r="AE9" s="44">
        <f t="shared" si="5"/>
        <v>0</v>
      </c>
      <c r="AF9" s="44">
        <f t="shared" si="5"/>
        <v>0</v>
      </c>
      <c r="AG9" s="44">
        <f t="shared" si="5"/>
        <v>0</v>
      </c>
      <c r="AH9" s="44">
        <f t="shared" si="5"/>
        <v>0</v>
      </c>
      <c r="AI9" s="44">
        <f t="shared" si="5"/>
        <v>0</v>
      </c>
      <c r="AJ9" s="44">
        <f t="shared" si="5"/>
        <v>0</v>
      </c>
      <c r="AK9" s="44">
        <f t="shared" si="5"/>
        <v>0</v>
      </c>
      <c r="AL9" s="44">
        <f t="shared" si="5"/>
        <v>0</v>
      </c>
      <c r="AM9" s="44">
        <f t="shared" si="5"/>
        <v>0</v>
      </c>
      <c r="AN9" s="44">
        <f t="shared" si="5"/>
        <v>0</v>
      </c>
      <c r="AO9" s="44"/>
    </row>
    <row r="10" spans="1:42" s="18" customFormat="1" ht="60" customHeight="1">
      <c r="A10" s="13" t="s">
        <v>139</v>
      </c>
      <c r="B10" s="26" t="s">
        <v>70</v>
      </c>
      <c r="C10" s="13"/>
      <c r="D10" s="13"/>
      <c r="E10" s="13"/>
      <c r="F10" s="13"/>
      <c r="G10" s="13"/>
      <c r="H10" s="13"/>
      <c r="I10" s="8">
        <f>SUM(I11)</f>
        <v>56799</v>
      </c>
      <c r="J10" s="8">
        <f t="shared" ref="J10:S10" si="6">SUM(J11)</f>
        <v>37000</v>
      </c>
      <c r="K10" s="8">
        <f t="shared" si="6"/>
        <v>19700</v>
      </c>
      <c r="L10" s="8">
        <f t="shared" si="6"/>
        <v>19700</v>
      </c>
      <c r="M10" s="8">
        <f t="shared" si="6"/>
        <v>0</v>
      </c>
      <c r="N10" s="8">
        <f t="shared" si="6"/>
        <v>9000</v>
      </c>
      <c r="O10" s="8">
        <f t="shared" si="6"/>
        <v>9000</v>
      </c>
      <c r="P10" s="8">
        <f t="shared" si="6"/>
        <v>10700</v>
      </c>
      <c r="Q10" s="8">
        <f t="shared" si="6"/>
        <v>0</v>
      </c>
      <c r="R10" s="8">
        <f t="shared" si="6"/>
        <v>0</v>
      </c>
      <c r="S10" s="8">
        <f t="shared" si="6"/>
        <v>10700</v>
      </c>
      <c r="T10" s="27"/>
      <c r="V10" s="55"/>
      <c r="W10" s="55"/>
    </row>
    <row r="11" spans="1:42" s="20" customFormat="1" ht="44.25" customHeight="1">
      <c r="A11" s="15" t="s">
        <v>17</v>
      </c>
      <c r="B11" s="16" t="s">
        <v>666</v>
      </c>
      <c r="C11" s="16"/>
      <c r="D11" s="15"/>
      <c r="E11" s="16"/>
      <c r="F11" s="16"/>
      <c r="G11" s="16"/>
      <c r="H11" s="16"/>
      <c r="I11" s="29">
        <f>SUM(I12:I13)</f>
        <v>56799</v>
      </c>
      <c r="J11" s="29">
        <f t="shared" ref="J11:R11" si="7">SUM(J12:J13)</f>
        <v>37000</v>
      </c>
      <c r="K11" s="29">
        <f t="shared" si="7"/>
        <v>19700</v>
      </c>
      <c r="L11" s="29">
        <f t="shared" si="7"/>
        <v>19700</v>
      </c>
      <c r="M11" s="29">
        <f t="shared" si="7"/>
        <v>0</v>
      </c>
      <c r="N11" s="29">
        <f t="shared" si="7"/>
        <v>9000</v>
      </c>
      <c r="O11" s="29">
        <f t="shared" si="7"/>
        <v>9000</v>
      </c>
      <c r="P11" s="29">
        <f t="shared" si="7"/>
        <v>10700</v>
      </c>
      <c r="Q11" s="29">
        <f t="shared" si="7"/>
        <v>0</v>
      </c>
      <c r="R11" s="29">
        <f t="shared" si="7"/>
        <v>0</v>
      </c>
      <c r="S11" s="29">
        <f>SUM(S12:S13)</f>
        <v>10700</v>
      </c>
      <c r="T11" s="19"/>
      <c r="V11" s="113"/>
      <c r="W11" s="113"/>
    </row>
    <row r="12" spans="1:42" ht="67.5" customHeight="1">
      <c r="A12" s="10">
        <v>1</v>
      </c>
      <c r="B12" s="4" t="s">
        <v>676</v>
      </c>
      <c r="C12" s="28" t="s">
        <v>266</v>
      </c>
      <c r="D12" s="150" t="s">
        <v>19</v>
      </c>
      <c r="E12" s="28" t="s">
        <v>193</v>
      </c>
      <c r="F12" s="28" t="s">
        <v>36</v>
      </c>
      <c r="G12" s="10" t="s">
        <v>730</v>
      </c>
      <c r="H12" s="10" t="s">
        <v>1050</v>
      </c>
      <c r="I12" s="49">
        <v>24716</v>
      </c>
      <c r="J12" s="49">
        <v>19800</v>
      </c>
      <c r="K12" s="49">
        <f>SUM(L12:M12)</f>
        <v>11000</v>
      </c>
      <c r="L12" s="48">
        <v>11000</v>
      </c>
      <c r="M12" s="48"/>
      <c r="N12" s="49">
        <f>SUM(O12)</f>
        <v>5000</v>
      </c>
      <c r="O12" s="49">
        <v>5000</v>
      </c>
      <c r="P12" s="48">
        <v>6000</v>
      </c>
      <c r="Q12" s="48"/>
      <c r="R12" s="48"/>
      <c r="S12" s="84">
        <f>SUM(P12:R12)</f>
        <v>6000</v>
      </c>
      <c r="T12" s="92"/>
      <c r="U12" s="328"/>
      <c r="V12" s="22" t="s">
        <v>473</v>
      </c>
      <c r="W12" s="22" t="s">
        <v>459</v>
      </c>
      <c r="X12" s="6">
        <f>P12</f>
        <v>6000</v>
      </c>
    </row>
    <row r="13" spans="1:42" ht="67.5" customHeight="1">
      <c r="A13" s="10">
        <v>2</v>
      </c>
      <c r="B13" s="4" t="s">
        <v>677</v>
      </c>
      <c r="C13" s="28" t="s">
        <v>260</v>
      </c>
      <c r="D13" s="150" t="s">
        <v>19</v>
      </c>
      <c r="E13" s="28" t="s">
        <v>678</v>
      </c>
      <c r="F13" s="28" t="s">
        <v>36</v>
      </c>
      <c r="G13" s="10" t="s">
        <v>679</v>
      </c>
      <c r="H13" s="10" t="s">
        <v>1051</v>
      </c>
      <c r="I13" s="49">
        <v>32083</v>
      </c>
      <c r="J13" s="49">
        <v>17200</v>
      </c>
      <c r="K13" s="49">
        <f>SUM(L13:M13)</f>
        <v>8700</v>
      </c>
      <c r="L13" s="48">
        <v>8700</v>
      </c>
      <c r="M13" s="48"/>
      <c r="N13" s="49">
        <f>SUM(O13)</f>
        <v>4000</v>
      </c>
      <c r="O13" s="49">
        <v>4000</v>
      </c>
      <c r="P13" s="48">
        <v>4700</v>
      </c>
      <c r="Q13" s="48"/>
      <c r="R13" s="48"/>
      <c r="S13" s="84">
        <f>SUM(P13:R13)</f>
        <v>4700</v>
      </c>
      <c r="T13" s="92"/>
      <c r="U13" s="328"/>
      <c r="V13" s="22" t="s">
        <v>473</v>
      </c>
      <c r="W13" s="22" t="s">
        <v>459</v>
      </c>
      <c r="X13" s="6">
        <f>P13</f>
        <v>4700</v>
      </c>
    </row>
    <row r="14" spans="1:42" s="18" customFormat="1" ht="60" customHeight="1">
      <c r="A14" s="13" t="s">
        <v>887</v>
      </c>
      <c r="B14" s="26" t="s">
        <v>74</v>
      </c>
      <c r="C14" s="13"/>
      <c r="D14" s="13"/>
      <c r="E14" s="13"/>
      <c r="F14" s="13"/>
      <c r="G14" s="13"/>
      <c r="H14" s="13"/>
      <c r="I14" s="8">
        <f>SUM(I15)</f>
        <v>54770</v>
      </c>
      <c r="J14" s="8">
        <f t="shared" ref="J14:S15" si="8">SUM(J15)</f>
        <v>8500</v>
      </c>
      <c r="K14" s="8">
        <f t="shared" si="8"/>
        <v>0</v>
      </c>
      <c r="L14" s="8">
        <f t="shared" si="8"/>
        <v>0</v>
      </c>
      <c r="M14" s="8">
        <f t="shared" si="8"/>
        <v>0</v>
      </c>
      <c r="N14" s="8">
        <f t="shared" si="8"/>
        <v>0</v>
      </c>
      <c r="O14" s="8">
        <f t="shared" si="8"/>
        <v>0</v>
      </c>
      <c r="P14" s="8">
        <f t="shared" si="8"/>
        <v>8500</v>
      </c>
      <c r="Q14" s="8">
        <f t="shared" si="8"/>
        <v>0</v>
      </c>
      <c r="R14" s="8">
        <f t="shared" si="8"/>
        <v>0</v>
      </c>
      <c r="S14" s="8">
        <f t="shared" si="8"/>
        <v>8500</v>
      </c>
      <c r="T14" s="27"/>
      <c r="V14" s="55"/>
      <c r="W14" s="55"/>
    </row>
    <row r="15" spans="1:42" s="20" customFormat="1" ht="44.25" customHeight="1">
      <c r="A15" s="15" t="s">
        <v>17</v>
      </c>
      <c r="B15" s="16" t="s">
        <v>666</v>
      </c>
      <c r="C15" s="16"/>
      <c r="D15" s="15"/>
      <c r="E15" s="16"/>
      <c r="F15" s="16"/>
      <c r="G15" s="16"/>
      <c r="H15" s="16"/>
      <c r="I15" s="29">
        <f>SUM(I16)</f>
        <v>54770</v>
      </c>
      <c r="J15" s="29">
        <f t="shared" si="8"/>
        <v>8500</v>
      </c>
      <c r="K15" s="29">
        <f t="shared" si="8"/>
        <v>0</v>
      </c>
      <c r="L15" s="29">
        <f t="shared" si="8"/>
        <v>0</v>
      </c>
      <c r="M15" s="29">
        <f t="shared" si="8"/>
        <v>0</v>
      </c>
      <c r="N15" s="29">
        <f t="shared" si="8"/>
        <v>0</v>
      </c>
      <c r="O15" s="29">
        <f t="shared" si="8"/>
        <v>0</v>
      </c>
      <c r="P15" s="29">
        <f t="shared" si="8"/>
        <v>8500</v>
      </c>
      <c r="Q15" s="29">
        <f t="shared" si="8"/>
        <v>0</v>
      </c>
      <c r="R15" s="29">
        <f t="shared" si="8"/>
        <v>0</v>
      </c>
      <c r="S15" s="29">
        <f t="shared" si="8"/>
        <v>8500</v>
      </c>
      <c r="T15" s="19"/>
      <c r="V15" s="113"/>
      <c r="W15" s="113"/>
    </row>
    <row r="16" spans="1:42" ht="67.5" customHeight="1">
      <c r="A16" s="10">
        <v>1</v>
      </c>
      <c r="B16" s="115" t="s">
        <v>673</v>
      </c>
      <c r="C16" s="10" t="s">
        <v>674</v>
      </c>
      <c r="D16" s="185" t="s">
        <v>19</v>
      </c>
      <c r="E16" s="10" t="s">
        <v>675</v>
      </c>
      <c r="F16" s="10" t="s">
        <v>36</v>
      </c>
      <c r="G16" s="10"/>
      <c r="H16" s="10" t="s">
        <v>1162</v>
      </c>
      <c r="I16" s="49">
        <v>54770</v>
      </c>
      <c r="J16" s="49">
        <v>8500</v>
      </c>
      <c r="K16" s="49"/>
      <c r="L16" s="48"/>
      <c r="M16" s="48"/>
      <c r="N16" s="49"/>
      <c r="O16" s="49"/>
      <c r="P16" s="48">
        <v>8500</v>
      </c>
      <c r="Q16" s="48"/>
      <c r="R16" s="48"/>
      <c r="S16" s="84">
        <f>SUM(P16:R16)</f>
        <v>8500</v>
      </c>
      <c r="T16" s="92"/>
      <c r="U16" s="328"/>
      <c r="X16" s="6"/>
    </row>
    <row r="17" spans="1:24" s="18" customFormat="1" ht="60" customHeight="1">
      <c r="A17" s="13" t="s">
        <v>31</v>
      </c>
      <c r="B17" s="26" t="s">
        <v>659</v>
      </c>
      <c r="C17" s="13"/>
      <c r="D17" s="13"/>
      <c r="E17" s="13"/>
      <c r="F17" s="13"/>
      <c r="G17" s="13"/>
      <c r="H17" s="13"/>
      <c r="I17" s="8">
        <f>SUM(I18,I21)</f>
        <v>809903</v>
      </c>
      <c r="J17" s="8">
        <f t="shared" ref="J17:S17" si="9">SUM(J18,J21)</f>
        <v>284903</v>
      </c>
      <c r="K17" s="8">
        <f t="shared" si="9"/>
        <v>40000</v>
      </c>
      <c r="L17" s="8">
        <f t="shared" si="9"/>
        <v>40000</v>
      </c>
      <c r="M17" s="8">
        <f t="shared" si="9"/>
        <v>0</v>
      </c>
      <c r="N17" s="8">
        <f t="shared" si="9"/>
        <v>0</v>
      </c>
      <c r="O17" s="8">
        <f t="shared" si="9"/>
        <v>0</v>
      </c>
      <c r="P17" s="8">
        <f t="shared" si="9"/>
        <v>125500</v>
      </c>
      <c r="Q17" s="8">
        <f t="shared" si="9"/>
        <v>0</v>
      </c>
      <c r="R17" s="366">
        <f t="shared" si="9"/>
        <v>-1000</v>
      </c>
      <c r="S17" s="8">
        <f t="shared" si="9"/>
        <v>124500</v>
      </c>
      <c r="T17" s="27"/>
      <c r="V17" s="55"/>
      <c r="W17" s="55"/>
    </row>
    <row r="18" spans="1:24" s="18" customFormat="1" ht="60" customHeight="1">
      <c r="A18" s="13" t="s">
        <v>479</v>
      </c>
      <c r="B18" s="26" t="s">
        <v>70</v>
      </c>
      <c r="C18" s="13"/>
      <c r="D18" s="13"/>
      <c r="E18" s="13"/>
      <c r="F18" s="13"/>
      <c r="G18" s="13"/>
      <c r="H18" s="13"/>
      <c r="I18" s="8">
        <f>SUM(I19)</f>
        <v>593289</v>
      </c>
      <c r="J18" s="8">
        <f t="shared" ref="J18:S18" si="10">SUM(J19)</f>
        <v>68289</v>
      </c>
      <c r="K18" s="8">
        <f t="shared" si="10"/>
        <v>40000</v>
      </c>
      <c r="L18" s="8">
        <f t="shared" si="10"/>
        <v>40000</v>
      </c>
      <c r="M18" s="8">
        <f t="shared" si="10"/>
        <v>0</v>
      </c>
      <c r="N18" s="8">
        <f t="shared" si="10"/>
        <v>0</v>
      </c>
      <c r="O18" s="8">
        <f t="shared" si="10"/>
        <v>0</v>
      </c>
      <c r="P18" s="8">
        <f t="shared" si="10"/>
        <v>1000</v>
      </c>
      <c r="Q18" s="8">
        <f t="shared" si="10"/>
        <v>0</v>
      </c>
      <c r="R18" s="366">
        <f t="shared" si="10"/>
        <v>-1000</v>
      </c>
      <c r="S18" s="8">
        <f t="shared" si="10"/>
        <v>0</v>
      </c>
      <c r="T18" s="27"/>
      <c r="V18" s="55"/>
      <c r="W18" s="55"/>
    </row>
    <row r="19" spans="1:24" s="20" customFormat="1" ht="44.25" customHeight="1">
      <c r="A19" s="15" t="s">
        <v>17</v>
      </c>
      <c r="B19" s="16" t="s">
        <v>71</v>
      </c>
      <c r="C19" s="16"/>
      <c r="D19" s="15"/>
      <c r="E19" s="16"/>
      <c r="F19" s="16"/>
      <c r="G19" s="16"/>
      <c r="H19" s="16"/>
      <c r="I19" s="29">
        <f>SUM(I20:I20)</f>
        <v>593289</v>
      </c>
      <c r="J19" s="29">
        <f>SUM(J20:J20)</f>
        <v>68289</v>
      </c>
      <c r="K19" s="29">
        <f>SUM(K20:K20)</f>
        <v>40000</v>
      </c>
      <c r="L19" s="29">
        <f>SUM(L20:L20)</f>
        <v>40000</v>
      </c>
      <c r="M19" s="29">
        <f>SUM(M20:M20)</f>
        <v>0</v>
      </c>
      <c r="N19" s="29">
        <f t="shared" ref="N19:S19" si="11">SUM(N20:N20)</f>
        <v>0</v>
      </c>
      <c r="O19" s="29">
        <f t="shared" si="11"/>
        <v>0</v>
      </c>
      <c r="P19" s="29">
        <f t="shared" si="11"/>
        <v>1000</v>
      </c>
      <c r="Q19" s="29">
        <f t="shared" si="11"/>
        <v>0</v>
      </c>
      <c r="R19" s="367">
        <f t="shared" si="11"/>
        <v>-1000</v>
      </c>
      <c r="S19" s="29">
        <f t="shared" si="11"/>
        <v>0</v>
      </c>
      <c r="T19" s="19"/>
      <c r="V19" s="113"/>
      <c r="W19" s="113"/>
    </row>
    <row r="20" spans="1:24" ht="84" customHeight="1">
      <c r="A20" s="10">
        <v>1</v>
      </c>
      <c r="B20" s="17" t="s">
        <v>683</v>
      </c>
      <c r="C20" s="333" t="s">
        <v>446</v>
      </c>
      <c r="D20" s="150" t="s">
        <v>20</v>
      </c>
      <c r="E20" s="28" t="s">
        <v>973</v>
      </c>
      <c r="F20" s="28" t="s">
        <v>391</v>
      </c>
      <c r="G20" s="91" t="s">
        <v>841</v>
      </c>
      <c r="H20" s="91" t="s">
        <v>972</v>
      </c>
      <c r="I20" s="49">
        <v>593289</v>
      </c>
      <c r="J20" s="49">
        <f>I20-500000-25000</f>
        <v>68289</v>
      </c>
      <c r="K20" s="49">
        <f>SUM(L20:M20)</f>
        <v>40000</v>
      </c>
      <c r="L20" s="49">
        <v>40000</v>
      </c>
      <c r="M20" s="49"/>
      <c r="N20" s="49">
        <f>SUM(O20)</f>
        <v>0</v>
      </c>
      <c r="O20" s="49"/>
      <c r="P20" s="49">
        <v>1000</v>
      </c>
      <c r="Q20" s="49"/>
      <c r="R20" s="368">
        <v>-1000</v>
      </c>
      <c r="S20" s="84">
        <f>SUM(P20:R20)</f>
        <v>0</v>
      </c>
      <c r="T20" s="92" t="s">
        <v>1219</v>
      </c>
      <c r="V20" s="22" t="s">
        <v>473</v>
      </c>
      <c r="W20" s="22" t="s">
        <v>629</v>
      </c>
      <c r="X20" s="6">
        <f>P20</f>
        <v>1000</v>
      </c>
    </row>
    <row r="21" spans="1:24" s="18" customFormat="1" ht="60" customHeight="1">
      <c r="A21" s="13" t="s">
        <v>480</v>
      </c>
      <c r="B21" s="26" t="s">
        <v>74</v>
      </c>
      <c r="C21" s="13"/>
      <c r="D21" s="13"/>
      <c r="E21" s="13"/>
      <c r="F21" s="13"/>
      <c r="G21" s="13"/>
      <c r="H21" s="13"/>
      <c r="I21" s="8">
        <f t="shared" ref="I21:S21" si="12">SUM(I22,I24)</f>
        <v>216614</v>
      </c>
      <c r="J21" s="8">
        <f t="shared" si="12"/>
        <v>216614</v>
      </c>
      <c r="K21" s="8">
        <f t="shared" si="12"/>
        <v>0</v>
      </c>
      <c r="L21" s="8">
        <f t="shared" si="12"/>
        <v>0</v>
      </c>
      <c r="M21" s="8">
        <f t="shared" si="12"/>
        <v>0</v>
      </c>
      <c r="N21" s="8">
        <f t="shared" si="12"/>
        <v>0</v>
      </c>
      <c r="O21" s="8">
        <f t="shared" si="12"/>
        <v>0</v>
      </c>
      <c r="P21" s="8">
        <f t="shared" si="12"/>
        <v>124500</v>
      </c>
      <c r="Q21" s="8">
        <f t="shared" si="12"/>
        <v>0</v>
      </c>
      <c r="R21" s="8">
        <f t="shared" si="12"/>
        <v>0</v>
      </c>
      <c r="S21" s="8">
        <f t="shared" si="12"/>
        <v>124500</v>
      </c>
      <c r="T21" s="27"/>
      <c r="V21" s="55"/>
      <c r="W21" s="55"/>
    </row>
    <row r="22" spans="1:24" s="20" customFormat="1" ht="44.25" customHeight="1">
      <c r="A22" s="15" t="s">
        <v>17</v>
      </c>
      <c r="B22" s="16" t="s">
        <v>64</v>
      </c>
      <c r="C22" s="16"/>
      <c r="D22" s="15"/>
      <c r="E22" s="16"/>
      <c r="F22" s="16"/>
      <c r="G22" s="16"/>
      <c r="H22" s="29"/>
      <c r="I22" s="29">
        <f t="shared" ref="I22:S22" si="13">SUM(I23:I23)</f>
        <v>211427</v>
      </c>
      <c r="J22" s="29">
        <f t="shared" si="13"/>
        <v>211427</v>
      </c>
      <c r="K22" s="29">
        <f t="shared" si="13"/>
        <v>0</v>
      </c>
      <c r="L22" s="29">
        <f t="shared" si="13"/>
        <v>0</v>
      </c>
      <c r="M22" s="29">
        <f t="shared" si="13"/>
        <v>0</v>
      </c>
      <c r="N22" s="29">
        <f t="shared" si="13"/>
        <v>0</v>
      </c>
      <c r="O22" s="29">
        <f t="shared" si="13"/>
        <v>0</v>
      </c>
      <c r="P22" s="29">
        <f t="shared" si="13"/>
        <v>120000</v>
      </c>
      <c r="Q22" s="29">
        <f t="shared" si="13"/>
        <v>0</v>
      </c>
      <c r="R22" s="29">
        <f t="shared" si="13"/>
        <v>0</v>
      </c>
      <c r="S22" s="29">
        <f t="shared" si="13"/>
        <v>120000</v>
      </c>
      <c r="T22" s="19"/>
      <c r="V22" s="113"/>
      <c r="W22" s="113"/>
    </row>
    <row r="23" spans="1:24" ht="84" customHeight="1">
      <c r="A23" s="10">
        <v>1</v>
      </c>
      <c r="B23" s="115" t="s">
        <v>680</v>
      </c>
      <c r="C23" s="10" t="s">
        <v>681</v>
      </c>
      <c r="D23" s="185" t="s">
        <v>20</v>
      </c>
      <c r="E23" s="10" t="s">
        <v>682</v>
      </c>
      <c r="F23" s="10" t="s">
        <v>391</v>
      </c>
      <c r="G23" s="23"/>
      <c r="H23" s="23" t="s">
        <v>1153</v>
      </c>
      <c r="I23" s="37">
        <v>211427</v>
      </c>
      <c r="J23" s="37">
        <v>211427</v>
      </c>
      <c r="K23" s="49"/>
      <c r="L23" s="49"/>
      <c r="M23" s="49"/>
      <c r="N23" s="49"/>
      <c r="O23" s="49"/>
      <c r="P23" s="49">
        <v>120000</v>
      </c>
      <c r="Q23" s="49"/>
      <c r="R23" s="376"/>
      <c r="S23" s="376">
        <f>SUM(P23:R23)</f>
        <v>120000</v>
      </c>
      <c r="T23" s="151"/>
      <c r="X23" s="6"/>
    </row>
    <row r="24" spans="1:24" s="20" customFormat="1" ht="44.25" customHeight="1">
      <c r="A24" s="15" t="s">
        <v>17</v>
      </c>
      <c r="B24" s="16" t="s">
        <v>355</v>
      </c>
      <c r="C24" s="16"/>
      <c r="D24" s="15"/>
      <c r="E24" s="16"/>
      <c r="F24" s="16"/>
      <c r="G24" s="16"/>
      <c r="H24" s="29"/>
      <c r="I24" s="29">
        <f>SUM(I25)</f>
        <v>5187</v>
      </c>
      <c r="J24" s="29">
        <f t="shared" ref="J24:S24" si="14">SUM(J25)</f>
        <v>5187</v>
      </c>
      <c r="K24" s="29">
        <f t="shared" si="14"/>
        <v>0</v>
      </c>
      <c r="L24" s="29">
        <f t="shared" si="14"/>
        <v>0</v>
      </c>
      <c r="M24" s="29">
        <f t="shared" si="14"/>
        <v>0</v>
      </c>
      <c r="N24" s="29">
        <f t="shared" si="14"/>
        <v>0</v>
      </c>
      <c r="O24" s="29">
        <f t="shared" si="14"/>
        <v>0</v>
      </c>
      <c r="P24" s="29">
        <f t="shared" si="14"/>
        <v>4500</v>
      </c>
      <c r="Q24" s="29">
        <f t="shared" si="14"/>
        <v>0</v>
      </c>
      <c r="R24" s="29">
        <f t="shared" si="14"/>
        <v>0</v>
      </c>
      <c r="S24" s="29">
        <f t="shared" si="14"/>
        <v>4500</v>
      </c>
      <c r="T24" s="19"/>
      <c r="V24" s="113"/>
      <c r="W24" s="113"/>
    </row>
    <row r="25" spans="1:24" ht="84" customHeight="1">
      <c r="A25" s="10">
        <v>1</v>
      </c>
      <c r="B25" s="115" t="s">
        <v>687</v>
      </c>
      <c r="C25" s="10" t="s">
        <v>131</v>
      </c>
      <c r="D25" s="185" t="s">
        <v>19</v>
      </c>
      <c r="E25" s="10" t="s">
        <v>688</v>
      </c>
      <c r="F25" s="10" t="s">
        <v>391</v>
      </c>
      <c r="G25" s="23"/>
      <c r="H25" s="23" t="s">
        <v>1171</v>
      </c>
      <c r="I25" s="37">
        <v>5187</v>
      </c>
      <c r="J25" s="37">
        <v>5187</v>
      </c>
      <c r="K25" s="49"/>
      <c r="L25" s="49"/>
      <c r="M25" s="49"/>
      <c r="N25" s="49"/>
      <c r="O25" s="49"/>
      <c r="P25" s="49">
        <v>4500</v>
      </c>
      <c r="Q25" s="49"/>
      <c r="R25" s="49"/>
      <c r="S25" s="49">
        <f>SUM(P25:R25)</f>
        <v>4500</v>
      </c>
      <c r="T25" s="151"/>
      <c r="X25" s="6"/>
    </row>
    <row r="26" spans="1:24" s="18" customFormat="1" ht="106.5" customHeight="1">
      <c r="A26" s="13" t="s">
        <v>90</v>
      </c>
      <c r="B26" s="26" t="s">
        <v>975</v>
      </c>
      <c r="C26" s="13"/>
      <c r="D26" s="13"/>
      <c r="E26" s="13"/>
      <c r="F26" s="13"/>
      <c r="G26" s="13"/>
      <c r="H26" s="13"/>
      <c r="I26" s="8"/>
      <c r="J26" s="8"/>
      <c r="K26" s="8"/>
      <c r="L26" s="8"/>
      <c r="M26" s="8"/>
      <c r="N26" s="8"/>
      <c r="O26" s="8"/>
      <c r="P26" s="8"/>
      <c r="Q26" s="8"/>
      <c r="R26" s="381"/>
      <c r="S26" s="8"/>
      <c r="T26" s="1" t="s">
        <v>1480</v>
      </c>
      <c r="V26" s="55"/>
      <c r="W26" s="55"/>
    </row>
    <row r="27" spans="1:24" ht="12.75" customHeight="1"/>
  </sheetData>
  <mergeCells count="23">
    <mergeCell ref="R5:R7"/>
    <mergeCell ref="S5:S7"/>
    <mergeCell ref="O6:O7"/>
    <mergeCell ref="L6:M6"/>
    <mergeCell ref="L5:M5"/>
    <mergeCell ref="N6:N7"/>
    <mergeCell ref="P5:P7"/>
    <mergeCell ref="K5:K7"/>
    <mergeCell ref="Q5:Q7"/>
    <mergeCell ref="A1:T1"/>
    <mergeCell ref="A2:T2"/>
    <mergeCell ref="A3:T3"/>
    <mergeCell ref="A5:A7"/>
    <mergeCell ref="B5:B7"/>
    <mergeCell ref="C5:C7"/>
    <mergeCell ref="D5:D7"/>
    <mergeCell ref="E5:E7"/>
    <mergeCell ref="F5:F7"/>
    <mergeCell ref="H5:J5"/>
    <mergeCell ref="T5:T7"/>
    <mergeCell ref="H6:H7"/>
    <mergeCell ref="I6:J6"/>
    <mergeCell ref="N5:O5"/>
  </mergeCells>
  <printOptions horizontalCentered="1"/>
  <pageMargins left="0.39370078740157499" right="0.39370078740157499" top="0.39370078740157499" bottom="0.39370078740157499" header="0.196850393700787" footer="0.196850393700787"/>
  <pageSetup paperSize="9" scale="43" fitToHeight="0" orientation="landscape" r:id="rId1"/>
  <headerFooter alignWithMargins="0">
    <oddFooter>&amp;C&amp;"Times New Roman,thường"&amp;11&amp;P/&amp;N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view="pageBreakPreview" zoomScale="60" zoomScaleNormal="50" workbookViewId="0">
      <selection activeCell="A24" sqref="A24:J24"/>
    </sheetView>
  </sheetViews>
  <sheetFormatPr defaultColWidth="11.44140625" defaultRowHeight="16.8"/>
  <cols>
    <col min="1" max="1" width="8.6640625" style="214" customWidth="1"/>
    <col min="2" max="2" width="50.6640625" style="214" customWidth="1"/>
    <col min="3" max="4" width="15.6640625" style="214" customWidth="1"/>
    <col min="5" max="5" width="20.6640625" style="214" customWidth="1"/>
    <col min="6" max="6" width="15.6640625" style="214" customWidth="1"/>
    <col min="7" max="7" width="20.6640625" style="214" customWidth="1"/>
    <col min="8" max="8" width="22.6640625" style="214" customWidth="1"/>
    <col min="9" max="9" width="19.88671875" style="214" hidden="1" customWidth="1"/>
    <col min="10" max="10" width="44.33203125" style="214" customWidth="1"/>
    <col min="11" max="16384" width="11.44140625" style="214"/>
  </cols>
  <sheetData>
    <row r="1" spans="1:15" ht="39.9" customHeight="1">
      <c r="A1" s="617" t="s">
        <v>865</v>
      </c>
      <c r="B1" s="617"/>
      <c r="C1" s="617"/>
      <c r="D1" s="617"/>
      <c r="E1" s="617"/>
      <c r="F1" s="617"/>
      <c r="G1" s="617"/>
      <c r="H1" s="617"/>
      <c r="I1" s="617"/>
      <c r="J1" s="617"/>
      <c r="K1" s="213"/>
      <c r="L1" s="213"/>
      <c r="M1" s="213"/>
      <c r="N1" s="213"/>
      <c r="O1" s="213"/>
    </row>
    <row r="2" spans="1:15" ht="90" customHeight="1">
      <c r="A2" s="618" t="s">
        <v>1067</v>
      </c>
      <c r="B2" s="618"/>
      <c r="C2" s="618"/>
      <c r="D2" s="618"/>
      <c r="E2" s="618"/>
      <c r="F2" s="618"/>
      <c r="G2" s="618"/>
      <c r="H2" s="618"/>
      <c r="I2" s="618"/>
      <c r="J2" s="618"/>
    </row>
    <row r="3" spans="1:15" s="215" customFormat="1" ht="39.9" customHeight="1">
      <c r="A3" s="619" t="str">
        <f>'14. VTXSKT2022'!A3:T3</f>
        <v>(Ban hành kèm theo Quyết định số: 2571/QĐ-UBND ngày 12/12/2024 của Ủy ban nhân dân tỉnh)</v>
      </c>
      <c r="B3" s="619"/>
      <c r="C3" s="619"/>
      <c r="D3" s="619"/>
      <c r="E3" s="619"/>
      <c r="F3" s="619"/>
      <c r="G3" s="619"/>
      <c r="H3" s="619"/>
      <c r="I3" s="619"/>
      <c r="J3" s="619"/>
    </row>
    <row r="4" spans="1:15" ht="33.75" customHeight="1">
      <c r="I4" s="216"/>
      <c r="J4" s="217" t="s">
        <v>0</v>
      </c>
    </row>
    <row r="5" spans="1:15" ht="43.5" customHeight="1">
      <c r="A5" s="620" t="s">
        <v>1</v>
      </c>
      <c r="B5" s="620" t="s">
        <v>513</v>
      </c>
      <c r="C5" s="620" t="s">
        <v>2</v>
      </c>
      <c r="D5" s="620" t="s">
        <v>514</v>
      </c>
      <c r="E5" s="620" t="s">
        <v>515</v>
      </c>
      <c r="F5" s="620" t="s">
        <v>516</v>
      </c>
      <c r="G5" s="620" t="s">
        <v>866</v>
      </c>
      <c r="H5" s="620" t="s">
        <v>867</v>
      </c>
      <c r="I5" s="621" t="s">
        <v>868</v>
      </c>
      <c r="J5" s="620" t="s">
        <v>6</v>
      </c>
    </row>
    <row r="6" spans="1:15" ht="43.5" customHeight="1">
      <c r="A6" s="620"/>
      <c r="B6" s="620"/>
      <c r="C6" s="620"/>
      <c r="D6" s="620"/>
      <c r="E6" s="620"/>
      <c r="F6" s="620"/>
      <c r="G6" s="620"/>
      <c r="H6" s="620"/>
      <c r="I6" s="621"/>
      <c r="J6" s="620"/>
    </row>
    <row r="7" spans="1:15" ht="30.75" customHeight="1">
      <c r="A7" s="620"/>
      <c r="B7" s="620"/>
      <c r="C7" s="620"/>
      <c r="D7" s="620"/>
      <c r="E7" s="620"/>
      <c r="F7" s="620"/>
      <c r="G7" s="620"/>
      <c r="H7" s="620"/>
      <c r="I7" s="621"/>
      <c r="J7" s="620"/>
    </row>
    <row r="8" spans="1:15" ht="39.9" customHeight="1">
      <c r="A8" s="218" t="s">
        <v>15</v>
      </c>
      <c r="B8" s="219" t="s">
        <v>64</v>
      </c>
      <c r="C8" s="246"/>
      <c r="D8" s="246"/>
      <c r="E8" s="246"/>
      <c r="F8" s="246"/>
      <c r="G8" s="246"/>
      <c r="H8" s="246"/>
      <c r="I8" s="247"/>
      <c r="J8" s="246"/>
    </row>
    <row r="9" spans="1:15" s="159" customFormat="1" ht="174" customHeight="1">
      <c r="A9" s="160">
        <v>1</v>
      </c>
      <c r="B9" s="121" t="s">
        <v>631</v>
      </c>
      <c r="C9" s="116" t="s">
        <v>320</v>
      </c>
      <c r="D9" s="89" t="s">
        <v>20</v>
      </c>
      <c r="E9" s="23" t="s">
        <v>321</v>
      </c>
      <c r="F9" s="23" t="s">
        <v>296</v>
      </c>
      <c r="G9" s="23" t="s">
        <v>876</v>
      </c>
      <c r="H9" s="23" t="s">
        <v>755</v>
      </c>
      <c r="I9" s="43"/>
      <c r="J9" s="161" t="s">
        <v>951</v>
      </c>
    </row>
    <row r="10" spans="1:15" s="159" customFormat="1" ht="119.25" customHeight="1">
      <c r="A10" s="160">
        <v>2</v>
      </c>
      <c r="B10" s="121" t="s">
        <v>937</v>
      </c>
      <c r="C10" s="116" t="s">
        <v>938</v>
      </c>
      <c r="D10" s="89" t="s">
        <v>20</v>
      </c>
      <c r="E10" s="23" t="s">
        <v>939</v>
      </c>
      <c r="F10" s="23" t="s">
        <v>940</v>
      </c>
      <c r="G10" s="23" t="s">
        <v>877</v>
      </c>
      <c r="H10" s="23" t="s">
        <v>943</v>
      </c>
      <c r="I10" s="43"/>
      <c r="J10" s="161" t="s">
        <v>952</v>
      </c>
    </row>
    <row r="11" spans="1:15" s="159" customFormat="1" ht="99.75" customHeight="1">
      <c r="A11" s="160">
        <v>3</v>
      </c>
      <c r="B11" s="121" t="s">
        <v>941</v>
      </c>
      <c r="C11" s="116" t="s">
        <v>18</v>
      </c>
      <c r="D11" s="89" t="s">
        <v>20</v>
      </c>
      <c r="E11" s="23" t="s">
        <v>942</v>
      </c>
      <c r="F11" s="23" t="s">
        <v>316</v>
      </c>
      <c r="G11" s="23" t="s">
        <v>877</v>
      </c>
      <c r="H11" s="23" t="s">
        <v>944</v>
      </c>
      <c r="I11" s="43"/>
      <c r="J11" s="161" t="s">
        <v>945</v>
      </c>
    </row>
    <row r="12" spans="1:15" ht="39.9" customHeight="1">
      <c r="A12" s="218" t="s">
        <v>31</v>
      </c>
      <c r="B12" s="219" t="s">
        <v>869</v>
      </c>
      <c r="C12" s="246"/>
      <c r="D12" s="246"/>
      <c r="E12" s="246"/>
      <c r="F12" s="246"/>
      <c r="G12" s="246"/>
      <c r="H12" s="246"/>
      <c r="I12" s="247">
        <f>SUM(I14:I14)</f>
        <v>50000</v>
      </c>
      <c r="J12" s="246"/>
    </row>
    <row r="13" spans="1:15" s="159" customFormat="1" ht="126" customHeight="1">
      <c r="A13" s="160">
        <v>1</v>
      </c>
      <c r="B13" s="115" t="s">
        <v>292</v>
      </c>
      <c r="C13" s="116" t="s">
        <v>72</v>
      </c>
      <c r="D13" s="89" t="s">
        <v>20</v>
      </c>
      <c r="E13" s="184" t="s">
        <v>301</v>
      </c>
      <c r="F13" s="34" t="s">
        <v>297</v>
      </c>
      <c r="G13" s="23" t="s">
        <v>876</v>
      </c>
      <c r="H13" s="184" t="s">
        <v>767</v>
      </c>
      <c r="I13" s="43"/>
      <c r="J13" s="161" t="s">
        <v>946</v>
      </c>
    </row>
    <row r="14" spans="1:15" s="159" customFormat="1" ht="154.5" customHeight="1">
      <c r="A14" s="160">
        <v>2</v>
      </c>
      <c r="B14" s="121" t="s">
        <v>291</v>
      </c>
      <c r="C14" s="220" t="s">
        <v>295</v>
      </c>
      <c r="D14" s="202" t="s">
        <v>20</v>
      </c>
      <c r="E14" s="221" t="s">
        <v>300</v>
      </c>
      <c r="F14" s="23" t="s">
        <v>296</v>
      </c>
      <c r="G14" s="160" t="s">
        <v>870</v>
      </c>
      <c r="H14" s="221" t="s">
        <v>766</v>
      </c>
      <c r="I14" s="43">
        <v>50000</v>
      </c>
      <c r="J14" s="161" t="s">
        <v>946</v>
      </c>
    </row>
    <row r="15" spans="1:15" s="159" customFormat="1" ht="127.5" customHeight="1">
      <c r="A15" s="160">
        <v>3</v>
      </c>
      <c r="B15" s="121" t="s">
        <v>294</v>
      </c>
      <c r="C15" s="160" t="s">
        <v>18</v>
      </c>
      <c r="D15" s="89" t="s">
        <v>20</v>
      </c>
      <c r="E15" s="222" t="s">
        <v>871</v>
      </c>
      <c r="F15" s="160" t="s">
        <v>299</v>
      </c>
      <c r="G15" s="160" t="s">
        <v>872</v>
      </c>
      <c r="H15" s="160" t="s">
        <v>873</v>
      </c>
      <c r="I15" s="43"/>
      <c r="J15" s="161" t="s">
        <v>953</v>
      </c>
    </row>
    <row r="16" spans="1:15" s="159" customFormat="1" ht="166.5" customHeight="1">
      <c r="A16" s="160">
        <v>4</v>
      </c>
      <c r="B16" s="121" t="s">
        <v>307</v>
      </c>
      <c r="C16" s="279" t="s">
        <v>308</v>
      </c>
      <c r="D16" s="89" t="s">
        <v>20</v>
      </c>
      <c r="E16" s="28" t="s">
        <v>309</v>
      </c>
      <c r="F16" s="28" t="s">
        <v>298</v>
      </c>
      <c r="G16" s="23" t="s">
        <v>876</v>
      </c>
      <c r="H16" s="23" t="s">
        <v>768</v>
      </c>
      <c r="I16" s="43"/>
      <c r="J16" s="450" t="s">
        <v>1415</v>
      </c>
    </row>
    <row r="17" spans="1:10" s="159" customFormat="1" ht="154.5" customHeight="1">
      <c r="A17" s="160">
        <v>5</v>
      </c>
      <c r="B17" s="121" t="s">
        <v>640</v>
      </c>
      <c r="C17" s="116" t="s">
        <v>18</v>
      </c>
      <c r="D17" s="89" t="s">
        <v>20</v>
      </c>
      <c r="E17" s="23" t="s">
        <v>302</v>
      </c>
      <c r="F17" s="23" t="s">
        <v>297</v>
      </c>
      <c r="G17" s="160" t="s">
        <v>870</v>
      </c>
      <c r="H17" s="23" t="s">
        <v>874</v>
      </c>
      <c r="I17" s="43"/>
      <c r="J17" s="161" t="s">
        <v>947</v>
      </c>
    </row>
    <row r="18" spans="1:10" s="159" customFormat="1" ht="153" customHeight="1">
      <c r="A18" s="160">
        <v>6</v>
      </c>
      <c r="B18" s="121" t="s">
        <v>293</v>
      </c>
      <c r="C18" s="160" t="s">
        <v>875</v>
      </c>
      <c r="D18" s="89" t="s">
        <v>20</v>
      </c>
      <c r="E18" s="222" t="s">
        <v>303</v>
      </c>
      <c r="F18" s="160" t="s">
        <v>298</v>
      </c>
      <c r="G18" s="160" t="s">
        <v>870</v>
      </c>
      <c r="H18" s="160" t="s">
        <v>304</v>
      </c>
      <c r="I18" s="43"/>
      <c r="J18" s="161" t="s">
        <v>948</v>
      </c>
    </row>
    <row r="19" spans="1:10" ht="39.9" customHeight="1">
      <c r="A19" s="218" t="s">
        <v>90</v>
      </c>
      <c r="B19" s="219" t="s">
        <v>355</v>
      </c>
      <c r="C19" s="246"/>
      <c r="D19" s="246"/>
      <c r="E19" s="246"/>
      <c r="F19" s="246"/>
      <c r="G19" s="246"/>
      <c r="H19" s="246"/>
      <c r="I19" s="247">
        <f>SUM(I20:I20)</f>
        <v>27000</v>
      </c>
      <c r="J19" s="246"/>
    </row>
    <row r="20" spans="1:10" s="159" customFormat="1" ht="84.75" customHeight="1">
      <c r="A20" s="160">
        <v>1</v>
      </c>
      <c r="B20" s="121" t="s">
        <v>356</v>
      </c>
      <c r="C20" s="89" t="s">
        <v>41</v>
      </c>
      <c r="D20" s="177" t="s">
        <v>20</v>
      </c>
      <c r="E20" s="160" t="s">
        <v>357</v>
      </c>
      <c r="F20" s="177" t="s">
        <v>297</v>
      </c>
      <c r="G20" s="160" t="s">
        <v>876</v>
      </c>
      <c r="H20" s="160" t="s">
        <v>1069</v>
      </c>
      <c r="I20" s="223">
        <v>27000</v>
      </c>
      <c r="J20" s="35" t="s">
        <v>949</v>
      </c>
    </row>
    <row r="21" spans="1:10" ht="39.9" customHeight="1">
      <c r="A21" s="218" t="s">
        <v>284</v>
      </c>
      <c r="B21" s="219" t="s">
        <v>65</v>
      </c>
      <c r="C21" s="246"/>
      <c r="D21" s="246"/>
      <c r="E21" s="246"/>
      <c r="F21" s="246"/>
      <c r="G21" s="246"/>
      <c r="H21" s="246"/>
      <c r="I21" s="247"/>
      <c r="J21" s="246"/>
    </row>
    <row r="22" spans="1:10" s="159" customFormat="1" ht="80.25" customHeight="1">
      <c r="A22" s="160">
        <v>1</v>
      </c>
      <c r="B22" s="224" t="s">
        <v>28</v>
      </c>
      <c r="C22" s="222" t="s">
        <v>18</v>
      </c>
      <c r="D22" s="89" t="s">
        <v>19</v>
      </c>
      <c r="E22" s="225" t="s">
        <v>29</v>
      </c>
      <c r="F22" s="160" t="s">
        <v>316</v>
      </c>
      <c r="G22" s="160" t="s">
        <v>877</v>
      </c>
      <c r="H22" s="226" t="s">
        <v>1068</v>
      </c>
      <c r="I22" s="227"/>
      <c r="J22" s="161" t="s">
        <v>950</v>
      </c>
    </row>
    <row r="24" spans="1:10" ht="39.75" customHeight="1">
      <c r="A24" s="615" t="s">
        <v>923</v>
      </c>
      <c r="B24" s="616"/>
      <c r="C24" s="616"/>
      <c r="D24" s="616"/>
      <c r="E24" s="616"/>
      <c r="F24" s="616"/>
      <c r="G24" s="616"/>
      <c r="H24" s="616"/>
      <c r="I24" s="616"/>
      <c r="J24" s="616"/>
    </row>
  </sheetData>
  <mergeCells count="14">
    <mergeCell ref="A24:J24"/>
    <mergeCell ref="A1:J1"/>
    <mergeCell ref="A2:J2"/>
    <mergeCell ref="A3:J3"/>
    <mergeCell ref="A5:A7"/>
    <mergeCell ref="B5:B7"/>
    <mergeCell ref="C5:C7"/>
    <mergeCell ref="D5:D7"/>
    <mergeCell ref="E5:E7"/>
    <mergeCell ref="F5:F7"/>
    <mergeCell ref="G5:G7"/>
    <mergeCell ref="H5:H7"/>
    <mergeCell ref="I5:I7"/>
    <mergeCell ref="J5:J7"/>
  </mergeCells>
  <printOptions horizontalCentered="1"/>
  <pageMargins left="0.39370078740157483" right="0" top="0.39370078740157483" bottom="0.39370078740157483" header="0.19685039370078741" footer="0.19685039370078741"/>
  <pageSetup paperSize="9" scale="67" fitToHeight="0" orientation="landscape" r:id="rId1"/>
  <headerFooter>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24"/>
  <sheetViews>
    <sheetView view="pageBreakPreview" zoomScale="75" zoomScaleNormal="70" workbookViewId="0">
      <selection activeCell="A104" sqref="A104:XFD108"/>
    </sheetView>
  </sheetViews>
  <sheetFormatPr defaultColWidth="9.109375" defaultRowHeight="16.8"/>
  <cols>
    <col min="1" max="1" width="8.6640625" style="11" customWidth="1"/>
    <col min="2" max="2" width="50.6640625" style="11" customWidth="1"/>
    <col min="3" max="3" width="20.6640625" style="11" customWidth="1"/>
    <col min="4" max="4" width="20.6640625" style="22" customWidth="1"/>
    <col min="5" max="6" width="20.6640625" style="11" customWidth="1"/>
    <col min="7" max="22" width="20.6640625" style="11" hidden="1" customWidth="1"/>
    <col min="23" max="23" width="40.6640625" style="11" customWidth="1"/>
    <col min="24" max="25" width="12.44140625" style="11" customWidth="1"/>
    <col min="26" max="26" width="14.88671875" style="22" customWidth="1"/>
    <col min="27" max="27" width="13.44140625" style="22" customWidth="1"/>
    <col min="28" max="31" width="17.88671875" style="11" customWidth="1"/>
    <col min="32" max="32" width="19.33203125" style="11" customWidth="1"/>
    <col min="33" max="33" width="17.33203125" style="11" customWidth="1"/>
    <col min="34" max="34" width="15.33203125" style="11" customWidth="1"/>
    <col min="35" max="35" width="14.6640625" style="11" bestFit="1" customWidth="1"/>
    <col min="36" max="36" width="12.6640625" style="11" bestFit="1" customWidth="1"/>
    <col min="37" max="38" width="9.109375" style="11"/>
    <col min="39" max="39" width="11.33203125" style="11" bestFit="1" customWidth="1"/>
    <col min="40" max="40" width="9.109375" style="11"/>
    <col min="41" max="41" width="12.6640625" style="11" bestFit="1" customWidth="1"/>
    <col min="42" max="42" width="9.109375" style="11"/>
    <col min="43" max="43" width="12.44140625" style="11" customWidth="1"/>
    <col min="44" max="44" width="15.33203125" style="11" customWidth="1"/>
    <col min="45" max="45" width="15" style="11" customWidth="1"/>
    <col min="46" max="46" width="9.109375" style="11"/>
    <col min="47" max="47" width="11.33203125" style="11" bestFit="1" customWidth="1"/>
    <col min="48" max="48" width="14.88671875" style="11" customWidth="1"/>
    <col min="49" max="16384" width="9.109375" style="11"/>
  </cols>
  <sheetData>
    <row r="1" spans="1:49" ht="39.9" customHeight="1">
      <c r="A1" s="554" t="s">
        <v>925</v>
      </c>
      <c r="B1" s="554"/>
      <c r="C1" s="554"/>
      <c r="D1" s="554"/>
      <c r="E1" s="554"/>
      <c r="F1" s="554"/>
      <c r="G1" s="554"/>
      <c r="H1" s="554"/>
      <c r="I1" s="554"/>
      <c r="J1" s="554"/>
      <c r="K1" s="554"/>
      <c r="L1" s="554"/>
      <c r="M1" s="554"/>
      <c r="N1" s="554"/>
      <c r="O1" s="554"/>
      <c r="P1" s="554"/>
      <c r="Q1" s="554"/>
      <c r="R1" s="554"/>
      <c r="S1" s="554"/>
      <c r="T1" s="554"/>
      <c r="U1" s="554"/>
      <c r="V1" s="554"/>
      <c r="W1" s="554"/>
      <c r="X1" s="248"/>
      <c r="Y1" s="248"/>
    </row>
    <row r="2" spans="1:49" s="157" customFormat="1" ht="69.900000000000006" customHeight="1">
      <c r="A2" s="555" t="s">
        <v>1053</v>
      </c>
      <c r="B2" s="555"/>
      <c r="C2" s="555"/>
      <c r="D2" s="555"/>
      <c r="E2" s="555"/>
      <c r="F2" s="555"/>
      <c r="G2" s="555"/>
      <c r="H2" s="555"/>
      <c r="I2" s="555"/>
      <c r="J2" s="555"/>
      <c r="K2" s="555"/>
      <c r="L2" s="555"/>
      <c r="M2" s="555"/>
      <c r="N2" s="555"/>
      <c r="O2" s="555"/>
      <c r="P2" s="555"/>
      <c r="Q2" s="555"/>
      <c r="R2" s="555"/>
      <c r="S2" s="555"/>
      <c r="T2" s="555"/>
      <c r="U2" s="555"/>
      <c r="V2" s="555"/>
      <c r="W2" s="555"/>
      <c r="X2" s="249"/>
      <c r="Y2" s="249"/>
      <c r="Z2" s="158"/>
      <c r="AA2" s="158"/>
    </row>
    <row r="3" spans="1:49" ht="39.9" customHeight="1">
      <c r="A3" s="556" t="str">
        <f>TH!A2:I2</f>
        <v>(Ban hành kèm theo Quyết định số: 2571/QĐ-UBND ngày 12/12/2024 của Ủy ban nhân dân tỉnh)</v>
      </c>
      <c r="B3" s="556"/>
      <c r="C3" s="556"/>
      <c r="D3" s="556"/>
      <c r="E3" s="556"/>
      <c r="F3" s="556"/>
      <c r="G3" s="556"/>
      <c r="H3" s="556"/>
      <c r="I3" s="556"/>
      <c r="J3" s="556"/>
      <c r="K3" s="556"/>
      <c r="L3" s="556"/>
      <c r="M3" s="556"/>
      <c r="N3" s="556"/>
      <c r="O3" s="556"/>
      <c r="P3" s="556"/>
      <c r="Q3" s="556"/>
      <c r="R3" s="556"/>
      <c r="S3" s="556"/>
      <c r="T3" s="556"/>
      <c r="U3" s="556"/>
      <c r="V3" s="556"/>
      <c r="W3" s="556"/>
      <c r="X3" s="250"/>
      <c r="Y3" s="250"/>
    </row>
    <row r="4" spans="1:49" ht="33.75" customHeight="1">
      <c r="H4" s="12"/>
      <c r="I4" s="12"/>
      <c r="J4" s="12"/>
      <c r="K4" s="12"/>
      <c r="L4" s="12"/>
      <c r="M4" s="12"/>
      <c r="N4" s="12"/>
      <c r="O4" s="12"/>
      <c r="P4" s="12"/>
      <c r="Q4" s="12"/>
      <c r="R4" s="12"/>
      <c r="S4" s="12"/>
      <c r="T4" s="12"/>
      <c r="U4" s="12"/>
      <c r="V4" s="12"/>
      <c r="W4" s="12" t="s">
        <v>0</v>
      </c>
      <c r="X4" s="128"/>
      <c r="Y4" s="128"/>
    </row>
    <row r="5" spans="1:49" ht="33" customHeight="1">
      <c r="A5" s="562" t="s">
        <v>1</v>
      </c>
      <c r="B5" s="561" t="s">
        <v>513</v>
      </c>
      <c r="C5" s="562" t="s">
        <v>2</v>
      </c>
      <c r="D5" s="562" t="s">
        <v>3</v>
      </c>
      <c r="E5" s="562" t="s">
        <v>4</v>
      </c>
      <c r="F5" s="562" t="s">
        <v>5</v>
      </c>
      <c r="G5" s="13"/>
      <c r="H5" s="565" t="s">
        <v>696</v>
      </c>
      <c r="I5" s="565" t="s">
        <v>512</v>
      </c>
      <c r="J5" s="565"/>
      <c r="K5" s="565"/>
      <c r="L5" s="565"/>
      <c r="M5" s="565"/>
      <c r="N5" s="565"/>
      <c r="O5" s="565"/>
      <c r="P5" s="565"/>
      <c r="Q5" s="565"/>
      <c r="R5" s="565" t="s">
        <v>808</v>
      </c>
      <c r="S5" s="565"/>
      <c r="T5" s="565"/>
      <c r="U5" s="565"/>
      <c r="V5" s="565" t="s">
        <v>689</v>
      </c>
      <c r="W5" s="562" t="s">
        <v>6</v>
      </c>
      <c r="X5" s="55"/>
      <c r="Y5" s="55"/>
      <c r="Z5" s="56" t="s">
        <v>452</v>
      </c>
      <c r="AA5" s="56" t="s">
        <v>453</v>
      </c>
      <c r="AB5" s="57" t="s">
        <v>454</v>
      </c>
      <c r="AC5" s="57" t="s">
        <v>627</v>
      </c>
      <c r="AD5" s="57" t="s">
        <v>629</v>
      </c>
      <c r="AE5" s="57" t="s">
        <v>628</v>
      </c>
      <c r="AF5" s="57"/>
      <c r="AG5" s="57" t="s">
        <v>455</v>
      </c>
      <c r="AH5" s="56" t="s">
        <v>456</v>
      </c>
      <c r="AI5" s="56" t="s">
        <v>457</v>
      </c>
      <c r="AJ5" s="56" t="s">
        <v>458</v>
      </c>
      <c r="AK5" s="56" t="s">
        <v>459</v>
      </c>
      <c r="AL5" s="56" t="s">
        <v>460</v>
      </c>
      <c r="AM5" s="56" t="s">
        <v>461</v>
      </c>
      <c r="AN5" s="56" t="s">
        <v>462</v>
      </c>
      <c r="AO5" s="56" t="s">
        <v>463</v>
      </c>
      <c r="AP5" s="56" t="s">
        <v>464</v>
      </c>
      <c r="AQ5" s="56" t="s">
        <v>465</v>
      </c>
      <c r="AR5" s="56" t="s">
        <v>466</v>
      </c>
      <c r="AS5" s="56" t="s">
        <v>467</v>
      </c>
      <c r="AT5" s="56" t="s">
        <v>468</v>
      </c>
      <c r="AU5" s="56" t="s">
        <v>469</v>
      </c>
      <c r="AV5" s="57"/>
      <c r="AW5" s="57"/>
    </row>
    <row r="6" spans="1:49" ht="33" customHeight="1">
      <c r="A6" s="562"/>
      <c r="B6" s="561"/>
      <c r="C6" s="562"/>
      <c r="D6" s="562"/>
      <c r="E6" s="562"/>
      <c r="F6" s="562"/>
      <c r="G6" s="13"/>
      <c r="H6" s="565"/>
      <c r="I6" s="565" t="s">
        <v>558</v>
      </c>
      <c r="J6" s="565" t="s">
        <v>559</v>
      </c>
      <c r="K6" s="565"/>
      <c r="L6" s="565"/>
      <c r="M6" s="565"/>
      <c r="N6" s="565"/>
      <c r="O6" s="565"/>
      <c r="P6" s="565"/>
      <c r="Q6" s="565"/>
      <c r="R6" s="565" t="s">
        <v>9</v>
      </c>
      <c r="S6" s="565" t="s">
        <v>10</v>
      </c>
      <c r="T6" s="565"/>
      <c r="U6" s="565"/>
      <c r="V6" s="565"/>
      <c r="W6" s="562"/>
      <c r="X6" s="55"/>
      <c r="Y6" s="55"/>
      <c r="Z6" s="56"/>
      <c r="AA6" s="56"/>
      <c r="AB6" s="57"/>
      <c r="AC6" s="57"/>
      <c r="AD6" s="57"/>
      <c r="AE6" s="57"/>
      <c r="AF6" s="58" t="s">
        <v>470</v>
      </c>
      <c r="AG6" s="57">
        <f>COUNTIF(Z124:Z928,"CT")</f>
        <v>0</v>
      </c>
      <c r="AH6" s="82">
        <f>SUMIF(Z124:Z928,"CT",AB124:AB928)</f>
        <v>0</v>
      </c>
      <c r="AI6" s="82">
        <f>SUMIFS($AB$124:$AB$1030,$Z$124:$Z$1030,"CT",$AA$124:$AA$1030,"GT")</f>
        <v>0</v>
      </c>
      <c r="AJ6" s="82">
        <f>SUMIFS($AB$124:$AB$1030,$Z$124:$Z$1030,"CT",$AA$124:$AA$1030,"NN-TL")</f>
        <v>0</v>
      </c>
      <c r="AK6" s="82">
        <f>SUMIFS($AB$124:$AB$1030,$Z$124:$Z$1030,"CT",$AA$124:$AA$1030,"GDĐT")</f>
        <v>0</v>
      </c>
      <c r="AL6" s="82">
        <f>SUMIFS($AB$124:$AB$1030,$Z$124:$Z$1030,"CT",$AA$124:$AA$1030,"YT")</f>
        <v>0</v>
      </c>
      <c r="AM6" s="82">
        <f>SUMIFS($AB$124:$AB$1030,$Z$124:$Z$1030,"CT",$AA$124:$AA$1030,"VH")</f>
        <v>0</v>
      </c>
      <c r="AN6" s="82">
        <f>SUMIFS($AB$124:$AB$1030,$Z$124:$Z$1030,"CT",$AA$124:$AA$1030,"TTTT")</f>
        <v>0</v>
      </c>
      <c r="AO6" s="82">
        <f>SUMIFS($AB$124:$AB$1030,$Z$124:$Z$1030,"CT",$AA$124:$AA$1030,"XH-CC")</f>
        <v>0</v>
      </c>
      <c r="AP6" s="82">
        <f>SUMIFS($AB$124:$AB$1030,$Z$124:$Z$1030,"CT",$AA$124:$AA$1030,"NS")</f>
        <v>0</v>
      </c>
      <c r="AQ6" s="82">
        <f>SUMIFS($AB$124:$AB$1030,$Z$124:$Z$1030,"CT",$AA$124:$AA$1030,"TNMT")</f>
        <v>0</v>
      </c>
      <c r="AR6" s="82">
        <f>SUMIFS($AB$124:$AB$1030,$Z$124:$Z$1030,"CT",$AA$124:$AA$1030,"QLNN")</f>
        <v>0</v>
      </c>
      <c r="AS6" s="82">
        <f>SUMIFS($AB$124:$AB$1030,$Z$124:$Z$1030,"CT",$AA$124:$AA$1030,"QPAN")</f>
        <v>0</v>
      </c>
      <c r="AT6" s="82">
        <f>SUMIFS($AB$124:$AB$1030,$Z$124:$Z$1030,"CT",$AA$124:$AA$1030,"PTĐT")</f>
        <v>0</v>
      </c>
      <c r="AU6" s="82">
        <f>SUMIFS($AB$124:$AB$1030,$Z$124:$Z$1030,"CT",$AA$124:$AA$1030,"TMDV")</f>
        <v>0</v>
      </c>
      <c r="AV6" s="58">
        <f>SUM(AI6:AU6)</f>
        <v>0</v>
      </c>
      <c r="AW6" s="57"/>
    </row>
    <row r="7" spans="1:49" ht="33" customHeight="1">
      <c r="A7" s="562"/>
      <c r="B7" s="561"/>
      <c r="C7" s="562"/>
      <c r="D7" s="562"/>
      <c r="E7" s="562"/>
      <c r="F7" s="562"/>
      <c r="G7" s="13"/>
      <c r="H7" s="565"/>
      <c r="I7" s="565"/>
      <c r="J7" s="85" t="s">
        <v>560</v>
      </c>
      <c r="K7" s="85" t="s">
        <v>562</v>
      </c>
      <c r="L7" s="85" t="s">
        <v>565</v>
      </c>
      <c r="M7" s="85" t="s">
        <v>573</v>
      </c>
      <c r="N7" s="85" t="s">
        <v>586</v>
      </c>
      <c r="O7" s="85" t="s">
        <v>589</v>
      </c>
      <c r="P7" s="85" t="s">
        <v>648</v>
      </c>
      <c r="Q7" s="85" t="s">
        <v>686</v>
      </c>
      <c r="R7" s="565"/>
      <c r="S7" s="85" t="s">
        <v>13</v>
      </c>
      <c r="T7" s="85" t="s">
        <v>564</v>
      </c>
      <c r="U7" s="85" t="s">
        <v>753</v>
      </c>
      <c r="V7" s="565"/>
      <c r="W7" s="562"/>
      <c r="X7" s="55"/>
      <c r="Y7" s="55"/>
      <c r="Z7" s="56"/>
      <c r="AA7" s="56"/>
      <c r="AB7" s="57"/>
      <c r="AC7" s="57">
        <f>SUMIF($AC$124:$AC$926,AC5,$AB$124:$AB$926)</f>
        <v>0</v>
      </c>
      <c r="AD7" s="57">
        <f>SUMIF($AC$124:$AC$926,AD5,$AB$124:$AB$926)</f>
        <v>0</v>
      </c>
      <c r="AE7" s="57">
        <f>SUMIF($AC$124:$AC$926,AE5,$AB$124:$AB$926)</f>
        <v>0</v>
      </c>
      <c r="AF7" s="57" t="s">
        <v>471</v>
      </c>
      <c r="AG7" s="57">
        <f>COUNTIF(Z124:Z927,"KCM")</f>
        <v>0</v>
      </c>
      <c r="AH7" s="82">
        <f>SUMIF(Z124:Z928,"KCM",AB124:AB928)</f>
        <v>0</v>
      </c>
      <c r="AI7" s="82">
        <f>SUMIFS($AB$124:$AB$1030,$Z$124:$Z$1030,"KCM",$AA$124:$AA$1030,"GT")</f>
        <v>0</v>
      </c>
      <c r="AJ7" s="82">
        <f>SUMIFS($AB$124:$AB$1030,$Z$124:$Z$1030,"KCM",$AA$124:$AA$1030,"NN-TL")</f>
        <v>0</v>
      </c>
      <c r="AK7" s="82">
        <f>SUMIFS($AB$124:$AB$1030,$Z$124:$Z$1030,"KCM",$AA$124:$AA$1030,"GDĐT")</f>
        <v>0</v>
      </c>
      <c r="AL7" s="82">
        <f>SUMIFS($AB$124:$AB$1030,$Z$124:$Z$1030,"KCM",$AA$124:$AA$1030,"YT")</f>
        <v>0</v>
      </c>
      <c r="AM7" s="82">
        <f>SUMIFS($AB$124:$AB$1030,$Z$124:$Z$1030,"KCM",$AA$124:$AA$1030,"VH")</f>
        <v>0</v>
      </c>
      <c r="AN7" s="82">
        <f>SUMIFS($AB$124:$AB$1030,$Z$124:$Z$1030,"KCM",$AA$124:$AA$1030,"TTTT")</f>
        <v>0</v>
      </c>
      <c r="AO7" s="82">
        <f>SUMIFS($AB$124:$AB$1030,$Z$124:$Z$1030,"KCM",$AA$124:$AA$1030,"XH-CC")</f>
        <v>0</v>
      </c>
      <c r="AP7" s="82">
        <f>SUMIFS($AB$124:$AB$1030,$Z$124:$Z$1030,"KCM",$AA$124:$AA$1030,"NS")</f>
        <v>0</v>
      </c>
      <c r="AQ7" s="82">
        <f>SUMIFS($AB$124:$AB$1030,$Z$124:$Z$1030,"KCM",$AA$124:$AA$1030,"TNMT")</f>
        <v>0</v>
      </c>
      <c r="AR7" s="82">
        <f>SUMIFS($AB$124:$AB$1030,$Z$124:$Z$1030,"KCM",$AA$124:$AA$1030,"QLNN")</f>
        <v>0</v>
      </c>
      <c r="AS7" s="82">
        <f>SUMIFS($AB$124:$AB$1030,$Z$124:$Z$1030,"KCM",$AA$124:$AA$1030,"QPAN")</f>
        <v>0</v>
      </c>
      <c r="AT7" s="82">
        <f>SUMIFS($AB$124:$AB$1030,$Z$124:$Z$1030,"KCM",$AA$124:$AA$1030,"PTĐT")</f>
        <v>0</v>
      </c>
      <c r="AU7" s="82">
        <f>SUMIFS($AB$124:$AB$1030,$Z$124:$Z$1030,"KCM",$AA$124:$AA$1030,"TMDV")</f>
        <v>0</v>
      </c>
      <c r="AV7" s="58">
        <f>SUM(AI7:AU7)</f>
        <v>0</v>
      </c>
      <c r="AW7" s="57"/>
    </row>
    <row r="8" spans="1:49" ht="102.75" customHeight="1">
      <c r="A8" s="13"/>
      <c r="B8" s="13" t="s">
        <v>280</v>
      </c>
      <c r="C8" s="13"/>
      <c r="D8" s="13"/>
      <c r="E8" s="13"/>
      <c r="F8" s="13"/>
      <c r="G8" s="13"/>
      <c r="H8" s="85"/>
      <c r="I8" s="85"/>
      <c r="J8" s="85"/>
      <c r="K8" s="85"/>
      <c r="L8" s="85"/>
      <c r="M8" s="85"/>
      <c r="N8" s="85"/>
      <c r="O8" s="85"/>
      <c r="P8" s="85"/>
      <c r="Q8" s="85"/>
      <c r="R8" s="85"/>
      <c r="S8" s="85"/>
      <c r="T8" s="85"/>
      <c r="U8" s="85"/>
      <c r="V8" s="85"/>
      <c r="W8" s="338" t="s">
        <v>1445</v>
      </c>
      <c r="X8" s="55"/>
      <c r="Y8" s="85">
        <f>SUM(Y9,Y14,Y17,Y27,Y44,Y55,Y58,Y62,Y65,Y68,Y72,Y83,Y87,Y91,Y94,Y97,Y100,Y103,Y113)</f>
        <v>566300</v>
      </c>
      <c r="Z8" s="56"/>
      <c r="AA8" s="56"/>
      <c r="AB8" s="57"/>
      <c r="AC8" s="57"/>
      <c r="AD8" s="57"/>
      <c r="AE8" s="57"/>
      <c r="AF8" s="57"/>
      <c r="AG8" s="57"/>
      <c r="AH8" s="14"/>
      <c r="AI8" s="14"/>
      <c r="AJ8" s="14"/>
      <c r="AK8" s="14"/>
      <c r="AL8" s="14"/>
      <c r="AM8" s="14"/>
      <c r="AN8" s="14"/>
      <c r="AO8" s="14"/>
      <c r="AP8" s="14"/>
      <c r="AQ8" s="14"/>
      <c r="AR8" s="14"/>
      <c r="AS8" s="14"/>
      <c r="AT8" s="14"/>
      <c r="AU8" s="14"/>
      <c r="AV8" s="58"/>
      <c r="AW8" s="57"/>
    </row>
    <row r="9" spans="1:49" s="18" customFormat="1" ht="60" customHeight="1">
      <c r="A9" s="13" t="s">
        <v>15</v>
      </c>
      <c r="B9" s="26" t="s">
        <v>1004</v>
      </c>
      <c r="C9" s="13"/>
      <c r="D9" s="13"/>
      <c r="E9" s="13"/>
      <c r="F9" s="13"/>
      <c r="G9" s="13"/>
      <c r="H9" s="8" t="e">
        <f>SUM(#REF!,#REF!,#REF!)</f>
        <v>#REF!</v>
      </c>
      <c r="I9" s="8" t="e">
        <f>SUM(#REF!,#REF!,#REF!)</f>
        <v>#REF!</v>
      </c>
      <c r="J9" s="8" t="e">
        <f>SUM(#REF!,#REF!,#REF!)</f>
        <v>#REF!</v>
      </c>
      <c r="K9" s="8" t="e">
        <f>SUM(#REF!,#REF!,#REF!)</f>
        <v>#REF!</v>
      </c>
      <c r="L9" s="8" t="e">
        <f>SUM(#REF!,#REF!,#REF!)</f>
        <v>#REF!</v>
      </c>
      <c r="M9" s="8" t="e">
        <f>SUM(#REF!,#REF!,#REF!)</f>
        <v>#REF!</v>
      </c>
      <c r="N9" s="8" t="e">
        <f>SUM(#REF!,#REF!,#REF!)</f>
        <v>#REF!</v>
      </c>
      <c r="O9" s="8" t="e">
        <f>SUM(#REF!,#REF!,#REF!)</f>
        <v>#REF!</v>
      </c>
      <c r="P9" s="8" t="e">
        <f>SUM(#REF!,#REF!,#REF!)</f>
        <v>#REF!</v>
      </c>
      <c r="Q9" s="8" t="e">
        <f>SUM(#REF!,#REF!,#REF!)</f>
        <v>#REF!</v>
      </c>
      <c r="R9" s="8" t="e">
        <f>SUM(#REF!,#REF!,#REF!)</f>
        <v>#REF!</v>
      </c>
      <c r="S9" s="8" t="e">
        <f>SUM(#REF!,#REF!,#REF!)</f>
        <v>#REF!</v>
      </c>
      <c r="T9" s="8" t="e">
        <f>SUM(#REF!,#REF!,#REF!)</f>
        <v>#REF!</v>
      </c>
      <c r="U9" s="8" t="e">
        <f>SUM(#REF!,#REF!,#REF!)</f>
        <v>#REF!</v>
      </c>
      <c r="V9" s="8" t="e">
        <f>SUM(#REF!,#REF!,#REF!)</f>
        <v>#REF!</v>
      </c>
      <c r="W9" s="334"/>
      <c r="X9" s="211"/>
      <c r="Y9" s="8">
        <f>SUM(Y10,Y12)</f>
        <v>16500</v>
      </c>
      <c r="Z9" s="189"/>
      <c r="AA9" s="189"/>
      <c r="AB9" s="179"/>
      <c r="AC9" s="179"/>
      <c r="AD9" s="179"/>
      <c r="AE9" s="179"/>
      <c r="AF9" s="179"/>
      <c r="AG9" s="179"/>
      <c r="AH9" s="179"/>
      <c r="AI9" s="179"/>
      <c r="AJ9" s="179"/>
      <c r="AK9" s="179"/>
      <c r="AL9" s="179"/>
      <c r="AM9" s="179"/>
      <c r="AN9" s="179"/>
      <c r="AO9" s="179"/>
      <c r="AP9" s="179"/>
      <c r="AQ9" s="179"/>
      <c r="AR9" s="179"/>
      <c r="AS9" s="179"/>
      <c r="AT9" s="179"/>
      <c r="AU9" s="179"/>
      <c r="AV9" s="179"/>
      <c r="AW9" s="179"/>
    </row>
    <row r="10" spans="1:49" s="20" customFormat="1" ht="44.25" customHeight="1">
      <c r="A10" s="109" t="s">
        <v>17</v>
      </c>
      <c r="B10" s="110" t="s">
        <v>358</v>
      </c>
      <c r="C10" s="110"/>
      <c r="D10" s="109"/>
      <c r="E10" s="110"/>
      <c r="F10" s="110"/>
      <c r="G10" s="110"/>
      <c r="H10" s="111"/>
      <c r="I10" s="111"/>
      <c r="J10" s="111"/>
      <c r="K10" s="111"/>
      <c r="L10" s="111"/>
      <c r="M10" s="111"/>
      <c r="N10" s="111"/>
      <c r="O10" s="111"/>
      <c r="P10" s="111"/>
      <c r="Q10" s="111"/>
      <c r="R10" s="111"/>
      <c r="S10" s="111"/>
      <c r="T10" s="111"/>
      <c r="U10" s="111"/>
      <c r="V10" s="111"/>
      <c r="W10" s="335"/>
      <c r="X10" s="130"/>
      <c r="Y10" s="111">
        <f>SUM(Y11)</f>
        <v>12000</v>
      </c>
      <c r="Z10" s="113"/>
      <c r="AA10" s="113"/>
    </row>
    <row r="11" spans="1:49" ht="60.9" customHeight="1">
      <c r="A11" s="114">
        <v>1</v>
      </c>
      <c r="B11" s="36" t="s">
        <v>388</v>
      </c>
      <c r="C11" s="23" t="s">
        <v>389</v>
      </c>
      <c r="D11" s="34" t="s">
        <v>19</v>
      </c>
      <c r="E11" s="23" t="s">
        <v>421</v>
      </c>
      <c r="F11" s="23" t="s">
        <v>391</v>
      </c>
      <c r="G11" s="86" t="s">
        <v>393</v>
      </c>
      <c r="H11" s="62"/>
      <c r="I11" s="32"/>
      <c r="J11" s="37"/>
      <c r="K11" s="37"/>
      <c r="L11" s="37"/>
      <c r="M11" s="37"/>
      <c r="N11" s="37"/>
      <c r="O11" s="37"/>
      <c r="P11" s="37"/>
      <c r="Q11" s="37"/>
      <c r="R11" s="32"/>
      <c r="S11" s="32"/>
      <c r="T11" s="37"/>
      <c r="U11" s="37"/>
      <c r="V11" s="80"/>
      <c r="W11" s="335"/>
      <c r="X11" s="131" t="s">
        <v>985</v>
      </c>
      <c r="Y11" s="37">
        <v>12000</v>
      </c>
      <c r="AB11" s="6" t="e">
        <f>#REF!</f>
        <v>#REF!</v>
      </c>
      <c r="AC11" s="6"/>
      <c r="AD11" s="6"/>
      <c r="AE11" s="6"/>
    </row>
    <row r="12" spans="1:49" s="20" customFormat="1" ht="44.25" customHeight="1">
      <c r="A12" s="109" t="s">
        <v>25</v>
      </c>
      <c r="B12" s="110" t="s">
        <v>355</v>
      </c>
      <c r="C12" s="110"/>
      <c r="D12" s="109"/>
      <c r="E12" s="110"/>
      <c r="F12" s="110"/>
      <c r="G12" s="110"/>
      <c r="H12" s="111"/>
      <c r="I12" s="111"/>
      <c r="J12" s="111"/>
      <c r="K12" s="111"/>
      <c r="L12" s="111"/>
      <c r="M12" s="111"/>
      <c r="N12" s="111"/>
      <c r="O12" s="111"/>
      <c r="P12" s="111"/>
      <c r="Q12" s="111"/>
      <c r="R12" s="111"/>
      <c r="S12" s="111"/>
      <c r="T12" s="111"/>
      <c r="U12" s="111"/>
      <c r="V12" s="111"/>
      <c r="W12" s="112"/>
      <c r="X12" s="130"/>
      <c r="Y12" s="111">
        <f>SUM(Y13)</f>
        <v>4500</v>
      </c>
      <c r="Z12" s="113"/>
      <c r="AA12" s="113"/>
    </row>
    <row r="13" spans="1:49" ht="72" customHeight="1">
      <c r="A13" s="10">
        <v>1</v>
      </c>
      <c r="B13" s="115" t="s">
        <v>687</v>
      </c>
      <c r="C13" s="10" t="s">
        <v>131</v>
      </c>
      <c r="D13" s="185" t="s">
        <v>19</v>
      </c>
      <c r="E13" s="10" t="s">
        <v>688</v>
      </c>
      <c r="F13" s="10" t="s">
        <v>391</v>
      </c>
      <c r="G13" s="17"/>
      <c r="H13" s="17"/>
      <c r="I13" s="17"/>
      <c r="J13" s="17"/>
      <c r="K13" s="17"/>
      <c r="L13" s="17"/>
      <c r="M13" s="17"/>
      <c r="N13" s="17"/>
      <c r="O13" s="17"/>
      <c r="P13" s="17"/>
      <c r="Q13" s="17"/>
      <c r="R13" s="17"/>
      <c r="S13" s="17"/>
      <c r="T13" s="17"/>
      <c r="U13" s="17"/>
      <c r="V13" s="17"/>
      <c r="W13" s="17"/>
      <c r="X13" s="11" t="s">
        <v>985</v>
      </c>
      <c r="Y13" s="70">
        <v>4500</v>
      </c>
      <c r="AB13" s="6" t="e">
        <f>#REF!</f>
        <v>#REF!</v>
      </c>
    </row>
    <row r="14" spans="1:49" s="18" customFormat="1" ht="60" customHeight="1">
      <c r="A14" s="13" t="s">
        <v>31</v>
      </c>
      <c r="B14" s="26" t="s">
        <v>1005</v>
      </c>
      <c r="C14" s="13"/>
      <c r="D14" s="13"/>
      <c r="E14" s="13"/>
      <c r="F14" s="13"/>
      <c r="G14" s="13"/>
      <c r="H14" s="8" t="e">
        <f>SUM(#REF!,#REF!,#REF!)</f>
        <v>#REF!</v>
      </c>
      <c r="I14" s="8" t="e">
        <f>SUM(#REF!,#REF!,#REF!)</f>
        <v>#REF!</v>
      </c>
      <c r="J14" s="8" t="e">
        <f>SUM(#REF!,#REF!,#REF!)</f>
        <v>#REF!</v>
      </c>
      <c r="K14" s="8" t="e">
        <f>SUM(#REF!,#REF!,#REF!)</f>
        <v>#REF!</v>
      </c>
      <c r="L14" s="8" t="e">
        <f>SUM(#REF!,#REF!,#REF!)</f>
        <v>#REF!</v>
      </c>
      <c r="M14" s="8" t="e">
        <f>SUM(#REF!,#REF!,#REF!)</f>
        <v>#REF!</v>
      </c>
      <c r="N14" s="8" t="e">
        <f>SUM(#REF!,#REF!,#REF!)</f>
        <v>#REF!</v>
      </c>
      <c r="O14" s="8" t="e">
        <f>SUM(#REF!,#REF!,#REF!)</f>
        <v>#REF!</v>
      </c>
      <c r="P14" s="8" t="e">
        <f>SUM(#REF!,#REF!,#REF!)</f>
        <v>#REF!</v>
      </c>
      <c r="Q14" s="8" t="e">
        <f>SUM(#REF!,#REF!,#REF!)</f>
        <v>#REF!</v>
      </c>
      <c r="R14" s="8" t="e">
        <f>SUM(#REF!,#REF!,#REF!)</f>
        <v>#REF!</v>
      </c>
      <c r="S14" s="8" t="e">
        <f>SUM(#REF!,#REF!,#REF!)</f>
        <v>#REF!</v>
      </c>
      <c r="T14" s="8" t="e">
        <f>SUM(#REF!,#REF!,#REF!)</f>
        <v>#REF!</v>
      </c>
      <c r="U14" s="8" t="e">
        <f>SUM(#REF!,#REF!,#REF!)</f>
        <v>#REF!</v>
      </c>
      <c r="V14" s="8" t="e">
        <f>SUM(#REF!,#REF!,#REF!)</f>
        <v>#REF!</v>
      </c>
      <c r="W14" s="334"/>
      <c r="X14" s="211"/>
      <c r="Y14" s="111">
        <f>SUM(Y15)</f>
        <v>10000</v>
      </c>
      <c r="Z14" s="189"/>
      <c r="AA14" s="18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row>
    <row r="15" spans="1:49" s="20" customFormat="1" ht="44.25" customHeight="1">
      <c r="A15" s="109" t="s">
        <v>17</v>
      </c>
      <c r="B15" s="110" t="s">
        <v>358</v>
      </c>
      <c r="C15" s="110"/>
      <c r="D15" s="109"/>
      <c r="E15" s="110"/>
      <c r="F15" s="110"/>
      <c r="G15" s="110"/>
      <c r="H15" s="111"/>
      <c r="I15" s="111"/>
      <c r="J15" s="111"/>
      <c r="K15" s="111"/>
      <c r="L15" s="111"/>
      <c r="M15" s="111"/>
      <c r="N15" s="111"/>
      <c r="O15" s="111"/>
      <c r="P15" s="111"/>
      <c r="Q15" s="111"/>
      <c r="R15" s="111"/>
      <c r="S15" s="111"/>
      <c r="T15" s="111"/>
      <c r="U15" s="111"/>
      <c r="V15" s="111"/>
      <c r="W15" s="335"/>
      <c r="X15" s="130"/>
      <c r="Y15" s="111">
        <f>SUM(Y16)</f>
        <v>10000</v>
      </c>
      <c r="Z15" s="113"/>
      <c r="AA15" s="113"/>
    </row>
    <row r="16" spans="1:49" ht="60.9" customHeight="1">
      <c r="A16" s="114">
        <v>1</v>
      </c>
      <c r="B16" s="36" t="s">
        <v>395</v>
      </c>
      <c r="C16" s="23" t="s">
        <v>392</v>
      </c>
      <c r="D16" s="34" t="s">
        <v>19</v>
      </c>
      <c r="E16" s="23" t="s">
        <v>421</v>
      </c>
      <c r="F16" s="23" t="s">
        <v>391</v>
      </c>
      <c r="G16" s="86" t="s">
        <v>396</v>
      </c>
      <c r="H16" s="62"/>
      <c r="I16" s="32"/>
      <c r="J16" s="37"/>
      <c r="K16" s="37"/>
      <c r="L16" s="37"/>
      <c r="M16" s="37"/>
      <c r="N16" s="37"/>
      <c r="O16" s="37"/>
      <c r="P16" s="37"/>
      <c r="Q16" s="37"/>
      <c r="R16" s="32"/>
      <c r="S16" s="32"/>
      <c r="T16" s="37"/>
      <c r="U16" s="37"/>
      <c r="V16" s="80"/>
      <c r="W16" s="335"/>
      <c r="X16" s="131" t="s">
        <v>986</v>
      </c>
      <c r="Y16" s="37">
        <v>10000</v>
      </c>
      <c r="AB16" s="6" t="e">
        <f>#REF!</f>
        <v>#REF!</v>
      </c>
      <c r="AC16" s="6"/>
      <c r="AD16" s="6"/>
      <c r="AE16" s="6"/>
    </row>
    <row r="17" spans="1:49" s="18" customFormat="1" ht="60" customHeight="1">
      <c r="A17" s="13" t="s">
        <v>90</v>
      </c>
      <c r="B17" s="26" t="s">
        <v>1026</v>
      </c>
      <c r="C17" s="13"/>
      <c r="D17" s="13"/>
      <c r="E17" s="13"/>
      <c r="F17" s="13"/>
      <c r="G17" s="13"/>
      <c r="H17" s="8" t="e">
        <f>SUM(#REF!,#REF!,#REF!)</f>
        <v>#REF!</v>
      </c>
      <c r="I17" s="8" t="e">
        <f>SUM(#REF!,#REF!,#REF!)</f>
        <v>#REF!</v>
      </c>
      <c r="J17" s="8" t="e">
        <f>SUM(#REF!,#REF!,#REF!)</f>
        <v>#REF!</v>
      </c>
      <c r="K17" s="8" t="e">
        <f>SUM(#REF!,#REF!,#REF!)</f>
        <v>#REF!</v>
      </c>
      <c r="L17" s="8" t="e">
        <f>SUM(#REF!,#REF!,#REF!)</f>
        <v>#REF!</v>
      </c>
      <c r="M17" s="8" t="e">
        <f>SUM(#REF!,#REF!,#REF!)</f>
        <v>#REF!</v>
      </c>
      <c r="N17" s="8" t="e">
        <f>SUM(#REF!,#REF!,#REF!)</f>
        <v>#REF!</v>
      </c>
      <c r="O17" s="8" t="e">
        <f>SUM(#REF!,#REF!,#REF!)</f>
        <v>#REF!</v>
      </c>
      <c r="P17" s="8" t="e">
        <f>SUM(#REF!,#REF!,#REF!)</f>
        <v>#REF!</v>
      </c>
      <c r="Q17" s="8" t="e">
        <f>SUM(#REF!,#REF!,#REF!)</f>
        <v>#REF!</v>
      </c>
      <c r="R17" s="8" t="e">
        <f>SUM(#REF!,#REF!,#REF!)</f>
        <v>#REF!</v>
      </c>
      <c r="S17" s="8" t="e">
        <f>SUM(#REF!,#REF!,#REF!)</f>
        <v>#REF!</v>
      </c>
      <c r="T17" s="8" t="e">
        <f>SUM(#REF!,#REF!,#REF!)</f>
        <v>#REF!</v>
      </c>
      <c r="U17" s="8" t="e">
        <f>SUM(#REF!,#REF!,#REF!)</f>
        <v>#REF!</v>
      </c>
      <c r="V17" s="8" t="e">
        <f>SUM(#REF!,#REF!,#REF!)</f>
        <v>#REF!</v>
      </c>
      <c r="W17" s="334"/>
      <c r="X17" s="211"/>
      <c r="Y17" s="8">
        <f>SUM(Y18,Y21,Y25)</f>
        <v>49700</v>
      </c>
      <c r="Z17" s="189"/>
      <c r="AA17" s="18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row>
    <row r="18" spans="1:49" s="20" customFormat="1" ht="44.25" customHeight="1">
      <c r="A18" s="109" t="s">
        <v>17</v>
      </c>
      <c r="B18" s="110" t="s">
        <v>64</v>
      </c>
      <c r="C18" s="110"/>
      <c r="D18" s="109"/>
      <c r="E18" s="110"/>
      <c r="F18" s="110"/>
      <c r="G18" s="110"/>
      <c r="H18" s="111"/>
      <c r="I18" s="111"/>
      <c r="J18" s="111"/>
      <c r="K18" s="111"/>
      <c r="L18" s="111"/>
      <c r="M18" s="111"/>
      <c r="N18" s="111"/>
      <c r="O18" s="111"/>
      <c r="P18" s="111"/>
      <c r="Q18" s="111"/>
      <c r="R18" s="111"/>
      <c r="S18" s="111"/>
      <c r="T18" s="111"/>
      <c r="U18" s="111"/>
      <c r="V18" s="111"/>
      <c r="W18" s="335"/>
      <c r="X18" s="130"/>
      <c r="Y18" s="111">
        <f>SUM(Y19:Y20)</f>
        <v>15900</v>
      </c>
      <c r="Z18" s="113"/>
      <c r="AA18" s="113"/>
    </row>
    <row r="19" spans="1:49" ht="60.9" customHeight="1">
      <c r="A19" s="114">
        <v>1</v>
      </c>
      <c r="B19" s="183" t="s">
        <v>159</v>
      </c>
      <c r="C19" s="28" t="s">
        <v>158</v>
      </c>
      <c r="D19" s="28" t="s">
        <v>19</v>
      </c>
      <c r="E19" s="28" t="s">
        <v>160</v>
      </c>
      <c r="F19" s="28" t="s">
        <v>36</v>
      </c>
      <c r="G19" s="13"/>
      <c r="H19" s="8"/>
      <c r="I19" s="8"/>
      <c r="J19" s="8"/>
      <c r="K19" s="8"/>
      <c r="L19" s="8"/>
      <c r="M19" s="8"/>
      <c r="N19" s="8"/>
      <c r="O19" s="8"/>
      <c r="P19" s="8"/>
      <c r="Q19" s="8"/>
      <c r="R19" s="8"/>
      <c r="S19" s="8"/>
      <c r="T19" s="8"/>
      <c r="U19" s="8"/>
      <c r="V19" s="8"/>
      <c r="W19" s="335"/>
      <c r="X19" s="131"/>
      <c r="Y19" s="32">
        <v>9300</v>
      </c>
      <c r="AB19" s="6" t="e">
        <f>#REF!</f>
        <v>#REF!</v>
      </c>
      <c r="AC19" s="6"/>
      <c r="AD19" s="6"/>
      <c r="AE19" s="6"/>
    </row>
    <row r="20" spans="1:49" ht="60.9" customHeight="1">
      <c r="A20" s="114">
        <v>2</v>
      </c>
      <c r="B20" s="183" t="s">
        <v>162</v>
      </c>
      <c r="C20" s="28" t="s">
        <v>161</v>
      </c>
      <c r="D20" s="28" t="s">
        <v>19</v>
      </c>
      <c r="E20" s="28" t="s">
        <v>163</v>
      </c>
      <c r="F20" s="28" t="s">
        <v>36</v>
      </c>
      <c r="G20" s="13"/>
      <c r="H20" s="8"/>
      <c r="I20" s="8"/>
      <c r="J20" s="8"/>
      <c r="K20" s="8"/>
      <c r="L20" s="8"/>
      <c r="M20" s="8"/>
      <c r="N20" s="8"/>
      <c r="O20" s="8"/>
      <c r="P20" s="8"/>
      <c r="Q20" s="8"/>
      <c r="R20" s="8"/>
      <c r="S20" s="8"/>
      <c r="T20" s="8"/>
      <c r="U20" s="8"/>
      <c r="V20" s="8"/>
      <c r="W20" s="335"/>
      <c r="X20" s="131"/>
      <c r="Y20" s="32">
        <v>6600</v>
      </c>
      <c r="AB20" s="6" t="e">
        <f>#REF!</f>
        <v>#REF!</v>
      </c>
      <c r="AC20" s="6"/>
      <c r="AD20" s="6"/>
      <c r="AE20" s="6"/>
    </row>
    <row r="21" spans="1:49" s="20" customFormat="1" ht="44.25" customHeight="1">
      <c r="A21" s="109" t="s">
        <v>25</v>
      </c>
      <c r="B21" s="110" t="s">
        <v>358</v>
      </c>
      <c r="C21" s="110"/>
      <c r="D21" s="109"/>
      <c r="E21" s="110"/>
      <c r="F21" s="110"/>
      <c r="G21" s="110"/>
      <c r="H21" s="111"/>
      <c r="I21" s="111"/>
      <c r="J21" s="111"/>
      <c r="K21" s="111"/>
      <c r="L21" s="111"/>
      <c r="M21" s="111"/>
      <c r="N21" s="111"/>
      <c r="O21" s="111"/>
      <c r="P21" s="111"/>
      <c r="Q21" s="111"/>
      <c r="R21" s="111"/>
      <c r="S21" s="111"/>
      <c r="T21" s="111"/>
      <c r="U21" s="111"/>
      <c r="V21" s="111"/>
      <c r="W21" s="335"/>
      <c r="X21" s="130"/>
      <c r="Y21" s="111">
        <f>SUM(Y22:Y24)</f>
        <v>30500</v>
      </c>
      <c r="Z21" s="113"/>
      <c r="AA21" s="113"/>
    </row>
    <row r="22" spans="1:49" ht="60.9" customHeight="1">
      <c r="A22" s="114">
        <v>1</v>
      </c>
      <c r="B22" s="183" t="s">
        <v>173</v>
      </c>
      <c r="C22" s="28" t="s">
        <v>158</v>
      </c>
      <c r="D22" s="28" t="s">
        <v>19</v>
      </c>
      <c r="E22" s="28" t="s">
        <v>174</v>
      </c>
      <c r="F22" s="28" t="s">
        <v>36</v>
      </c>
      <c r="G22" s="86"/>
      <c r="H22" s="62"/>
      <c r="I22" s="32"/>
      <c r="J22" s="37"/>
      <c r="K22" s="37"/>
      <c r="L22" s="37"/>
      <c r="M22" s="37"/>
      <c r="N22" s="37"/>
      <c r="O22" s="37"/>
      <c r="P22" s="37"/>
      <c r="Q22" s="37"/>
      <c r="R22" s="32"/>
      <c r="S22" s="32"/>
      <c r="T22" s="37"/>
      <c r="U22" s="37"/>
      <c r="V22" s="80"/>
      <c r="W22" s="335"/>
      <c r="X22" s="131" t="s">
        <v>985</v>
      </c>
      <c r="Y22" s="37">
        <v>7000</v>
      </c>
      <c r="AB22" s="6" t="e">
        <f>#REF!</f>
        <v>#REF!</v>
      </c>
      <c r="AC22" s="6"/>
      <c r="AD22" s="6"/>
      <c r="AE22" s="6"/>
    </row>
    <row r="23" spans="1:49" ht="60.9" customHeight="1">
      <c r="A23" s="114">
        <v>2</v>
      </c>
      <c r="B23" s="36" t="s">
        <v>397</v>
      </c>
      <c r="C23" s="23" t="s">
        <v>398</v>
      </c>
      <c r="D23" s="34" t="s">
        <v>19</v>
      </c>
      <c r="E23" s="23" t="s">
        <v>421</v>
      </c>
      <c r="F23" s="23" t="s">
        <v>391</v>
      </c>
      <c r="G23" s="86" t="s">
        <v>399</v>
      </c>
      <c r="H23" s="62"/>
      <c r="I23" s="32"/>
      <c r="J23" s="37"/>
      <c r="K23" s="37"/>
      <c r="L23" s="37"/>
      <c r="M23" s="37"/>
      <c r="N23" s="37"/>
      <c r="O23" s="37"/>
      <c r="P23" s="37"/>
      <c r="Q23" s="37"/>
      <c r="R23" s="32"/>
      <c r="S23" s="32"/>
      <c r="T23" s="37"/>
      <c r="U23" s="37"/>
      <c r="V23" s="80"/>
      <c r="W23" s="335"/>
      <c r="X23" s="131"/>
      <c r="Y23" s="37">
        <v>15000</v>
      </c>
      <c r="AB23" s="6" t="e">
        <f>#REF!</f>
        <v>#REF!</v>
      </c>
      <c r="AC23" s="6"/>
      <c r="AD23" s="6"/>
      <c r="AE23" s="6"/>
    </row>
    <row r="24" spans="1:49" ht="60.9" customHeight="1">
      <c r="A24" s="114">
        <v>3</v>
      </c>
      <c r="B24" s="115" t="s">
        <v>673</v>
      </c>
      <c r="C24" s="10" t="s">
        <v>674</v>
      </c>
      <c r="D24" s="185" t="s">
        <v>19</v>
      </c>
      <c r="E24" s="10" t="s">
        <v>675</v>
      </c>
      <c r="F24" s="10" t="s">
        <v>36</v>
      </c>
      <c r="G24" s="17" t="s">
        <v>842</v>
      </c>
      <c r="H24" s="17"/>
      <c r="I24" s="17"/>
      <c r="J24" s="17"/>
      <c r="K24" s="17"/>
      <c r="L24" s="17"/>
      <c r="M24" s="17"/>
      <c r="N24" s="17"/>
      <c r="O24" s="17"/>
      <c r="P24" s="17"/>
      <c r="Q24" s="17"/>
      <c r="R24" s="17"/>
      <c r="S24" s="17"/>
      <c r="T24" s="17"/>
      <c r="U24" s="17"/>
      <c r="V24" s="17"/>
      <c r="W24" s="335"/>
      <c r="X24" s="131"/>
      <c r="Y24" s="70">
        <v>8500</v>
      </c>
      <c r="AB24" s="6" t="e">
        <f>#REF!</f>
        <v>#REF!</v>
      </c>
      <c r="AC24" s="6"/>
      <c r="AD24" s="6"/>
      <c r="AE24" s="6"/>
    </row>
    <row r="25" spans="1:49" s="20" customFormat="1" ht="44.25" customHeight="1">
      <c r="A25" s="109" t="s">
        <v>30</v>
      </c>
      <c r="B25" s="110" t="s">
        <v>65</v>
      </c>
      <c r="C25" s="110"/>
      <c r="D25" s="109"/>
      <c r="E25" s="110"/>
      <c r="F25" s="110"/>
      <c r="G25" s="110"/>
      <c r="H25" s="111"/>
      <c r="I25" s="111"/>
      <c r="J25" s="111"/>
      <c r="K25" s="111"/>
      <c r="L25" s="111"/>
      <c r="M25" s="111"/>
      <c r="N25" s="111"/>
      <c r="O25" s="111"/>
      <c r="P25" s="111"/>
      <c r="Q25" s="111"/>
      <c r="R25" s="111"/>
      <c r="S25" s="111"/>
      <c r="T25" s="111"/>
      <c r="U25" s="111"/>
      <c r="V25" s="111"/>
      <c r="W25" s="112"/>
      <c r="X25" s="130"/>
      <c r="Y25" s="111">
        <f>SUM(Y26)</f>
        <v>3300</v>
      </c>
      <c r="Z25" s="113"/>
      <c r="AA25" s="113"/>
    </row>
    <row r="26" spans="1:49" ht="72" customHeight="1">
      <c r="A26" s="10">
        <v>1</v>
      </c>
      <c r="B26" s="36" t="s">
        <v>180</v>
      </c>
      <c r="C26" s="23" t="s">
        <v>158</v>
      </c>
      <c r="D26" s="34" t="s">
        <v>19</v>
      </c>
      <c r="E26" s="23" t="s">
        <v>277</v>
      </c>
      <c r="F26" s="23" t="s">
        <v>36</v>
      </c>
      <c r="G26" s="86"/>
      <c r="H26" s="62"/>
      <c r="I26" s="32"/>
      <c r="J26" s="37"/>
      <c r="K26" s="37"/>
      <c r="L26" s="37"/>
      <c r="M26" s="37"/>
      <c r="N26" s="37"/>
      <c r="O26" s="37"/>
      <c r="P26" s="37"/>
      <c r="Q26" s="37"/>
      <c r="R26" s="32"/>
      <c r="S26" s="32"/>
      <c r="T26" s="37"/>
      <c r="U26" s="37"/>
      <c r="V26" s="80"/>
      <c r="W26" s="17"/>
      <c r="X26" s="11" t="s">
        <v>985</v>
      </c>
      <c r="Y26" s="37">
        <v>3300</v>
      </c>
      <c r="AB26" s="6" t="e">
        <f>#REF!</f>
        <v>#REF!</v>
      </c>
    </row>
    <row r="27" spans="1:49" s="18" customFormat="1" ht="60" customHeight="1">
      <c r="A27" s="13" t="s">
        <v>284</v>
      </c>
      <c r="B27" s="26" t="s">
        <v>1025</v>
      </c>
      <c r="C27" s="13"/>
      <c r="D27" s="13"/>
      <c r="E27" s="13"/>
      <c r="F27" s="13"/>
      <c r="G27" s="13"/>
      <c r="H27" s="8" t="e">
        <f>SUM(#REF!,#REF!,#REF!)</f>
        <v>#REF!</v>
      </c>
      <c r="I27" s="8" t="e">
        <f>SUM(#REF!,#REF!,#REF!)</f>
        <v>#REF!</v>
      </c>
      <c r="J27" s="8" t="e">
        <f>SUM(#REF!,#REF!,#REF!)</f>
        <v>#REF!</v>
      </c>
      <c r="K27" s="8" t="e">
        <f>SUM(#REF!,#REF!,#REF!)</f>
        <v>#REF!</v>
      </c>
      <c r="L27" s="8" t="e">
        <f>SUM(#REF!,#REF!,#REF!)</f>
        <v>#REF!</v>
      </c>
      <c r="M27" s="8" t="e">
        <f>SUM(#REF!,#REF!,#REF!)</f>
        <v>#REF!</v>
      </c>
      <c r="N27" s="8" t="e">
        <f>SUM(#REF!,#REF!,#REF!)</f>
        <v>#REF!</v>
      </c>
      <c r="O27" s="8" t="e">
        <f>SUM(#REF!,#REF!,#REF!)</f>
        <v>#REF!</v>
      </c>
      <c r="P27" s="8" t="e">
        <f>SUM(#REF!,#REF!,#REF!)</f>
        <v>#REF!</v>
      </c>
      <c r="Q27" s="8" t="e">
        <f>SUM(#REF!,#REF!,#REF!)</f>
        <v>#REF!</v>
      </c>
      <c r="R27" s="8" t="e">
        <f>SUM(#REF!,#REF!,#REF!)</f>
        <v>#REF!</v>
      </c>
      <c r="S27" s="8" t="e">
        <f>SUM(#REF!,#REF!,#REF!)</f>
        <v>#REF!</v>
      </c>
      <c r="T27" s="8" t="e">
        <f>SUM(#REF!,#REF!,#REF!)</f>
        <v>#REF!</v>
      </c>
      <c r="U27" s="8" t="e">
        <f>SUM(#REF!,#REF!,#REF!)</f>
        <v>#REF!</v>
      </c>
      <c r="V27" s="8" t="e">
        <f>SUM(#REF!,#REF!,#REF!)</f>
        <v>#REF!</v>
      </c>
      <c r="W27" s="334"/>
      <c r="X27" s="211"/>
      <c r="Y27" s="8">
        <f>SUM(Y28,Y34,Y40)</f>
        <v>141700</v>
      </c>
      <c r="Z27" s="189"/>
      <c r="AA27" s="18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row>
    <row r="28" spans="1:49" s="20" customFormat="1" ht="44.25" customHeight="1">
      <c r="A28" s="109" t="s">
        <v>17</v>
      </c>
      <c r="B28" s="110" t="s">
        <v>64</v>
      </c>
      <c r="C28" s="110"/>
      <c r="D28" s="109"/>
      <c r="E28" s="110"/>
      <c r="F28" s="110"/>
      <c r="G28" s="110"/>
      <c r="H28" s="111"/>
      <c r="I28" s="111"/>
      <c r="J28" s="111"/>
      <c r="K28" s="111"/>
      <c r="L28" s="111"/>
      <c r="M28" s="111"/>
      <c r="N28" s="111"/>
      <c r="O28" s="111"/>
      <c r="P28" s="111"/>
      <c r="Q28" s="111"/>
      <c r="R28" s="111"/>
      <c r="S28" s="111"/>
      <c r="T28" s="111"/>
      <c r="U28" s="111"/>
      <c r="V28" s="111"/>
      <c r="W28" s="335"/>
      <c r="X28" s="130"/>
      <c r="Y28" s="111">
        <f>SUM(Y29:Y33)</f>
        <v>88400</v>
      </c>
      <c r="Z28" s="113"/>
      <c r="AA28" s="113"/>
    </row>
    <row r="29" spans="1:49" ht="60.9" customHeight="1">
      <c r="A29" s="114">
        <v>1</v>
      </c>
      <c r="B29" s="115" t="s">
        <v>736</v>
      </c>
      <c r="C29" s="28" t="s">
        <v>930</v>
      </c>
      <c r="D29" s="150" t="s">
        <v>20</v>
      </c>
      <c r="E29" s="28" t="s">
        <v>931</v>
      </c>
      <c r="F29" s="28" t="s">
        <v>932</v>
      </c>
      <c r="G29" s="193"/>
      <c r="H29" s="80">
        <v>80000</v>
      </c>
      <c r="I29" s="81"/>
      <c r="J29" s="32"/>
      <c r="K29" s="32"/>
      <c r="L29" s="32"/>
      <c r="M29" s="32"/>
      <c r="N29" s="32"/>
      <c r="O29" s="32"/>
      <c r="P29" s="32"/>
      <c r="Q29" s="32"/>
      <c r="R29" s="32"/>
      <c r="S29" s="81"/>
      <c r="T29" s="32"/>
      <c r="U29" s="37"/>
      <c r="V29" s="80">
        <f>H29-R29</f>
        <v>80000</v>
      </c>
      <c r="W29" s="335"/>
      <c r="X29" s="131"/>
      <c r="Y29" s="37">
        <v>15000</v>
      </c>
      <c r="AB29" s="6" t="e">
        <f>#REF!</f>
        <v>#REF!</v>
      </c>
      <c r="AC29" s="6"/>
      <c r="AD29" s="6"/>
      <c r="AE29" s="6"/>
    </row>
    <row r="30" spans="1:49" ht="60.9" customHeight="1">
      <c r="A30" s="114">
        <v>2</v>
      </c>
      <c r="B30" s="115" t="s">
        <v>737</v>
      </c>
      <c r="C30" s="28" t="s">
        <v>930</v>
      </c>
      <c r="D30" s="150" t="s">
        <v>20</v>
      </c>
      <c r="E30" s="28" t="s">
        <v>933</v>
      </c>
      <c r="F30" s="28" t="s">
        <v>932</v>
      </c>
      <c r="G30" s="193"/>
      <c r="H30" s="80">
        <v>80000</v>
      </c>
      <c r="I30" s="81"/>
      <c r="J30" s="32"/>
      <c r="K30" s="32"/>
      <c r="L30" s="32"/>
      <c r="M30" s="32"/>
      <c r="N30" s="32"/>
      <c r="O30" s="32"/>
      <c r="P30" s="32"/>
      <c r="Q30" s="32"/>
      <c r="R30" s="32"/>
      <c r="S30" s="81"/>
      <c r="T30" s="32"/>
      <c r="U30" s="37"/>
      <c r="V30" s="80">
        <f>H30-R30</f>
        <v>80000</v>
      </c>
      <c r="W30" s="335"/>
      <c r="X30" s="131"/>
      <c r="Y30" s="37">
        <v>50000</v>
      </c>
      <c r="AB30" s="6" t="e">
        <f>#REF!</f>
        <v>#REF!</v>
      </c>
      <c r="AC30" s="6"/>
      <c r="AD30" s="6"/>
      <c r="AE30" s="6"/>
    </row>
    <row r="31" spans="1:49" ht="60.9" customHeight="1">
      <c r="A31" s="114">
        <v>3</v>
      </c>
      <c r="B31" s="183" t="s">
        <v>186</v>
      </c>
      <c r="C31" s="28" t="s">
        <v>187</v>
      </c>
      <c r="D31" s="28" t="s">
        <v>19</v>
      </c>
      <c r="E31" s="28" t="s">
        <v>184</v>
      </c>
      <c r="F31" s="28" t="s">
        <v>36</v>
      </c>
      <c r="G31" s="13"/>
      <c r="H31" s="8"/>
      <c r="I31" s="8"/>
      <c r="J31" s="8"/>
      <c r="K31" s="8"/>
      <c r="L31" s="8"/>
      <c r="M31" s="8"/>
      <c r="N31" s="8"/>
      <c r="O31" s="8"/>
      <c r="P31" s="8"/>
      <c r="Q31" s="8"/>
      <c r="R31" s="8"/>
      <c r="S31" s="8"/>
      <c r="T31" s="8"/>
      <c r="U31" s="8"/>
      <c r="V31" s="8"/>
      <c r="W31" s="335"/>
      <c r="X31" s="131"/>
      <c r="Y31" s="32">
        <v>9600</v>
      </c>
      <c r="AB31" s="6" t="e">
        <f>#REF!</f>
        <v>#REF!</v>
      </c>
      <c r="AC31" s="6"/>
      <c r="AD31" s="6"/>
      <c r="AE31" s="6"/>
    </row>
    <row r="32" spans="1:49" ht="60.9" customHeight="1">
      <c r="A32" s="114">
        <v>4</v>
      </c>
      <c r="B32" s="183" t="s">
        <v>188</v>
      </c>
      <c r="C32" s="28" t="s">
        <v>185</v>
      </c>
      <c r="D32" s="28" t="s">
        <v>19</v>
      </c>
      <c r="E32" s="28" t="s">
        <v>183</v>
      </c>
      <c r="F32" s="28" t="s">
        <v>36</v>
      </c>
      <c r="G32" s="13"/>
      <c r="H32" s="8"/>
      <c r="I32" s="8"/>
      <c r="J32" s="8"/>
      <c r="K32" s="8"/>
      <c r="L32" s="8"/>
      <c r="M32" s="8"/>
      <c r="N32" s="8"/>
      <c r="O32" s="8"/>
      <c r="P32" s="8"/>
      <c r="Q32" s="8"/>
      <c r="R32" s="8"/>
      <c r="S32" s="8"/>
      <c r="T32" s="8"/>
      <c r="U32" s="8"/>
      <c r="V32" s="8"/>
      <c r="W32" s="335"/>
      <c r="X32" s="131"/>
      <c r="Y32" s="32">
        <v>9000</v>
      </c>
      <c r="AB32" s="6" t="e">
        <f>#REF!</f>
        <v>#REF!</v>
      </c>
      <c r="AC32" s="6"/>
      <c r="AD32" s="6"/>
      <c r="AE32" s="6"/>
    </row>
    <row r="33" spans="1:49" ht="60.9" customHeight="1">
      <c r="A33" s="114">
        <v>5</v>
      </c>
      <c r="B33" s="183" t="s">
        <v>1065</v>
      </c>
      <c r="C33" s="28" t="s">
        <v>190</v>
      </c>
      <c r="D33" s="28" t="s">
        <v>19</v>
      </c>
      <c r="E33" s="28" t="s">
        <v>1064</v>
      </c>
      <c r="F33" s="28" t="s">
        <v>36</v>
      </c>
      <c r="G33" s="13"/>
      <c r="H33" s="8"/>
      <c r="I33" s="8"/>
      <c r="J33" s="8"/>
      <c r="K33" s="8"/>
      <c r="L33" s="8"/>
      <c r="M33" s="8"/>
      <c r="N33" s="8"/>
      <c r="O33" s="8"/>
      <c r="P33" s="8"/>
      <c r="Q33" s="8"/>
      <c r="R33" s="8"/>
      <c r="S33" s="8"/>
      <c r="T33" s="8"/>
      <c r="U33" s="8"/>
      <c r="V33" s="8"/>
      <c r="W33" s="335"/>
      <c r="X33" s="131"/>
      <c r="Y33" s="80">
        <v>4800</v>
      </c>
      <c r="AB33" s="6" t="e">
        <f>#REF!</f>
        <v>#REF!</v>
      </c>
      <c r="AC33" s="6"/>
      <c r="AD33" s="6"/>
      <c r="AE33" s="6"/>
    </row>
    <row r="34" spans="1:49" s="20" customFormat="1" ht="44.25" customHeight="1">
      <c r="A34" s="109" t="s">
        <v>25</v>
      </c>
      <c r="B34" s="110" t="s">
        <v>358</v>
      </c>
      <c r="C34" s="110"/>
      <c r="D34" s="109"/>
      <c r="E34" s="110"/>
      <c r="F34" s="110"/>
      <c r="G34" s="110"/>
      <c r="H34" s="111"/>
      <c r="I34" s="111"/>
      <c r="J34" s="111"/>
      <c r="K34" s="111"/>
      <c r="L34" s="111"/>
      <c r="M34" s="111"/>
      <c r="N34" s="111"/>
      <c r="O34" s="111"/>
      <c r="P34" s="111"/>
      <c r="Q34" s="111"/>
      <c r="R34" s="111"/>
      <c r="S34" s="111"/>
      <c r="T34" s="111"/>
      <c r="U34" s="111"/>
      <c r="V34" s="111"/>
      <c r="W34" s="335"/>
      <c r="X34" s="130"/>
      <c r="Y34" s="111">
        <f>SUM(Y35:Y39)</f>
        <v>34000</v>
      </c>
      <c r="Z34" s="113"/>
      <c r="AA34" s="113"/>
    </row>
    <row r="35" spans="1:49" ht="60.9" customHeight="1">
      <c r="A35" s="114">
        <v>1</v>
      </c>
      <c r="B35" s="183" t="s">
        <v>194</v>
      </c>
      <c r="C35" s="28" t="s">
        <v>185</v>
      </c>
      <c r="D35" s="28" t="s">
        <v>19</v>
      </c>
      <c r="E35" s="28" t="s">
        <v>195</v>
      </c>
      <c r="F35" s="28" t="s">
        <v>36</v>
      </c>
      <c r="G35" s="86"/>
      <c r="H35" s="62"/>
      <c r="I35" s="32"/>
      <c r="J35" s="37"/>
      <c r="K35" s="37"/>
      <c r="L35" s="37"/>
      <c r="M35" s="37"/>
      <c r="N35" s="37"/>
      <c r="O35" s="37"/>
      <c r="P35" s="37"/>
      <c r="Q35" s="37"/>
      <c r="R35" s="32"/>
      <c r="S35" s="32"/>
      <c r="T35" s="37"/>
      <c r="U35" s="37"/>
      <c r="V35" s="80"/>
      <c r="W35" s="335"/>
      <c r="X35" s="131" t="s">
        <v>985</v>
      </c>
      <c r="Y35" s="37">
        <v>6000</v>
      </c>
      <c r="AB35" s="6" t="e">
        <f>#REF!</f>
        <v>#REF!</v>
      </c>
      <c r="AC35" s="6"/>
      <c r="AD35" s="6"/>
      <c r="AE35" s="6"/>
    </row>
    <row r="36" spans="1:49" ht="60.9" customHeight="1">
      <c r="A36" s="114">
        <v>2</v>
      </c>
      <c r="B36" s="183" t="s">
        <v>196</v>
      </c>
      <c r="C36" s="28" t="s">
        <v>185</v>
      </c>
      <c r="D36" s="28" t="s">
        <v>19</v>
      </c>
      <c r="E36" s="28" t="s">
        <v>197</v>
      </c>
      <c r="F36" s="28" t="s">
        <v>36</v>
      </c>
      <c r="G36" s="86"/>
      <c r="H36" s="62"/>
      <c r="I36" s="32"/>
      <c r="J36" s="37"/>
      <c r="K36" s="37"/>
      <c r="L36" s="37"/>
      <c r="M36" s="37"/>
      <c r="N36" s="37"/>
      <c r="O36" s="37"/>
      <c r="P36" s="37"/>
      <c r="Q36" s="37"/>
      <c r="R36" s="32"/>
      <c r="S36" s="32"/>
      <c r="T36" s="37"/>
      <c r="U36" s="37"/>
      <c r="V36" s="80"/>
      <c r="W36" s="335"/>
      <c r="X36" s="131"/>
      <c r="Y36" s="37">
        <v>6000</v>
      </c>
      <c r="AB36" s="6" t="e">
        <f>#REF!</f>
        <v>#REF!</v>
      </c>
      <c r="AC36" s="6"/>
      <c r="AD36" s="6"/>
      <c r="AE36" s="6"/>
    </row>
    <row r="37" spans="1:49" ht="60.9" customHeight="1">
      <c r="A37" s="114">
        <v>3</v>
      </c>
      <c r="B37" s="183" t="s">
        <v>198</v>
      </c>
      <c r="C37" s="28" t="s">
        <v>189</v>
      </c>
      <c r="D37" s="28" t="s">
        <v>19</v>
      </c>
      <c r="E37" s="28" t="s">
        <v>199</v>
      </c>
      <c r="F37" s="28" t="s">
        <v>36</v>
      </c>
      <c r="G37" s="86"/>
      <c r="H37" s="62"/>
      <c r="I37" s="32"/>
      <c r="J37" s="37"/>
      <c r="K37" s="37"/>
      <c r="L37" s="37"/>
      <c r="M37" s="37"/>
      <c r="N37" s="37"/>
      <c r="O37" s="37"/>
      <c r="P37" s="37"/>
      <c r="Q37" s="37"/>
      <c r="R37" s="32"/>
      <c r="S37" s="32"/>
      <c r="T37" s="37"/>
      <c r="U37" s="37"/>
      <c r="V37" s="80"/>
      <c r="W37" s="335"/>
      <c r="X37" s="131"/>
      <c r="Y37" s="37">
        <v>5000</v>
      </c>
      <c r="AB37" s="6" t="e">
        <f>#REF!</f>
        <v>#REF!</v>
      </c>
      <c r="AC37" s="6"/>
      <c r="AD37" s="6"/>
      <c r="AE37" s="6"/>
    </row>
    <row r="38" spans="1:49" ht="60.9" customHeight="1">
      <c r="A38" s="114">
        <v>4</v>
      </c>
      <c r="B38" s="183" t="s">
        <v>200</v>
      </c>
      <c r="C38" s="28" t="s">
        <v>189</v>
      </c>
      <c r="D38" s="28" t="s">
        <v>19</v>
      </c>
      <c r="E38" s="28" t="s">
        <v>201</v>
      </c>
      <c r="F38" s="28" t="s">
        <v>36</v>
      </c>
      <c r="G38" s="86"/>
      <c r="H38" s="62"/>
      <c r="I38" s="32"/>
      <c r="J38" s="37"/>
      <c r="K38" s="37"/>
      <c r="L38" s="37"/>
      <c r="M38" s="37"/>
      <c r="N38" s="37"/>
      <c r="O38" s="37"/>
      <c r="P38" s="37"/>
      <c r="Q38" s="37"/>
      <c r="R38" s="32"/>
      <c r="S38" s="32"/>
      <c r="T38" s="37"/>
      <c r="U38" s="37"/>
      <c r="V38" s="80"/>
      <c r="W38" s="335"/>
      <c r="X38" s="131"/>
      <c r="Y38" s="37">
        <v>5000</v>
      </c>
      <c r="AB38" s="6" t="e">
        <f>#REF!</f>
        <v>#REF!</v>
      </c>
      <c r="AC38" s="6"/>
      <c r="AD38" s="6"/>
      <c r="AE38" s="6"/>
    </row>
    <row r="39" spans="1:49" ht="60.9" customHeight="1">
      <c r="A39" s="114">
        <v>5</v>
      </c>
      <c r="B39" s="36" t="s">
        <v>401</v>
      </c>
      <c r="C39" s="23" t="s">
        <v>487</v>
      </c>
      <c r="D39" s="34" t="s">
        <v>19</v>
      </c>
      <c r="E39" s="23" t="s">
        <v>421</v>
      </c>
      <c r="F39" s="23" t="s">
        <v>391</v>
      </c>
      <c r="G39" s="86" t="s">
        <v>402</v>
      </c>
      <c r="H39" s="62"/>
      <c r="I39" s="32"/>
      <c r="J39" s="37"/>
      <c r="K39" s="37"/>
      <c r="L39" s="37"/>
      <c r="M39" s="37"/>
      <c r="N39" s="37"/>
      <c r="O39" s="37"/>
      <c r="P39" s="37"/>
      <c r="Q39" s="37"/>
      <c r="R39" s="32"/>
      <c r="S39" s="32"/>
      <c r="T39" s="37"/>
      <c r="U39" s="37"/>
      <c r="V39" s="80"/>
      <c r="W39" s="335"/>
      <c r="X39" s="131"/>
      <c r="Y39" s="37">
        <v>12000</v>
      </c>
      <c r="AB39" s="6" t="e">
        <f>#REF!</f>
        <v>#REF!</v>
      </c>
      <c r="AC39" s="6"/>
      <c r="AD39" s="6"/>
      <c r="AE39" s="6"/>
    </row>
    <row r="40" spans="1:49" s="20" customFormat="1" ht="44.25" customHeight="1">
      <c r="A40" s="109" t="s">
        <v>30</v>
      </c>
      <c r="B40" s="110" t="s">
        <v>65</v>
      </c>
      <c r="C40" s="110"/>
      <c r="D40" s="109"/>
      <c r="E40" s="110"/>
      <c r="F40" s="110"/>
      <c r="G40" s="110"/>
      <c r="H40" s="111"/>
      <c r="I40" s="111"/>
      <c r="J40" s="111"/>
      <c r="K40" s="111"/>
      <c r="L40" s="111"/>
      <c r="M40" s="111"/>
      <c r="N40" s="111"/>
      <c r="O40" s="111"/>
      <c r="P40" s="111"/>
      <c r="Q40" s="111"/>
      <c r="R40" s="111"/>
      <c r="S40" s="111"/>
      <c r="T40" s="111"/>
      <c r="U40" s="111"/>
      <c r="V40" s="111"/>
      <c r="W40" s="112"/>
      <c r="X40" s="130"/>
      <c r="Y40" s="111">
        <f>SUM(Y41:Y43)</f>
        <v>19300</v>
      </c>
      <c r="Z40" s="113"/>
      <c r="AA40" s="113"/>
    </row>
    <row r="41" spans="1:49" ht="72" customHeight="1">
      <c r="A41" s="10">
        <v>1</v>
      </c>
      <c r="B41" s="36" t="s">
        <v>207</v>
      </c>
      <c r="C41" s="23" t="s">
        <v>189</v>
      </c>
      <c r="D41" s="34" t="s">
        <v>19</v>
      </c>
      <c r="E41" s="23" t="s">
        <v>208</v>
      </c>
      <c r="F41" s="23" t="s">
        <v>36</v>
      </c>
      <c r="G41" s="86"/>
      <c r="H41" s="62"/>
      <c r="I41" s="32"/>
      <c r="J41" s="37"/>
      <c r="K41" s="37"/>
      <c r="L41" s="37"/>
      <c r="M41" s="37"/>
      <c r="N41" s="37"/>
      <c r="O41" s="37"/>
      <c r="P41" s="37"/>
      <c r="Q41" s="37"/>
      <c r="R41" s="32"/>
      <c r="S41" s="32"/>
      <c r="T41" s="37"/>
      <c r="U41" s="37"/>
      <c r="V41" s="80"/>
      <c r="W41" s="17"/>
      <c r="X41" s="11" t="s">
        <v>985</v>
      </c>
      <c r="Y41" s="37">
        <v>2800</v>
      </c>
      <c r="AB41" s="6" t="e">
        <f>#REF!</f>
        <v>#REF!</v>
      </c>
    </row>
    <row r="42" spans="1:49" ht="60.9" customHeight="1">
      <c r="A42" s="114">
        <v>2</v>
      </c>
      <c r="B42" s="36" t="s">
        <v>209</v>
      </c>
      <c r="C42" s="23" t="s">
        <v>189</v>
      </c>
      <c r="D42" s="34" t="s">
        <v>19</v>
      </c>
      <c r="E42" s="23" t="s">
        <v>177</v>
      </c>
      <c r="F42" s="23" t="s">
        <v>36</v>
      </c>
      <c r="G42" s="86"/>
      <c r="H42" s="62"/>
      <c r="I42" s="32"/>
      <c r="J42" s="37"/>
      <c r="K42" s="37"/>
      <c r="L42" s="37"/>
      <c r="M42" s="37"/>
      <c r="N42" s="37"/>
      <c r="O42" s="37"/>
      <c r="P42" s="37"/>
      <c r="Q42" s="37"/>
      <c r="R42" s="32"/>
      <c r="S42" s="32"/>
      <c r="T42" s="37"/>
      <c r="U42" s="37"/>
      <c r="V42" s="80"/>
      <c r="W42" s="335"/>
      <c r="X42" s="131"/>
      <c r="Y42" s="37">
        <v>1500</v>
      </c>
      <c r="AB42" s="6" t="e">
        <f>#REF!</f>
        <v>#REF!</v>
      </c>
      <c r="AC42" s="6"/>
      <c r="AD42" s="6"/>
      <c r="AE42" s="6"/>
    </row>
    <row r="43" spans="1:49" ht="92.25" customHeight="1">
      <c r="A43" s="114">
        <v>3</v>
      </c>
      <c r="B43" s="36" t="s">
        <v>882</v>
      </c>
      <c r="C43" s="23" t="s">
        <v>748</v>
      </c>
      <c r="D43" s="34" t="s">
        <v>20</v>
      </c>
      <c r="E43" s="23" t="s">
        <v>750</v>
      </c>
      <c r="F43" s="23" t="s">
        <v>749</v>
      </c>
      <c r="G43" s="86"/>
      <c r="H43" s="62"/>
      <c r="I43" s="32"/>
      <c r="J43" s="37"/>
      <c r="K43" s="37"/>
      <c r="L43" s="37"/>
      <c r="M43" s="37"/>
      <c r="N43" s="37"/>
      <c r="O43" s="37"/>
      <c r="P43" s="37"/>
      <c r="Q43" s="37"/>
      <c r="R43" s="32"/>
      <c r="S43" s="32"/>
      <c r="T43" s="37"/>
      <c r="U43" s="37"/>
      <c r="V43" s="80"/>
      <c r="W43" s="335"/>
      <c r="X43" s="131"/>
      <c r="Y43" s="37">
        <v>15000</v>
      </c>
      <c r="AB43" s="6" t="e">
        <f>#REF!</f>
        <v>#REF!</v>
      </c>
      <c r="AC43" s="6"/>
      <c r="AD43" s="6"/>
      <c r="AE43" s="6"/>
    </row>
    <row r="44" spans="1:49" s="18" customFormat="1" ht="60" customHeight="1">
      <c r="A44" s="13" t="s">
        <v>286</v>
      </c>
      <c r="B44" s="26" t="s">
        <v>1021</v>
      </c>
      <c r="C44" s="13"/>
      <c r="D44" s="13"/>
      <c r="E44" s="13"/>
      <c r="F44" s="13"/>
      <c r="G44" s="13"/>
      <c r="H44" s="8" t="e">
        <f>SUM(#REF!,#REF!,#REF!)</f>
        <v>#REF!</v>
      </c>
      <c r="I44" s="8" t="e">
        <f>SUM(#REF!,#REF!,#REF!)</f>
        <v>#REF!</v>
      </c>
      <c r="J44" s="8" t="e">
        <f>SUM(#REF!,#REF!,#REF!)</f>
        <v>#REF!</v>
      </c>
      <c r="K44" s="8" t="e">
        <f>SUM(#REF!,#REF!,#REF!)</f>
        <v>#REF!</v>
      </c>
      <c r="L44" s="8" t="e">
        <f>SUM(#REF!,#REF!,#REF!)</f>
        <v>#REF!</v>
      </c>
      <c r="M44" s="8" t="e">
        <f>SUM(#REF!,#REF!,#REF!)</f>
        <v>#REF!</v>
      </c>
      <c r="N44" s="8" t="e">
        <f>SUM(#REF!,#REF!,#REF!)</f>
        <v>#REF!</v>
      </c>
      <c r="O44" s="8" t="e">
        <f>SUM(#REF!,#REF!,#REF!)</f>
        <v>#REF!</v>
      </c>
      <c r="P44" s="8" t="e">
        <f>SUM(#REF!,#REF!,#REF!)</f>
        <v>#REF!</v>
      </c>
      <c r="Q44" s="8" t="e">
        <f>SUM(#REF!,#REF!,#REF!)</f>
        <v>#REF!</v>
      </c>
      <c r="R44" s="8" t="e">
        <f>SUM(#REF!,#REF!,#REF!)</f>
        <v>#REF!</v>
      </c>
      <c r="S44" s="8" t="e">
        <f>SUM(#REF!,#REF!,#REF!)</f>
        <v>#REF!</v>
      </c>
      <c r="T44" s="8" t="e">
        <f>SUM(#REF!,#REF!,#REF!)</f>
        <v>#REF!</v>
      </c>
      <c r="U44" s="8" t="e">
        <f>SUM(#REF!,#REF!,#REF!)</f>
        <v>#REF!</v>
      </c>
      <c r="V44" s="8" t="e">
        <f>SUM(#REF!,#REF!,#REF!)</f>
        <v>#REF!</v>
      </c>
      <c r="W44" s="334"/>
      <c r="X44" s="211"/>
      <c r="Y44" s="8">
        <f>SUM(Y45,Y47,Y52)</f>
        <v>44400</v>
      </c>
      <c r="Z44" s="189"/>
      <c r="AA44" s="18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row>
    <row r="45" spans="1:49" s="20" customFormat="1" ht="44.25" customHeight="1">
      <c r="A45" s="109" t="s">
        <v>17</v>
      </c>
      <c r="B45" s="110" t="s">
        <v>64</v>
      </c>
      <c r="C45" s="110"/>
      <c r="D45" s="109"/>
      <c r="E45" s="110"/>
      <c r="F45" s="110"/>
      <c r="G45" s="110"/>
      <c r="H45" s="111"/>
      <c r="I45" s="111"/>
      <c r="J45" s="111"/>
      <c r="K45" s="111"/>
      <c r="L45" s="111"/>
      <c r="M45" s="111"/>
      <c r="N45" s="111"/>
      <c r="O45" s="111"/>
      <c r="P45" s="111"/>
      <c r="Q45" s="111"/>
      <c r="R45" s="111"/>
      <c r="S45" s="111"/>
      <c r="T45" s="111"/>
      <c r="U45" s="111"/>
      <c r="V45" s="111"/>
      <c r="W45" s="335"/>
      <c r="X45" s="130"/>
      <c r="Y45" s="111">
        <f>SUM(Y46:Y46)</f>
        <v>6000</v>
      </c>
      <c r="Z45" s="113"/>
      <c r="AA45" s="113"/>
    </row>
    <row r="46" spans="1:49" ht="60.9" customHeight="1">
      <c r="A46" s="114">
        <v>1</v>
      </c>
      <c r="B46" s="183" t="s">
        <v>217</v>
      </c>
      <c r="C46" s="28" t="s">
        <v>216</v>
      </c>
      <c r="D46" s="28" t="s">
        <v>19</v>
      </c>
      <c r="E46" s="28" t="s">
        <v>218</v>
      </c>
      <c r="F46" s="28" t="s">
        <v>36</v>
      </c>
      <c r="G46" s="13"/>
      <c r="H46" s="8"/>
      <c r="I46" s="8"/>
      <c r="J46" s="8"/>
      <c r="K46" s="8"/>
      <c r="L46" s="8"/>
      <c r="M46" s="8"/>
      <c r="N46" s="8"/>
      <c r="O46" s="8"/>
      <c r="P46" s="8"/>
      <c r="Q46" s="8"/>
      <c r="R46" s="8"/>
      <c r="S46" s="8"/>
      <c r="T46" s="8"/>
      <c r="U46" s="8"/>
      <c r="V46" s="8"/>
      <c r="W46" s="335"/>
      <c r="X46" s="131"/>
      <c r="Y46" s="80">
        <v>6000</v>
      </c>
      <c r="AB46" s="6" t="e">
        <f>#REF!</f>
        <v>#REF!</v>
      </c>
      <c r="AC46" s="6"/>
      <c r="AD46" s="6"/>
      <c r="AE46" s="6"/>
    </row>
    <row r="47" spans="1:49" s="20" customFormat="1" ht="44.25" customHeight="1">
      <c r="A47" s="109" t="s">
        <v>25</v>
      </c>
      <c r="B47" s="110" t="s">
        <v>358</v>
      </c>
      <c r="C47" s="110"/>
      <c r="D47" s="109"/>
      <c r="E47" s="110"/>
      <c r="F47" s="110"/>
      <c r="G47" s="110"/>
      <c r="H47" s="111"/>
      <c r="I47" s="111"/>
      <c r="J47" s="111"/>
      <c r="K47" s="111"/>
      <c r="L47" s="111"/>
      <c r="M47" s="111"/>
      <c r="N47" s="111"/>
      <c r="O47" s="111"/>
      <c r="P47" s="111"/>
      <c r="Q47" s="111"/>
      <c r="R47" s="111"/>
      <c r="S47" s="111"/>
      <c r="T47" s="111"/>
      <c r="U47" s="111"/>
      <c r="V47" s="111"/>
      <c r="W47" s="335"/>
      <c r="X47" s="130"/>
      <c r="Y47" s="111">
        <f>SUM(Y48:Y51)</f>
        <v>34300</v>
      </c>
      <c r="Z47" s="113"/>
      <c r="AA47" s="113"/>
    </row>
    <row r="48" spans="1:49" ht="60.9" customHeight="1">
      <c r="A48" s="114">
        <v>1</v>
      </c>
      <c r="B48" s="183" t="s">
        <v>222</v>
      </c>
      <c r="C48" s="28" t="s">
        <v>211</v>
      </c>
      <c r="D48" s="28" t="s">
        <v>19</v>
      </c>
      <c r="E48" s="28" t="s">
        <v>223</v>
      </c>
      <c r="F48" s="28" t="s">
        <v>36</v>
      </c>
      <c r="G48" s="86"/>
      <c r="H48" s="62"/>
      <c r="I48" s="32"/>
      <c r="J48" s="37"/>
      <c r="K48" s="37"/>
      <c r="L48" s="37"/>
      <c r="M48" s="37"/>
      <c r="N48" s="37"/>
      <c r="O48" s="37"/>
      <c r="P48" s="37"/>
      <c r="Q48" s="37"/>
      <c r="R48" s="32"/>
      <c r="S48" s="32"/>
      <c r="T48" s="37"/>
      <c r="U48" s="37"/>
      <c r="V48" s="80"/>
      <c r="W48" s="335"/>
      <c r="X48" s="131"/>
      <c r="Y48" s="37">
        <v>3200</v>
      </c>
      <c r="AB48" s="6"/>
      <c r="AC48" s="6"/>
      <c r="AD48" s="6"/>
      <c r="AE48" s="6"/>
    </row>
    <row r="49" spans="1:49" ht="60.9" customHeight="1">
      <c r="A49" s="114">
        <v>2</v>
      </c>
      <c r="B49" s="183" t="s">
        <v>227</v>
      </c>
      <c r="C49" s="28" t="s">
        <v>216</v>
      </c>
      <c r="D49" s="28" t="s">
        <v>19</v>
      </c>
      <c r="E49" s="28" t="s">
        <v>228</v>
      </c>
      <c r="F49" s="28" t="s">
        <v>36</v>
      </c>
      <c r="G49" s="87" t="s">
        <v>229</v>
      </c>
      <c r="H49" s="62"/>
      <c r="I49" s="32"/>
      <c r="J49" s="37"/>
      <c r="K49" s="37"/>
      <c r="L49" s="37"/>
      <c r="M49" s="37"/>
      <c r="N49" s="37"/>
      <c r="O49" s="37"/>
      <c r="P49" s="37"/>
      <c r="Q49" s="37"/>
      <c r="R49" s="32"/>
      <c r="S49" s="32"/>
      <c r="T49" s="37"/>
      <c r="U49" s="37"/>
      <c r="V49" s="80"/>
      <c r="W49" s="335"/>
      <c r="X49" s="131" t="s">
        <v>985</v>
      </c>
      <c r="Y49" s="37">
        <v>7500</v>
      </c>
      <c r="AB49" s="6" t="e">
        <f>#REF!</f>
        <v>#REF!</v>
      </c>
      <c r="AC49" s="6"/>
      <c r="AD49" s="6"/>
      <c r="AE49" s="6"/>
    </row>
    <row r="50" spans="1:49" ht="60.9" customHeight="1">
      <c r="A50" s="114">
        <v>3</v>
      </c>
      <c r="B50" s="183" t="s">
        <v>230</v>
      </c>
      <c r="C50" s="28" t="s">
        <v>216</v>
      </c>
      <c r="D50" s="28" t="s">
        <v>19</v>
      </c>
      <c r="E50" s="28" t="s">
        <v>231</v>
      </c>
      <c r="F50" s="28" t="s">
        <v>36</v>
      </c>
      <c r="G50" s="87" t="s">
        <v>232</v>
      </c>
      <c r="H50" s="62"/>
      <c r="I50" s="32"/>
      <c r="J50" s="37"/>
      <c r="K50" s="37"/>
      <c r="L50" s="37"/>
      <c r="M50" s="37"/>
      <c r="N50" s="37"/>
      <c r="O50" s="37"/>
      <c r="P50" s="37"/>
      <c r="Q50" s="37"/>
      <c r="R50" s="32"/>
      <c r="S50" s="32"/>
      <c r="T50" s="37"/>
      <c r="U50" s="37"/>
      <c r="V50" s="80"/>
      <c r="W50" s="335"/>
      <c r="X50" s="131"/>
      <c r="Y50" s="37">
        <v>8600</v>
      </c>
      <c r="AB50" s="6" t="e">
        <f>#REF!</f>
        <v>#REF!</v>
      </c>
      <c r="AC50" s="6"/>
      <c r="AD50" s="6"/>
      <c r="AE50" s="6"/>
    </row>
    <row r="51" spans="1:49" ht="60.9" customHeight="1">
      <c r="A51" s="114">
        <v>4</v>
      </c>
      <c r="B51" s="36" t="s">
        <v>406</v>
      </c>
      <c r="C51" s="23" t="s">
        <v>488</v>
      </c>
      <c r="D51" s="34" t="s">
        <v>19</v>
      </c>
      <c r="E51" s="23" t="s">
        <v>421</v>
      </c>
      <c r="F51" s="23" t="s">
        <v>391</v>
      </c>
      <c r="G51" s="86" t="s">
        <v>407</v>
      </c>
      <c r="H51" s="62"/>
      <c r="I51" s="32"/>
      <c r="J51" s="37"/>
      <c r="K51" s="37"/>
      <c r="L51" s="37"/>
      <c r="M51" s="37"/>
      <c r="N51" s="37"/>
      <c r="O51" s="37"/>
      <c r="P51" s="37"/>
      <c r="Q51" s="37"/>
      <c r="R51" s="32"/>
      <c r="S51" s="32"/>
      <c r="T51" s="37"/>
      <c r="U51" s="37"/>
      <c r="V51" s="80"/>
      <c r="W51" s="335"/>
      <c r="X51" s="131"/>
      <c r="Y51" s="37">
        <v>15000</v>
      </c>
      <c r="AB51" s="6" t="e">
        <f>#REF!</f>
        <v>#REF!</v>
      </c>
      <c r="AC51" s="6"/>
      <c r="AD51" s="6"/>
      <c r="AE51" s="6"/>
    </row>
    <row r="52" spans="1:49" s="20" customFormat="1" ht="44.25" customHeight="1">
      <c r="A52" s="109" t="s">
        <v>30</v>
      </c>
      <c r="B52" s="110" t="s">
        <v>65</v>
      </c>
      <c r="C52" s="110"/>
      <c r="D52" s="109"/>
      <c r="E52" s="110"/>
      <c r="F52" s="110"/>
      <c r="G52" s="110"/>
      <c r="H52" s="111"/>
      <c r="I52" s="111"/>
      <c r="J52" s="111"/>
      <c r="K52" s="111"/>
      <c r="L52" s="111"/>
      <c r="M52" s="111"/>
      <c r="N52" s="111"/>
      <c r="O52" s="111"/>
      <c r="P52" s="111"/>
      <c r="Q52" s="111"/>
      <c r="R52" s="111"/>
      <c r="S52" s="111"/>
      <c r="T52" s="111"/>
      <c r="U52" s="111"/>
      <c r="V52" s="111"/>
      <c r="W52" s="112"/>
      <c r="X52" s="130"/>
      <c r="Y52" s="111">
        <f>SUM(Y53:Y54)</f>
        <v>4100</v>
      </c>
      <c r="Z52" s="113"/>
      <c r="AA52" s="113"/>
      <c r="AB52" s="6"/>
    </row>
    <row r="53" spans="1:49" ht="72" customHeight="1">
      <c r="A53" s="10">
        <v>1</v>
      </c>
      <c r="B53" s="183" t="s">
        <v>844</v>
      </c>
      <c r="C53" s="28" t="s">
        <v>215</v>
      </c>
      <c r="D53" s="28" t="s">
        <v>19</v>
      </c>
      <c r="E53" s="28" t="s">
        <v>206</v>
      </c>
      <c r="F53" s="28" t="s">
        <v>36</v>
      </c>
      <c r="G53" s="86"/>
      <c r="H53" s="62"/>
      <c r="I53" s="32"/>
      <c r="J53" s="37"/>
      <c r="K53" s="37"/>
      <c r="L53" s="37"/>
      <c r="M53" s="37"/>
      <c r="N53" s="37"/>
      <c r="O53" s="37"/>
      <c r="P53" s="37"/>
      <c r="Q53" s="37"/>
      <c r="R53" s="32"/>
      <c r="S53" s="32"/>
      <c r="T53" s="37"/>
      <c r="U53" s="37"/>
      <c r="V53" s="80"/>
      <c r="W53" s="17"/>
      <c r="Y53" s="37">
        <v>1000</v>
      </c>
      <c r="AB53" s="6" t="e">
        <f>#REF!</f>
        <v>#REF!</v>
      </c>
    </row>
    <row r="54" spans="1:49" ht="72" customHeight="1">
      <c r="A54" s="10">
        <v>2</v>
      </c>
      <c r="B54" s="183" t="s">
        <v>235</v>
      </c>
      <c r="C54" s="28" t="s">
        <v>216</v>
      </c>
      <c r="D54" s="28" t="s">
        <v>19</v>
      </c>
      <c r="E54" s="28" t="s">
        <v>208</v>
      </c>
      <c r="F54" s="28" t="s">
        <v>36</v>
      </c>
      <c r="G54" s="86"/>
      <c r="H54" s="62"/>
      <c r="I54" s="32"/>
      <c r="J54" s="37"/>
      <c r="K54" s="37"/>
      <c r="L54" s="37"/>
      <c r="M54" s="37"/>
      <c r="N54" s="37"/>
      <c r="O54" s="37"/>
      <c r="P54" s="37"/>
      <c r="Q54" s="37"/>
      <c r="R54" s="32"/>
      <c r="S54" s="32"/>
      <c r="T54" s="37"/>
      <c r="U54" s="37"/>
      <c r="V54" s="80"/>
      <c r="W54" s="17"/>
      <c r="Y54" s="37">
        <v>3100</v>
      </c>
      <c r="AB54" s="6" t="e">
        <f>#REF!</f>
        <v>#REF!</v>
      </c>
    </row>
    <row r="55" spans="1:49" s="18" customFormat="1" ht="60" customHeight="1">
      <c r="A55" s="13" t="s">
        <v>91</v>
      </c>
      <c r="B55" s="26" t="s">
        <v>1022</v>
      </c>
      <c r="C55" s="13"/>
      <c r="D55" s="13"/>
      <c r="E55" s="13"/>
      <c r="F55" s="13"/>
      <c r="G55" s="13"/>
      <c r="H55" s="8" t="e">
        <f>SUM(#REF!,#REF!,#REF!)</f>
        <v>#REF!</v>
      </c>
      <c r="I55" s="8" t="e">
        <f>SUM(#REF!,#REF!,#REF!)</f>
        <v>#REF!</v>
      </c>
      <c r="J55" s="8" t="e">
        <f>SUM(#REF!,#REF!,#REF!)</f>
        <v>#REF!</v>
      </c>
      <c r="K55" s="8" t="e">
        <f>SUM(#REF!,#REF!,#REF!)</f>
        <v>#REF!</v>
      </c>
      <c r="L55" s="8" t="e">
        <f>SUM(#REF!,#REF!,#REF!)</f>
        <v>#REF!</v>
      </c>
      <c r="M55" s="8" t="e">
        <f>SUM(#REF!,#REF!,#REF!)</f>
        <v>#REF!</v>
      </c>
      <c r="N55" s="8" t="e">
        <f>SUM(#REF!,#REF!,#REF!)</f>
        <v>#REF!</v>
      </c>
      <c r="O55" s="8" t="e">
        <f>SUM(#REF!,#REF!,#REF!)</f>
        <v>#REF!</v>
      </c>
      <c r="P55" s="8" t="e">
        <f>SUM(#REF!,#REF!,#REF!)</f>
        <v>#REF!</v>
      </c>
      <c r="Q55" s="8" t="e">
        <f>SUM(#REF!,#REF!,#REF!)</f>
        <v>#REF!</v>
      </c>
      <c r="R55" s="8" t="e">
        <f>SUM(#REF!,#REF!,#REF!)</f>
        <v>#REF!</v>
      </c>
      <c r="S55" s="8" t="e">
        <f>SUM(#REF!,#REF!,#REF!)</f>
        <v>#REF!</v>
      </c>
      <c r="T55" s="8" t="e">
        <f>SUM(#REF!,#REF!,#REF!)</f>
        <v>#REF!</v>
      </c>
      <c r="U55" s="8" t="e">
        <f>SUM(#REF!,#REF!,#REF!)</f>
        <v>#REF!</v>
      </c>
      <c r="V55" s="8" t="e">
        <f>SUM(#REF!,#REF!,#REF!)</f>
        <v>#REF!</v>
      </c>
      <c r="W55" s="334"/>
      <c r="X55" s="211"/>
      <c r="Y55" s="8">
        <f>SUM(Y56)</f>
        <v>14000</v>
      </c>
      <c r="Z55" s="189"/>
      <c r="AA55" s="189"/>
      <c r="AB55" s="179"/>
      <c r="AC55" s="179"/>
      <c r="AD55" s="179"/>
      <c r="AE55" s="179"/>
      <c r="AF55" s="179"/>
      <c r="AG55" s="179"/>
      <c r="AH55" s="179"/>
      <c r="AI55" s="179"/>
      <c r="AJ55" s="179"/>
      <c r="AK55" s="179"/>
      <c r="AL55" s="179"/>
      <c r="AM55" s="179"/>
      <c r="AN55" s="179"/>
      <c r="AO55" s="179"/>
      <c r="AP55" s="179"/>
      <c r="AQ55" s="179"/>
      <c r="AR55" s="179"/>
      <c r="AS55" s="179"/>
      <c r="AT55" s="179"/>
      <c r="AU55" s="179"/>
      <c r="AV55" s="179"/>
      <c r="AW55" s="179"/>
    </row>
    <row r="56" spans="1:49" s="20" customFormat="1" ht="44.25" customHeight="1">
      <c r="A56" s="109" t="s">
        <v>17</v>
      </c>
      <c r="B56" s="110" t="s">
        <v>358</v>
      </c>
      <c r="C56" s="110"/>
      <c r="D56" s="109"/>
      <c r="E56" s="110"/>
      <c r="F56" s="110"/>
      <c r="G56" s="110"/>
      <c r="H56" s="111"/>
      <c r="I56" s="111"/>
      <c r="J56" s="111"/>
      <c r="K56" s="111"/>
      <c r="L56" s="111"/>
      <c r="M56" s="111"/>
      <c r="N56" s="111"/>
      <c r="O56" s="111"/>
      <c r="P56" s="111"/>
      <c r="Q56" s="111"/>
      <c r="R56" s="111"/>
      <c r="S56" s="111"/>
      <c r="T56" s="111"/>
      <c r="U56" s="111"/>
      <c r="V56" s="111"/>
      <c r="W56" s="335"/>
      <c r="X56" s="130"/>
      <c r="Y56" s="111">
        <f>SUM(Y57:Y57)</f>
        <v>14000</v>
      </c>
      <c r="Z56" s="113"/>
      <c r="AA56" s="113"/>
    </row>
    <row r="57" spans="1:49" ht="60.9" customHeight="1">
      <c r="A57" s="114">
        <v>1</v>
      </c>
      <c r="B57" s="36" t="s">
        <v>411</v>
      </c>
      <c r="C57" s="23" t="s">
        <v>489</v>
      </c>
      <c r="D57" s="34" t="s">
        <v>19</v>
      </c>
      <c r="E57" s="23" t="s">
        <v>421</v>
      </c>
      <c r="F57" s="23" t="s">
        <v>391</v>
      </c>
      <c r="G57" s="86" t="s">
        <v>412</v>
      </c>
      <c r="H57" s="62"/>
      <c r="I57" s="32"/>
      <c r="J57" s="37"/>
      <c r="K57" s="37"/>
      <c r="L57" s="37"/>
      <c r="M57" s="37"/>
      <c r="N57" s="37"/>
      <c r="O57" s="37"/>
      <c r="P57" s="37"/>
      <c r="Q57" s="37"/>
      <c r="R57" s="32"/>
      <c r="S57" s="32"/>
      <c r="T57" s="37"/>
      <c r="U57" s="37"/>
      <c r="V57" s="80"/>
      <c r="W57" s="335"/>
      <c r="X57" s="131" t="s">
        <v>985</v>
      </c>
      <c r="Y57" s="37">
        <v>14000</v>
      </c>
      <c r="AB57" s="6" t="e">
        <f>#REF!</f>
        <v>#REF!</v>
      </c>
      <c r="AC57" s="6"/>
      <c r="AD57" s="6"/>
      <c r="AE57" s="6"/>
    </row>
    <row r="58" spans="1:49" s="18" customFormat="1" ht="60" customHeight="1">
      <c r="A58" s="13" t="s">
        <v>960</v>
      </c>
      <c r="B58" s="26" t="s">
        <v>1023</v>
      </c>
      <c r="C58" s="13"/>
      <c r="D58" s="13"/>
      <c r="E58" s="13"/>
      <c r="F58" s="13"/>
      <c r="G58" s="13"/>
      <c r="H58" s="8" t="e">
        <f>SUM(#REF!,#REF!,#REF!)</f>
        <v>#REF!</v>
      </c>
      <c r="I58" s="8" t="e">
        <f>SUM(#REF!,#REF!,#REF!)</f>
        <v>#REF!</v>
      </c>
      <c r="J58" s="8" t="e">
        <f>SUM(#REF!,#REF!,#REF!)</f>
        <v>#REF!</v>
      </c>
      <c r="K58" s="8" t="e">
        <f>SUM(#REF!,#REF!,#REF!)</f>
        <v>#REF!</v>
      </c>
      <c r="L58" s="8" t="e">
        <f>SUM(#REF!,#REF!,#REF!)</f>
        <v>#REF!</v>
      </c>
      <c r="M58" s="8" t="e">
        <f>SUM(#REF!,#REF!,#REF!)</f>
        <v>#REF!</v>
      </c>
      <c r="N58" s="8" t="e">
        <f>SUM(#REF!,#REF!,#REF!)</f>
        <v>#REF!</v>
      </c>
      <c r="O58" s="8" t="e">
        <f>SUM(#REF!,#REF!,#REF!)</f>
        <v>#REF!</v>
      </c>
      <c r="P58" s="8" t="e">
        <f>SUM(#REF!,#REF!,#REF!)</f>
        <v>#REF!</v>
      </c>
      <c r="Q58" s="8" t="e">
        <f>SUM(#REF!,#REF!,#REF!)</f>
        <v>#REF!</v>
      </c>
      <c r="R58" s="8" t="e">
        <f>SUM(#REF!,#REF!,#REF!)</f>
        <v>#REF!</v>
      </c>
      <c r="S58" s="8" t="e">
        <f>SUM(#REF!,#REF!,#REF!)</f>
        <v>#REF!</v>
      </c>
      <c r="T58" s="8" t="e">
        <f>SUM(#REF!,#REF!,#REF!)</f>
        <v>#REF!</v>
      </c>
      <c r="U58" s="8" t="e">
        <f>SUM(#REF!,#REF!,#REF!)</f>
        <v>#REF!</v>
      </c>
      <c r="V58" s="8" t="e">
        <f>SUM(#REF!,#REF!,#REF!)</f>
        <v>#REF!</v>
      </c>
      <c r="W58" s="334"/>
      <c r="X58" s="211"/>
      <c r="Y58" s="8">
        <f>SUM(Y59)</f>
        <v>25800</v>
      </c>
      <c r="Z58" s="189"/>
      <c r="AA58" s="189"/>
      <c r="AB58" s="179"/>
      <c r="AC58" s="179"/>
      <c r="AD58" s="179"/>
      <c r="AE58" s="179"/>
      <c r="AF58" s="179"/>
      <c r="AG58" s="179"/>
      <c r="AH58" s="179"/>
      <c r="AI58" s="179"/>
      <c r="AJ58" s="179"/>
      <c r="AK58" s="179"/>
      <c r="AL58" s="179"/>
      <c r="AM58" s="179"/>
      <c r="AN58" s="179"/>
      <c r="AO58" s="179"/>
      <c r="AP58" s="179"/>
      <c r="AQ58" s="179"/>
      <c r="AR58" s="179"/>
      <c r="AS58" s="179"/>
      <c r="AT58" s="179"/>
      <c r="AU58" s="179"/>
      <c r="AV58" s="179"/>
      <c r="AW58" s="179"/>
    </row>
    <row r="59" spans="1:49" s="20" customFormat="1" ht="44.25" customHeight="1">
      <c r="A59" s="109" t="s">
        <v>17</v>
      </c>
      <c r="B59" s="110" t="s">
        <v>358</v>
      </c>
      <c r="C59" s="110"/>
      <c r="D59" s="109"/>
      <c r="E59" s="110"/>
      <c r="F59" s="110"/>
      <c r="G59" s="110"/>
      <c r="H59" s="111"/>
      <c r="I59" s="111"/>
      <c r="J59" s="111"/>
      <c r="K59" s="111"/>
      <c r="L59" s="111"/>
      <c r="M59" s="111"/>
      <c r="N59" s="111"/>
      <c r="O59" s="111"/>
      <c r="P59" s="111"/>
      <c r="Q59" s="111"/>
      <c r="R59" s="111"/>
      <c r="S59" s="111"/>
      <c r="T59" s="111"/>
      <c r="U59" s="111"/>
      <c r="V59" s="111"/>
      <c r="W59" s="335"/>
      <c r="X59" s="130"/>
      <c r="Y59" s="111">
        <f>SUM(Y60:Y61)</f>
        <v>25800</v>
      </c>
      <c r="Z59" s="113"/>
      <c r="AA59" s="113"/>
    </row>
    <row r="60" spans="1:49" ht="60.9" customHeight="1">
      <c r="A60" s="114">
        <v>1</v>
      </c>
      <c r="B60" s="183" t="s">
        <v>251</v>
      </c>
      <c r="C60" s="28" t="s">
        <v>250</v>
      </c>
      <c r="D60" s="28" t="s">
        <v>19</v>
      </c>
      <c r="E60" s="28" t="s">
        <v>252</v>
      </c>
      <c r="F60" s="28" t="s">
        <v>36</v>
      </c>
      <c r="G60" s="87"/>
      <c r="H60" s="62"/>
      <c r="I60" s="32"/>
      <c r="J60" s="37"/>
      <c r="K60" s="37"/>
      <c r="L60" s="37"/>
      <c r="M60" s="37"/>
      <c r="N60" s="37"/>
      <c r="O60" s="37"/>
      <c r="P60" s="37"/>
      <c r="Q60" s="37"/>
      <c r="R60" s="32"/>
      <c r="S60" s="32"/>
      <c r="T60" s="37"/>
      <c r="U60" s="37"/>
      <c r="V60" s="80"/>
      <c r="W60" s="335"/>
      <c r="X60" s="131"/>
      <c r="Y60" s="37">
        <v>7800</v>
      </c>
      <c r="AB60" s="6" t="e">
        <f>#REF!</f>
        <v>#REF!</v>
      </c>
      <c r="AC60" s="6"/>
      <c r="AD60" s="6"/>
      <c r="AE60" s="6"/>
    </row>
    <row r="61" spans="1:49" ht="60.9" customHeight="1">
      <c r="A61" s="114">
        <v>2</v>
      </c>
      <c r="B61" s="36" t="s">
        <v>409</v>
      </c>
      <c r="C61" s="23" t="s">
        <v>490</v>
      </c>
      <c r="D61" s="34" t="s">
        <v>19</v>
      </c>
      <c r="E61" s="23" t="s">
        <v>421</v>
      </c>
      <c r="F61" s="23" t="s">
        <v>391</v>
      </c>
      <c r="G61" s="86" t="s">
        <v>410</v>
      </c>
      <c r="H61" s="62"/>
      <c r="I61" s="32"/>
      <c r="J61" s="37"/>
      <c r="K61" s="37"/>
      <c r="L61" s="37"/>
      <c r="M61" s="37"/>
      <c r="N61" s="37"/>
      <c r="O61" s="37"/>
      <c r="P61" s="37"/>
      <c r="Q61" s="37"/>
      <c r="R61" s="32"/>
      <c r="S61" s="32"/>
      <c r="T61" s="37"/>
      <c r="U61" s="37"/>
      <c r="V61" s="80"/>
      <c r="W61" s="335"/>
      <c r="X61" s="131" t="s">
        <v>985</v>
      </c>
      <c r="Y61" s="37">
        <v>18000</v>
      </c>
      <c r="AB61" s="6" t="e">
        <f>#REF!</f>
        <v>#REF!</v>
      </c>
      <c r="AC61" s="6"/>
      <c r="AD61" s="6"/>
      <c r="AE61" s="6"/>
    </row>
    <row r="62" spans="1:49" s="18" customFormat="1" ht="60" customHeight="1">
      <c r="A62" s="13" t="s">
        <v>961</v>
      </c>
      <c r="B62" s="26" t="s">
        <v>1024</v>
      </c>
      <c r="C62" s="13"/>
      <c r="D62" s="13"/>
      <c r="E62" s="13"/>
      <c r="F62" s="13"/>
      <c r="G62" s="13"/>
      <c r="H62" s="8" t="e">
        <f>SUM(#REF!,#REF!,#REF!)</f>
        <v>#REF!</v>
      </c>
      <c r="I62" s="8" t="e">
        <f>SUM(#REF!,#REF!,#REF!)</f>
        <v>#REF!</v>
      </c>
      <c r="J62" s="8" t="e">
        <f>SUM(#REF!,#REF!,#REF!)</f>
        <v>#REF!</v>
      </c>
      <c r="K62" s="8" t="e">
        <f>SUM(#REF!,#REF!,#REF!)</f>
        <v>#REF!</v>
      </c>
      <c r="L62" s="8" t="e">
        <f>SUM(#REF!,#REF!,#REF!)</f>
        <v>#REF!</v>
      </c>
      <c r="M62" s="8" t="e">
        <f>SUM(#REF!,#REF!,#REF!)</f>
        <v>#REF!</v>
      </c>
      <c r="N62" s="8" t="e">
        <f>SUM(#REF!,#REF!,#REF!)</f>
        <v>#REF!</v>
      </c>
      <c r="O62" s="8" t="e">
        <f>SUM(#REF!,#REF!,#REF!)</f>
        <v>#REF!</v>
      </c>
      <c r="P62" s="8" t="e">
        <f>SUM(#REF!,#REF!,#REF!)</f>
        <v>#REF!</v>
      </c>
      <c r="Q62" s="8" t="e">
        <f>SUM(#REF!,#REF!,#REF!)</f>
        <v>#REF!</v>
      </c>
      <c r="R62" s="8" t="e">
        <f>SUM(#REF!,#REF!,#REF!)</f>
        <v>#REF!</v>
      </c>
      <c r="S62" s="8" t="e">
        <f>SUM(#REF!,#REF!,#REF!)</f>
        <v>#REF!</v>
      </c>
      <c r="T62" s="8" t="e">
        <f>SUM(#REF!,#REF!,#REF!)</f>
        <v>#REF!</v>
      </c>
      <c r="U62" s="8" t="e">
        <f>SUM(#REF!,#REF!,#REF!)</f>
        <v>#REF!</v>
      </c>
      <c r="V62" s="8" t="e">
        <f>SUM(#REF!,#REF!,#REF!)</f>
        <v>#REF!</v>
      </c>
      <c r="W62" s="334"/>
      <c r="X62" s="211"/>
      <c r="Y62" s="8">
        <f>SUM(Y63)</f>
        <v>12000</v>
      </c>
      <c r="Z62" s="189"/>
      <c r="AA62" s="18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row>
    <row r="63" spans="1:49" s="20" customFormat="1" ht="44.25" customHeight="1">
      <c r="A63" s="109" t="s">
        <v>17</v>
      </c>
      <c r="B63" s="110" t="s">
        <v>358</v>
      </c>
      <c r="C63" s="110"/>
      <c r="D63" s="109"/>
      <c r="E63" s="110"/>
      <c r="F63" s="110"/>
      <c r="G63" s="110"/>
      <c r="H63" s="111"/>
      <c r="I63" s="111"/>
      <c r="J63" s="111"/>
      <c r="K63" s="111"/>
      <c r="L63" s="111"/>
      <c r="M63" s="111"/>
      <c r="N63" s="111"/>
      <c r="O63" s="111"/>
      <c r="P63" s="111"/>
      <c r="Q63" s="111"/>
      <c r="R63" s="111"/>
      <c r="S63" s="111"/>
      <c r="T63" s="111"/>
      <c r="U63" s="111"/>
      <c r="V63" s="111"/>
      <c r="W63" s="335"/>
      <c r="X63" s="130"/>
      <c r="Y63" s="111">
        <f>SUM(Y64:Y64)</f>
        <v>12000</v>
      </c>
      <c r="Z63" s="113"/>
      <c r="AA63" s="113"/>
    </row>
    <row r="64" spans="1:49" ht="60.9" customHeight="1">
      <c r="A64" s="114">
        <v>1</v>
      </c>
      <c r="B64" s="36" t="s">
        <v>413</v>
      </c>
      <c r="C64" s="23" t="s">
        <v>491</v>
      </c>
      <c r="D64" s="34" t="s">
        <v>19</v>
      </c>
      <c r="E64" s="23" t="s">
        <v>421</v>
      </c>
      <c r="F64" s="23" t="s">
        <v>391</v>
      </c>
      <c r="G64" s="86" t="s">
        <v>414</v>
      </c>
      <c r="H64" s="62"/>
      <c r="I64" s="32"/>
      <c r="J64" s="37"/>
      <c r="K64" s="37"/>
      <c r="L64" s="37"/>
      <c r="M64" s="37"/>
      <c r="N64" s="37"/>
      <c r="O64" s="37"/>
      <c r="P64" s="37"/>
      <c r="Q64" s="37"/>
      <c r="R64" s="32"/>
      <c r="S64" s="32"/>
      <c r="T64" s="37"/>
      <c r="U64" s="37"/>
      <c r="V64" s="80"/>
      <c r="W64" s="335"/>
      <c r="X64" s="131" t="s">
        <v>985</v>
      </c>
      <c r="Y64" s="37">
        <v>12000</v>
      </c>
      <c r="AB64" s="6" t="e">
        <f>#REF!</f>
        <v>#REF!</v>
      </c>
      <c r="AC64" s="6"/>
      <c r="AD64" s="6"/>
      <c r="AE64" s="6"/>
    </row>
    <row r="65" spans="1:49" s="18" customFormat="1" ht="60" customHeight="1">
      <c r="A65" s="13" t="s">
        <v>962</v>
      </c>
      <c r="B65" s="26" t="s">
        <v>1002</v>
      </c>
      <c r="C65" s="13"/>
      <c r="D65" s="13"/>
      <c r="E65" s="13"/>
      <c r="F65" s="13"/>
      <c r="G65" s="13"/>
      <c r="H65" s="8" t="e">
        <f>SUM(#REF!,#REF!,#REF!)</f>
        <v>#REF!</v>
      </c>
      <c r="I65" s="8" t="e">
        <f>SUM(#REF!,#REF!,#REF!)</f>
        <v>#REF!</v>
      </c>
      <c r="J65" s="8" t="e">
        <f>SUM(#REF!,#REF!,#REF!)</f>
        <v>#REF!</v>
      </c>
      <c r="K65" s="8" t="e">
        <f>SUM(#REF!,#REF!,#REF!)</f>
        <v>#REF!</v>
      </c>
      <c r="L65" s="8" t="e">
        <f>SUM(#REF!,#REF!,#REF!)</f>
        <v>#REF!</v>
      </c>
      <c r="M65" s="8" t="e">
        <f>SUM(#REF!,#REF!,#REF!)</f>
        <v>#REF!</v>
      </c>
      <c r="N65" s="8" t="e">
        <f>SUM(#REF!,#REF!,#REF!)</f>
        <v>#REF!</v>
      </c>
      <c r="O65" s="8" t="e">
        <f>SUM(#REF!,#REF!,#REF!)</f>
        <v>#REF!</v>
      </c>
      <c r="P65" s="8" t="e">
        <f>SUM(#REF!,#REF!,#REF!)</f>
        <v>#REF!</v>
      </c>
      <c r="Q65" s="8" t="e">
        <f>SUM(#REF!,#REF!,#REF!)</f>
        <v>#REF!</v>
      </c>
      <c r="R65" s="8" t="e">
        <f>SUM(#REF!,#REF!,#REF!)</f>
        <v>#REF!</v>
      </c>
      <c r="S65" s="8" t="e">
        <f>SUM(#REF!,#REF!,#REF!)</f>
        <v>#REF!</v>
      </c>
      <c r="T65" s="8" t="e">
        <f>SUM(#REF!,#REF!,#REF!)</f>
        <v>#REF!</v>
      </c>
      <c r="U65" s="8" t="e">
        <f>SUM(#REF!,#REF!,#REF!)</f>
        <v>#REF!</v>
      </c>
      <c r="V65" s="8" t="e">
        <f>SUM(#REF!,#REF!,#REF!)</f>
        <v>#REF!</v>
      </c>
      <c r="W65" s="334"/>
      <c r="X65" s="211"/>
      <c r="Y65" s="8">
        <f>SUM(Y66)</f>
        <v>5000</v>
      </c>
      <c r="Z65" s="189"/>
      <c r="AA65" s="189"/>
      <c r="AB65" s="179"/>
      <c r="AC65" s="179"/>
      <c r="AD65" s="179"/>
      <c r="AE65" s="179"/>
      <c r="AF65" s="179"/>
      <c r="AG65" s="179"/>
      <c r="AH65" s="179"/>
      <c r="AI65" s="179"/>
      <c r="AJ65" s="179"/>
      <c r="AK65" s="179"/>
      <c r="AL65" s="179"/>
      <c r="AM65" s="179"/>
      <c r="AN65" s="179"/>
      <c r="AO65" s="179"/>
      <c r="AP65" s="179"/>
      <c r="AQ65" s="179"/>
      <c r="AR65" s="179"/>
      <c r="AS65" s="179"/>
      <c r="AT65" s="179"/>
      <c r="AU65" s="179"/>
      <c r="AV65" s="179"/>
      <c r="AW65" s="179"/>
    </row>
    <row r="66" spans="1:49" s="20" customFormat="1" ht="44.25" customHeight="1">
      <c r="A66" s="109" t="s">
        <v>17</v>
      </c>
      <c r="B66" s="110" t="s">
        <v>96</v>
      </c>
      <c r="C66" s="110"/>
      <c r="D66" s="109"/>
      <c r="E66" s="110"/>
      <c r="F66" s="110"/>
      <c r="G66" s="110"/>
      <c r="H66" s="111">
        <f t="shared" ref="H66:V66" si="0">SUM(H67:H67)</f>
        <v>6000</v>
      </c>
      <c r="I66" s="111">
        <f t="shared" si="0"/>
        <v>0</v>
      </c>
      <c r="J66" s="111">
        <f t="shared" si="0"/>
        <v>0</v>
      </c>
      <c r="K66" s="111">
        <f t="shared" si="0"/>
        <v>0</v>
      </c>
      <c r="L66" s="111">
        <f t="shared" si="0"/>
        <v>0</v>
      </c>
      <c r="M66" s="111">
        <f t="shared" si="0"/>
        <v>0</v>
      </c>
      <c r="N66" s="111">
        <f t="shared" si="0"/>
        <v>0</v>
      </c>
      <c r="O66" s="111">
        <f t="shared" si="0"/>
        <v>0</v>
      </c>
      <c r="P66" s="111">
        <f t="shared" si="0"/>
        <v>6000</v>
      </c>
      <c r="Q66" s="111">
        <f t="shared" si="0"/>
        <v>0</v>
      </c>
      <c r="R66" s="111">
        <f t="shared" si="0"/>
        <v>0</v>
      </c>
      <c r="S66" s="111">
        <f t="shared" si="0"/>
        <v>0</v>
      </c>
      <c r="T66" s="111">
        <f t="shared" si="0"/>
        <v>0</v>
      </c>
      <c r="U66" s="111">
        <f t="shared" si="0"/>
        <v>0</v>
      </c>
      <c r="V66" s="111">
        <f t="shared" si="0"/>
        <v>6000</v>
      </c>
      <c r="W66" s="112"/>
      <c r="X66" s="130"/>
      <c r="Y66" s="111">
        <f>SUM(Y67:Y67)</f>
        <v>5000</v>
      </c>
      <c r="Z66" s="113"/>
      <c r="AA66" s="113"/>
    </row>
    <row r="67" spans="1:49" ht="80.25" customHeight="1">
      <c r="A67" s="114">
        <v>1</v>
      </c>
      <c r="B67" s="36" t="s">
        <v>651</v>
      </c>
      <c r="C67" s="23" t="s">
        <v>652</v>
      </c>
      <c r="D67" s="34" t="s">
        <v>19</v>
      </c>
      <c r="E67" s="23" t="s">
        <v>653</v>
      </c>
      <c r="F67" s="23" t="s">
        <v>391</v>
      </c>
      <c r="G67" s="86" t="s">
        <v>654</v>
      </c>
      <c r="H67" s="80">
        <f>SUM(I67,J67:Q67)</f>
        <v>6000</v>
      </c>
      <c r="I67" s="120"/>
      <c r="J67" s="37"/>
      <c r="K67" s="37"/>
      <c r="L67" s="37"/>
      <c r="M67" s="37"/>
      <c r="N67" s="37"/>
      <c r="O67" s="37"/>
      <c r="P67" s="37">
        <v>6000</v>
      </c>
      <c r="Q67" s="37"/>
      <c r="R67" s="32"/>
      <c r="S67" s="32"/>
      <c r="T67" s="37"/>
      <c r="U67" s="37"/>
      <c r="V67" s="80">
        <f>H67-R67</f>
        <v>6000</v>
      </c>
      <c r="W67" s="117"/>
      <c r="X67" s="131" t="s">
        <v>982</v>
      </c>
      <c r="Y67" s="37">
        <v>5000</v>
      </c>
      <c r="AB67" s="6" t="e">
        <f>#REF!</f>
        <v>#REF!</v>
      </c>
      <c r="AC67" s="6"/>
      <c r="AD67" s="6"/>
      <c r="AE67" s="6"/>
    </row>
    <row r="68" spans="1:49" s="18" customFormat="1" ht="60" customHeight="1">
      <c r="A68" s="13" t="s">
        <v>979</v>
      </c>
      <c r="B68" s="26" t="s">
        <v>1003</v>
      </c>
      <c r="C68" s="13"/>
      <c r="D68" s="13"/>
      <c r="E68" s="13"/>
      <c r="F68" s="13"/>
      <c r="G68" s="13"/>
      <c r="H68" s="8" t="e">
        <f>SUM(#REF!,#REF!,#REF!)</f>
        <v>#REF!</v>
      </c>
      <c r="I68" s="8" t="e">
        <f>SUM(#REF!,#REF!,#REF!)</f>
        <v>#REF!</v>
      </c>
      <c r="J68" s="8" t="e">
        <f>SUM(#REF!,#REF!,#REF!)</f>
        <v>#REF!</v>
      </c>
      <c r="K68" s="8" t="e">
        <f>SUM(#REF!,#REF!,#REF!)</f>
        <v>#REF!</v>
      </c>
      <c r="L68" s="8" t="e">
        <f>SUM(#REF!,#REF!,#REF!)</f>
        <v>#REF!</v>
      </c>
      <c r="M68" s="8" t="e">
        <f>SUM(#REF!,#REF!,#REF!)</f>
        <v>#REF!</v>
      </c>
      <c r="N68" s="8" t="e">
        <f>SUM(#REF!,#REF!,#REF!)</f>
        <v>#REF!</v>
      </c>
      <c r="O68" s="8" t="e">
        <f>SUM(#REF!,#REF!,#REF!)</f>
        <v>#REF!</v>
      </c>
      <c r="P68" s="8" t="e">
        <f>SUM(#REF!,#REF!,#REF!)</f>
        <v>#REF!</v>
      </c>
      <c r="Q68" s="8" t="e">
        <f>SUM(#REF!,#REF!,#REF!)</f>
        <v>#REF!</v>
      </c>
      <c r="R68" s="8" t="e">
        <f>SUM(#REF!,#REF!,#REF!)</f>
        <v>#REF!</v>
      </c>
      <c r="S68" s="8" t="e">
        <f>SUM(#REF!,#REF!,#REF!)</f>
        <v>#REF!</v>
      </c>
      <c r="T68" s="8" t="e">
        <f>SUM(#REF!,#REF!,#REF!)</f>
        <v>#REF!</v>
      </c>
      <c r="U68" s="8" t="e">
        <f>SUM(#REF!,#REF!,#REF!)</f>
        <v>#REF!</v>
      </c>
      <c r="V68" s="8" t="e">
        <f>SUM(#REF!,#REF!,#REF!)</f>
        <v>#REF!</v>
      </c>
      <c r="W68" s="334"/>
      <c r="X68" s="211"/>
      <c r="Y68" s="8">
        <f>SUM(Y69)</f>
        <v>121000</v>
      </c>
      <c r="Z68" s="189"/>
      <c r="AA68" s="189"/>
      <c r="AB68" s="179"/>
      <c r="AC68" s="179"/>
      <c r="AD68" s="179"/>
      <c r="AE68" s="179"/>
      <c r="AF68" s="179"/>
      <c r="AG68" s="179"/>
      <c r="AH68" s="179"/>
      <c r="AI68" s="179"/>
      <c r="AJ68" s="179"/>
      <c r="AK68" s="179"/>
      <c r="AL68" s="179"/>
      <c r="AM68" s="179"/>
      <c r="AN68" s="179"/>
      <c r="AO68" s="179"/>
      <c r="AP68" s="179"/>
      <c r="AQ68" s="179"/>
      <c r="AR68" s="179"/>
      <c r="AS68" s="179"/>
      <c r="AT68" s="179"/>
      <c r="AU68" s="179"/>
      <c r="AV68" s="179"/>
      <c r="AW68" s="179"/>
    </row>
    <row r="69" spans="1:49" s="20" customFormat="1" ht="44.25" customHeight="1">
      <c r="A69" s="109" t="s">
        <v>17</v>
      </c>
      <c r="B69" s="110" t="s">
        <v>64</v>
      </c>
      <c r="C69" s="110"/>
      <c r="D69" s="109"/>
      <c r="E69" s="110"/>
      <c r="F69" s="110"/>
      <c r="G69" s="110"/>
      <c r="H69" s="111"/>
      <c r="I69" s="111"/>
      <c r="J69" s="111"/>
      <c r="K69" s="111"/>
      <c r="L69" s="111"/>
      <c r="M69" s="111"/>
      <c r="N69" s="111"/>
      <c r="O69" s="111"/>
      <c r="P69" s="111"/>
      <c r="Q69" s="111"/>
      <c r="R69" s="111"/>
      <c r="S69" s="111"/>
      <c r="T69" s="111"/>
      <c r="U69" s="111"/>
      <c r="V69" s="111"/>
      <c r="W69" s="112"/>
      <c r="X69" s="130"/>
      <c r="Y69" s="111">
        <f>SUM(Y70:Y71)</f>
        <v>121000</v>
      </c>
      <c r="Z69" s="113"/>
      <c r="AA69" s="113"/>
    </row>
    <row r="70" spans="1:49" ht="113.25" customHeight="1">
      <c r="A70" s="10">
        <v>1</v>
      </c>
      <c r="B70" s="115" t="s">
        <v>561</v>
      </c>
      <c r="C70" s="23" t="s">
        <v>344</v>
      </c>
      <c r="D70" s="89" t="s">
        <v>20</v>
      </c>
      <c r="E70" s="23" t="s">
        <v>351</v>
      </c>
      <c r="F70" s="23" t="s">
        <v>36</v>
      </c>
      <c r="G70" s="114" t="s">
        <v>352</v>
      </c>
      <c r="H70" s="114" t="s">
        <v>352</v>
      </c>
      <c r="I70" s="37">
        <v>534841</v>
      </c>
      <c r="J70" s="37">
        <f>I70-80000</f>
        <v>454841</v>
      </c>
      <c r="K70" s="17"/>
      <c r="L70" s="17"/>
      <c r="M70" s="17"/>
      <c r="N70" s="17"/>
      <c r="O70" s="17"/>
      <c r="P70" s="17"/>
      <c r="Q70" s="17"/>
      <c r="R70" s="17"/>
      <c r="S70" s="17"/>
      <c r="T70" s="17"/>
      <c r="U70" s="17"/>
      <c r="V70" s="17"/>
      <c r="W70" s="17"/>
      <c r="Y70" s="70">
        <v>1000</v>
      </c>
      <c r="AB70" s="6"/>
    </row>
    <row r="71" spans="1:49" ht="81.75" customHeight="1">
      <c r="A71" s="10">
        <v>2</v>
      </c>
      <c r="B71" s="115" t="s">
        <v>680</v>
      </c>
      <c r="C71" s="10" t="s">
        <v>681</v>
      </c>
      <c r="D71" s="185" t="s">
        <v>20</v>
      </c>
      <c r="E71" s="10" t="s">
        <v>682</v>
      </c>
      <c r="F71" s="10" t="s">
        <v>391</v>
      </c>
      <c r="G71" s="17"/>
      <c r="H71" s="17"/>
      <c r="I71" s="17"/>
      <c r="J71" s="17"/>
      <c r="K71" s="17"/>
      <c r="L71" s="17"/>
      <c r="M71" s="17"/>
      <c r="N71" s="17"/>
      <c r="O71" s="17"/>
      <c r="P71" s="17"/>
      <c r="Q71" s="17"/>
      <c r="R71" s="17"/>
      <c r="S71" s="17"/>
      <c r="T71" s="17"/>
      <c r="U71" s="17"/>
      <c r="V71" s="17"/>
      <c r="W71" s="17"/>
      <c r="X71" s="11" t="s">
        <v>1001</v>
      </c>
      <c r="Y71" s="70">
        <v>120000</v>
      </c>
      <c r="AB71" s="6" t="e">
        <f>#REF!</f>
        <v>#REF!</v>
      </c>
    </row>
    <row r="72" spans="1:49" s="18" customFormat="1" ht="60" customHeight="1">
      <c r="A72" s="13" t="s">
        <v>1027</v>
      </c>
      <c r="B72" s="26" t="s">
        <v>1046</v>
      </c>
      <c r="C72" s="13"/>
      <c r="D72" s="13"/>
      <c r="E72" s="13"/>
      <c r="F72" s="13"/>
      <c r="G72" s="13"/>
      <c r="H72" s="8" t="e">
        <f>SUM(#REF!,#REF!,#REF!)</f>
        <v>#REF!</v>
      </c>
      <c r="I72" s="8" t="e">
        <f>SUM(#REF!,#REF!,#REF!)</f>
        <v>#REF!</v>
      </c>
      <c r="J72" s="8" t="e">
        <f>SUM(#REF!,#REF!,#REF!)</f>
        <v>#REF!</v>
      </c>
      <c r="K72" s="8" t="e">
        <f>SUM(#REF!,#REF!,#REF!)</f>
        <v>#REF!</v>
      </c>
      <c r="L72" s="8" t="e">
        <f>SUM(#REF!,#REF!,#REF!)</f>
        <v>#REF!</v>
      </c>
      <c r="M72" s="8" t="e">
        <f>SUM(#REF!,#REF!,#REF!)</f>
        <v>#REF!</v>
      </c>
      <c r="N72" s="8" t="e">
        <f>SUM(#REF!,#REF!,#REF!)</f>
        <v>#REF!</v>
      </c>
      <c r="O72" s="8" t="e">
        <f>SUM(#REF!,#REF!,#REF!)</f>
        <v>#REF!</v>
      </c>
      <c r="P72" s="8" t="e">
        <f>SUM(#REF!,#REF!,#REF!)</f>
        <v>#REF!</v>
      </c>
      <c r="Q72" s="8" t="e">
        <f>SUM(#REF!,#REF!,#REF!)</f>
        <v>#REF!</v>
      </c>
      <c r="R72" s="8" t="e">
        <f>SUM(#REF!,#REF!,#REF!)</f>
        <v>#REF!</v>
      </c>
      <c r="S72" s="8" t="e">
        <f>SUM(#REF!,#REF!,#REF!)</f>
        <v>#REF!</v>
      </c>
      <c r="T72" s="8" t="e">
        <f>SUM(#REF!,#REF!,#REF!)</f>
        <v>#REF!</v>
      </c>
      <c r="U72" s="8" t="e">
        <f>SUM(#REF!,#REF!,#REF!)</f>
        <v>#REF!</v>
      </c>
      <c r="V72" s="8" t="e">
        <f>SUM(#REF!,#REF!,#REF!)</f>
        <v>#REF!</v>
      </c>
      <c r="W72" s="334"/>
      <c r="X72" s="211"/>
      <c r="Y72" s="8">
        <f>SUM(Y73)</f>
        <v>10600</v>
      </c>
      <c r="Z72" s="189"/>
      <c r="AA72" s="189"/>
      <c r="AB72" s="179"/>
      <c r="AC72" s="179"/>
      <c r="AD72" s="179"/>
      <c r="AE72" s="179"/>
      <c r="AF72" s="179"/>
      <c r="AG72" s="179"/>
      <c r="AH72" s="179"/>
      <c r="AI72" s="179"/>
      <c r="AJ72" s="179"/>
      <c r="AK72" s="179"/>
      <c r="AL72" s="179"/>
      <c r="AM72" s="179"/>
      <c r="AN72" s="179"/>
      <c r="AO72" s="179"/>
      <c r="AP72" s="179"/>
      <c r="AQ72" s="179"/>
      <c r="AR72" s="179"/>
      <c r="AS72" s="179"/>
      <c r="AT72" s="179"/>
      <c r="AU72" s="179"/>
      <c r="AV72" s="179"/>
      <c r="AW72" s="179"/>
    </row>
    <row r="73" spans="1:49" s="20" customFormat="1" ht="44.25" customHeight="1">
      <c r="A73" s="109" t="s">
        <v>17</v>
      </c>
      <c r="B73" s="110" t="s">
        <v>98</v>
      </c>
      <c r="C73" s="110"/>
      <c r="D73" s="109"/>
      <c r="E73" s="110"/>
      <c r="F73" s="110"/>
      <c r="G73" s="110"/>
      <c r="H73" s="111" t="e">
        <f t="shared" ref="H73:V73" si="1">SUM(H74:H112)</f>
        <v>#REF!</v>
      </c>
      <c r="I73" s="111" t="e">
        <f t="shared" si="1"/>
        <v>#REF!</v>
      </c>
      <c r="J73" s="111" t="e">
        <f t="shared" si="1"/>
        <v>#REF!</v>
      </c>
      <c r="K73" s="111" t="e">
        <f t="shared" si="1"/>
        <v>#REF!</v>
      </c>
      <c r="L73" s="111" t="e">
        <f t="shared" si="1"/>
        <v>#REF!</v>
      </c>
      <c r="M73" s="111" t="e">
        <f t="shared" si="1"/>
        <v>#REF!</v>
      </c>
      <c r="N73" s="111" t="e">
        <f t="shared" si="1"/>
        <v>#REF!</v>
      </c>
      <c r="O73" s="111" t="e">
        <f t="shared" si="1"/>
        <v>#REF!</v>
      </c>
      <c r="P73" s="111" t="e">
        <f t="shared" si="1"/>
        <v>#REF!</v>
      </c>
      <c r="Q73" s="111" t="e">
        <f t="shared" si="1"/>
        <v>#REF!</v>
      </c>
      <c r="R73" s="111" t="e">
        <f t="shared" si="1"/>
        <v>#REF!</v>
      </c>
      <c r="S73" s="111" t="e">
        <f t="shared" si="1"/>
        <v>#REF!</v>
      </c>
      <c r="T73" s="111" t="e">
        <f t="shared" si="1"/>
        <v>#REF!</v>
      </c>
      <c r="U73" s="111" t="e">
        <f t="shared" si="1"/>
        <v>#REF!</v>
      </c>
      <c r="V73" s="111" t="e">
        <f t="shared" si="1"/>
        <v>#REF!</v>
      </c>
      <c r="W73" s="112"/>
      <c r="X73" s="130"/>
      <c r="Y73" s="111">
        <f>SUM(Y74:Y82)</f>
        <v>10600</v>
      </c>
      <c r="Z73" s="113"/>
      <c r="AA73" s="113"/>
    </row>
    <row r="74" spans="1:49" ht="60.9" customHeight="1">
      <c r="A74" s="114">
        <v>1</v>
      </c>
      <c r="B74" s="121" t="s">
        <v>118</v>
      </c>
      <c r="C74" s="23" t="s">
        <v>126</v>
      </c>
      <c r="D74" s="89" t="s">
        <v>19</v>
      </c>
      <c r="E74" s="23" t="s">
        <v>115</v>
      </c>
      <c r="F74" s="122" t="s">
        <v>116</v>
      </c>
      <c r="G74" s="86" t="s">
        <v>546</v>
      </c>
      <c r="H74" s="80">
        <f t="shared" ref="H74:H81" si="2">SUM(I74,J74:Q74)</f>
        <v>1200</v>
      </c>
      <c r="I74" s="32">
        <v>1200</v>
      </c>
      <c r="J74" s="37"/>
      <c r="K74" s="37"/>
      <c r="L74" s="37"/>
      <c r="M74" s="37"/>
      <c r="N74" s="37"/>
      <c r="O74" s="37"/>
      <c r="P74" s="37"/>
      <c r="Q74" s="37"/>
      <c r="R74" s="32">
        <f t="shared" ref="R74:R81" si="3">SUM(S74:U74)</f>
        <v>0</v>
      </c>
      <c r="S74" s="32"/>
      <c r="T74" s="37"/>
      <c r="U74" s="37"/>
      <c r="V74" s="80">
        <f t="shared" ref="V74:V82" si="4">H74-R74</f>
        <v>1200</v>
      </c>
      <c r="W74" s="117"/>
      <c r="X74" s="131" t="s">
        <v>983</v>
      </c>
      <c r="Y74" s="37">
        <v>1200</v>
      </c>
      <c r="Z74" s="22" t="s">
        <v>473</v>
      </c>
      <c r="AA74" s="22" t="s">
        <v>467</v>
      </c>
      <c r="AB74" s="6" t="e">
        <f>#REF!</f>
        <v>#REF!</v>
      </c>
      <c r="AC74" s="6"/>
      <c r="AD74" s="6"/>
      <c r="AE74" s="6"/>
    </row>
    <row r="75" spans="1:49" ht="60.9" customHeight="1">
      <c r="A75" s="114">
        <f>A74+1</f>
        <v>2</v>
      </c>
      <c r="B75" s="121" t="s">
        <v>119</v>
      </c>
      <c r="C75" s="23" t="s">
        <v>127</v>
      </c>
      <c r="D75" s="89" t="s">
        <v>19</v>
      </c>
      <c r="E75" s="23" t="s">
        <v>115</v>
      </c>
      <c r="F75" s="122" t="s">
        <v>116</v>
      </c>
      <c r="G75" s="86" t="s">
        <v>545</v>
      </c>
      <c r="H75" s="80">
        <f t="shared" si="2"/>
        <v>1200</v>
      </c>
      <c r="I75" s="32">
        <v>1200</v>
      </c>
      <c r="J75" s="37"/>
      <c r="K75" s="37"/>
      <c r="L75" s="37"/>
      <c r="M75" s="37"/>
      <c r="N75" s="37"/>
      <c r="O75" s="37"/>
      <c r="P75" s="37"/>
      <c r="Q75" s="37"/>
      <c r="R75" s="32">
        <f t="shared" si="3"/>
        <v>0</v>
      </c>
      <c r="S75" s="32"/>
      <c r="T75" s="37"/>
      <c r="U75" s="37"/>
      <c r="V75" s="80">
        <f t="shared" si="4"/>
        <v>1200</v>
      </c>
      <c r="W75" s="117"/>
      <c r="X75" s="131" t="s">
        <v>983</v>
      </c>
      <c r="Y75" s="37">
        <v>1200</v>
      </c>
      <c r="Z75" s="22" t="s">
        <v>473</v>
      </c>
      <c r="AA75" s="22" t="s">
        <v>467</v>
      </c>
      <c r="AB75" s="6" t="e">
        <f>#REF!</f>
        <v>#REF!</v>
      </c>
      <c r="AC75" s="6"/>
      <c r="AD75" s="6"/>
      <c r="AE75" s="6"/>
    </row>
    <row r="76" spans="1:49" ht="60.9" customHeight="1">
      <c r="A76" s="114">
        <f t="shared" ref="A76:A82" si="5">A75+1</f>
        <v>3</v>
      </c>
      <c r="B76" s="121" t="s">
        <v>120</v>
      </c>
      <c r="C76" s="23" t="s">
        <v>112</v>
      </c>
      <c r="D76" s="89" t="s">
        <v>19</v>
      </c>
      <c r="E76" s="23" t="s">
        <v>115</v>
      </c>
      <c r="F76" s="122" t="s">
        <v>116</v>
      </c>
      <c r="G76" s="86" t="s">
        <v>544</v>
      </c>
      <c r="H76" s="80">
        <f t="shared" si="2"/>
        <v>1200</v>
      </c>
      <c r="I76" s="32">
        <v>1200</v>
      </c>
      <c r="J76" s="37"/>
      <c r="K76" s="37"/>
      <c r="L76" s="37"/>
      <c r="M76" s="37"/>
      <c r="N76" s="37"/>
      <c r="O76" s="37"/>
      <c r="P76" s="37"/>
      <c r="Q76" s="37"/>
      <c r="R76" s="32">
        <f t="shared" si="3"/>
        <v>0</v>
      </c>
      <c r="S76" s="32"/>
      <c r="T76" s="37"/>
      <c r="U76" s="37"/>
      <c r="V76" s="80">
        <f t="shared" si="4"/>
        <v>1200</v>
      </c>
      <c r="W76" s="117"/>
      <c r="X76" s="131" t="s">
        <v>983</v>
      </c>
      <c r="Y76" s="37">
        <v>1200</v>
      </c>
      <c r="Z76" s="22" t="s">
        <v>473</v>
      </c>
      <c r="AA76" s="22" t="s">
        <v>467</v>
      </c>
      <c r="AB76" s="6" t="e">
        <f>#REF!</f>
        <v>#REF!</v>
      </c>
      <c r="AC76" s="6"/>
      <c r="AD76" s="6"/>
      <c r="AE76" s="6"/>
    </row>
    <row r="77" spans="1:49" ht="60.9" customHeight="1">
      <c r="A77" s="114">
        <f t="shared" si="5"/>
        <v>4</v>
      </c>
      <c r="B77" s="121" t="s">
        <v>121</v>
      </c>
      <c r="C77" s="23" t="s">
        <v>449</v>
      </c>
      <c r="D77" s="89" t="s">
        <v>19</v>
      </c>
      <c r="E77" s="23" t="s">
        <v>115</v>
      </c>
      <c r="F77" s="122" t="s">
        <v>116</v>
      </c>
      <c r="G77" s="86" t="s">
        <v>541</v>
      </c>
      <c r="H77" s="80">
        <f t="shared" si="2"/>
        <v>1200</v>
      </c>
      <c r="I77" s="32">
        <v>1200</v>
      </c>
      <c r="J77" s="37"/>
      <c r="K77" s="37"/>
      <c r="L77" s="37"/>
      <c r="M77" s="37"/>
      <c r="N77" s="37"/>
      <c r="O77" s="37"/>
      <c r="P77" s="37"/>
      <c r="Q77" s="37"/>
      <c r="R77" s="32">
        <f t="shared" si="3"/>
        <v>0</v>
      </c>
      <c r="S77" s="32"/>
      <c r="T77" s="37"/>
      <c r="U77" s="37"/>
      <c r="V77" s="80">
        <f t="shared" si="4"/>
        <v>1200</v>
      </c>
      <c r="W77" s="117"/>
      <c r="X77" s="131" t="s">
        <v>983</v>
      </c>
      <c r="Y77" s="37">
        <v>1200</v>
      </c>
      <c r="Z77" s="22" t="s">
        <v>473</v>
      </c>
      <c r="AA77" s="22" t="s">
        <v>467</v>
      </c>
      <c r="AB77" s="6" t="e">
        <f>#REF!</f>
        <v>#REF!</v>
      </c>
      <c r="AC77" s="6"/>
      <c r="AD77" s="6"/>
      <c r="AE77" s="6"/>
    </row>
    <row r="78" spans="1:49" ht="60.9" customHeight="1">
      <c r="A78" s="114">
        <f t="shared" si="5"/>
        <v>5</v>
      </c>
      <c r="B78" s="121" t="s">
        <v>122</v>
      </c>
      <c r="C78" s="23" t="s">
        <v>129</v>
      </c>
      <c r="D78" s="89" t="s">
        <v>19</v>
      </c>
      <c r="E78" s="23" t="s">
        <v>115</v>
      </c>
      <c r="F78" s="122" t="s">
        <v>116</v>
      </c>
      <c r="G78" s="86" t="s">
        <v>547</v>
      </c>
      <c r="H78" s="80">
        <f t="shared" si="2"/>
        <v>1200</v>
      </c>
      <c r="I78" s="32">
        <v>1200</v>
      </c>
      <c r="J78" s="37"/>
      <c r="K78" s="37"/>
      <c r="L78" s="37"/>
      <c r="M78" s="37"/>
      <c r="N78" s="37"/>
      <c r="O78" s="37"/>
      <c r="P78" s="37"/>
      <c r="Q78" s="37"/>
      <c r="R78" s="32">
        <f t="shared" si="3"/>
        <v>0</v>
      </c>
      <c r="S78" s="32"/>
      <c r="T78" s="37"/>
      <c r="U78" s="37"/>
      <c r="V78" s="80">
        <f t="shared" si="4"/>
        <v>1200</v>
      </c>
      <c r="W78" s="117"/>
      <c r="X78" s="131" t="s">
        <v>983</v>
      </c>
      <c r="Y78" s="37">
        <v>1200</v>
      </c>
      <c r="Z78" s="22" t="s">
        <v>473</v>
      </c>
      <c r="AA78" s="22" t="s">
        <v>467</v>
      </c>
      <c r="AB78" s="6" t="e">
        <f>#REF!</f>
        <v>#REF!</v>
      </c>
      <c r="AC78" s="6"/>
      <c r="AD78" s="6"/>
      <c r="AE78" s="6"/>
    </row>
    <row r="79" spans="1:49" ht="60.9" customHeight="1">
      <c r="A79" s="114">
        <f t="shared" si="5"/>
        <v>6</v>
      </c>
      <c r="B79" s="121" t="s">
        <v>123</v>
      </c>
      <c r="C79" s="23" t="s">
        <v>130</v>
      </c>
      <c r="D79" s="89" t="s">
        <v>19</v>
      </c>
      <c r="E79" s="23" t="s">
        <v>115</v>
      </c>
      <c r="F79" s="122" t="s">
        <v>116</v>
      </c>
      <c r="G79" s="86" t="s">
        <v>549</v>
      </c>
      <c r="H79" s="80">
        <f t="shared" si="2"/>
        <v>1200</v>
      </c>
      <c r="I79" s="32">
        <v>1200</v>
      </c>
      <c r="J79" s="37"/>
      <c r="K79" s="37"/>
      <c r="L79" s="37"/>
      <c r="M79" s="37"/>
      <c r="N79" s="37"/>
      <c r="O79" s="37"/>
      <c r="P79" s="37"/>
      <c r="Q79" s="37"/>
      <c r="R79" s="32">
        <f t="shared" si="3"/>
        <v>0</v>
      </c>
      <c r="S79" s="32"/>
      <c r="T79" s="37"/>
      <c r="U79" s="37"/>
      <c r="V79" s="80">
        <f t="shared" si="4"/>
        <v>1200</v>
      </c>
      <c r="W79" s="117"/>
      <c r="X79" s="131" t="s">
        <v>983</v>
      </c>
      <c r="Y79" s="37">
        <v>1200</v>
      </c>
      <c r="Z79" s="22" t="s">
        <v>473</v>
      </c>
      <c r="AA79" s="22" t="s">
        <v>467</v>
      </c>
      <c r="AB79" s="6" t="e">
        <f>#REF!</f>
        <v>#REF!</v>
      </c>
      <c r="AC79" s="6"/>
      <c r="AD79" s="6"/>
      <c r="AE79" s="6"/>
    </row>
    <row r="80" spans="1:49" ht="60.9" customHeight="1">
      <c r="A80" s="114">
        <f t="shared" si="5"/>
        <v>7</v>
      </c>
      <c r="B80" s="121" t="s">
        <v>124</v>
      </c>
      <c r="C80" s="23" t="s">
        <v>131</v>
      </c>
      <c r="D80" s="89" t="s">
        <v>19</v>
      </c>
      <c r="E80" s="23" t="s">
        <v>115</v>
      </c>
      <c r="F80" s="122" t="s">
        <v>116</v>
      </c>
      <c r="G80" s="86" t="s">
        <v>542</v>
      </c>
      <c r="H80" s="80">
        <f t="shared" si="2"/>
        <v>1200</v>
      </c>
      <c r="I80" s="32">
        <v>1200</v>
      </c>
      <c r="J80" s="37"/>
      <c r="K80" s="37"/>
      <c r="L80" s="37"/>
      <c r="M80" s="37"/>
      <c r="N80" s="37"/>
      <c r="O80" s="37"/>
      <c r="P80" s="37"/>
      <c r="Q80" s="37"/>
      <c r="R80" s="32">
        <f t="shared" si="3"/>
        <v>0</v>
      </c>
      <c r="S80" s="32"/>
      <c r="T80" s="37"/>
      <c r="U80" s="37"/>
      <c r="V80" s="80">
        <f t="shared" si="4"/>
        <v>1200</v>
      </c>
      <c r="W80" s="117"/>
      <c r="X80" s="131" t="s">
        <v>983</v>
      </c>
      <c r="Y80" s="37">
        <v>1200</v>
      </c>
      <c r="Z80" s="22" t="s">
        <v>473</v>
      </c>
      <c r="AA80" s="22" t="s">
        <v>467</v>
      </c>
      <c r="AB80" s="6" t="e">
        <f>#REF!</f>
        <v>#REF!</v>
      </c>
      <c r="AC80" s="6"/>
      <c r="AD80" s="6"/>
      <c r="AE80" s="6"/>
    </row>
    <row r="81" spans="1:49" ht="60.9" customHeight="1">
      <c r="A81" s="114">
        <f t="shared" si="5"/>
        <v>8</v>
      </c>
      <c r="B81" s="121" t="s">
        <v>125</v>
      </c>
      <c r="C81" s="23" t="s">
        <v>132</v>
      </c>
      <c r="D81" s="89" t="s">
        <v>19</v>
      </c>
      <c r="E81" s="23" t="s">
        <v>115</v>
      </c>
      <c r="F81" s="122" t="s">
        <v>116</v>
      </c>
      <c r="G81" s="86" t="s">
        <v>543</v>
      </c>
      <c r="H81" s="80">
        <f t="shared" si="2"/>
        <v>1200</v>
      </c>
      <c r="I81" s="32">
        <v>1200</v>
      </c>
      <c r="J81" s="37"/>
      <c r="K81" s="37"/>
      <c r="L81" s="37"/>
      <c r="M81" s="37"/>
      <c r="N81" s="37"/>
      <c r="O81" s="37"/>
      <c r="P81" s="37"/>
      <c r="Q81" s="37"/>
      <c r="R81" s="32">
        <f t="shared" si="3"/>
        <v>0</v>
      </c>
      <c r="S81" s="32"/>
      <c r="T81" s="37"/>
      <c r="U81" s="37"/>
      <c r="V81" s="80">
        <f t="shared" si="4"/>
        <v>1200</v>
      </c>
      <c r="W81" s="117"/>
      <c r="X81" s="131" t="s">
        <v>983</v>
      </c>
      <c r="Y81" s="37">
        <v>1200</v>
      </c>
      <c r="Z81" s="22" t="s">
        <v>473</v>
      </c>
      <c r="AA81" s="22" t="s">
        <v>467</v>
      </c>
      <c r="AB81" s="6" t="e">
        <f>#REF!</f>
        <v>#REF!</v>
      </c>
      <c r="AC81" s="6"/>
      <c r="AD81" s="6"/>
      <c r="AE81" s="6"/>
    </row>
    <row r="82" spans="1:49" ht="77.25" customHeight="1">
      <c r="A82" s="114">
        <f t="shared" si="5"/>
        <v>9</v>
      </c>
      <c r="B82" s="36" t="s">
        <v>721</v>
      </c>
      <c r="C82" s="23" t="s">
        <v>722</v>
      </c>
      <c r="D82" s="34" t="s">
        <v>20</v>
      </c>
      <c r="E82" s="23" t="s">
        <v>415</v>
      </c>
      <c r="F82" s="23" t="s">
        <v>391</v>
      </c>
      <c r="G82" s="86" t="s">
        <v>723</v>
      </c>
      <c r="H82" s="80">
        <v>1000</v>
      </c>
      <c r="I82" s="32"/>
      <c r="J82" s="37"/>
      <c r="K82" s="37"/>
      <c r="L82" s="37"/>
      <c r="M82" s="37"/>
      <c r="N82" s="37"/>
      <c r="O82" s="37"/>
      <c r="P82" s="37"/>
      <c r="Q82" s="37"/>
      <c r="R82" s="32"/>
      <c r="S82" s="32"/>
      <c r="T82" s="37"/>
      <c r="U82" s="37"/>
      <c r="V82" s="80">
        <f t="shared" si="4"/>
        <v>1000</v>
      </c>
      <c r="W82" s="117" t="s">
        <v>720</v>
      </c>
      <c r="X82" s="131" t="s">
        <v>983</v>
      </c>
      <c r="Y82" s="37">
        <v>1000</v>
      </c>
      <c r="AB82" s="6" t="e">
        <f>#REF!</f>
        <v>#REF!</v>
      </c>
      <c r="AC82" s="6"/>
      <c r="AD82" s="6"/>
      <c r="AE82" s="6"/>
    </row>
    <row r="83" spans="1:49" s="18" customFormat="1" ht="60" customHeight="1">
      <c r="A83" s="13" t="s">
        <v>1028</v>
      </c>
      <c r="B83" s="26" t="s">
        <v>1006</v>
      </c>
      <c r="C83" s="13"/>
      <c r="D83" s="13"/>
      <c r="E83" s="13"/>
      <c r="F83" s="13"/>
      <c r="G83" s="13"/>
      <c r="H83" s="8" t="e">
        <f>SUM(#REF!,#REF!,#REF!)</f>
        <v>#REF!</v>
      </c>
      <c r="I83" s="8" t="e">
        <f>SUM(#REF!,#REF!,#REF!)</f>
        <v>#REF!</v>
      </c>
      <c r="J83" s="8" t="e">
        <f>SUM(#REF!,#REF!,#REF!)</f>
        <v>#REF!</v>
      </c>
      <c r="K83" s="8" t="e">
        <f>SUM(#REF!,#REF!,#REF!)</f>
        <v>#REF!</v>
      </c>
      <c r="L83" s="8" t="e">
        <f>SUM(#REF!,#REF!,#REF!)</f>
        <v>#REF!</v>
      </c>
      <c r="M83" s="8" t="e">
        <f>SUM(#REF!,#REF!,#REF!)</f>
        <v>#REF!</v>
      </c>
      <c r="N83" s="8" t="e">
        <f>SUM(#REF!,#REF!,#REF!)</f>
        <v>#REF!</v>
      </c>
      <c r="O83" s="8" t="e">
        <f>SUM(#REF!,#REF!,#REF!)</f>
        <v>#REF!</v>
      </c>
      <c r="P83" s="8" t="e">
        <f>SUM(#REF!,#REF!,#REF!)</f>
        <v>#REF!</v>
      </c>
      <c r="Q83" s="8" t="e">
        <f>SUM(#REF!,#REF!,#REF!)</f>
        <v>#REF!</v>
      </c>
      <c r="R83" s="8" t="e">
        <f>SUM(#REF!,#REF!,#REF!)</f>
        <v>#REF!</v>
      </c>
      <c r="S83" s="8" t="e">
        <f>SUM(#REF!,#REF!,#REF!)</f>
        <v>#REF!</v>
      </c>
      <c r="T83" s="8" t="e">
        <f>SUM(#REF!,#REF!,#REF!)</f>
        <v>#REF!</v>
      </c>
      <c r="U83" s="8" t="e">
        <f>SUM(#REF!,#REF!,#REF!)</f>
        <v>#REF!</v>
      </c>
      <c r="V83" s="8" t="e">
        <f>SUM(#REF!,#REF!,#REF!)</f>
        <v>#REF!</v>
      </c>
      <c r="W83" s="334"/>
      <c r="X83" s="211"/>
      <c r="Y83" s="8">
        <f>SUM(Y84)</f>
        <v>6400</v>
      </c>
      <c r="Z83" s="189"/>
      <c r="AA83" s="189"/>
      <c r="AB83" s="179"/>
      <c r="AC83" s="179"/>
      <c r="AD83" s="179"/>
      <c r="AE83" s="179"/>
      <c r="AF83" s="179"/>
      <c r="AG83" s="179"/>
      <c r="AH83" s="179"/>
      <c r="AI83" s="179"/>
      <c r="AJ83" s="179"/>
      <c r="AK83" s="179"/>
      <c r="AL83" s="179"/>
      <c r="AM83" s="179"/>
      <c r="AN83" s="179"/>
      <c r="AO83" s="179"/>
      <c r="AP83" s="179"/>
      <c r="AQ83" s="179"/>
      <c r="AR83" s="179"/>
      <c r="AS83" s="179"/>
      <c r="AT83" s="179"/>
      <c r="AU83" s="179"/>
      <c r="AV83" s="179"/>
      <c r="AW83" s="179"/>
    </row>
    <row r="84" spans="1:49" s="20" customFormat="1" ht="44.25" customHeight="1">
      <c r="A84" s="109" t="s">
        <v>17</v>
      </c>
      <c r="B84" s="110" t="s">
        <v>98</v>
      </c>
      <c r="C84" s="110"/>
      <c r="D84" s="109"/>
      <c r="E84" s="110"/>
      <c r="F84" s="110"/>
      <c r="G84" s="110"/>
      <c r="H84" s="111" t="e">
        <f t="shared" ref="H84:V84" si="6">SUM(H85:H112)</f>
        <v>#REF!</v>
      </c>
      <c r="I84" s="111" t="e">
        <f t="shared" si="6"/>
        <v>#REF!</v>
      </c>
      <c r="J84" s="111" t="e">
        <f t="shared" si="6"/>
        <v>#REF!</v>
      </c>
      <c r="K84" s="111" t="e">
        <f t="shared" si="6"/>
        <v>#REF!</v>
      </c>
      <c r="L84" s="111" t="e">
        <f t="shared" si="6"/>
        <v>#REF!</v>
      </c>
      <c r="M84" s="111" t="e">
        <f t="shared" si="6"/>
        <v>#REF!</v>
      </c>
      <c r="N84" s="111" t="e">
        <f t="shared" si="6"/>
        <v>#REF!</v>
      </c>
      <c r="O84" s="111" t="e">
        <f t="shared" si="6"/>
        <v>#REF!</v>
      </c>
      <c r="P84" s="111" t="e">
        <f t="shared" si="6"/>
        <v>#REF!</v>
      </c>
      <c r="Q84" s="111" t="e">
        <f t="shared" si="6"/>
        <v>#REF!</v>
      </c>
      <c r="R84" s="111" t="e">
        <f t="shared" si="6"/>
        <v>#REF!</v>
      </c>
      <c r="S84" s="111" t="e">
        <f t="shared" si="6"/>
        <v>#REF!</v>
      </c>
      <c r="T84" s="111" t="e">
        <f t="shared" si="6"/>
        <v>#REF!</v>
      </c>
      <c r="U84" s="111" t="e">
        <f t="shared" si="6"/>
        <v>#REF!</v>
      </c>
      <c r="V84" s="111" t="e">
        <f t="shared" si="6"/>
        <v>#REF!</v>
      </c>
      <c r="W84" s="112"/>
      <c r="X84" s="130"/>
      <c r="Y84" s="111">
        <f>SUM(Y85:Y86)</f>
        <v>6400</v>
      </c>
      <c r="Z84" s="113"/>
      <c r="AA84" s="113"/>
    </row>
    <row r="85" spans="1:49" ht="60.9" customHeight="1">
      <c r="A85" s="114">
        <v>1</v>
      </c>
      <c r="B85" s="36" t="s">
        <v>738</v>
      </c>
      <c r="C85" s="23" t="s">
        <v>740</v>
      </c>
      <c r="D85" s="34" t="s">
        <v>19</v>
      </c>
      <c r="E85" s="23" t="s">
        <v>741</v>
      </c>
      <c r="F85" s="23" t="s">
        <v>391</v>
      </c>
      <c r="G85" s="86" t="s">
        <v>739</v>
      </c>
      <c r="H85" s="62">
        <v>3100</v>
      </c>
      <c r="I85" s="32"/>
      <c r="J85" s="37"/>
      <c r="K85" s="37"/>
      <c r="L85" s="37"/>
      <c r="M85" s="37"/>
      <c r="N85" s="37"/>
      <c r="O85" s="37"/>
      <c r="P85" s="37"/>
      <c r="Q85" s="37"/>
      <c r="R85" s="32"/>
      <c r="S85" s="32"/>
      <c r="T85" s="37"/>
      <c r="U85" s="37"/>
      <c r="V85" s="80">
        <f>H85-R85</f>
        <v>3100</v>
      </c>
      <c r="W85" s="117"/>
      <c r="X85" s="131" t="s">
        <v>984</v>
      </c>
      <c r="Y85" s="37">
        <v>3100</v>
      </c>
      <c r="AB85" s="6" t="e">
        <f>#REF!</f>
        <v>#REF!</v>
      </c>
      <c r="AC85" s="6"/>
      <c r="AD85" s="6"/>
      <c r="AE85" s="6"/>
    </row>
    <row r="86" spans="1:49" ht="60.9" customHeight="1">
      <c r="A86" s="114">
        <v>2</v>
      </c>
      <c r="B86" s="36" t="s">
        <v>742</v>
      </c>
      <c r="C86" s="23" t="s">
        <v>745</v>
      </c>
      <c r="D86" s="34" t="s">
        <v>19</v>
      </c>
      <c r="E86" s="23" t="s">
        <v>741</v>
      </c>
      <c r="F86" s="23" t="s">
        <v>391</v>
      </c>
      <c r="G86" s="86" t="s">
        <v>746</v>
      </c>
      <c r="H86" s="62">
        <v>3300</v>
      </c>
      <c r="I86" s="32"/>
      <c r="J86" s="37"/>
      <c r="K86" s="37"/>
      <c r="L86" s="37"/>
      <c r="M86" s="37"/>
      <c r="N86" s="37"/>
      <c r="O86" s="37"/>
      <c r="P86" s="37"/>
      <c r="Q86" s="37"/>
      <c r="R86" s="32"/>
      <c r="S86" s="32"/>
      <c r="T86" s="37"/>
      <c r="U86" s="37"/>
      <c r="V86" s="80">
        <f>H86-R86</f>
        <v>3300</v>
      </c>
      <c r="W86" s="117"/>
      <c r="X86" s="131" t="s">
        <v>984</v>
      </c>
      <c r="Y86" s="37">
        <v>3300</v>
      </c>
      <c r="AB86" s="6" t="e">
        <f>#REF!</f>
        <v>#REF!</v>
      </c>
      <c r="AC86" s="6"/>
      <c r="AD86" s="6"/>
      <c r="AE86" s="6"/>
    </row>
    <row r="87" spans="1:49" s="18" customFormat="1" ht="60" customHeight="1">
      <c r="A87" s="13" t="s">
        <v>1029</v>
      </c>
      <c r="B87" s="26" t="s">
        <v>1007</v>
      </c>
      <c r="C87" s="13"/>
      <c r="D87" s="13"/>
      <c r="E87" s="13"/>
      <c r="F87" s="13"/>
      <c r="G87" s="13"/>
      <c r="H87" s="8" t="e">
        <f>SUM(#REF!,#REF!,#REF!)</f>
        <v>#REF!</v>
      </c>
      <c r="I87" s="8" t="e">
        <f>SUM(#REF!,#REF!,#REF!)</f>
        <v>#REF!</v>
      </c>
      <c r="J87" s="8" t="e">
        <f>SUM(#REF!,#REF!,#REF!)</f>
        <v>#REF!</v>
      </c>
      <c r="K87" s="8" t="e">
        <f>SUM(#REF!,#REF!,#REF!)</f>
        <v>#REF!</v>
      </c>
      <c r="L87" s="8" t="e">
        <f>SUM(#REF!,#REF!,#REF!)</f>
        <v>#REF!</v>
      </c>
      <c r="M87" s="8" t="e">
        <f>SUM(#REF!,#REF!,#REF!)</f>
        <v>#REF!</v>
      </c>
      <c r="N87" s="8" t="e">
        <f>SUM(#REF!,#REF!,#REF!)</f>
        <v>#REF!</v>
      </c>
      <c r="O87" s="8" t="e">
        <f>SUM(#REF!,#REF!,#REF!)</f>
        <v>#REF!</v>
      </c>
      <c r="P87" s="8" t="e">
        <f>SUM(#REF!,#REF!,#REF!)</f>
        <v>#REF!</v>
      </c>
      <c r="Q87" s="8" t="e">
        <f>SUM(#REF!,#REF!,#REF!)</f>
        <v>#REF!</v>
      </c>
      <c r="R87" s="8" t="e">
        <f>SUM(#REF!,#REF!,#REF!)</f>
        <v>#REF!</v>
      </c>
      <c r="S87" s="8" t="e">
        <f>SUM(#REF!,#REF!,#REF!)</f>
        <v>#REF!</v>
      </c>
      <c r="T87" s="8" t="e">
        <f>SUM(#REF!,#REF!,#REF!)</f>
        <v>#REF!</v>
      </c>
      <c r="U87" s="8" t="e">
        <f>SUM(#REF!,#REF!,#REF!)</f>
        <v>#REF!</v>
      </c>
      <c r="V87" s="8" t="e">
        <f>SUM(#REF!,#REF!,#REF!)</f>
        <v>#REF!</v>
      </c>
      <c r="W87" s="334"/>
      <c r="X87" s="211"/>
      <c r="Y87" s="8">
        <f>SUM(Y88)</f>
        <v>6300</v>
      </c>
      <c r="Z87" s="189"/>
      <c r="AA87" s="189"/>
      <c r="AB87" s="179"/>
      <c r="AC87" s="179"/>
      <c r="AD87" s="179"/>
      <c r="AE87" s="179"/>
      <c r="AF87" s="179"/>
      <c r="AG87" s="179"/>
      <c r="AH87" s="179"/>
      <c r="AI87" s="179"/>
      <c r="AJ87" s="179"/>
      <c r="AK87" s="179"/>
      <c r="AL87" s="179"/>
      <c r="AM87" s="179"/>
      <c r="AN87" s="179"/>
      <c r="AO87" s="179"/>
      <c r="AP87" s="179"/>
      <c r="AQ87" s="179"/>
      <c r="AR87" s="179"/>
      <c r="AS87" s="179"/>
      <c r="AT87" s="179"/>
      <c r="AU87" s="179"/>
      <c r="AV87" s="179"/>
      <c r="AW87" s="179"/>
    </row>
    <row r="88" spans="1:49" s="20" customFormat="1" ht="44.25" customHeight="1">
      <c r="A88" s="109" t="s">
        <v>17</v>
      </c>
      <c r="B88" s="110" t="s">
        <v>358</v>
      </c>
      <c r="C88" s="110"/>
      <c r="D88" s="109"/>
      <c r="E88" s="110"/>
      <c r="F88" s="110"/>
      <c r="G88" s="110"/>
      <c r="H88" s="111"/>
      <c r="I88" s="111"/>
      <c r="J88" s="111"/>
      <c r="K88" s="111"/>
      <c r="L88" s="111"/>
      <c r="M88" s="111"/>
      <c r="N88" s="111"/>
      <c r="O88" s="111"/>
      <c r="P88" s="111"/>
      <c r="Q88" s="111"/>
      <c r="R88" s="111"/>
      <c r="S88" s="111"/>
      <c r="T88" s="111"/>
      <c r="U88" s="111"/>
      <c r="V88" s="111"/>
      <c r="W88" s="335"/>
      <c r="X88" s="130"/>
      <c r="Y88" s="111">
        <f>SUM(Y89:Y90)</f>
        <v>6300</v>
      </c>
      <c r="Z88" s="113"/>
      <c r="AA88" s="113"/>
    </row>
    <row r="89" spans="1:49" ht="78.75" customHeight="1">
      <c r="A89" s="114">
        <v>1</v>
      </c>
      <c r="B89" s="187" t="s">
        <v>715</v>
      </c>
      <c r="C89" s="89" t="s">
        <v>747</v>
      </c>
      <c r="D89" s="163" t="s">
        <v>19</v>
      </c>
      <c r="E89" s="186" t="s">
        <v>422</v>
      </c>
      <c r="F89" s="163" t="s">
        <v>391</v>
      </c>
      <c r="G89" s="86"/>
      <c r="H89" s="62"/>
      <c r="I89" s="32"/>
      <c r="J89" s="37"/>
      <c r="K89" s="37"/>
      <c r="L89" s="37"/>
      <c r="M89" s="37"/>
      <c r="N89" s="37"/>
      <c r="O89" s="37"/>
      <c r="P89" s="37"/>
      <c r="Q89" s="37"/>
      <c r="R89" s="32"/>
      <c r="S89" s="32"/>
      <c r="T89" s="37"/>
      <c r="U89" s="37"/>
      <c r="V89" s="80"/>
      <c r="W89" s="335"/>
      <c r="X89" s="131" t="s">
        <v>998</v>
      </c>
      <c r="Y89" s="37">
        <v>4300</v>
      </c>
      <c r="AB89" s="6" t="e">
        <f>#REF!</f>
        <v>#REF!</v>
      </c>
      <c r="AC89" s="6"/>
      <c r="AD89" s="6"/>
      <c r="AE89" s="6"/>
    </row>
    <row r="90" spans="1:49" ht="53.25" customHeight="1">
      <c r="A90" s="10">
        <v>2</v>
      </c>
      <c r="B90" s="115" t="s">
        <v>672</v>
      </c>
      <c r="C90" s="10" t="s">
        <v>128</v>
      </c>
      <c r="D90" s="185" t="s">
        <v>19</v>
      </c>
      <c r="E90" s="10" t="s">
        <v>422</v>
      </c>
      <c r="F90" s="10" t="s">
        <v>391</v>
      </c>
      <c r="G90" s="17" t="s">
        <v>840</v>
      </c>
      <c r="H90" s="17"/>
      <c r="I90" s="17"/>
      <c r="J90" s="17"/>
      <c r="K90" s="17"/>
      <c r="L90" s="17"/>
      <c r="M90" s="17"/>
      <c r="N90" s="17"/>
      <c r="O90" s="17"/>
      <c r="P90" s="17"/>
      <c r="Q90" s="17"/>
      <c r="R90" s="17"/>
      <c r="S90" s="17"/>
      <c r="T90" s="17"/>
      <c r="U90" s="17"/>
      <c r="V90" s="17"/>
      <c r="W90" s="17"/>
      <c r="X90" s="11" t="s">
        <v>998</v>
      </c>
      <c r="Y90" s="70">
        <v>2000</v>
      </c>
      <c r="AB90" s="6" t="e">
        <f>#REF!</f>
        <v>#REF!</v>
      </c>
    </row>
    <row r="91" spans="1:49" s="18" customFormat="1" ht="60" customHeight="1">
      <c r="A91" s="13" t="s">
        <v>1030</v>
      </c>
      <c r="B91" s="26" t="s">
        <v>1010</v>
      </c>
      <c r="C91" s="13"/>
      <c r="D91" s="13"/>
      <c r="E91" s="13"/>
      <c r="F91" s="13"/>
      <c r="G91" s="13"/>
      <c r="H91" s="8" t="e">
        <f>SUM(#REF!,#REF!,#REF!)</f>
        <v>#REF!</v>
      </c>
      <c r="I91" s="8" t="e">
        <f>SUM(#REF!,#REF!,#REF!)</f>
        <v>#REF!</v>
      </c>
      <c r="J91" s="8" t="e">
        <f>SUM(#REF!,#REF!,#REF!)</f>
        <v>#REF!</v>
      </c>
      <c r="K91" s="8" t="e">
        <f>SUM(#REF!,#REF!,#REF!)</f>
        <v>#REF!</v>
      </c>
      <c r="L91" s="8" t="e">
        <f>SUM(#REF!,#REF!,#REF!)</f>
        <v>#REF!</v>
      </c>
      <c r="M91" s="8" t="e">
        <f>SUM(#REF!,#REF!,#REF!)</f>
        <v>#REF!</v>
      </c>
      <c r="N91" s="8" t="e">
        <f>SUM(#REF!,#REF!,#REF!)</f>
        <v>#REF!</v>
      </c>
      <c r="O91" s="8" t="e">
        <f>SUM(#REF!,#REF!,#REF!)</f>
        <v>#REF!</v>
      </c>
      <c r="P91" s="8" t="e">
        <f>SUM(#REF!,#REF!,#REF!)</f>
        <v>#REF!</v>
      </c>
      <c r="Q91" s="8" t="e">
        <f>SUM(#REF!,#REF!,#REF!)</f>
        <v>#REF!</v>
      </c>
      <c r="R91" s="8" t="e">
        <f>SUM(#REF!,#REF!,#REF!)</f>
        <v>#REF!</v>
      </c>
      <c r="S91" s="8" t="e">
        <f>SUM(#REF!,#REF!,#REF!)</f>
        <v>#REF!</v>
      </c>
      <c r="T91" s="8" t="e">
        <f>SUM(#REF!,#REF!,#REF!)</f>
        <v>#REF!</v>
      </c>
      <c r="U91" s="8" t="e">
        <f>SUM(#REF!,#REF!,#REF!)</f>
        <v>#REF!</v>
      </c>
      <c r="V91" s="8" t="e">
        <f>SUM(#REF!,#REF!,#REF!)</f>
        <v>#REF!</v>
      </c>
      <c r="W91" s="334"/>
      <c r="X91" s="211"/>
      <c r="Y91" s="8">
        <f>SUM(Y92)</f>
        <v>12000</v>
      </c>
      <c r="Z91" s="189"/>
      <c r="AA91" s="189"/>
      <c r="AB91" s="179"/>
      <c r="AC91" s="179"/>
      <c r="AD91" s="179"/>
      <c r="AE91" s="179"/>
      <c r="AF91" s="179"/>
      <c r="AG91" s="179"/>
      <c r="AH91" s="179"/>
      <c r="AI91" s="179"/>
      <c r="AJ91" s="179"/>
      <c r="AK91" s="179"/>
      <c r="AL91" s="179"/>
      <c r="AM91" s="179"/>
      <c r="AN91" s="179"/>
      <c r="AO91" s="179"/>
      <c r="AP91" s="179"/>
      <c r="AQ91" s="179"/>
      <c r="AR91" s="179"/>
      <c r="AS91" s="179"/>
      <c r="AT91" s="179"/>
      <c r="AU91" s="179"/>
      <c r="AV91" s="179"/>
      <c r="AW91" s="179"/>
    </row>
    <row r="92" spans="1:49" s="20" customFormat="1" ht="44.25" customHeight="1">
      <c r="A92" s="109" t="s">
        <v>17</v>
      </c>
      <c r="B92" s="110" t="s">
        <v>381</v>
      </c>
      <c r="C92" s="110"/>
      <c r="D92" s="109"/>
      <c r="E92" s="110"/>
      <c r="F92" s="110"/>
      <c r="G92" s="110"/>
      <c r="H92" s="111"/>
      <c r="I92" s="111"/>
      <c r="J92" s="111"/>
      <c r="K92" s="111"/>
      <c r="L92" s="111"/>
      <c r="M92" s="111"/>
      <c r="N92" s="111"/>
      <c r="O92" s="111"/>
      <c r="P92" s="111"/>
      <c r="Q92" s="111"/>
      <c r="R92" s="111"/>
      <c r="S92" s="111"/>
      <c r="T92" s="111"/>
      <c r="U92" s="111"/>
      <c r="V92" s="111"/>
      <c r="W92" s="335"/>
      <c r="X92" s="130"/>
      <c r="Y92" s="111">
        <f>SUM(Y93:Y93)</f>
        <v>12000</v>
      </c>
      <c r="Z92" s="113"/>
      <c r="AA92" s="113"/>
    </row>
    <row r="93" spans="1:49" ht="60.75" customHeight="1">
      <c r="A93" s="114">
        <v>1</v>
      </c>
      <c r="B93" s="36" t="s">
        <v>386</v>
      </c>
      <c r="C93" s="23" t="s">
        <v>382</v>
      </c>
      <c r="D93" s="34" t="s">
        <v>19</v>
      </c>
      <c r="E93" s="23" t="s">
        <v>384</v>
      </c>
      <c r="F93" s="23" t="s">
        <v>36</v>
      </c>
      <c r="G93" s="86"/>
      <c r="H93" s="62"/>
      <c r="I93" s="32"/>
      <c r="J93" s="37"/>
      <c r="K93" s="37"/>
      <c r="L93" s="37"/>
      <c r="M93" s="37"/>
      <c r="N93" s="37"/>
      <c r="O93" s="37"/>
      <c r="P93" s="37"/>
      <c r="Q93" s="37"/>
      <c r="R93" s="32"/>
      <c r="S93" s="32"/>
      <c r="T93" s="37"/>
      <c r="U93" s="37"/>
      <c r="V93" s="80"/>
      <c r="W93" s="335"/>
      <c r="X93" s="131" t="s">
        <v>999</v>
      </c>
      <c r="Y93" s="37">
        <v>12000</v>
      </c>
      <c r="AB93" s="6" t="e">
        <f>#REF!</f>
        <v>#REF!</v>
      </c>
      <c r="AC93" s="6"/>
      <c r="AD93" s="6"/>
      <c r="AE93" s="6"/>
    </row>
    <row r="94" spans="1:49" s="18" customFormat="1" ht="60" customHeight="1">
      <c r="A94" s="13" t="s">
        <v>1031</v>
      </c>
      <c r="B94" s="26" t="s">
        <v>1011</v>
      </c>
      <c r="C94" s="13"/>
      <c r="D94" s="13"/>
      <c r="E94" s="13"/>
      <c r="F94" s="13"/>
      <c r="G94" s="13"/>
      <c r="H94" s="8" t="e">
        <f>SUM(#REF!,#REF!,#REF!)</f>
        <v>#REF!</v>
      </c>
      <c r="I94" s="8" t="e">
        <f>SUM(#REF!,#REF!,#REF!)</f>
        <v>#REF!</v>
      </c>
      <c r="J94" s="8" t="e">
        <f>SUM(#REF!,#REF!,#REF!)</f>
        <v>#REF!</v>
      </c>
      <c r="K94" s="8" t="e">
        <f>SUM(#REF!,#REF!,#REF!)</f>
        <v>#REF!</v>
      </c>
      <c r="L94" s="8" t="e">
        <f>SUM(#REF!,#REF!,#REF!)</f>
        <v>#REF!</v>
      </c>
      <c r="M94" s="8" t="e">
        <f>SUM(#REF!,#REF!,#REF!)</f>
        <v>#REF!</v>
      </c>
      <c r="N94" s="8" t="e">
        <f>SUM(#REF!,#REF!,#REF!)</f>
        <v>#REF!</v>
      </c>
      <c r="O94" s="8" t="e">
        <f>SUM(#REF!,#REF!,#REF!)</f>
        <v>#REF!</v>
      </c>
      <c r="P94" s="8" t="e">
        <f>SUM(#REF!,#REF!,#REF!)</f>
        <v>#REF!</v>
      </c>
      <c r="Q94" s="8" t="e">
        <f>SUM(#REF!,#REF!,#REF!)</f>
        <v>#REF!</v>
      </c>
      <c r="R94" s="8" t="e">
        <f>SUM(#REF!,#REF!,#REF!)</f>
        <v>#REF!</v>
      </c>
      <c r="S94" s="8" t="e">
        <f>SUM(#REF!,#REF!,#REF!)</f>
        <v>#REF!</v>
      </c>
      <c r="T94" s="8" t="e">
        <f>SUM(#REF!,#REF!,#REF!)</f>
        <v>#REF!</v>
      </c>
      <c r="U94" s="8" t="e">
        <f>SUM(#REF!,#REF!,#REF!)</f>
        <v>#REF!</v>
      </c>
      <c r="V94" s="8" t="e">
        <f>SUM(#REF!,#REF!,#REF!)</f>
        <v>#REF!</v>
      </c>
      <c r="W94" s="334"/>
      <c r="X94" s="211"/>
      <c r="Y94" s="8">
        <f>SUM(Y95)</f>
        <v>3000</v>
      </c>
      <c r="Z94" s="189"/>
      <c r="AA94" s="189"/>
      <c r="AB94" s="179"/>
      <c r="AC94" s="179"/>
      <c r="AD94" s="179"/>
      <c r="AE94" s="179"/>
      <c r="AF94" s="179"/>
      <c r="AG94" s="179"/>
      <c r="AH94" s="179"/>
      <c r="AI94" s="179"/>
      <c r="AJ94" s="179"/>
      <c r="AK94" s="179"/>
      <c r="AL94" s="179"/>
      <c r="AM94" s="179"/>
      <c r="AN94" s="179"/>
      <c r="AO94" s="179"/>
      <c r="AP94" s="179"/>
      <c r="AQ94" s="179"/>
      <c r="AR94" s="179"/>
      <c r="AS94" s="179"/>
      <c r="AT94" s="179"/>
      <c r="AU94" s="179"/>
      <c r="AV94" s="179"/>
      <c r="AW94" s="179"/>
    </row>
    <row r="95" spans="1:49" s="20" customFormat="1" ht="44.25" customHeight="1">
      <c r="A95" s="109" t="s">
        <v>17</v>
      </c>
      <c r="B95" s="16" t="s">
        <v>278</v>
      </c>
      <c r="C95" s="110"/>
      <c r="D95" s="109"/>
      <c r="E95" s="110"/>
      <c r="F95" s="110"/>
      <c r="G95" s="110"/>
      <c r="H95" s="111"/>
      <c r="I95" s="111"/>
      <c r="J95" s="111"/>
      <c r="K95" s="111"/>
      <c r="L95" s="111"/>
      <c r="M95" s="111"/>
      <c r="N95" s="111"/>
      <c r="O95" s="111"/>
      <c r="P95" s="111"/>
      <c r="Q95" s="111"/>
      <c r="R95" s="111"/>
      <c r="S95" s="111"/>
      <c r="T95" s="111"/>
      <c r="U95" s="111"/>
      <c r="V95" s="111"/>
      <c r="W95" s="335"/>
      <c r="X95" s="130"/>
      <c r="Y95" s="111">
        <f>SUM(Y96:Y96)</f>
        <v>3000</v>
      </c>
      <c r="Z95" s="113"/>
      <c r="AA95" s="113"/>
    </row>
    <row r="96" spans="1:49" ht="60.75" customHeight="1">
      <c r="A96" s="114">
        <v>1</v>
      </c>
      <c r="B96" s="36" t="s">
        <v>271</v>
      </c>
      <c r="C96" s="23" t="s">
        <v>272</v>
      </c>
      <c r="D96" s="34" t="s">
        <v>19</v>
      </c>
      <c r="E96" s="23" t="s">
        <v>273</v>
      </c>
      <c r="F96" s="23" t="s">
        <v>36</v>
      </c>
      <c r="G96" s="86"/>
      <c r="H96" s="62"/>
      <c r="I96" s="32"/>
      <c r="J96" s="37"/>
      <c r="K96" s="37"/>
      <c r="L96" s="37"/>
      <c r="M96" s="37"/>
      <c r="N96" s="37"/>
      <c r="O96" s="37"/>
      <c r="P96" s="37"/>
      <c r="Q96" s="37"/>
      <c r="R96" s="32"/>
      <c r="S96" s="32"/>
      <c r="T96" s="37"/>
      <c r="U96" s="37"/>
      <c r="V96" s="80"/>
      <c r="W96" s="335"/>
      <c r="X96" s="131" t="s">
        <v>1000</v>
      </c>
      <c r="Y96" s="37">
        <v>3000</v>
      </c>
      <c r="AB96" s="6" t="e">
        <f>#REF!</f>
        <v>#REF!</v>
      </c>
      <c r="AC96" s="6"/>
      <c r="AD96" s="6"/>
      <c r="AE96" s="6"/>
    </row>
    <row r="97" spans="1:49" s="18" customFormat="1" ht="60" customHeight="1">
      <c r="A97" s="13" t="s">
        <v>1032</v>
      </c>
      <c r="B97" s="26" t="s">
        <v>1008</v>
      </c>
      <c r="C97" s="13"/>
      <c r="D97" s="13"/>
      <c r="E97" s="13"/>
      <c r="F97" s="13"/>
      <c r="G97" s="13"/>
      <c r="H97" s="8" t="e">
        <f>SUM(#REF!,#REF!,#REF!)</f>
        <v>#REF!</v>
      </c>
      <c r="I97" s="8" t="e">
        <f>SUM(#REF!,#REF!,#REF!)</f>
        <v>#REF!</v>
      </c>
      <c r="J97" s="8" t="e">
        <f>SUM(#REF!,#REF!,#REF!)</f>
        <v>#REF!</v>
      </c>
      <c r="K97" s="8" t="e">
        <f>SUM(#REF!,#REF!,#REF!)</f>
        <v>#REF!</v>
      </c>
      <c r="L97" s="8" t="e">
        <f>SUM(#REF!,#REF!,#REF!)</f>
        <v>#REF!</v>
      </c>
      <c r="M97" s="8" t="e">
        <f>SUM(#REF!,#REF!,#REF!)</f>
        <v>#REF!</v>
      </c>
      <c r="N97" s="8" t="e">
        <f>SUM(#REF!,#REF!,#REF!)</f>
        <v>#REF!</v>
      </c>
      <c r="O97" s="8" t="e">
        <f>SUM(#REF!,#REF!,#REF!)</f>
        <v>#REF!</v>
      </c>
      <c r="P97" s="8" t="e">
        <f>SUM(#REF!,#REF!,#REF!)</f>
        <v>#REF!</v>
      </c>
      <c r="Q97" s="8" t="e">
        <f>SUM(#REF!,#REF!,#REF!)</f>
        <v>#REF!</v>
      </c>
      <c r="R97" s="8" t="e">
        <f>SUM(#REF!,#REF!,#REF!)</f>
        <v>#REF!</v>
      </c>
      <c r="S97" s="8" t="e">
        <f>SUM(#REF!,#REF!,#REF!)</f>
        <v>#REF!</v>
      </c>
      <c r="T97" s="8" t="e">
        <f>SUM(#REF!,#REF!,#REF!)</f>
        <v>#REF!</v>
      </c>
      <c r="U97" s="8" t="e">
        <f>SUM(#REF!,#REF!,#REF!)</f>
        <v>#REF!</v>
      </c>
      <c r="V97" s="8" t="e">
        <f>SUM(#REF!,#REF!,#REF!)</f>
        <v>#REF!</v>
      </c>
      <c r="W97" s="334"/>
      <c r="X97" s="211"/>
      <c r="Y97" s="8">
        <f>SUM(Y98)</f>
        <v>50000</v>
      </c>
      <c r="Z97" s="189"/>
      <c r="AA97" s="189"/>
      <c r="AB97" s="179"/>
      <c r="AC97" s="179"/>
      <c r="AD97" s="179"/>
      <c r="AE97" s="179"/>
      <c r="AF97" s="179"/>
      <c r="AG97" s="179"/>
      <c r="AH97" s="179"/>
      <c r="AI97" s="179"/>
      <c r="AJ97" s="179"/>
      <c r="AK97" s="179"/>
      <c r="AL97" s="179"/>
      <c r="AM97" s="179"/>
      <c r="AN97" s="179"/>
      <c r="AO97" s="179"/>
      <c r="AP97" s="179"/>
      <c r="AQ97" s="179"/>
      <c r="AR97" s="179"/>
      <c r="AS97" s="179"/>
      <c r="AT97" s="179"/>
      <c r="AU97" s="179"/>
      <c r="AV97" s="179"/>
      <c r="AW97" s="179"/>
    </row>
    <row r="98" spans="1:49" s="20" customFormat="1" ht="44.25" customHeight="1">
      <c r="A98" s="109" t="s">
        <v>17</v>
      </c>
      <c r="B98" s="110" t="s">
        <v>355</v>
      </c>
      <c r="C98" s="110"/>
      <c r="D98" s="109"/>
      <c r="E98" s="110"/>
      <c r="F98" s="110"/>
      <c r="G98" s="110"/>
      <c r="H98" s="111"/>
      <c r="I98" s="111"/>
      <c r="J98" s="111"/>
      <c r="K98" s="111"/>
      <c r="L98" s="111"/>
      <c r="M98" s="111"/>
      <c r="N98" s="111"/>
      <c r="O98" s="111"/>
      <c r="P98" s="111"/>
      <c r="Q98" s="111"/>
      <c r="R98" s="111"/>
      <c r="S98" s="111"/>
      <c r="T98" s="111"/>
      <c r="U98" s="111"/>
      <c r="V98" s="111"/>
      <c r="W98" s="335"/>
      <c r="X98" s="130"/>
      <c r="Y98" s="111">
        <f>SUM(Y99:Y99)</f>
        <v>50000</v>
      </c>
      <c r="Z98" s="113"/>
      <c r="AA98" s="113"/>
    </row>
    <row r="99" spans="1:49" ht="59.25" customHeight="1">
      <c r="A99" s="10">
        <v>1</v>
      </c>
      <c r="B99" s="115" t="s">
        <v>426</v>
      </c>
      <c r="C99" s="23" t="s">
        <v>132</v>
      </c>
      <c r="D99" s="185" t="s">
        <v>20</v>
      </c>
      <c r="E99" s="23" t="s">
        <v>282</v>
      </c>
      <c r="F99" s="23" t="s">
        <v>36</v>
      </c>
      <c r="G99" s="86" t="s">
        <v>427</v>
      </c>
      <c r="W99" s="335"/>
      <c r="X99" s="11" t="s">
        <v>997</v>
      </c>
      <c r="Y99" s="54">
        <v>50000</v>
      </c>
      <c r="AB99" s="6" t="e">
        <f>#REF!</f>
        <v>#REF!</v>
      </c>
    </row>
    <row r="100" spans="1:49" s="18" customFormat="1" ht="60" customHeight="1">
      <c r="A100" s="13" t="s">
        <v>1033</v>
      </c>
      <c r="B100" s="26" t="s">
        <v>1009</v>
      </c>
      <c r="C100" s="13"/>
      <c r="D100" s="13"/>
      <c r="E100" s="13"/>
      <c r="F100" s="13"/>
      <c r="G100" s="13"/>
      <c r="H100" s="8" t="e">
        <f>SUM(#REF!,#REF!,#REF!)</f>
        <v>#REF!</v>
      </c>
      <c r="I100" s="8" t="e">
        <f>SUM(#REF!,#REF!,#REF!)</f>
        <v>#REF!</v>
      </c>
      <c r="J100" s="8" t="e">
        <f>SUM(#REF!,#REF!,#REF!)</f>
        <v>#REF!</v>
      </c>
      <c r="K100" s="8" t="e">
        <f>SUM(#REF!,#REF!,#REF!)</f>
        <v>#REF!</v>
      </c>
      <c r="L100" s="8" t="e">
        <f>SUM(#REF!,#REF!,#REF!)</f>
        <v>#REF!</v>
      </c>
      <c r="M100" s="8" t="e">
        <f>SUM(#REF!,#REF!,#REF!)</f>
        <v>#REF!</v>
      </c>
      <c r="N100" s="8" t="e">
        <f>SUM(#REF!,#REF!,#REF!)</f>
        <v>#REF!</v>
      </c>
      <c r="O100" s="8" t="e">
        <f>SUM(#REF!,#REF!,#REF!)</f>
        <v>#REF!</v>
      </c>
      <c r="P100" s="8" t="e">
        <f>SUM(#REF!,#REF!,#REF!)</f>
        <v>#REF!</v>
      </c>
      <c r="Q100" s="8" t="e">
        <f>SUM(#REF!,#REF!,#REF!)</f>
        <v>#REF!</v>
      </c>
      <c r="R100" s="8" t="e">
        <f>SUM(#REF!,#REF!,#REF!)</f>
        <v>#REF!</v>
      </c>
      <c r="S100" s="8" t="e">
        <f>SUM(#REF!,#REF!,#REF!)</f>
        <v>#REF!</v>
      </c>
      <c r="T100" s="8" t="e">
        <f>SUM(#REF!,#REF!,#REF!)</f>
        <v>#REF!</v>
      </c>
      <c r="U100" s="8" t="e">
        <f>SUM(#REF!,#REF!,#REF!)</f>
        <v>#REF!</v>
      </c>
      <c r="V100" s="8" t="e">
        <f>SUM(#REF!,#REF!,#REF!)</f>
        <v>#REF!</v>
      </c>
      <c r="W100" s="334"/>
      <c r="X100" s="211"/>
      <c r="Y100" s="8">
        <f>SUM(Y101)</f>
        <v>5000</v>
      </c>
      <c r="Z100" s="189"/>
      <c r="AA100" s="189"/>
      <c r="AB100" s="179"/>
      <c r="AC100" s="179"/>
      <c r="AD100" s="179"/>
      <c r="AE100" s="179"/>
      <c r="AF100" s="179"/>
      <c r="AG100" s="179"/>
      <c r="AH100" s="179"/>
      <c r="AI100" s="179"/>
      <c r="AJ100" s="179"/>
      <c r="AK100" s="179"/>
      <c r="AL100" s="179"/>
      <c r="AM100" s="179"/>
      <c r="AN100" s="179"/>
      <c r="AO100" s="179"/>
      <c r="AP100" s="179"/>
      <c r="AQ100" s="179"/>
      <c r="AR100" s="179"/>
      <c r="AS100" s="179"/>
      <c r="AT100" s="179"/>
      <c r="AU100" s="179"/>
      <c r="AV100" s="179"/>
      <c r="AW100" s="179"/>
    </row>
    <row r="101" spans="1:49" s="20" customFormat="1" ht="44.25" customHeight="1">
      <c r="A101" s="109" t="s">
        <v>17</v>
      </c>
      <c r="B101" s="110" t="s">
        <v>358</v>
      </c>
      <c r="C101" s="110"/>
      <c r="D101" s="109"/>
      <c r="E101" s="110"/>
      <c r="F101" s="110"/>
      <c r="G101" s="110"/>
      <c r="H101" s="111"/>
      <c r="I101" s="111"/>
      <c r="J101" s="111"/>
      <c r="K101" s="111"/>
      <c r="L101" s="111"/>
      <c r="M101" s="111"/>
      <c r="N101" s="111"/>
      <c r="O101" s="111"/>
      <c r="P101" s="111"/>
      <c r="Q101" s="111"/>
      <c r="R101" s="111"/>
      <c r="S101" s="111"/>
      <c r="T101" s="111"/>
      <c r="U101" s="111"/>
      <c r="V101" s="111"/>
      <c r="W101" s="335"/>
      <c r="X101" s="130"/>
      <c r="Y101" s="111">
        <f>SUM(Y102:Y102)</f>
        <v>5000</v>
      </c>
      <c r="Z101" s="113"/>
      <c r="AA101" s="113"/>
    </row>
    <row r="102" spans="1:49" ht="60.75" customHeight="1">
      <c r="A102" s="114">
        <v>1</v>
      </c>
      <c r="B102" s="36" t="s">
        <v>718</v>
      </c>
      <c r="C102" s="23" t="s">
        <v>934</v>
      </c>
      <c r="D102" s="185" t="s">
        <v>19</v>
      </c>
      <c r="E102" s="23" t="s">
        <v>935</v>
      </c>
      <c r="F102" s="23" t="s">
        <v>391</v>
      </c>
      <c r="G102" s="86" t="s">
        <v>719</v>
      </c>
      <c r="H102" s="62"/>
      <c r="I102" s="32"/>
      <c r="J102" s="37"/>
      <c r="K102" s="37"/>
      <c r="L102" s="37"/>
      <c r="M102" s="37"/>
      <c r="N102" s="37"/>
      <c r="O102" s="37"/>
      <c r="P102" s="37"/>
      <c r="Q102" s="37"/>
      <c r="R102" s="32"/>
      <c r="S102" s="32"/>
      <c r="T102" s="37"/>
      <c r="U102" s="37"/>
      <c r="V102" s="80"/>
      <c r="W102" s="335"/>
      <c r="X102" s="131" t="s">
        <v>987</v>
      </c>
      <c r="Y102" s="37">
        <v>5000</v>
      </c>
      <c r="AB102" s="6" t="e">
        <f>#REF!</f>
        <v>#REF!</v>
      </c>
      <c r="AC102" s="6"/>
      <c r="AD102" s="6"/>
      <c r="AE102" s="6"/>
    </row>
    <row r="103" spans="1:49" s="18" customFormat="1" ht="60" customHeight="1">
      <c r="A103" s="13" t="s">
        <v>1034</v>
      </c>
      <c r="B103" s="26" t="s">
        <v>1047</v>
      </c>
      <c r="C103" s="13"/>
      <c r="D103" s="13"/>
      <c r="E103" s="13"/>
      <c r="F103" s="13"/>
      <c r="G103" s="13"/>
      <c r="H103" s="8"/>
      <c r="I103" s="8"/>
      <c r="J103" s="8"/>
      <c r="K103" s="8"/>
      <c r="L103" s="8"/>
      <c r="M103" s="8"/>
      <c r="N103" s="8"/>
      <c r="O103" s="8"/>
      <c r="P103" s="8"/>
      <c r="Q103" s="8"/>
      <c r="R103" s="8"/>
      <c r="S103" s="8"/>
      <c r="T103" s="8"/>
      <c r="U103" s="8"/>
      <c r="V103" s="8"/>
      <c r="W103" s="334"/>
      <c r="X103" s="211"/>
      <c r="Y103" s="8">
        <f>SUM(Y104:Y112)</f>
        <v>21000</v>
      </c>
      <c r="Z103" s="189"/>
      <c r="AA103" s="189"/>
      <c r="AB103" s="179"/>
      <c r="AC103" s="179"/>
      <c r="AD103" s="179"/>
      <c r="AE103" s="179"/>
      <c r="AF103" s="179"/>
      <c r="AG103" s="179"/>
      <c r="AH103" s="179"/>
      <c r="AI103" s="179"/>
      <c r="AJ103" s="179"/>
      <c r="AK103" s="179"/>
      <c r="AL103" s="179"/>
      <c r="AM103" s="179"/>
      <c r="AN103" s="179"/>
      <c r="AO103" s="179"/>
      <c r="AP103" s="179"/>
      <c r="AQ103" s="179"/>
      <c r="AR103" s="179"/>
      <c r="AS103" s="179"/>
      <c r="AT103" s="179"/>
      <c r="AU103" s="179"/>
      <c r="AV103" s="179"/>
      <c r="AW103" s="179"/>
    </row>
    <row r="104" spans="1:49" ht="49.5" customHeight="1">
      <c r="A104" s="114">
        <v>1</v>
      </c>
      <c r="B104" s="36" t="s">
        <v>576</v>
      </c>
      <c r="C104" s="23" t="s">
        <v>314</v>
      </c>
      <c r="D104" s="34" t="s">
        <v>19</v>
      </c>
      <c r="E104" s="23" t="s">
        <v>202</v>
      </c>
      <c r="F104" s="23" t="s">
        <v>36</v>
      </c>
      <c r="G104" s="86"/>
      <c r="H104" s="62"/>
      <c r="I104" s="32"/>
      <c r="J104" s="37"/>
      <c r="K104" s="37"/>
      <c r="L104" s="37"/>
      <c r="M104" s="37"/>
      <c r="N104" s="37"/>
      <c r="O104" s="37"/>
      <c r="P104" s="37"/>
      <c r="Q104" s="37"/>
      <c r="R104" s="32"/>
      <c r="S104" s="32"/>
      <c r="T104" s="37"/>
      <c r="U104" s="37"/>
      <c r="V104" s="80"/>
      <c r="W104" s="335"/>
      <c r="X104" s="131" t="s">
        <v>988</v>
      </c>
      <c r="Y104" s="37">
        <v>4300</v>
      </c>
      <c r="AB104" s="6" t="e">
        <f>#REF!</f>
        <v>#REF!</v>
      </c>
      <c r="AC104" s="6"/>
      <c r="AD104" s="6"/>
      <c r="AE104" s="6"/>
    </row>
    <row r="105" spans="1:49" ht="49.5" customHeight="1">
      <c r="A105" s="114">
        <v>2</v>
      </c>
      <c r="B105" s="36" t="s">
        <v>577</v>
      </c>
      <c r="C105" s="23" t="s">
        <v>95</v>
      </c>
      <c r="D105" s="34" t="s">
        <v>19</v>
      </c>
      <c r="E105" s="23" t="s">
        <v>202</v>
      </c>
      <c r="F105" s="23" t="s">
        <v>36</v>
      </c>
      <c r="G105" s="86"/>
      <c r="H105" s="62"/>
      <c r="I105" s="32"/>
      <c r="J105" s="37"/>
      <c r="K105" s="37"/>
      <c r="L105" s="37"/>
      <c r="M105" s="37"/>
      <c r="N105" s="37"/>
      <c r="O105" s="37"/>
      <c r="P105" s="37"/>
      <c r="Q105" s="37"/>
      <c r="R105" s="32"/>
      <c r="S105" s="32"/>
      <c r="T105" s="37"/>
      <c r="U105" s="37"/>
      <c r="V105" s="80"/>
      <c r="W105" s="335"/>
      <c r="X105" s="131" t="s">
        <v>989</v>
      </c>
      <c r="Y105" s="37">
        <v>3600</v>
      </c>
      <c r="AB105" s="6" t="e">
        <f>#REF!</f>
        <v>#REF!</v>
      </c>
      <c r="AC105" s="6"/>
      <c r="AD105" s="6"/>
      <c r="AE105" s="6"/>
    </row>
    <row r="106" spans="1:49" ht="49.5" customHeight="1">
      <c r="A106" s="114">
        <v>3</v>
      </c>
      <c r="B106" s="36" t="s">
        <v>578</v>
      </c>
      <c r="C106" s="23" t="s">
        <v>73</v>
      </c>
      <c r="D106" s="34" t="s">
        <v>19</v>
      </c>
      <c r="E106" s="23" t="s">
        <v>202</v>
      </c>
      <c r="F106" s="23" t="s">
        <v>36</v>
      </c>
      <c r="G106" s="86"/>
      <c r="H106" s="62"/>
      <c r="I106" s="32"/>
      <c r="J106" s="37"/>
      <c r="K106" s="37"/>
      <c r="L106" s="37"/>
      <c r="M106" s="37"/>
      <c r="N106" s="37"/>
      <c r="O106" s="37"/>
      <c r="P106" s="37"/>
      <c r="Q106" s="37"/>
      <c r="R106" s="32"/>
      <c r="S106" s="32"/>
      <c r="T106" s="37"/>
      <c r="U106" s="37"/>
      <c r="V106" s="80"/>
      <c r="W106" s="335"/>
      <c r="X106" s="131" t="s">
        <v>990</v>
      </c>
      <c r="Y106" s="37">
        <v>4400</v>
      </c>
      <c r="AB106" s="6" t="e">
        <f>#REF!</f>
        <v>#REF!</v>
      </c>
      <c r="AC106" s="6"/>
      <c r="AD106" s="6"/>
      <c r="AE106" s="6"/>
    </row>
    <row r="107" spans="1:49" ht="49.5" customHeight="1">
      <c r="A107" s="114">
        <v>4</v>
      </c>
      <c r="B107" s="36" t="s">
        <v>579</v>
      </c>
      <c r="C107" s="23" t="s">
        <v>287</v>
      </c>
      <c r="D107" s="34" t="s">
        <v>19</v>
      </c>
      <c r="E107" s="23" t="s">
        <v>202</v>
      </c>
      <c r="F107" s="23" t="s">
        <v>36</v>
      </c>
      <c r="G107" s="86"/>
      <c r="H107" s="62"/>
      <c r="I107" s="32"/>
      <c r="J107" s="37"/>
      <c r="K107" s="37"/>
      <c r="L107" s="37"/>
      <c r="M107" s="37"/>
      <c r="N107" s="37"/>
      <c r="O107" s="37"/>
      <c r="P107" s="37"/>
      <c r="Q107" s="37"/>
      <c r="R107" s="32"/>
      <c r="S107" s="32"/>
      <c r="T107" s="37"/>
      <c r="U107" s="37"/>
      <c r="V107" s="80"/>
      <c r="W107" s="335"/>
      <c r="X107" s="131" t="s">
        <v>991</v>
      </c>
      <c r="Y107" s="37">
        <v>2000</v>
      </c>
      <c r="AB107" s="6" t="e">
        <f>#REF!</f>
        <v>#REF!</v>
      </c>
      <c r="AC107" s="6"/>
      <c r="AD107" s="6"/>
      <c r="AE107" s="6"/>
    </row>
    <row r="108" spans="1:49" ht="49.5" customHeight="1">
      <c r="A108" s="114">
        <v>5</v>
      </c>
      <c r="B108" s="36" t="s">
        <v>580</v>
      </c>
      <c r="C108" s="23" t="s">
        <v>73</v>
      </c>
      <c r="D108" s="34" t="s">
        <v>19</v>
      </c>
      <c r="E108" s="23" t="s">
        <v>202</v>
      </c>
      <c r="F108" s="23" t="s">
        <v>36</v>
      </c>
      <c r="G108" s="86"/>
      <c r="H108" s="62"/>
      <c r="I108" s="32"/>
      <c r="J108" s="37"/>
      <c r="K108" s="37"/>
      <c r="L108" s="37"/>
      <c r="M108" s="37"/>
      <c r="N108" s="37"/>
      <c r="O108" s="37"/>
      <c r="P108" s="37"/>
      <c r="Q108" s="37"/>
      <c r="R108" s="32"/>
      <c r="S108" s="32"/>
      <c r="T108" s="37"/>
      <c r="U108" s="37"/>
      <c r="V108" s="80"/>
      <c r="W108" s="335"/>
      <c r="X108" s="131" t="s">
        <v>992</v>
      </c>
      <c r="Y108" s="37">
        <v>1900</v>
      </c>
      <c r="AB108" s="6" t="e">
        <f>#REF!</f>
        <v>#REF!</v>
      </c>
      <c r="AC108" s="6"/>
      <c r="AD108" s="6"/>
      <c r="AE108" s="6"/>
    </row>
    <row r="109" spans="1:49" ht="60.75" customHeight="1">
      <c r="A109" s="114">
        <v>6</v>
      </c>
      <c r="B109" s="36" t="s">
        <v>885</v>
      </c>
      <c r="C109" s="23" t="s">
        <v>95</v>
      </c>
      <c r="D109" s="34" t="s">
        <v>19</v>
      </c>
      <c r="E109" s="23" t="s">
        <v>202</v>
      </c>
      <c r="F109" s="23" t="s">
        <v>36</v>
      </c>
      <c r="G109" s="86"/>
      <c r="H109" s="62"/>
      <c r="I109" s="32"/>
      <c r="J109" s="37"/>
      <c r="K109" s="37"/>
      <c r="L109" s="37"/>
      <c r="M109" s="37"/>
      <c r="N109" s="37"/>
      <c r="O109" s="37"/>
      <c r="P109" s="37"/>
      <c r="Q109" s="37"/>
      <c r="R109" s="32"/>
      <c r="S109" s="32"/>
      <c r="T109" s="37"/>
      <c r="U109" s="37"/>
      <c r="V109" s="80"/>
      <c r="W109" s="335"/>
      <c r="X109" s="131" t="s">
        <v>993</v>
      </c>
      <c r="Y109" s="37">
        <v>1500</v>
      </c>
      <c r="AB109" s="6" t="e">
        <f>#REF!</f>
        <v>#REF!</v>
      </c>
      <c r="AC109" s="6"/>
      <c r="AD109" s="6"/>
      <c r="AE109" s="6"/>
    </row>
    <row r="110" spans="1:49" ht="60.75" customHeight="1">
      <c r="A110" s="114">
        <v>7</v>
      </c>
      <c r="B110" s="36" t="s">
        <v>581</v>
      </c>
      <c r="C110" s="23" t="s">
        <v>315</v>
      </c>
      <c r="D110" s="34" t="s">
        <v>19</v>
      </c>
      <c r="E110" s="23" t="s">
        <v>202</v>
      </c>
      <c r="F110" s="23" t="s">
        <v>36</v>
      </c>
      <c r="G110" s="86"/>
      <c r="H110" s="62"/>
      <c r="I110" s="32"/>
      <c r="J110" s="37"/>
      <c r="K110" s="37"/>
      <c r="L110" s="37"/>
      <c r="M110" s="37"/>
      <c r="N110" s="37"/>
      <c r="O110" s="37"/>
      <c r="P110" s="37"/>
      <c r="Q110" s="37"/>
      <c r="R110" s="32"/>
      <c r="S110" s="32"/>
      <c r="T110" s="37"/>
      <c r="U110" s="37"/>
      <c r="V110" s="80"/>
      <c r="W110" s="335"/>
      <c r="X110" s="131" t="s">
        <v>994</v>
      </c>
      <c r="Y110" s="37">
        <v>1100</v>
      </c>
      <c r="AB110" s="6" t="e">
        <f>#REF!</f>
        <v>#REF!</v>
      </c>
      <c r="AC110" s="6"/>
      <c r="AD110" s="6"/>
      <c r="AE110" s="6"/>
    </row>
    <row r="111" spans="1:49" ht="60.75" customHeight="1">
      <c r="A111" s="114">
        <v>8</v>
      </c>
      <c r="B111" s="36" t="s">
        <v>582</v>
      </c>
      <c r="C111" s="23" t="s">
        <v>18</v>
      </c>
      <c r="D111" s="34" t="s">
        <v>19</v>
      </c>
      <c r="E111" s="23" t="s">
        <v>202</v>
      </c>
      <c r="F111" s="23" t="s">
        <v>36</v>
      </c>
      <c r="G111" s="86"/>
      <c r="H111" s="62"/>
      <c r="I111" s="32"/>
      <c r="J111" s="37"/>
      <c r="K111" s="37"/>
      <c r="L111" s="37"/>
      <c r="M111" s="37"/>
      <c r="N111" s="37"/>
      <c r="O111" s="37"/>
      <c r="P111" s="37"/>
      <c r="Q111" s="37"/>
      <c r="R111" s="32"/>
      <c r="S111" s="32"/>
      <c r="T111" s="37"/>
      <c r="U111" s="37"/>
      <c r="V111" s="80"/>
      <c r="W111" s="335"/>
      <c r="X111" s="131" t="s">
        <v>995</v>
      </c>
      <c r="Y111" s="37">
        <v>1100</v>
      </c>
      <c r="AB111" s="6" t="e">
        <f>#REF!</f>
        <v>#REF!</v>
      </c>
      <c r="AC111" s="6"/>
      <c r="AD111" s="6"/>
      <c r="AE111" s="6"/>
    </row>
    <row r="112" spans="1:49" ht="60.75" customHeight="1">
      <c r="A112" s="114">
        <v>9</v>
      </c>
      <c r="B112" s="36" t="s">
        <v>886</v>
      </c>
      <c r="C112" s="23" t="s">
        <v>18</v>
      </c>
      <c r="D112" s="34" t="s">
        <v>19</v>
      </c>
      <c r="E112" s="23" t="s">
        <v>202</v>
      </c>
      <c r="F112" s="23" t="s">
        <v>36</v>
      </c>
      <c r="G112" s="86"/>
      <c r="H112" s="62"/>
      <c r="I112" s="32"/>
      <c r="J112" s="37"/>
      <c r="K112" s="37"/>
      <c r="L112" s="37"/>
      <c r="M112" s="37"/>
      <c r="N112" s="37"/>
      <c r="O112" s="37"/>
      <c r="P112" s="37"/>
      <c r="Q112" s="37"/>
      <c r="R112" s="32"/>
      <c r="S112" s="32"/>
      <c r="T112" s="37"/>
      <c r="U112" s="37"/>
      <c r="V112" s="80"/>
      <c r="W112" s="335"/>
      <c r="X112" s="131" t="s">
        <v>996</v>
      </c>
      <c r="Y112" s="37">
        <v>1100</v>
      </c>
      <c r="AB112" s="6" t="e">
        <f>#REF!</f>
        <v>#REF!</v>
      </c>
      <c r="AC112" s="6"/>
      <c r="AD112" s="6"/>
      <c r="AE112" s="6"/>
    </row>
    <row r="113" spans="1:49" s="18" customFormat="1" ht="60" customHeight="1">
      <c r="A113" s="13" t="s">
        <v>1035</v>
      </c>
      <c r="B113" s="26" t="s">
        <v>1048</v>
      </c>
      <c r="C113" s="13"/>
      <c r="D113" s="13"/>
      <c r="E113" s="13"/>
      <c r="F113" s="13"/>
      <c r="G113" s="13"/>
      <c r="H113" s="8"/>
      <c r="I113" s="8"/>
      <c r="J113" s="8"/>
      <c r="K113" s="8"/>
      <c r="L113" s="8"/>
      <c r="M113" s="8"/>
      <c r="N113" s="8"/>
      <c r="O113" s="8"/>
      <c r="P113" s="8"/>
      <c r="Q113" s="8"/>
      <c r="R113" s="8"/>
      <c r="S113" s="8"/>
      <c r="T113" s="8"/>
      <c r="U113" s="8"/>
      <c r="V113" s="8"/>
      <c r="W113" s="334"/>
      <c r="X113" s="211"/>
      <c r="Y113" s="8">
        <f>SUM(Y114:Y123)</f>
        <v>11900</v>
      </c>
      <c r="Z113" s="189"/>
      <c r="AA113" s="189"/>
      <c r="AB113" s="179"/>
      <c r="AC113" s="179"/>
      <c r="AD113" s="179"/>
      <c r="AE113" s="179"/>
      <c r="AF113" s="179"/>
      <c r="AG113" s="179"/>
      <c r="AH113" s="179"/>
      <c r="AI113" s="179"/>
      <c r="AJ113" s="179"/>
      <c r="AK113" s="179"/>
      <c r="AL113" s="179"/>
      <c r="AM113" s="179"/>
      <c r="AN113" s="179"/>
      <c r="AO113" s="179"/>
      <c r="AP113" s="179"/>
      <c r="AQ113" s="179"/>
      <c r="AR113" s="179"/>
      <c r="AS113" s="179"/>
      <c r="AT113" s="179"/>
      <c r="AU113" s="179"/>
      <c r="AV113" s="179"/>
      <c r="AW113" s="179"/>
    </row>
    <row r="114" spans="1:49" ht="60.75" customHeight="1">
      <c r="A114" s="114">
        <v>1</v>
      </c>
      <c r="B114" s="115" t="s">
        <v>590</v>
      </c>
      <c r="C114" s="10" t="s">
        <v>591</v>
      </c>
      <c r="D114" s="185" t="s">
        <v>19</v>
      </c>
      <c r="E114" s="10" t="s">
        <v>492</v>
      </c>
      <c r="F114" s="10" t="s">
        <v>391</v>
      </c>
      <c r="G114" s="17" t="s">
        <v>391</v>
      </c>
      <c r="H114" s="17"/>
      <c r="I114" s="17"/>
      <c r="J114" s="17"/>
      <c r="K114" s="17"/>
      <c r="L114" s="17"/>
      <c r="M114" s="17"/>
      <c r="N114" s="17"/>
      <c r="O114" s="17"/>
      <c r="P114" s="17"/>
      <c r="Q114" s="17"/>
      <c r="R114" s="17"/>
      <c r="S114" s="17"/>
      <c r="T114" s="17"/>
      <c r="U114" s="17"/>
      <c r="V114" s="17"/>
      <c r="W114" s="335"/>
      <c r="X114" s="131" t="s">
        <v>996</v>
      </c>
      <c r="Y114" s="70">
        <v>3500</v>
      </c>
      <c r="AB114" s="6" t="e">
        <f>#REF!</f>
        <v>#REF!</v>
      </c>
      <c r="AC114" s="6"/>
      <c r="AD114" s="6"/>
      <c r="AE114" s="6"/>
    </row>
    <row r="115" spans="1:49" ht="60.75" customHeight="1">
      <c r="A115" s="114">
        <f>+A114+1</f>
        <v>2</v>
      </c>
      <c r="B115" s="115" t="s">
        <v>1054</v>
      </c>
      <c r="C115" s="10" t="s">
        <v>263</v>
      </c>
      <c r="D115" s="185" t="s">
        <v>19</v>
      </c>
      <c r="E115" s="10" t="s">
        <v>492</v>
      </c>
      <c r="F115" s="10" t="s">
        <v>391</v>
      </c>
      <c r="G115" s="17" t="s">
        <v>391</v>
      </c>
      <c r="H115" s="17"/>
      <c r="I115" s="17"/>
      <c r="J115" s="17"/>
      <c r="K115" s="17"/>
      <c r="L115" s="17"/>
      <c r="M115" s="17"/>
      <c r="N115" s="17"/>
      <c r="O115" s="17"/>
      <c r="P115" s="17"/>
      <c r="Q115" s="17"/>
      <c r="R115" s="17"/>
      <c r="S115" s="17"/>
      <c r="T115" s="17"/>
      <c r="U115" s="17"/>
      <c r="V115" s="17"/>
      <c r="W115" s="335"/>
      <c r="X115" s="131"/>
      <c r="Y115" s="70">
        <v>3500</v>
      </c>
      <c r="AB115" s="6"/>
      <c r="AC115" s="6"/>
      <c r="AD115" s="6"/>
      <c r="AE115" s="6"/>
    </row>
    <row r="116" spans="1:49" ht="79.5" customHeight="1">
      <c r="A116" s="114">
        <f t="shared" ref="A116:A123" si="7">+A115+1</f>
        <v>3</v>
      </c>
      <c r="B116" s="115" t="s">
        <v>592</v>
      </c>
      <c r="C116" s="10" t="s">
        <v>593</v>
      </c>
      <c r="D116" s="185" t="s">
        <v>19</v>
      </c>
      <c r="E116" s="10" t="s">
        <v>492</v>
      </c>
      <c r="F116" s="10" t="s">
        <v>391</v>
      </c>
      <c r="G116" s="17" t="s">
        <v>391</v>
      </c>
      <c r="H116" s="17"/>
      <c r="I116" s="17"/>
      <c r="J116" s="17"/>
      <c r="K116" s="17"/>
      <c r="L116" s="17"/>
      <c r="M116" s="17"/>
      <c r="N116" s="17"/>
      <c r="O116" s="17"/>
      <c r="P116" s="17"/>
      <c r="Q116" s="17"/>
      <c r="R116" s="17"/>
      <c r="S116" s="17"/>
      <c r="T116" s="17"/>
      <c r="U116" s="17"/>
      <c r="V116" s="17"/>
      <c r="W116" s="335"/>
      <c r="X116" s="131"/>
      <c r="Y116" s="70">
        <v>600</v>
      </c>
      <c r="AB116" s="6" t="e">
        <f>#REF!</f>
        <v>#REF!</v>
      </c>
      <c r="AC116" s="6"/>
      <c r="AD116" s="6"/>
      <c r="AE116" s="6"/>
    </row>
    <row r="117" spans="1:49" ht="60.75" customHeight="1">
      <c r="A117" s="114">
        <f t="shared" si="7"/>
        <v>4</v>
      </c>
      <c r="B117" s="115" t="s">
        <v>691</v>
      </c>
      <c r="C117" s="10" t="s">
        <v>594</v>
      </c>
      <c r="D117" s="185" t="s">
        <v>19</v>
      </c>
      <c r="E117" s="10" t="s">
        <v>492</v>
      </c>
      <c r="F117" s="10" t="s">
        <v>391</v>
      </c>
      <c r="G117" s="17" t="s">
        <v>391</v>
      </c>
      <c r="H117" s="17"/>
      <c r="I117" s="17"/>
      <c r="J117" s="17"/>
      <c r="K117" s="17"/>
      <c r="L117" s="17"/>
      <c r="M117" s="17"/>
      <c r="N117" s="17"/>
      <c r="O117" s="17"/>
      <c r="P117" s="17"/>
      <c r="Q117" s="17"/>
      <c r="R117" s="17"/>
      <c r="S117" s="17"/>
      <c r="T117" s="17"/>
      <c r="U117" s="17"/>
      <c r="V117" s="17"/>
      <c r="W117" s="335"/>
      <c r="X117" s="131"/>
      <c r="Y117" s="70">
        <v>700</v>
      </c>
      <c r="AB117" s="6" t="e">
        <f>#REF!</f>
        <v>#REF!</v>
      </c>
      <c r="AC117" s="6"/>
      <c r="AD117" s="6"/>
      <c r="AE117" s="6"/>
    </row>
    <row r="118" spans="1:49" ht="60.75" customHeight="1">
      <c r="A118" s="114">
        <f t="shared" si="7"/>
        <v>5</v>
      </c>
      <c r="B118" s="115" t="s">
        <v>595</v>
      </c>
      <c r="C118" s="10" t="s">
        <v>596</v>
      </c>
      <c r="D118" s="185" t="s">
        <v>19</v>
      </c>
      <c r="E118" s="10" t="s">
        <v>492</v>
      </c>
      <c r="F118" s="10" t="s">
        <v>391</v>
      </c>
      <c r="G118" s="17" t="s">
        <v>391</v>
      </c>
      <c r="H118" s="17"/>
      <c r="I118" s="17"/>
      <c r="J118" s="17"/>
      <c r="K118" s="17"/>
      <c r="L118" s="17"/>
      <c r="M118" s="17"/>
      <c r="N118" s="17"/>
      <c r="O118" s="17"/>
      <c r="P118" s="17"/>
      <c r="Q118" s="17"/>
      <c r="R118" s="17"/>
      <c r="S118" s="17"/>
      <c r="T118" s="17"/>
      <c r="U118" s="17"/>
      <c r="V118" s="17"/>
      <c r="W118" s="335"/>
      <c r="X118" s="131"/>
      <c r="Y118" s="70">
        <v>600</v>
      </c>
      <c r="AB118" s="6" t="e">
        <f>#REF!</f>
        <v>#REF!</v>
      </c>
      <c r="AC118" s="6"/>
      <c r="AD118" s="6"/>
      <c r="AE118" s="6"/>
    </row>
    <row r="119" spans="1:49" ht="60.75" customHeight="1">
      <c r="A119" s="114">
        <f t="shared" si="7"/>
        <v>6</v>
      </c>
      <c r="B119" s="115" t="s">
        <v>1055</v>
      </c>
      <c r="C119" s="10" t="s">
        <v>1056</v>
      </c>
      <c r="D119" s="185" t="s">
        <v>19</v>
      </c>
      <c r="E119" s="10" t="s">
        <v>492</v>
      </c>
      <c r="F119" s="10" t="s">
        <v>391</v>
      </c>
      <c r="G119" s="17" t="s">
        <v>391</v>
      </c>
      <c r="H119" s="17"/>
      <c r="I119" s="17"/>
      <c r="J119" s="17"/>
      <c r="K119" s="17"/>
      <c r="L119" s="17"/>
      <c r="M119" s="17"/>
      <c r="N119" s="17"/>
      <c r="O119" s="17"/>
      <c r="P119" s="17"/>
      <c r="Q119" s="17"/>
      <c r="R119" s="17"/>
      <c r="S119" s="17"/>
      <c r="T119" s="17"/>
      <c r="U119" s="17"/>
      <c r="V119" s="17"/>
      <c r="W119" s="335"/>
      <c r="X119" s="131"/>
      <c r="Y119" s="70">
        <v>600</v>
      </c>
      <c r="AB119" s="6"/>
      <c r="AC119" s="6"/>
      <c r="AD119" s="6"/>
      <c r="AE119" s="6"/>
    </row>
    <row r="120" spans="1:49" ht="60.75" customHeight="1">
      <c r="A120" s="114">
        <f t="shared" si="7"/>
        <v>7</v>
      </c>
      <c r="B120" s="115" t="s">
        <v>1057</v>
      </c>
      <c r="C120" s="10" t="s">
        <v>1058</v>
      </c>
      <c r="D120" s="185" t="s">
        <v>19</v>
      </c>
      <c r="E120" s="10" t="s">
        <v>492</v>
      </c>
      <c r="F120" s="10" t="s">
        <v>391</v>
      </c>
      <c r="G120" s="17"/>
      <c r="H120" s="17"/>
      <c r="I120" s="17"/>
      <c r="J120" s="17"/>
      <c r="K120" s="17"/>
      <c r="L120" s="17"/>
      <c r="M120" s="17"/>
      <c r="N120" s="17"/>
      <c r="O120" s="17"/>
      <c r="P120" s="17"/>
      <c r="Q120" s="17"/>
      <c r="R120" s="17"/>
      <c r="S120" s="17"/>
      <c r="T120" s="17"/>
      <c r="U120" s="17"/>
      <c r="V120" s="17"/>
      <c r="W120" s="335"/>
      <c r="X120" s="131"/>
      <c r="Y120" s="70">
        <v>600</v>
      </c>
      <c r="AB120" s="6"/>
      <c r="AC120" s="6"/>
      <c r="AD120" s="6"/>
      <c r="AE120" s="6"/>
    </row>
    <row r="121" spans="1:49" ht="60.75" customHeight="1">
      <c r="A121" s="114">
        <f t="shared" si="7"/>
        <v>8</v>
      </c>
      <c r="B121" s="115" t="s">
        <v>1059</v>
      </c>
      <c r="C121" s="10" t="s">
        <v>1060</v>
      </c>
      <c r="D121" s="185" t="s">
        <v>19</v>
      </c>
      <c r="E121" s="10" t="s">
        <v>492</v>
      </c>
      <c r="F121" s="10" t="s">
        <v>391</v>
      </c>
      <c r="G121" s="17"/>
      <c r="H121" s="17"/>
      <c r="I121" s="17"/>
      <c r="J121" s="17"/>
      <c r="K121" s="17"/>
      <c r="L121" s="17"/>
      <c r="M121" s="17"/>
      <c r="N121" s="17"/>
      <c r="O121" s="17"/>
      <c r="P121" s="17"/>
      <c r="Q121" s="17"/>
      <c r="R121" s="17"/>
      <c r="S121" s="17"/>
      <c r="T121" s="17"/>
      <c r="U121" s="17"/>
      <c r="V121" s="17"/>
      <c r="W121" s="335"/>
      <c r="X121" s="131"/>
      <c r="Y121" s="70">
        <v>600</v>
      </c>
      <c r="AB121" s="6"/>
      <c r="AC121" s="6"/>
      <c r="AD121" s="6"/>
      <c r="AE121" s="6"/>
    </row>
    <row r="122" spans="1:49" ht="60.75" customHeight="1">
      <c r="A122" s="114">
        <f t="shared" si="7"/>
        <v>9</v>
      </c>
      <c r="B122" s="115" t="s">
        <v>612</v>
      </c>
      <c r="C122" s="10" t="s">
        <v>613</v>
      </c>
      <c r="D122" s="185" t="s">
        <v>19</v>
      </c>
      <c r="E122" s="10" t="s">
        <v>492</v>
      </c>
      <c r="F122" s="10" t="s">
        <v>391</v>
      </c>
      <c r="G122" s="17"/>
      <c r="H122" s="17"/>
      <c r="I122" s="17"/>
      <c r="J122" s="17"/>
      <c r="K122" s="17"/>
      <c r="L122" s="17"/>
      <c r="M122" s="17"/>
      <c r="N122" s="17"/>
      <c r="O122" s="17"/>
      <c r="P122" s="17"/>
      <c r="Q122" s="17"/>
      <c r="R122" s="17"/>
      <c r="S122" s="17"/>
      <c r="T122" s="17"/>
      <c r="U122" s="17"/>
      <c r="V122" s="17"/>
      <c r="W122" s="335"/>
      <c r="X122" s="131" t="s">
        <v>996</v>
      </c>
      <c r="Y122" s="70">
        <v>600</v>
      </c>
      <c r="AB122" s="6" t="e">
        <f>#REF!</f>
        <v>#REF!</v>
      </c>
      <c r="AC122" s="6"/>
      <c r="AD122" s="6"/>
      <c r="AE122" s="6"/>
    </row>
    <row r="123" spans="1:49" ht="60.75" customHeight="1">
      <c r="A123" s="114">
        <f t="shared" si="7"/>
        <v>10</v>
      </c>
      <c r="B123" s="115" t="s">
        <v>617</v>
      </c>
      <c r="C123" s="10" t="s">
        <v>618</v>
      </c>
      <c r="D123" s="185" t="s">
        <v>19</v>
      </c>
      <c r="E123" s="10" t="s">
        <v>492</v>
      </c>
      <c r="F123" s="10" t="s">
        <v>391</v>
      </c>
      <c r="G123" s="17"/>
      <c r="H123" s="17"/>
      <c r="I123" s="17"/>
      <c r="J123" s="17"/>
      <c r="K123" s="17"/>
      <c r="L123" s="17"/>
      <c r="M123" s="17"/>
      <c r="N123" s="17"/>
      <c r="O123" s="17"/>
      <c r="P123" s="17"/>
      <c r="Q123" s="17"/>
      <c r="R123" s="17"/>
      <c r="S123" s="17"/>
      <c r="T123" s="17"/>
      <c r="U123" s="17"/>
      <c r="V123" s="17"/>
      <c r="W123" s="335"/>
      <c r="X123" s="131"/>
      <c r="Y123" s="70">
        <v>600</v>
      </c>
      <c r="AB123" s="6" t="e">
        <f>#REF!</f>
        <v>#REF!</v>
      </c>
      <c r="AC123" s="6"/>
      <c r="AD123" s="6"/>
      <c r="AE123" s="6"/>
    </row>
    <row r="124" spans="1:49" ht="15" customHeight="1"/>
  </sheetData>
  <mergeCells count="18">
    <mergeCell ref="I6:I7"/>
    <mergeCell ref="J6:Q6"/>
    <mergeCell ref="R6:R7"/>
    <mergeCell ref="S6:U6"/>
    <mergeCell ref="A1:W1"/>
    <mergeCell ref="A2:W2"/>
    <mergeCell ref="A3:W3"/>
    <mergeCell ref="A5:A7"/>
    <mergeCell ref="B5:B7"/>
    <mergeCell ref="C5:C7"/>
    <mergeCell ref="D5:D7"/>
    <mergeCell ref="E5:E7"/>
    <mergeCell ref="F5:F7"/>
    <mergeCell ref="H5:H7"/>
    <mergeCell ref="I5:Q5"/>
    <mergeCell ref="R5:U5"/>
    <mergeCell ref="V5:V7"/>
    <mergeCell ref="W5:W7"/>
  </mergeCells>
  <printOptions horizontalCentered="1"/>
  <pageMargins left="0.39370078740157499" right="0.39370078740157499" top="0.39370078740157499" bottom="0.39370078740157499" header="0.196850393700787" footer="0.196850393700787"/>
  <pageSetup paperSize="9" scale="77" fitToHeight="0" orientation="landscape" r:id="rId1"/>
  <headerFooter alignWithMargins="0">
    <oddFooter>&amp;C&amp;"Times New Roman,thường"&amp;11&amp;P/&amp;N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W100"/>
  <sheetViews>
    <sheetView view="pageBreakPreview" topLeftCell="A91" zoomScale="84" zoomScaleNormal="70" workbookViewId="0">
      <selection activeCell="B99" sqref="B99"/>
    </sheetView>
  </sheetViews>
  <sheetFormatPr defaultColWidth="9.109375" defaultRowHeight="16.8"/>
  <cols>
    <col min="1" max="1" width="8.6640625" style="11" customWidth="1"/>
    <col min="2" max="2" width="50.6640625" style="11" customWidth="1"/>
    <col min="3" max="3" width="20.6640625" style="11" customWidth="1"/>
    <col min="4" max="4" width="20.6640625" style="22" customWidth="1"/>
    <col min="5" max="6" width="20.6640625" style="11" customWidth="1"/>
    <col min="7" max="22" width="20.6640625" style="11" hidden="1" customWidth="1"/>
    <col min="23" max="23" width="20.6640625" style="11" customWidth="1"/>
    <col min="24" max="24" width="40.6640625" style="11" customWidth="1"/>
    <col min="25" max="25" width="12.44140625" style="11" customWidth="1"/>
    <col min="26" max="26" width="14.88671875" style="22" customWidth="1"/>
    <col min="27" max="27" width="13.44140625" style="22" customWidth="1"/>
    <col min="28" max="31" width="17.88671875" style="11" customWidth="1"/>
    <col min="32" max="32" width="19.33203125" style="11" customWidth="1"/>
    <col min="33" max="33" width="17.33203125" style="11" customWidth="1"/>
    <col min="34" max="34" width="15.33203125" style="11" customWidth="1"/>
    <col min="35" max="35" width="14.6640625" style="11" bestFit="1" customWidth="1"/>
    <col min="36" max="36" width="12.6640625" style="11" bestFit="1" customWidth="1"/>
    <col min="37" max="37" width="14" style="11" customWidth="1"/>
    <col min="38" max="38" width="13.44140625" style="11" customWidth="1"/>
    <col min="39" max="39" width="11.33203125" style="11" bestFit="1" customWidth="1"/>
    <col min="40" max="40" width="16.88671875" style="11" customWidth="1"/>
    <col min="41" max="41" width="12.6640625" style="11" bestFit="1" customWidth="1"/>
    <col min="42" max="42" width="15.109375" style="11" customWidth="1"/>
    <col min="43" max="43" width="12.44140625" style="11" customWidth="1"/>
    <col min="44" max="44" width="15.33203125" style="11" customWidth="1"/>
    <col min="45" max="45" width="15" style="11" customWidth="1"/>
    <col min="46" max="46" width="9.109375" style="11"/>
    <col min="47" max="47" width="11.33203125" style="11" bestFit="1" customWidth="1"/>
    <col min="48" max="48" width="14.88671875" style="11" customWidth="1"/>
    <col min="49" max="16384" width="9.109375" style="11"/>
  </cols>
  <sheetData>
    <row r="1" spans="1:49" ht="39.9" customHeight="1">
      <c r="A1" s="554" t="s">
        <v>925</v>
      </c>
      <c r="B1" s="554"/>
      <c r="C1" s="554"/>
      <c r="D1" s="554"/>
      <c r="E1" s="554"/>
      <c r="F1" s="554"/>
      <c r="G1" s="554"/>
      <c r="H1" s="554"/>
      <c r="I1" s="554"/>
      <c r="J1" s="554"/>
      <c r="K1" s="554"/>
      <c r="L1" s="554"/>
      <c r="M1" s="554"/>
      <c r="N1" s="554"/>
      <c r="O1" s="554"/>
      <c r="P1" s="554"/>
      <c r="Q1" s="554"/>
      <c r="R1" s="554"/>
      <c r="S1" s="554"/>
      <c r="T1" s="554"/>
      <c r="U1" s="554"/>
      <c r="V1" s="554"/>
      <c r="W1" s="554"/>
      <c r="X1" s="554"/>
      <c r="Y1" s="248"/>
    </row>
    <row r="2" spans="1:49" s="157" customFormat="1" ht="69.900000000000006" customHeight="1">
      <c r="A2" s="555" t="s">
        <v>936</v>
      </c>
      <c r="B2" s="555"/>
      <c r="C2" s="555"/>
      <c r="D2" s="555"/>
      <c r="E2" s="555"/>
      <c r="F2" s="555"/>
      <c r="G2" s="555"/>
      <c r="H2" s="555"/>
      <c r="I2" s="555"/>
      <c r="J2" s="555"/>
      <c r="K2" s="555"/>
      <c r="L2" s="555"/>
      <c r="M2" s="555"/>
      <c r="N2" s="555"/>
      <c r="O2" s="555"/>
      <c r="P2" s="555"/>
      <c r="Q2" s="555"/>
      <c r="R2" s="555"/>
      <c r="S2" s="555"/>
      <c r="T2" s="555"/>
      <c r="U2" s="555"/>
      <c r="V2" s="555"/>
      <c r="W2" s="555"/>
      <c r="X2" s="555"/>
      <c r="Y2" s="249"/>
      <c r="Z2" s="158"/>
      <c r="AA2" s="158"/>
    </row>
    <row r="3" spans="1:49" ht="39.9" customHeight="1">
      <c r="A3" s="556" t="str">
        <f>TH!A2:I2</f>
        <v>(Ban hành kèm theo Quyết định số: 2571/QĐ-UBND ngày 12/12/2024 của Ủy ban nhân dân tỉnh)</v>
      </c>
      <c r="B3" s="556"/>
      <c r="C3" s="556"/>
      <c r="D3" s="556"/>
      <c r="E3" s="556"/>
      <c r="F3" s="556"/>
      <c r="G3" s="556"/>
      <c r="H3" s="556"/>
      <c r="I3" s="556"/>
      <c r="J3" s="556"/>
      <c r="K3" s="556"/>
      <c r="L3" s="556"/>
      <c r="M3" s="556"/>
      <c r="N3" s="556"/>
      <c r="O3" s="556"/>
      <c r="P3" s="556"/>
      <c r="Q3" s="556"/>
      <c r="R3" s="556"/>
      <c r="S3" s="556"/>
      <c r="T3" s="556"/>
      <c r="U3" s="556"/>
      <c r="V3" s="556"/>
      <c r="W3" s="556"/>
      <c r="X3" s="556"/>
      <c r="Y3" s="250"/>
    </row>
    <row r="4" spans="1:49" ht="33.75" customHeight="1">
      <c r="H4" s="12"/>
      <c r="I4" s="12"/>
      <c r="J4" s="12"/>
      <c r="K4" s="12"/>
      <c r="L4" s="12"/>
      <c r="M4" s="12"/>
      <c r="N4" s="12"/>
      <c r="O4" s="12"/>
      <c r="P4" s="12"/>
      <c r="Q4" s="12"/>
      <c r="R4" s="12"/>
      <c r="S4" s="12"/>
      <c r="T4" s="12"/>
      <c r="U4" s="12"/>
      <c r="V4" s="12"/>
      <c r="W4" s="12"/>
      <c r="X4" s="12" t="s">
        <v>0</v>
      </c>
      <c r="Y4" s="128"/>
    </row>
    <row r="5" spans="1:49" ht="60" customHeight="1">
      <c r="A5" s="562" t="s">
        <v>1</v>
      </c>
      <c r="B5" s="561" t="s">
        <v>513</v>
      </c>
      <c r="C5" s="562" t="s">
        <v>2</v>
      </c>
      <c r="D5" s="562" t="s">
        <v>3</v>
      </c>
      <c r="E5" s="562" t="s">
        <v>4</v>
      </c>
      <c r="F5" s="562" t="s">
        <v>5</v>
      </c>
      <c r="G5" s="13"/>
      <c r="H5" s="565" t="s">
        <v>696</v>
      </c>
      <c r="I5" s="565" t="s">
        <v>512</v>
      </c>
      <c r="J5" s="565"/>
      <c r="K5" s="565"/>
      <c r="L5" s="565"/>
      <c r="M5" s="565"/>
      <c r="N5" s="565"/>
      <c r="O5" s="565"/>
      <c r="P5" s="565"/>
      <c r="Q5" s="565"/>
      <c r="R5" s="565" t="s">
        <v>808</v>
      </c>
      <c r="S5" s="565"/>
      <c r="T5" s="565"/>
      <c r="U5" s="565"/>
      <c r="V5" s="565" t="s">
        <v>689</v>
      </c>
      <c r="W5" s="565" t="s">
        <v>924</v>
      </c>
      <c r="X5" s="562" t="s">
        <v>6</v>
      </c>
      <c r="Y5" s="55"/>
      <c r="Z5" s="56" t="s">
        <v>452</v>
      </c>
      <c r="AA5" s="56" t="s">
        <v>453</v>
      </c>
      <c r="AB5" s="57" t="s">
        <v>454</v>
      </c>
      <c r="AC5" s="57" t="s">
        <v>627</v>
      </c>
      <c r="AD5" s="57" t="s">
        <v>629</v>
      </c>
      <c r="AE5" s="57" t="s">
        <v>628</v>
      </c>
      <c r="AF5" s="57"/>
      <c r="AG5" s="57" t="s">
        <v>455</v>
      </c>
      <c r="AH5" s="56" t="s">
        <v>456</v>
      </c>
      <c r="AI5" s="56" t="s">
        <v>474</v>
      </c>
      <c r="AJ5" s="56" t="s">
        <v>458</v>
      </c>
      <c r="AK5" s="56" t="s">
        <v>459</v>
      </c>
      <c r="AL5" s="56" t="s">
        <v>460</v>
      </c>
      <c r="AM5" s="56" t="s">
        <v>461</v>
      </c>
      <c r="AN5" s="56" t="s">
        <v>462</v>
      </c>
      <c r="AO5" s="56" t="s">
        <v>463</v>
      </c>
      <c r="AP5" s="56" t="s">
        <v>464</v>
      </c>
      <c r="AQ5" s="56" t="s">
        <v>465</v>
      </c>
      <c r="AR5" s="56" t="s">
        <v>466</v>
      </c>
      <c r="AS5" s="56" t="s">
        <v>467</v>
      </c>
      <c r="AT5" s="56" t="s">
        <v>468</v>
      </c>
      <c r="AU5" s="56" t="s">
        <v>469</v>
      </c>
      <c r="AV5" s="57"/>
      <c r="AW5" s="57"/>
    </row>
    <row r="6" spans="1:49" ht="60" customHeight="1">
      <c r="A6" s="562"/>
      <c r="B6" s="561"/>
      <c r="C6" s="562"/>
      <c r="D6" s="562"/>
      <c r="E6" s="562"/>
      <c r="F6" s="562"/>
      <c r="G6" s="13"/>
      <c r="H6" s="565"/>
      <c r="I6" s="565" t="s">
        <v>558</v>
      </c>
      <c r="J6" s="565" t="s">
        <v>559</v>
      </c>
      <c r="K6" s="565"/>
      <c r="L6" s="565"/>
      <c r="M6" s="565"/>
      <c r="N6" s="565"/>
      <c r="O6" s="565"/>
      <c r="P6" s="565"/>
      <c r="Q6" s="565"/>
      <c r="R6" s="565" t="s">
        <v>9</v>
      </c>
      <c r="S6" s="565" t="s">
        <v>10</v>
      </c>
      <c r="T6" s="565"/>
      <c r="U6" s="565"/>
      <c r="V6" s="565"/>
      <c r="W6" s="565"/>
      <c r="X6" s="562"/>
      <c r="Y6" s="55"/>
      <c r="Z6" s="56"/>
      <c r="AA6" s="56"/>
      <c r="AB6" s="57"/>
      <c r="AC6" s="57"/>
      <c r="AD6" s="57"/>
      <c r="AE6" s="57"/>
      <c r="AF6" s="58" t="s">
        <v>470</v>
      </c>
      <c r="AG6" s="57">
        <f>COUNTIF(Z9:Z904,"CT")</f>
        <v>0</v>
      </c>
      <c r="AH6" s="82">
        <f>SUMIF(Z9:Z904,"CT",AB9:AB904)</f>
        <v>0</v>
      </c>
      <c r="AI6" s="82">
        <f>SUMIFS($AB$9:$AB$1006,$Z$9:$Z$1006,"CT",$AA$9:$AA$1006,"GT")</f>
        <v>0</v>
      </c>
      <c r="AJ6" s="82">
        <f>SUMIFS($AB$9:$AB$1006,$Z$9:$Z$1006,"CT",$AA$9:$AA$1006,"NN-TL")</f>
        <v>0</v>
      </c>
      <c r="AK6" s="82">
        <f>SUMIFS($AB$9:$AB$1006,$Z$9:$Z$1006,"CT",$AA$9:$AA$1006,"GDĐT")</f>
        <v>0</v>
      </c>
      <c r="AL6" s="82">
        <f>SUMIFS($AB$9:$AB$1006,$Z$9:$Z$1006,"CT",$AA$9:$AA$1006,"YT")</f>
        <v>0</v>
      </c>
      <c r="AM6" s="82">
        <f>SUMIFS($AB$9:$AB$1006,$Z$9:$Z$1006,"CT",$AA$9:$AA$1006,"VH")</f>
        <v>0</v>
      </c>
      <c r="AN6" s="82">
        <f>SUMIFS($AB$9:$AB$1006,$Z$9:$Z$1006,"CT",$AA$9:$AA$1006,"TTTT")</f>
        <v>0</v>
      </c>
      <c r="AO6" s="82">
        <f>SUMIFS($AB$9:$AB$1006,$Z$9:$Z$1006,"CT",$AA$9:$AA$1006,"XH-CC")</f>
        <v>0</v>
      </c>
      <c r="AP6" s="82">
        <f>SUMIFS($AB$9:$AB$1006,$Z$9:$Z$1006,"CT",$AA$9:$AA$1006,"NS")</f>
        <v>0</v>
      </c>
      <c r="AQ6" s="82">
        <f>SUMIFS($AB$9:$AB$1006,$Z$9:$Z$1006,"CT",$AA$9:$AA$1006,"TNMT")</f>
        <v>0</v>
      </c>
      <c r="AR6" s="82">
        <f>SUMIFS($AB$9:$AB$1006,$Z$9:$Z$1006,"CT",$AA$9:$AA$1006,"QLNN")</f>
        <v>0</v>
      </c>
      <c r="AS6" s="82">
        <f>SUMIFS($AB$9:$AB$1006,$Z$9:$Z$1006,"CT",$AA$9:$AA$1006,"QPAN")</f>
        <v>0</v>
      </c>
      <c r="AT6" s="82">
        <f>SUMIFS($AB$9:$AB$1006,$Z$9:$Z$1006,"CT",$AA$9:$AA$1006,"PTĐT")</f>
        <v>0</v>
      </c>
      <c r="AU6" s="82">
        <f>SUMIFS($AB$9:$AB$1006,$Z$9:$Z$1006,"CT",$AA$9:$AA$1006,"TMDV")</f>
        <v>0</v>
      </c>
      <c r="AV6" s="58">
        <f>SUM(AI6:AU6)</f>
        <v>0</v>
      </c>
      <c r="AW6" s="57"/>
    </row>
    <row r="7" spans="1:49" ht="60" customHeight="1">
      <c r="A7" s="562"/>
      <c r="B7" s="561"/>
      <c r="C7" s="562"/>
      <c r="D7" s="562"/>
      <c r="E7" s="562"/>
      <c r="F7" s="562"/>
      <c r="G7" s="13"/>
      <c r="H7" s="565"/>
      <c r="I7" s="565"/>
      <c r="J7" s="85" t="s">
        <v>560</v>
      </c>
      <c r="K7" s="85" t="s">
        <v>562</v>
      </c>
      <c r="L7" s="85" t="s">
        <v>565</v>
      </c>
      <c r="M7" s="85" t="s">
        <v>573</v>
      </c>
      <c r="N7" s="85" t="s">
        <v>586</v>
      </c>
      <c r="O7" s="85" t="s">
        <v>589</v>
      </c>
      <c r="P7" s="85" t="s">
        <v>648</v>
      </c>
      <c r="Q7" s="85" t="s">
        <v>686</v>
      </c>
      <c r="R7" s="565"/>
      <c r="S7" s="85" t="s">
        <v>13</v>
      </c>
      <c r="T7" s="85" t="s">
        <v>564</v>
      </c>
      <c r="U7" s="85" t="s">
        <v>753</v>
      </c>
      <c r="V7" s="565"/>
      <c r="W7" s="565"/>
      <c r="X7" s="562"/>
      <c r="Y7" s="55"/>
      <c r="Z7" s="56"/>
      <c r="AA7" s="56"/>
      <c r="AB7" s="57"/>
      <c r="AC7" s="57">
        <f>SUMIF($AC$9:$AC$902,AC5,$AB$9:$AB$902)</f>
        <v>0</v>
      </c>
      <c r="AD7" s="57">
        <f>SUMIF($AC$9:$AC$902,AD5,$AB$9:$AB$902)</f>
        <v>0</v>
      </c>
      <c r="AE7" s="57">
        <f>SUMIF($AC$9:$AC$902,AE5,$AB$9:$AB$902)</f>
        <v>0</v>
      </c>
      <c r="AF7" s="57" t="s">
        <v>471</v>
      </c>
      <c r="AG7" s="57">
        <f>COUNTIF(Z9:Z903,"KCM")</f>
        <v>72</v>
      </c>
      <c r="AH7" s="82">
        <f>SUMIF(Z10:Z904,"KCM",AB10:AB904)</f>
        <v>566300</v>
      </c>
      <c r="AI7" s="82">
        <f>SUMIFS($AB$9:$AB$1006,$Z$9:$Z$1006,"KCM",$AA$9:$AA$1006,"GT")</f>
        <v>231300</v>
      </c>
      <c r="AJ7" s="82">
        <f>SUMIFS($AB$9:$AB$1006,$Z$9:$Z$1006,"KCM",$AA$9:$AA$1006,"NN-TL")</f>
        <v>0</v>
      </c>
      <c r="AK7" s="82">
        <f>SUMIFS($AB$9:$AB$1006,$Z$9:$Z$1006,"KCM",$AA$9:$AA$1006,"GDĐT")</f>
        <v>198600</v>
      </c>
      <c r="AL7" s="82">
        <f>SUMIFS($AB$9:$AB$1006,$Z$9:$Z$1006,"KCM",$AA$9:$AA$1006,"YT")</f>
        <v>66400</v>
      </c>
      <c r="AM7" s="82">
        <f>SUMIFS($AB$9:$AB$1006,$Z$9:$Z$1006,"KCM",$AA$9:$AA$1006,"VH")</f>
        <v>33000</v>
      </c>
      <c r="AN7" s="82">
        <f>SUMIFS($AB$9:$AB$1006,$Z$9:$Z$1006,"KCM",$AA$9:$AA$1006,"TTTT")</f>
        <v>12000</v>
      </c>
      <c r="AO7" s="82">
        <f>SUMIFS($AB$9:$AB$1006,$Z$9:$Z$1006,"KCM",$AA$9:$AA$1006,"XH-CC")</f>
        <v>0</v>
      </c>
      <c r="AP7" s="82">
        <f>SUMIFS($AB$9:$AB$1006,$Z$9:$Z$1006,"KCM",$AA$9:$AA$1006,"NS")</f>
        <v>3000</v>
      </c>
      <c r="AQ7" s="82">
        <f>SUMIFS($AB$9:$AB$1006,$Z$9:$Z$1006,"KCM",$AA$9:$AA$1006,"TNMT")</f>
        <v>0</v>
      </c>
      <c r="AR7" s="82">
        <f>SUMIFS($AB$9:$AB$1006,$Z$9:$Z$1006,"KCM",$AA$9:$AA$1006,"QLNN")</f>
        <v>5000</v>
      </c>
      <c r="AS7" s="82">
        <f>SUMIFS($AB$9:$AB$1006,$Z$9:$Z$1006,"KCM",$AA$9:$AA$1006,"QPAN")</f>
        <v>17000</v>
      </c>
      <c r="AT7" s="82">
        <f>SUMIFS($AB$9:$AB$1006,$Z$9:$Z$1006,"KCM",$AA$9:$AA$1006,"PTĐT")</f>
        <v>0</v>
      </c>
      <c r="AU7" s="82">
        <f>SUMIFS($AB$9:$AB$1006,$Z$9:$Z$1006,"KCM",$AA$9:$AA$1006,"TMDV")</f>
        <v>0</v>
      </c>
      <c r="AV7" s="58">
        <f>SUM(AI7:AU7)</f>
        <v>566300</v>
      </c>
      <c r="AW7" s="57"/>
    </row>
    <row r="8" spans="1:49" ht="60" customHeight="1">
      <c r="A8" s="13"/>
      <c r="B8" s="13" t="s">
        <v>280</v>
      </c>
      <c r="C8" s="13"/>
      <c r="D8" s="13"/>
      <c r="E8" s="13"/>
      <c r="F8" s="13"/>
      <c r="G8" s="13"/>
      <c r="H8" s="85"/>
      <c r="I8" s="85"/>
      <c r="J8" s="85"/>
      <c r="K8" s="85"/>
      <c r="L8" s="85"/>
      <c r="M8" s="85"/>
      <c r="N8" s="85"/>
      <c r="O8" s="85"/>
      <c r="P8" s="85"/>
      <c r="Q8" s="85"/>
      <c r="R8" s="85"/>
      <c r="S8" s="85"/>
      <c r="T8" s="85"/>
      <c r="U8" s="85"/>
      <c r="V8" s="85"/>
      <c r="W8" s="85">
        <f>SUM(W9,W28,W78,W90,W93)</f>
        <v>566300</v>
      </c>
      <c r="X8" s="13"/>
      <c r="Y8" s="55"/>
      <c r="Z8" s="56"/>
      <c r="AA8" s="56"/>
      <c r="AB8" s="57"/>
      <c r="AC8" s="57"/>
      <c r="AD8" s="57"/>
      <c r="AE8" s="57"/>
      <c r="AF8" s="230" t="s">
        <v>470</v>
      </c>
      <c r="AG8" s="44">
        <f>SUM(AI8:AU8)</f>
        <v>0</v>
      </c>
      <c r="AH8" s="44"/>
      <c r="AI8" s="44">
        <f>COUNTIFS($Z$8:$Z$905,"CT",$AA$8:$AA$905,AI5)</f>
        <v>0</v>
      </c>
      <c r="AJ8" s="44">
        <f t="shared" ref="AJ8:AU8" si="0">COUNTIFS($Z$8:$Z$905,"CT",$AA$8:$AA$905,AJ5)</f>
        <v>0</v>
      </c>
      <c r="AK8" s="44">
        <f t="shared" si="0"/>
        <v>0</v>
      </c>
      <c r="AL8" s="44">
        <f t="shared" si="0"/>
        <v>0</v>
      </c>
      <c r="AM8" s="44">
        <f t="shared" si="0"/>
        <v>0</v>
      </c>
      <c r="AN8" s="44">
        <f t="shared" si="0"/>
        <v>0</v>
      </c>
      <c r="AO8" s="44">
        <f t="shared" si="0"/>
        <v>0</v>
      </c>
      <c r="AP8" s="44">
        <f t="shared" si="0"/>
        <v>0</v>
      </c>
      <c r="AQ8" s="44">
        <f t="shared" si="0"/>
        <v>0</v>
      </c>
      <c r="AR8" s="44">
        <f t="shared" si="0"/>
        <v>0</v>
      </c>
      <c r="AS8" s="44">
        <f t="shared" si="0"/>
        <v>0</v>
      </c>
      <c r="AT8" s="44">
        <f t="shared" si="0"/>
        <v>0</v>
      </c>
      <c r="AU8" s="44">
        <f t="shared" si="0"/>
        <v>0</v>
      </c>
      <c r="AV8" s="58"/>
      <c r="AW8" s="57"/>
    </row>
    <row r="9" spans="1:49" s="18" customFormat="1" ht="60" customHeight="1">
      <c r="A9" s="13" t="s">
        <v>86</v>
      </c>
      <c r="B9" s="26" t="s">
        <v>496</v>
      </c>
      <c r="C9" s="13"/>
      <c r="D9" s="13"/>
      <c r="E9" s="13"/>
      <c r="F9" s="13"/>
      <c r="G9" s="13"/>
      <c r="H9" s="8" t="e">
        <f>SUM(#REF!,#REF!,#REF!)</f>
        <v>#REF!</v>
      </c>
      <c r="I9" s="8" t="e">
        <f>SUM(#REF!,#REF!,#REF!)</f>
        <v>#REF!</v>
      </c>
      <c r="J9" s="8" t="e">
        <f>SUM(#REF!,#REF!,#REF!)</f>
        <v>#REF!</v>
      </c>
      <c r="K9" s="8" t="e">
        <f>SUM(#REF!,#REF!,#REF!)</f>
        <v>#REF!</v>
      </c>
      <c r="L9" s="8" t="e">
        <f>SUM(#REF!,#REF!,#REF!)</f>
        <v>#REF!</v>
      </c>
      <c r="M9" s="8" t="e">
        <f>SUM(#REF!,#REF!,#REF!)</f>
        <v>#REF!</v>
      </c>
      <c r="N9" s="8" t="e">
        <f>SUM(#REF!,#REF!,#REF!)</f>
        <v>#REF!</v>
      </c>
      <c r="O9" s="8" t="e">
        <f>SUM(#REF!,#REF!,#REF!)</f>
        <v>#REF!</v>
      </c>
      <c r="P9" s="8" t="e">
        <f>SUM(#REF!,#REF!,#REF!)</f>
        <v>#REF!</v>
      </c>
      <c r="Q9" s="8" t="e">
        <f>SUM(#REF!,#REF!,#REF!)</f>
        <v>#REF!</v>
      </c>
      <c r="R9" s="8" t="e">
        <f>SUM(#REF!,#REF!,#REF!)</f>
        <v>#REF!</v>
      </c>
      <c r="S9" s="8" t="e">
        <f>SUM(#REF!,#REF!,#REF!)</f>
        <v>#REF!</v>
      </c>
      <c r="T9" s="8" t="e">
        <f>SUM(#REF!,#REF!,#REF!)</f>
        <v>#REF!</v>
      </c>
      <c r="U9" s="8" t="e">
        <f>SUM(#REF!,#REF!,#REF!)</f>
        <v>#REF!</v>
      </c>
      <c r="V9" s="8" t="e">
        <f>SUM(#REF!,#REF!,#REF!)</f>
        <v>#REF!</v>
      </c>
      <c r="W9" s="8">
        <f>SUM(W10,W14,W16)</f>
        <v>88000</v>
      </c>
      <c r="X9" s="334" t="s">
        <v>929</v>
      </c>
      <c r="Y9" s="211"/>
      <c r="Z9" s="189"/>
      <c r="AA9" s="189"/>
      <c r="AB9" s="179"/>
      <c r="AC9" s="179"/>
      <c r="AD9" s="179"/>
      <c r="AE9" s="179"/>
      <c r="AF9" s="42" t="s">
        <v>471</v>
      </c>
      <c r="AG9" s="44">
        <f>SUM(AI9:AU9)</f>
        <v>72</v>
      </c>
      <c r="AH9" s="44"/>
      <c r="AI9" s="44">
        <f>COUNTIFS($Z$8:$Z$905,"KCM",$AA$8:$AA$905,AI5)</f>
        <v>10</v>
      </c>
      <c r="AJ9" s="44">
        <f>COUNTIFS($Z$8:$Z$905,"KCM",$AA$8:$AA$905,AJ5)</f>
        <v>0</v>
      </c>
      <c r="AK9" s="44">
        <f>COUNTIFS($Z$8:$Z$905,"KCM",$AA$8:$AA$905,AK5)</f>
        <v>28</v>
      </c>
      <c r="AL9" s="44">
        <f t="shared" ref="AL9:AU9" si="1">COUNTIFS($Z$8:$Z$905,"KCM",$AA$8:$AA$905,AL5)</f>
        <v>12</v>
      </c>
      <c r="AM9" s="44">
        <f t="shared" si="1"/>
        <v>8</v>
      </c>
      <c r="AN9" s="44">
        <f t="shared" si="1"/>
        <v>1</v>
      </c>
      <c r="AO9" s="44">
        <f t="shared" si="1"/>
        <v>0</v>
      </c>
      <c r="AP9" s="44">
        <f t="shared" si="1"/>
        <v>1</v>
      </c>
      <c r="AQ9" s="44">
        <f t="shared" si="1"/>
        <v>0</v>
      </c>
      <c r="AR9" s="44">
        <f t="shared" si="1"/>
        <v>1</v>
      </c>
      <c r="AS9" s="44">
        <f t="shared" si="1"/>
        <v>11</v>
      </c>
      <c r="AT9" s="44">
        <f t="shared" si="1"/>
        <v>0</v>
      </c>
      <c r="AU9" s="44">
        <f t="shared" si="1"/>
        <v>0</v>
      </c>
      <c r="AV9" s="179"/>
      <c r="AW9" s="179"/>
    </row>
    <row r="10" spans="1:49" s="20" customFormat="1" ht="44.25" customHeight="1">
      <c r="A10" s="109" t="s">
        <v>17</v>
      </c>
      <c r="B10" s="110" t="s">
        <v>64</v>
      </c>
      <c r="C10" s="110"/>
      <c r="D10" s="109"/>
      <c r="E10" s="110"/>
      <c r="F10" s="110"/>
      <c r="G10" s="110"/>
      <c r="H10" s="111">
        <f t="shared" ref="H10:V10" si="2">SUM(H12:H13)</f>
        <v>160000</v>
      </c>
      <c r="I10" s="111">
        <f t="shared" si="2"/>
        <v>0</v>
      </c>
      <c r="J10" s="111">
        <f t="shared" si="2"/>
        <v>0</v>
      </c>
      <c r="K10" s="111">
        <f t="shared" si="2"/>
        <v>0</v>
      </c>
      <c r="L10" s="111">
        <f t="shared" si="2"/>
        <v>0</v>
      </c>
      <c r="M10" s="111">
        <f t="shared" si="2"/>
        <v>0</v>
      </c>
      <c r="N10" s="111">
        <f t="shared" si="2"/>
        <v>0</v>
      </c>
      <c r="O10" s="111">
        <f t="shared" si="2"/>
        <v>0</v>
      </c>
      <c r="P10" s="111">
        <f t="shared" si="2"/>
        <v>0</v>
      </c>
      <c r="Q10" s="111">
        <f t="shared" si="2"/>
        <v>0</v>
      </c>
      <c r="R10" s="111">
        <f t="shared" si="2"/>
        <v>0</v>
      </c>
      <c r="S10" s="111">
        <f t="shared" si="2"/>
        <v>0</v>
      </c>
      <c r="T10" s="111">
        <f t="shared" si="2"/>
        <v>0</v>
      </c>
      <c r="U10" s="111">
        <f t="shared" si="2"/>
        <v>0</v>
      </c>
      <c r="V10" s="111">
        <f t="shared" si="2"/>
        <v>160000</v>
      </c>
      <c r="W10" s="111">
        <f>SUM(W11:W13)</f>
        <v>66000</v>
      </c>
      <c r="X10" s="112"/>
      <c r="Y10" s="130"/>
      <c r="Z10" s="113"/>
      <c r="AA10" s="113"/>
    </row>
    <row r="11" spans="1:49" ht="149.25" customHeight="1">
      <c r="A11" s="10">
        <v>1</v>
      </c>
      <c r="B11" s="115" t="s">
        <v>561</v>
      </c>
      <c r="C11" s="23" t="s">
        <v>344</v>
      </c>
      <c r="D11" s="89" t="s">
        <v>20</v>
      </c>
      <c r="E11" s="23" t="s">
        <v>351</v>
      </c>
      <c r="F11" s="23" t="s">
        <v>36</v>
      </c>
      <c r="G11" s="114" t="s">
        <v>352</v>
      </c>
      <c r="H11" s="114" t="s">
        <v>352</v>
      </c>
      <c r="I11" s="37">
        <v>534841</v>
      </c>
      <c r="J11" s="37">
        <f>I11-80000</f>
        <v>454841</v>
      </c>
      <c r="K11" s="17"/>
      <c r="L11" s="17"/>
      <c r="M11" s="17"/>
      <c r="N11" s="17"/>
      <c r="O11" s="17"/>
      <c r="P11" s="17"/>
      <c r="Q11" s="17"/>
      <c r="R11" s="17"/>
      <c r="S11" s="17"/>
      <c r="T11" s="17"/>
      <c r="U11" s="17"/>
      <c r="V11" s="17"/>
      <c r="W11" s="70">
        <v>1000</v>
      </c>
      <c r="X11" s="17"/>
      <c r="Z11" s="340" t="s">
        <v>473</v>
      </c>
      <c r="AA11" s="22" t="s">
        <v>474</v>
      </c>
      <c r="AB11" s="339">
        <f>W11</f>
        <v>1000</v>
      </c>
      <c r="AC11" s="6"/>
    </row>
    <row r="12" spans="1:49" ht="69.900000000000006" customHeight="1">
      <c r="A12" s="114">
        <f>+A11+1</f>
        <v>2</v>
      </c>
      <c r="B12" s="115" t="s">
        <v>736</v>
      </c>
      <c r="C12" s="28" t="s">
        <v>930</v>
      </c>
      <c r="D12" s="150" t="s">
        <v>20</v>
      </c>
      <c r="E12" s="28" t="s">
        <v>931</v>
      </c>
      <c r="F12" s="28" t="s">
        <v>932</v>
      </c>
      <c r="G12" s="193"/>
      <c r="H12" s="80">
        <v>80000</v>
      </c>
      <c r="I12" s="81"/>
      <c r="J12" s="32"/>
      <c r="K12" s="32"/>
      <c r="L12" s="32"/>
      <c r="M12" s="32"/>
      <c r="N12" s="32"/>
      <c r="O12" s="32"/>
      <c r="P12" s="32"/>
      <c r="Q12" s="32"/>
      <c r="R12" s="32"/>
      <c r="S12" s="81"/>
      <c r="T12" s="32"/>
      <c r="U12" s="37"/>
      <c r="V12" s="80">
        <f>H12-R12</f>
        <v>80000</v>
      </c>
      <c r="W12" s="37">
        <v>15000</v>
      </c>
      <c r="X12" s="119"/>
      <c r="Y12" s="125"/>
      <c r="Z12" s="340" t="s">
        <v>473</v>
      </c>
      <c r="AA12" s="22" t="s">
        <v>474</v>
      </c>
      <c r="AB12" s="339">
        <f>W12</f>
        <v>15000</v>
      </c>
      <c r="AC12" s="6"/>
      <c r="AD12" s="6"/>
      <c r="AE12" s="6"/>
    </row>
    <row r="13" spans="1:49" ht="69.900000000000006" customHeight="1">
      <c r="A13" s="114">
        <f>+A12+1</f>
        <v>3</v>
      </c>
      <c r="B13" s="115" t="s">
        <v>737</v>
      </c>
      <c r="C13" s="28" t="s">
        <v>930</v>
      </c>
      <c r="D13" s="150" t="s">
        <v>20</v>
      </c>
      <c r="E13" s="28" t="s">
        <v>933</v>
      </c>
      <c r="F13" s="28" t="s">
        <v>932</v>
      </c>
      <c r="G13" s="193"/>
      <c r="H13" s="80">
        <v>80000</v>
      </c>
      <c r="I13" s="81"/>
      <c r="J13" s="32"/>
      <c r="K13" s="32"/>
      <c r="L13" s="32"/>
      <c r="M13" s="32"/>
      <c r="N13" s="32"/>
      <c r="O13" s="32"/>
      <c r="P13" s="32"/>
      <c r="Q13" s="32"/>
      <c r="R13" s="32"/>
      <c r="S13" s="81"/>
      <c r="T13" s="32"/>
      <c r="U13" s="37"/>
      <c r="V13" s="80">
        <f>H13-R13</f>
        <v>80000</v>
      </c>
      <c r="W13" s="37">
        <v>50000</v>
      </c>
      <c r="X13" s="119"/>
      <c r="Y13" s="125"/>
      <c r="Z13" s="340" t="s">
        <v>473</v>
      </c>
      <c r="AA13" s="22" t="s">
        <v>474</v>
      </c>
      <c r="AB13" s="339">
        <f>W13</f>
        <v>50000</v>
      </c>
      <c r="AC13" s="6"/>
      <c r="AD13" s="6"/>
      <c r="AE13" s="6"/>
    </row>
    <row r="14" spans="1:49" s="20" customFormat="1" ht="44.25" customHeight="1">
      <c r="A14" s="109" t="s">
        <v>25</v>
      </c>
      <c r="B14" s="110" t="s">
        <v>96</v>
      </c>
      <c r="C14" s="110"/>
      <c r="D14" s="109"/>
      <c r="E14" s="110"/>
      <c r="F14" s="110"/>
      <c r="G14" s="110"/>
      <c r="H14" s="111">
        <f t="shared" ref="H14:W14" si="3">SUM(H15:H15)</f>
        <v>6000</v>
      </c>
      <c r="I14" s="111">
        <f t="shared" si="3"/>
        <v>0</v>
      </c>
      <c r="J14" s="111">
        <f t="shared" si="3"/>
        <v>0</v>
      </c>
      <c r="K14" s="111">
        <f t="shared" si="3"/>
        <v>0</v>
      </c>
      <c r="L14" s="111">
        <f t="shared" si="3"/>
        <v>0</v>
      </c>
      <c r="M14" s="111">
        <f t="shared" si="3"/>
        <v>0</v>
      </c>
      <c r="N14" s="111">
        <f t="shared" si="3"/>
        <v>0</v>
      </c>
      <c r="O14" s="111">
        <f t="shared" si="3"/>
        <v>0</v>
      </c>
      <c r="P14" s="111">
        <f t="shared" si="3"/>
        <v>6000</v>
      </c>
      <c r="Q14" s="111">
        <f t="shared" si="3"/>
        <v>0</v>
      </c>
      <c r="R14" s="111">
        <f t="shared" si="3"/>
        <v>0</v>
      </c>
      <c r="S14" s="111">
        <f t="shared" si="3"/>
        <v>0</v>
      </c>
      <c r="T14" s="111">
        <f t="shared" si="3"/>
        <v>0</v>
      </c>
      <c r="U14" s="111">
        <f t="shared" si="3"/>
        <v>0</v>
      </c>
      <c r="V14" s="111">
        <f t="shared" si="3"/>
        <v>6000</v>
      </c>
      <c r="W14" s="111">
        <f t="shared" si="3"/>
        <v>5000</v>
      </c>
      <c r="X14" s="112"/>
      <c r="Y14" s="130"/>
      <c r="Z14" s="113"/>
      <c r="AA14" s="113"/>
    </row>
    <row r="15" spans="1:49" ht="80.25" customHeight="1">
      <c r="A15" s="114">
        <v>1</v>
      </c>
      <c r="B15" s="36" t="s">
        <v>651</v>
      </c>
      <c r="C15" s="23" t="s">
        <v>652</v>
      </c>
      <c r="D15" s="34" t="s">
        <v>19</v>
      </c>
      <c r="E15" s="23" t="s">
        <v>653</v>
      </c>
      <c r="F15" s="23" t="s">
        <v>391</v>
      </c>
      <c r="G15" s="86" t="s">
        <v>654</v>
      </c>
      <c r="H15" s="80">
        <f>SUM(I15,J15:Q15)</f>
        <v>6000</v>
      </c>
      <c r="I15" s="120"/>
      <c r="J15" s="37"/>
      <c r="K15" s="37"/>
      <c r="L15" s="37"/>
      <c r="M15" s="37"/>
      <c r="N15" s="37"/>
      <c r="O15" s="37"/>
      <c r="P15" s="37">
        <v>6000</v>
      </c>
      <c r="Q15" s="37"/>
      <c r="R15" s="32"/>
      <c r="S15" s="32"/>
      <c r="T15" s="37"/>
      <c r="U15" s="37"/>
      <c r="V15" s="80">
        <f t="shared" ref="V15:V25" si="4">H15-R15</f>
        <v>6000</v>
      </c>
      <c r="W15" s="37">
        <v>5000</v>
      </c>
      <c r="X15" s="117"/>
      <c r="Y15" s="131"/>
      <c r="Z15" s="340" t="s">
        <v>473</v>
      </c>
      <c r="AA15" s="22" t="s">
        <v>466</v>
      </c>
      <c r="AB15" s="6">
        <f>W15</f>
        <v>5000</v>
      </c>
      <c r="AC15" s="6"/>
      <c r="AD15" s="6"/>
      <c r="AE15" s="6"/>
    </row>
    <row r="16" spans="1:49" s="20" customFormat="1" ht="44.25" customHeight="1">
      <c r="A16" s="109" t="s">
        <v>30</v>
      </c>
      <c r="B16" s="110" t="s">
        <v>98</v>
      </c>
      <c r="C16" s="110"/>
      <c r="D16" s="109"/>
      <c r="E16" s="110"/>
      <c r="F16" s="110"/>
      <c r="G16" s="110"/>
      <c r="H16" s="111">
        <f t="shared" ref="H16:V16" si="5">SUM(H17:H27)</f>
        <v>17000</v>
      </c>
      <c r="I16" s="111">
        <f t="shared" si="5"/>
        <v>9600</v>
      </c>
      <c r="J16" s="111">
        <f t="shared" si="5"/>
        <v>0</v>
      </c>
      <c r="K16" s="111">
        <f t="shared" si="5"/>
        <v>0</v>
      </c>
      <c r="L16" s="111">
        <f t="shared" si="5"/>
        <v>0</v>
      </c>
      <c r="M16" s="111">
        <f t="shared" si="5"/>
        <v>0</v>
      </c>
      <c r="N16" s="111">
        <f t="shared" si="5"/>
        <v>0</v>
      </c>
      <c r="O16" s="111">
        <f t="shared" si="5"/>
        <v>0</v>
      </c>
      <c r="P16" s="111">
        <f t="shared" si="5"/>
        <v>0</v>
      </c>
      <c r="Q16" s="111">
        <f t="shared" si="5"/>
        <v>0</v>
      </c>
      <c r="R16" s="111">
        <f t="shared" si="5"/>
        <v>0</v>
      </c>
      <c r="S16" s="111">
        <f t="shared" si="5"/>
        <v>0</v>
      </c>
      <c r="T16" s="111">
        <f t="shared" si="5"/>
        <v>0</v>
      </c>
      <c r="U16" s="111">
        <f t="shared" si="5"/>
        <v>0</v>
      </c>
      <c r="V16" s="111">
        <f t="shared" si="5"/>
        <v>17000</v>
      </c>
      <c r="W16" s="111">
        <f>SUM(W17:W27)</f>
        <v>17000</v>
      </c>
      <c r="X16" s="112"/>
      <c r="Y16" s="130"/>
      <c r="Z16" s="113"/>
      <c r="AA16" s="113"/>
    </row>
    <row r="17" spans="1:49" ht="60.9" customHeight="1">
      <c r="A17" s="114">
        <v>1</v>
      </c>
      <c r="B17" s="121" t="s">
        <v>118</v>
      </c>
      <c r="C17" s="23" t="s">
        <v>126</v>
      </c>
      <c r="D17" s="89" t="s">
        <v>19</v>
      </c>
      <c r="E17" s="23" t="s">
        <v>115</v>
      </c>
      <c r="F17" s="122" t="s">
        <v>116</v>
      </c>
      <c r="G17" s="86" t="s">
        <v>546</v>
      </c>
      <c r="H17" s="80">
        <f t="shared" ref="H17:H24" si="6">SUM(I17,J17:Q17)</f>
        <v>1200</v>
      </c>
      <c r="I17" s="32">
        <v>1200</v>
      </c>
      <c r="J17" s="37"/>
      <c r="K17" s="37"/>
      <c r="L17" s="37"/>
      <c r="M17" s="37"/>
      <c r="N17" s="37"/>
      <c r="O17" s="37"/>
      <c r="P17" s="37"/>
      <c r="Q17" s="37"/>
      <c r="R17" s="32">
        <f t="shared" ref="R17:R24" si="7">SUM(S17:U17)</f>
        <v>0</v>
      </c>
      <c r="S17" s="32"/>
      <c r="T17" s="37"/>
      <c r="U17" s="37"/>
      <c r="V17" s="80">
        <f t="shared" si="4"/>
        <v>1200</v>
      </c>
      <c r="W17" s="37">
        <v>1200</v>
      </c>
      <c r="X17" s="117"/>
      <c r="Y17" s="131"/>
      <c r="Z17" s="22" t="s">
        <v>473</v>
      </c>
      <c r="AA17" s="22" t="s">
        <v>467</v>
      </c>
      <c r="AB17" s="6">
        <f t="shared" ref="AB17:AB27" si="8">W17</f>
        <v>1200</v>
      </c>
      <c r="AC17" s="6"/>
      <c r="AD17" s="6"/>
      <c r="AE17" s="6"/>
    </row>
    <row r="18" spans="1:49" ht="60.9" customHeight="1">
      <c r="A18" s="114">
        <f>A17+1</f>
        <v>2</v>
      </c>
      <c r="B18" s="121" t="s">
        <v>119</v>
      </c>
      <c r="C18" s="23" t="s">
        <v>127</v>
      </c>
      <c r="D18" s="89" t="s">
        <v>19</v>
      </c>
      <c r="E18" s="23" t="s">
        <v>115</v>
      </c>
      <c r="F18" s="122" t="s">
        <v>116</v>
      </c>
      <c r="G18" s="86" t="s">
        <v>545</v>
      </c>
      <c r="H18" s="80">
        <f t="shared" si="6"/>
        <v>1200</v>
      </c>
      <c r="I18" s="32">
        <v>1200</v>
      </c>
      <c r="J18" s="37"/>
      <c r="K18" s="37"/>
      <c r="L18" s="37"/>
      <c r="M18" s="37"/>
      <c r="N18" s="37"/>
      <c r="O18" s="37"/>
      <c r="P18" s="37"/>
      <c r="Q18" s="37"/>
      <c r="R18" s="32">
        <f t="shared" si="7"/>
        <v>0</v>
      </c>
      <c r="S18" s="32"/>
      <c r="T18" s="37"/>
      <c r="U18" s="37"/>
      <c r="V18" s="80">
        <f t="shared" si="4"/>
        <v>1200</v>
      </c>
      <c r="W18" s="37">
        <v>1200</v>
      </c>
      <c r="X18" s="117"/>
      <c r="Y18" s="131"/>
      <c r="Z18" s="22" t="s">
        <v>473</v>
      </c>
      <c r="AA18" s="22" t="s">
        <v>467</v>
      </c>
      <c r="AB18" s="6">
        <f t="shared" si="8"/>
        <v>1200</v>
      </c>
      <c r="AC18" s="6"/>
      <c r="AD18" s="6"/>
      <c r="AE18" s="6"/>
    </row>
    <row r="19" spans="1:49" ht="60.9" customHeight="1">
      <c r="A19" s="114">
        <f t="shared" ref="A19:A27" si="9">A18+1</f>
        <v>3</v>
      </c>
      <c r="B19" s="121" t="s">
        <v>120</v>
      </c>
      <c r="C19" s="23" t="s">
        <v>112</v>
      </c>
      <c r="D19" s="89" t="s">
        <v>19</v>
      </c>
      <c r="E19" s="23" t="s">
        <v>115</v>
      </c>
      <c r="F19" s="122" t="s">
        <v>116</v>
      </c>
      <c r="G19" s="86" t="s">
        <v>544</v>
      </c>
      <c r="H19" s="80">
        <f t="shared" si="6"/>
        <v>1200</v>
      </c>
      <c r="I19" s="32">
        <v>1200</v>
      </c>
      <c r="J19" s="37"/>
      <c r="K19" s="37"/>
      <c r="L19" s="37"/>
      <c r="M19" s="37"/>
      <c r="N19" s="37"/>
      <c r="O19" s="37"/>
      <c r="P19" s="37"/>
      <c r="Q19" s="37"/>
      <c r="R19" s="32">
        <f t="shared" si="7"/>
        <v>0</v>
      </c>
      <c r="S19" s="32"/>
      <c r="T19" s="37"/>
      <c r="U19" s="37"/>
      <c r="V19" s="80">
        <f t="shared" si="4"/>
        <v>1200</v>
      </c>
      <c r="W19" s="37">
        <v>1200</v>
      </c>
      <c r="X19" s="117"/>
      <c r="Y19" s="131"/>
      <c r="Z19" s="22" t="s">
        <v>473</v>
      </c>
      <c r="AA19" s="22" t="s">
        <v>467</v>
      </c>
      <c r="AB19" s="6">
        <f t="shared" si="8"/>
        <v>1200</v>
      </c>
      <c r="AC19" s="6"/>
      <c r="AD19" s="6"/>
      <c r="AE19" s="6"/>
    </row>
    <row r="20" spans="1:49" ht="60.9" customHeight="1">
      <c r="A20" s="114">
        <f t="shared" si="9"/>
        <v>4</v>
      </c>
      <c r="B20" s="121" t="s">
        <v>121</v>
      </c>
      <c r="C20" s="23" t="s">
        <v>449</v>
      </c>
      <c r="D20" s="89" t="s">
        <v>19</v>
      </c>
      <c r="E20" s="23" t="s">
        <v>115</v>
      </c>
      <c r="F20" s="122" t="s">
        <v>116</v>
      </c>
      <c r="G20" s="86" t="s">
        <v>541</v>
      </c>
      <c r="H20" s="80">
        <f t="shared" si="6"/>
        <v>1200</v>
      </c>
      <c r="I20" s="32">
        <v>1200</v>
      </c>
      <c r="J20" s="37"/>
      <c r="K20" s="37"/>
      <c r="L20" s="37"/>
      <c r="M20" s="37"/>
      <c r="N20" s="37"/>
      <c r="O20" s="37"/>
      <c r="P20" s="37"/>
      <c r="Q20" s="37"/>
      <c r="R20" s="32">
        <f t="shared" si="7"/>
        <v>0</v>
      </c>
      <c r="S20" s="32"/>
      <c r="T20" s="37"/>
      <c r="U20" s="37"/>
      <c r="V20" s="80">
        <f t="shared" si="4"/>
        <v>1200</v>
      </c>
      <c r="W20" s="37">
        <v>1200</v>
      </c>
      <c r="X20" s="117"/>
      <c r="Y20" s="131"/>
      <c r="Z20" s="22" t="s">
        <v>473</v>
      </c>
      <c r="AA20" s="22" t="s">
        <v>467</v>
      </c>
      <c r="AB20" s="6">
        <f t="shared" si="8"/>
        <v>1200</v>
      </c>
      <c r="AC20" s="6"/>
      <c r="AD20" s="6"/>
      <c r="AE20" s="6"/>
    </row>
    <row r="21" spans="1:49" ht="60.9" customHeight="1">
      <c r="A21" s="114">
        <f t="shared" si="9"/>
        <v>5</v>
      </c>
      <c r="B21" s="121" t="s">
        <v>122</v>
      </c>
      <c r="C21" s="23" t="s">
        <v>129</v>
      </c>
      <c r="D21" s="89" t="s">
        <v>19</v>
      </c>
      <c r="E21" s="23" t="s">
        <v>115</v>
      </c>
      <c r="F21" s="122" t="s">
        <v>116</v>
      </c>
      <c r="G21" s="86" t="s">
        <v>547</v>
      </c>
      <c r="H21" s="80">
        <f t="shared" si="6"/>
        <v>1200</v>
      </c>
      <c r="I21" s="32">
        <v>1200</v>
      </c>
      <c r="J21" s="37"/>
      <c r="K21" s="37"/>
      <c r="L21" s="37"/>
      <c r="M21" s="37"/>
      <c r="N21" s="37"/>
      <c r="O21" s="37"/>
      <c r="P21" s="37"/>
      <c r="Q21" s="37"/>
      <c r="R21" s="32">
        <f t="shared" si="7"/>
        <v>0</v>
      </c>
      <c r="S21" s="32"/>
      <c r="T21" s="37"/>
      <c r="U21" s="37"/>
      <c r="V21" s="80">
        <f t="shared" si="4"/>
        <v>1200</v>
      </c>
      <c r="W21" s="37">
        <v>1200</v>
      </c>
      <c r="X21" s="117"/>
      <c r="Y21" s="131"/>
      <c r="Z21" s="22" t="s">
        <v>473</v>
      </c>
      <c r="AA21" s="22" t="s">
        <v>467</v>
      </c>
      <c r="AB21" s="6">
        <f t="shared" si="8"/>
        <v>1200</v>
      </c>
      <c r="AC21" s="6"/>
      <c r="AD21" s="6"/>
      <c r="AE21" s="6"/>
    </row>
    <row r="22" spans="1:49" ht="60.9" customHeight="1">
      <c r="A22" s="114">
        <f t="shared" si="9"/>
        <v>6</v>
      </c>
      <c r="B22" s="121" t="s">
        <v>123</v>
      </c>
      <c r="C22" s="23" t="s">
        <v>130</v>
      </c>
      <c r="D22" s="89" t="s">
        <v>19</v>
      </c>
      <c r="E22" s="23" t="s">
        <v>115</v>
      </c>
      <c r="F22" s="122" t="s">
        <v>116</v>
      </c>
      <c r="G22" s="86" t="s">
        <v>549</v>
      </c>
      <c r="H22" s="80">
        <f t="shared" si="6"/>
        <v>1200</v>
      </c>
      <c r="I22" s="32">
        <v>1200</v>
      </c>
      <c r="J22" s="37"/>
      <c r="K22" s="37"/>
      <c r="L22" s="37"/>
      <c r="M22" s="37"/>
      <c r="N22" s="37"/>
      <c r="O22" s="37"/>
      <c r="P22" s="37"/>
      <c r="Q22" s="37"/>
      <c r="R22" s="32">
        <f t="shared" si="7"/>
        <v>0</v>
      </c>
      <c r="S22" s="32"/>
      <c r="T22" s="37"/>
      <c r="U22" s="37"/>
      <c r="V22" s="80">
        <f t="shared" si="4"/>
        <v>1200</v>
      </c>
      <c r="W22" s="37">
        <v>1200</v>
      </c>
      <c r="X22" s="117"/>
      <c r="Y22" s="131"/>
      <c r="Z22" s="22" t="s">
        <v>473</v>
      </c>
      <c r="AA22" s="22" t="s">
        <v>467</v>
      </c>
      <c r="AB22" s="6">
        <f t="shared" si="8"/>
        <v>1200</v>
      </c>
      <c r="AC22" s="6"/>
      <c r="AD22" s="6"/>
      <c r="AE22" s="6"/>
    </row>
    <row r="23" spans="1:49" ht="60.9" customHeight="1">
      <c r="A23" s="114">
        <f t="shared" si="9"/>
        <v>7</v>
      </c>
      <c r="B23" s="121" t="s">
        <v>124</v>
      </c>
      <c r="C23" s="23" t="s">
        <v>131</v>
      </c>
      <c r="D23" s="89" t="s">
        <v>19</v>
      </c>
      <c r="E23" s="23" t="s">
        <v>115</v>
      </c>
      <c r="F23" s="122" t="s">
        <v>116</v>
      </c>
      <c r="G23" s="86" t="s">
        <v>542</v>
      </c>
      <c r="H23" s="80">
        <f t="shared" si="6"/>
        <v>1200</v>
      </c>
      <c r="I23" s="32">
        <v>1200</v>
      </c>
      <c r="J23" s="37"/>
      <c r="K23" s="37"/>
      <c r="L23" s="37"/>
      <c r="M23" s="37"/>
      <c r="N23" s="37"/>
      <c r="O23" s="37"/>
      <c r="P23" s="37"/>
      <c r="Q23" s="37"/>
      <c r="R23" s="32">
        <f t="shared" si="7"/>
        <v>0</v>
      </c>
      <c r="S23" s="32"/>
      <c r="T23" s="37"/>
      <c r="U23" s="37"/>
      <c r="V23" s="80">
        <f t="shared" si="4"/>
        <v>1200</v>
      </c>
      <c r="W23" s="37">
        <v>1200</v>
      </c>
      <c r="X23" s="117"/>
      <c r="Y23" s="131"/>
      <c r="Z23" s="22" t="s">
        <v>473</v>
      </c>
      <c r="AA23" s="22" t="s">
        <v>467</v>
      </c>
      <c r="AB23" s="6">
        <f t="shared" si="8"/>
        <v>1200</v>
      </c>
      <c r="AC23" s="6"/>
      <c r="AD23" s="6"/>
      <c r="AE23" s="6"/>
    </row>
    <row r="24" spans="1:49" ht="60.9" customHeight="1">
      <c r="A24" s="114">
        <f t="shared" si="9"/>
        <v>8</v>
      </c>
      <c r="B24" s="121" t="s">
        <v>125</v>
      </c>
      <c r="C24" s="23" t="s">
        <v>132</v>
      </c>
      <c r="D24" s="89" t="s">
        <v>19</v>
      </c>
      <c r="E24" s="23" t="s">
        <v>115</v>
      </c>
      <c r="F24" s="122" t="s">
        <v>116</v>
      </c>
      <c r="G24" s="86" t="s">
        <v>543</v>
      </c>
      <c r="H24" s="80">
        <f t="shared" si="6"/>
        <v>1200</v>
      </c>
      <c r="I24" s="32">
        <v>1200</v>
      </c>
      <c r="J24" s="37"/>
      <c r="K24" s="37"/>
      <c r="L24" s="37"/>
      <c r="M24" s="37"/>
      <c r="N24" s="37"/>
      <c r="O24" s="37"/>
      <c r="P24" s="37"/>
      <c r="Q24" s="37"/>
      <c r="R24" s="32">
        <f t="shared" si="7"/>
        <v>0</v>
      </c>
      <c r="S24" s="32"/>
      <c r="T24" s="37"/>
      <c r="U24" s="37"/>
      <c r="V24" s="80">
        <f t="shared" si="4"/>
        <v>1200</v>
      </c>
      <c r="W24" s="37">
        <v>1200</v>
      </c>
      <c r="X24" s="117"/>
      <c r="Y24" s="131"/>
      <c r="Z24" s="22" t="s">
        <v>473</v>
      </c>
      <c r="AA24" s="22" t="s">
        <v>467</v>
      </c>
      <c r="AB24" s="6">
        <f t="shared" si="8"/>
        <v>1200</v>
      </c>
      <c r="AC24" s="6"/>
      <c r="AD24" s="6"/>
      <c r="AE24" s="6"/>
    </row>
    <row r="25" spans="1:49" ht="77.25" customHeight="1">
      <c r="A25" s="114">
        <f t="shared" si="9"/>
        <v>9</v>
      </c>
      <c r="B25" s="36" t="s">
        <v>721</v>
      </c>
      <c r="C25" s="23" t="s">
        <v>722</v>
      </c>
      <c r="D25" s="34" t="s">
        <v>20</v>
      </c>
      <c r="E25" s="23" t="s">
        <v>415</v>
      </c>
      <c r="F25" s="23" t="s">
        <v>391</v>
      </c>
      <c r="G25" s="86" t="s">
        <v>723</v>
      </c>
      <c r="H25" s="80">
        <v>1000</v>
      </c>
      <c r="I25" s="32"/>
      <c r="J25" s="37"/>
      <c r="K25" s="37"/>
      <c r="L25" s="37"/>
      <c r="M25" s="37"/>
      <c r="N25" s="37"/>
      <c r="O25" s="37"/>
      <c r="P25" s="37"/>
      <c r="Q25" s="37"/>
      <c r="R25" s="32"/>
      <c r="S25" s="32"/>
      <c r="T25" s="37"/>
      <c r="U25" s="37"/>
      <c r="V25" s="80">
        <f t="shared" si="4"/>
        <v>1000</v>
      </c>
      <c r="W25" s="37">
        <v>1000</v>
      </c>
      <c r="X25" s="117" t="s">
        <v>720</v>
      </c>
      <c r="Y25" s="131"/>
      <c r="Z25" s="22" t="s">
        <v>473</v>
      </c>
      <c r="AA25" s="22" t="s">
        <v>467</v>
      </c>
      <c r="AB25" s="6">
        <f t="shared" si="8"/>
        <v>1000</v>
      </c>
      <c r="AC25" s="6"/>
      <c r="AD25" s="6"/>
      <c r="AE25" s="6"/>
    </row>
    <row r="26" spans="1:49" ht="60.9" customHeight="1">
      <c r="A26" s="114">
        <f t="shared" si="9"/>
        <v>10</v>
      </c>
      <c r="B26" s="36" t="s">
        <v>738</v>
      </c>
      <c r="C26" s="23" t="s">
        <v>740</v>
      </c>
      <c r="D26" s="34" t="s">
        <v>19</v>
      </c>
      <c r="E26" s="23" t="s">
        <v>741</v>
      </c>
      <c r="F26" s="23" t="s">
        <v>391</v>
      </c>
      <c r="G26" s="86" t="s">
        <v>739</v>
      </c>
      <c r="H26" s="62">
        <v>3100</v>
      </c>
      <c r="I26" s="32"/>
      <c r="J26" s="37"/>
      <c r="K26" s="37"/>
      <c r="L26" s="37"/>
      <c r="M26" s="37"/>
      <c r="N26" s="37"/>
      <c r="O26" s="37"/>
      <c r="P26" s="37"/>
      <c r="Q26" s="37"/>
      <c r="R26" s="32"/>
      <c r="S26" s="32"/>
      <c r="T26" s="37"/>
      <c r="U26" s="37"/>
      <c r="V26" s="80">
        <f>H26-R26</f>
        <v>3100</v>
      </c>
      <c r="W26" s="37">
        <v>3100</v>
      </c>
      <c r="X26" s="117"/>
      <c r="Y26" s="131"/>
      <c r="Z26" s="22" t="s">
        <v>473</v>
      </c>
      <c r="AA26" s="22" t="s">
        <v>467</v>
      </c>
      <c r="AB26" s="6">
        <f t="shared" si="8"/>
        <v>3100</v>
      </c>
      <c r="AC26" s="6"/>
      <c r="AD26" s="6"/>
      <c r="AE26" s="6"/>
    </row>
    <row r="27" spans="1:49" ht="60.9" customHeight="1">
      <c r="A27" s="114">
        <f t="shared" si="9"/>
        <v>11</v>
      </c>
      <c r="B27" s="36" t="s">
        <v>742</v>
      </c>
      <c r="C27" s="23" t="s">
        <v>745</v>
      </c>
      <c r="D27" s="34" t="s">
        <v>19</v>
      </c>
      <c r="E27" s="23" t="s">
        <v>741</v>
      </c>
      <c r="F27" s="23" t="s">
        <v>391</v>
      </c>
      <c r="G27" s="86" t="s">
        <v>746</v>
      </c>
      <c r="H27" s="62">
        <v>3300</v>
      </c>
      <c r="I27" s="32"/>
      <c r="J27" s="37"/>
      <c r="K27" s="37"/>
      <c r="L27" s="37"/>
      <c r="M27" s="37"/>
      <c r="N27" s="37"/>
      <c r="O27" s="37"/>
      <c r="P27" s="37"/>
      <c r="Q27" s="37"/>
      <c r="R27" s="32"/>
      <c r="S27" s="32"/>
      <c r="T27" s="37"/>
      <c r="U27" s="37"/>
      <c r="V27" s="80">
        <f>H27-R27</f>
        <v>3300</v>
      </c>
      <c r="W27" s="37">
        <v>3300</v>
      </c>
      <c r="X27" s="117"/>
      <c r="Y27" s="131"/>
      <c r="Z27" s="22" t="s">
        <v>473</v>
      </c>
      <c r="AA27" s="22" t="s">
        <v>467</v>
      </c>
      <c r="AB27" s="6">
        <f t="shared" si="8"/>
        <v>3300</v>
      </c>
      <c r="AC27" s="6"/>
      <c r="AD27" s="6"/>
      <c r="AE27" s="6"/>
    </row>
    <row r="28" spans="1:49" s="18" customFormat="1" ht="60" customHeight="1">
      <c r="A28" s="13" t="s">
        <v>20</v>
      </c>
      <c r="B28" s="26" t="s">
        <v>501</v>
      </c>
      <c r="C28" s="13"/>
      <c r="D28" s="13"/>
      <c r="E28" s="13"/>
      <c r="F28" s="13"/>
      <c r="G28" s="13"/>
      <c r="H28" s="8"/>
      <c r="I28" s="8"/>
      <c r="J28" s="8"/>
      <c r="K28" s="8"/>
      <c r="L28" s="8"/>
      <c r="M28" s="8"/>
      <c r="N28" s="8"/>
      <c r="O28" s="8"/>
      <c r="P28" s="8"/>
      <c r="Q28" s="8"/>
      <c r="R28" s="8"/>
      <c r="S28" s="8"/>
      <c r="T28" s="8"/>
      <c r="U28" s="8"/>
      <c r="V28" s="8"/>
      <c r="W28" s="8">
        <f>SUM(W29,W36,W64,W66,W74,W76)</f>
        <v>331400</v>
      </c>
      <c r="X28" s="334" t="s">
        <v>955</v>
      </c>
      <c r="Y28" s="211"/>
      <c r="Z28" s="189"/>
      <c r="AA28" s="18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row>
    <row r="29" spans="1:49" s="20" customFormat="1" ht="44.25" customHeight="1">
      <c r="A29" s="109" t="s">
        <v>17</v>
      </c>
      <c r="B29" s="110" t="s">
        <v>64</v>
      </c>
      <c r="C29" s="110"/>
      <c r="D29" s="109"/>
      <c r="E29" s="110"/>
      <c r="F29" s="110"/>
      <c r="G29" s="110"/>
      <c r="H29" s="111"/>
      <c r="I29" s="111"/>
      <c r="J29" s="111"/>
      <c r="K29" s="111"/>
      <c r="L29" s="111"/>
      <c r="M29" s="111"/>
      <c r="N29" s="111"/>
      <c r="O29" s="111"/>
      <c r="P29" s="111"/>
      <c r="Q29" s="111"/>
      <c r="R29" s="111"/>
      <c r="S29" s="111"/>
      <c r="T29" s="111"/>
      <c r="U29" s="111"/>
      <c r="V29" s="111"/>
      <c r="W29" s="111">
        <f>SUM(W30:W35)</f>
        <v>45300</v>
      </c>
      <c r="X29" s="112"/>
      <c r="Y29" s="130"/>
      <c r="Z29" s="113"/>
      <c r="AA29" s="113"/>
    </row>
    <row r="30" spans="1:49" s="18" customFormat="1" ht="60" customHeight="1">
      <c r="A30" s="13">
        <v>1</v>
      </c>
      <c r="B30" s="183" t="s">
        <v>159</v>
      </c>
      <c r="C30" s="28" t="s">
        <v>158</v>
      </c>
      <c r="D30" s="28" t="s">
        <v>19</v>
      </c>
      <c r="E30" s="28" t="s">
        <v>160</v>
      </c>
      <c r="F30" s="28" t="s">
        <v>36</v>
      </c>
      <c r="G30" s="13"/>
      <c r="H30" s="8"/>
      <c r="I30" s="8"/>
      <c r="J30" s="8"/>
      <c r="K30" s="8"/>
      <c r="L30" s="8"/>
      <c r="M30" s="8"/>
      <c r="N30" s="8"/>
      <c r="O30" s="8"/>
      <c r="P30" s="8"/>
      <c r="Q30" s="8"/>
      <c r="R30" s="8"/>
      <c r="S30" s="8"/>
      <c r="T30" s="8"/>
      <c r="U30" s="8"/>
      <c r="V30" s="8"/>
      <c r="W30" s="32">
        <v>9300</v>
      </c>
      <c r="X30" s="335"/>
      <c r="Y30" s="211"/>
      <c r="Z30" s="22" t="s">
        <v>473</v>
      </c>
      <c r="AA30" s="189" t="s">
        <v>474</v>
      </c>
      <c r="AB30" s="6">
        <f t="shared" ref="AB30:AB35" si="10">W30</f>
        <v>9300</v>
      </c>
      <c r="AC30" s="179"/>
      <c r="AD30" s="179"/>
      <c r="AE30" s="179"/>
      <c r="AF30" s="179"/>
      <c r="AG30" s="179"/>
      <c r="AH30" s="179"/>
      <c r="AI30" s="179"/>
      <c r="AJ30" s="179"/>
      <c r="AK30" s="179"/>
      <c r="AL30" s="179"/>
      <c r="AM30" s="179"/>
      <c r="AN30" s="179"/>
      <c r="AO30" s="179"/>
      <c r="AP30" s="179"/>
      <c r="AQ30" s="179"/>
      <c r="AR30" s="179"/>
      <c r="AS30" s="179"/>
      <c r="AT30" s="179"/>
      <c r="AU30" s="179"/>
      <c r="AV30" s="179"/>
      <c r="AW30" s="179"/>
    </row>
    <row r="31" spans="1:49" s="18" customFormat="1" ht="60" customHeight="1">
      <c r="A31" s="114">
        <f>A30+1</f>
        <v>2</v>
      </c>
      <c r="B31" s="183" t="s">
        <v>162</v>
      </c>
      <c r="C31" s="28" t="s">
        <v>161</v>
      </c>
      <c r="D31" s="28" t="s">
        <v>19</v>
      </c>
      <c r="E31" s="28" t="s">
        <v>163</v>
      </c>
      <c r="F31" s="28" t="s">
        <v>36</v>
      </c>
      <c r="G31" s="13"/>
      <c r="H31" s="8"/>
      <c r="I31" s="8"/>
      <c r="J31" s="8"/>
      <c r="K31" s="8"/>
      <c r="L31" s="8"/>
      <c r="M31" s="8"/>
      <c r="N31" s="8"/>
      <c r="O31" s="8"/>
      <c r="P31" s="8"/>
      <c r="Q31" s="8"/>
      <c r="R31" s="8"/>
      <c r="S31" s="8"/>
      <c r="T31" s="8"/>
      <c r="U31" s="8"/>
      <c r="V31" s="8"/>
      <c r="W31" s="32">
        <v>6600</v>
      </c>
      <c r="X31" s="335"/>
      <c r="Y31" s="211"/>
      <c r="Z31" s="22" t="s">
        <v>473</v>
      </c>
      <c r="AA31" s="189" t="s">
        <v>474</v>
      </c>
      <c r="AB31" s="6">
        <f t="shared" si="10"/>
        <v>6600</v>
      </c>
      <c r="AC31" s="179"/>
      <c r="AD31" s="179"/>
      <c r="AE31" s="179"/>
      <c r="AF31" s="179"/>
      <c r="AG31" s="179"/>
      <c r="AH31" s="179"/>
      <c r="AI31" s="179"/>
      <c r="AJ31" s="179"/>
      <c r="AK31" s="179"/>
      <c r="AL31" s="179"/>
      <c r="AM31" s="179"/>
      <c r="AN31" s="179"/>
      <c r="AO31" s="179"/>
      <c r="AP31" s="179"/>
      <c r="AQ31" s="179"/>
      <c r="AR31" s="179"/>
      <c r="AS31" s="179"/>
      <c r="AT31" s="179"/>
      <c r="AU31" s="179"/>
      <c r="AV31" s="179"/>
      <c r="AW31" s="179"/>
    </row>
    <row r="32" spans="1:49" s="18" customFormat="1" ht="60" customHeight="1">
      <c r="A32" s="114">
        <f>A31+1</f>
        <v>3</v>
      </c>
      <c r="B32" s="183" t="s">
        <v>186</v>
      </c>
      <c r="C32" s="28" t="s">
        <v>187</v>
      </c>
      <c r="D32" s="28" t="s">
        <v>19</v>
      </c>
      <c r="E32" s="28" t="s">
        <v>184</v>
      </c>
      <c r="F32" s="28" t="s">
        <v>36</v>
      </c>
      <c r="G32" s="13"/>
      <c r="H32" s="8"/>
      <c r="I32" s="8"/>
      <c r="J32" s="8"/>
      <c r="K32" s="8"/>
      <c r="L32" s="8"/>
      <c r="M32" s="8"/>
      <c r="N32" s="8"/>
      <c r="O32" s="8"/>
      <c r="P32" s="8"/>
      <c r="Q32" s="8"/>
      <c r="R32" s="8"/>
      <c r="S32" s="8"/>
      <c r="T32" s="8"/>
      <c r="U32" s="8"/>
      <c r="V32" s="8"/>
      <c r="W32" s="32">
        <v>9600</v>
      </c>
      <c r="X32" s="335"/>
      <c r="Y32" s="211"/>
      <c r="Z32" s="22" t="s">
        <v>473</v>
      </c>
      <c r="AA32" s="189" t="s">
        <v>474</v>
      </c>
      <c r="AB32" s="6">
        <f t="shared" si="10"/>
        <v>9600</v>
      </c>
      <c r="AC32" s="179"/>
      <c r="AD32" s="179"/>
      <c r="AE32" s="179"/>
      <c r="AF32" s="179"/>
      <c r="AG32" s="179"/>
      <c r="AH32" s="179"/>
      <c r="AI32" s="179"/>
      <c r="AJ32" s="179"/>
      <c r="AK32" s="179"/>
      <c r="AL32" s="179"/>
      <c r="AM32" s="179"/>
      <c r="AN32" s="179"/>
      <c r="AO32" s="179"/>
      <c r="AP32" s="179"/>
      <c r="AQ32" s="179"/>
      <c r="AR32" s="179"/>
      <c r="AS32" s="179"/>
      <c r="AT32" s="179"/>
      <c r="AU32" s="179"/>
      <c r="AV32" s="179"/>
      <c r="AW32" s="179"/>
    </row>
    <row r="33" spans="1:49" s="18" customFormat="1" ht="60" customHeight="1">
      <c r="A33" s="114">
        <f>A32+1</f>
        <v>4</v>
      </c>
      <c r="B33" s="183" t="s">
        <v>188</v>
      </c>
      <c r="C33" s="28" t="s">
        <v>185</v>
      </c>
      <c r="D33" s="28" t="s">
        <v>19</v>
      </c>
      <c r="E33" s="28" t="s">
        <v>183</v>
      </c>
      <c r="F33" s="28" t="s">
        <v>36</v>
      </c>
      <c r="G33" s="13"/>
      <c r="H33" s="8"/>
      <c r="I33" s="8"/>
      <c r="J33" s="8"/>
      <c r="K33" s="8"/>
      <c r="L33" s="8"/>
      <c r="M33" s="8"/>
      <c r="N33" s="8"/>
      <c r="O33" s="8"/>
      <c r="P33" s="8"/>
      <c r="Q33" s="8"/>
      <c r="R33" s="8"/>
      <c r="S33" s="8"/>
      <c r="T33" s="8"/>
      <c r="U33" s="8"/>
      <c r="V33" s="8"/>
      <c r="W33" s="32">
        <v>9000</v>
      </c>
      <c r="X33" s="335"/>
      <c r="Y33" s="211"/>
      <c r="Z33" s="22" t="s">
        <v>473</v>
      </c>
      <c r="AA33" s="189" t="s">
        <v>474</v>
      </c>
      <c r="AB33" s="6">
        <f t="shared" si="10"/>
        <v>9000</v>
      </c>
      <c r="AC33" s="179"/>
      <c r="AD33" s="179"/>
      <c r="AE33" s="179"/>
      <c r="AF33" s="179"/>
      <c r="AG33" s="179"/>
      <c r="AH33" s="179"/>
      <c r="AI33" s="179"/>
      <c r="AJ33" s="179"/>
      <c r="AK33" s="179"/>
      <c r="AL33" s="179"/>
      <c r="AM33" s="179"/>
      <c r="AN33" s="179"/>
      <c r="AO33" s="179"/>
      <c r="AP33" s="179"/>
      <c r="AQ33" s="179"/>
      <c r="AR33" s="179"/>
      <c r="AS33" s="179"/>
      <c r="AT33" s="179"/>
      <c r="AU33" s="179"/>
      <c r="AV33" s="179"/>
      <c r="AW33" s="179"/>
    </row>
    <row r="34" spans="1:49" s="18" customFormat="1" ht="60" customHeight="1">
      <c r="A34" s="114">
        <f>A33+1</f>
        <v>5</v>
      </c>
      <c r="B34" s="183" t="s">
        <v>894</v>
      </c>
      <c r="C34" s="28" t="s">
        <v>190</v>
      </c>
      <c r="D34" s="28" t="s">
        <v>19</v>
      </c>
      <c r="E34" s="28" t="s">
        <v>191</v>
      </c>
      <c r="F34" s="28" t="s">
        <v>36</v>
      </c>
      <c r="G34" s="13"/>
      <c r="H34" s="8"/>
      <c r="I34" s="8"/>
      <c r="J34" s="8"/>
      <c r="K34" s="8"/>
      <c r="L34" s="8"/>
      <c r="M34" s="8"/>
      <c r="N34" s="8"/>
      <c r="O34" s="8"/>
      <c r="P34" s="8"/>
      <c r="Q34" s="8"/>
      <c r="R34" s="8"/>
      <c r="S34" s="8"/>
      <c r="T34" s="8"/>
      <c r="U34" s="8"/>
      <c r="V34" s="8"/>
      <c r="W34" s="80">
        <v>4800</v>
      </c>
      <c r="X34" s="335"/>
      <c r="Y34" s="211"/>
      <c r="Z34" s="22" t="s">
        <v>473</v>
      </c>
      <c r="AA34" s="189" t="s">
        <v>474</v>
      </c>
      <c r="AB34" s="6">
        <f t="shared" si="10"/>
        <v>4800</v>
      </c>
      <c r="AC34" s="179"/>
      <c r="AD34" s="179"/>
      <c r="AE34" s="179"/>
      <c r="AF34" s="179"/>
      <c r="AG34" s="179"/>
      <c r="AH34" s="179"/>
      <c r="AI34" s="179"/>
      <c r="AJ34" s="179"/>
      <c r="AK34" s="179"/>
      <c r="AL34" s="179"/>
      <c r="AM34" s="179"/>
      <c r="AN34" s="179"/>
      <c r="AO34" s="179"/>
      <c r="AP34" s="179"/>
      <c r="AQ34" s="179"/>
      <c r="AR34" s="179"/>
      <c r="AS34" s="179"/>
      <c r="AT34" s="179"/>
      <c r="AU34" s="179"/>
      <c r="AV34" s="179"/>
      <c r="AW34" s="179"/>
    </row>
    <row r="35" spans="1:49" s="18" customFormat="1" ht="60" customHeight="1">
      <c r="A35" s="114">
        <f>A34+1</f>
        <v>6</v>
      </c>
      <c r="B35" s="183" t="s">
        <v>217</v>
      </c>
      <c r="C35" s="28" t="s">
        <v>216</v>
      </c>
      <c r="D35" s="28" t="s">
        <v>19</v>
      </c>
      <c r="E35" s="28" t="s">
        <v>218</v>
      </c>
      <c r="F35" s="28" t="s">
        <v>36</v>
      </c>
      <c r="G35" s="13"/>
      <c r="H35" s="8"/>
      <c r="I35" s="8"/>
      <c r="J35" s="8"/>
      <c r="K35" s="8"/>
      <c r="L35" s="8"/>
      <c r="M35" s="8"/>
      <c r="N35" s="8"/>
      <c r="O35" s="8"/>
      <c r="P35" s="8"/>
      <c r="Q35" s="8"/>
      <c r="R35" s="8"/>
      <c r="S35" s="8"/>
      <c r="T35" s="8"/>
      <c r="U35" s="8"/>
      <c r="V35" s="8"/>
      <c r="W35" s="80">
        <v>6000</v>
      </c>
      <c r="X35" s="335"/>
      <c r="Y35" s="211"/>
      <c r="Z35" s="22" t="s">
        <v>473</v>
      </c>
      <c r="AA35" s="189" t="s">
        <v>474</v>
      </c>
      <c r="AB35" s="6">
        <f t="shared" si="10"/>
        <v>6000</v>
      </c>
      <c r="AC35" s="179"/>
      <c r="AD35" s="179"/>
      <c r="AE35" s="179"/>
      <c r="AF35" s="179"/>
      <c r="AG35" s="179"/>
      <c r="AH35" s="179"/>
      <c r="AI35" s="179"/>
      <c r="AJ35" s="179"/>
      <c r="AK35" s="179"/>
      <c r="AL35" s="179"/>
      <c r="AM35" s="179"/>
      <c r="AN35" s="179"/>
      <c r="AO35" s="179"/>
      <c r="AP35" s="179"/>
      <c r="AQ35" s="179"/>
      <c r="AR35" s="179"/>
      <c r="AS35" s="179"/>
      <c r="AT35" s="179"/>
      <c r="AU35" s="179"/>
      <c r="AV35" s="179"/>
      <c r="AW35" s="179"/>
    </row>
    <row r="36" spans="1:49" s="20" customFormat="1" ht="44.25" customHeight="1">
      <c r="A36" s="109" t="s">
        <v>25</v>
      </c>
      <c r="B36" s="110" t="s">
        <v>358</v>
      </c>
      <c r="C36" s="110"/>
      <c r="D36" s="109"/>
      <c r="E36" s="110"/>
      <c r="F36" s="110"/>
      <c r="G36" s="110"/>
      <c r="H36" s="111"/>
      <c r="I36" s="111"/>
      <c r="J36" s="111"/>
      <c r="K36" s="111"/>
      <c r="L36" s="111"/>
      <c r="M36" s="111"/>
      <c r="N36" s="111"/>
      <c r="O36" s="111"/>
      <c r="P36" s="111"/>
      <c r="Q36" s="111"/>
      <c r="R36" s="111"/>
      <c r="S36" s="111"/>
      <c r="T36" s="111"/>
      <c r="U36" s="111"/>
      <c r="V36" s="111"/>
      <c r="W36" s="111">
        <f>SUM(W37:W63)</f>
        <v>190100</v>
      </c>
      <c r="X36" s="335"/>
      <c r="Y36" s="130"/>
      <c r="Z36" s="113"/>
      <c r="AA36" s="113"/>
    </row>
    <row r="37" spans="1:49" ht="60.75" customHeight="1">
      <c r="A37" s="114">
        <v>1</v>
      </c>
      <c r="B37" s="183" t="s">
        <v>173</v>
      </c>
      <c r="C37" s="28" t="s">
        <v>158</v>
      </c>
      <c r="D37" s="28" t="s">
        <v>19</v>
      </c>
      <c r="E37" s="28" t="s">
        <v>174</v>
      </c>
      <c r="F37" s="28" t="s">
        <v>36</v>
      </c>
      <c r="G37" s="86"/>
      <c r="H37" s="62"/>
      <c r="I37" s="32"/>
      <c r="J37" s="37"/>
      <c r="K37" s="37"/>
      <c r="L37" s="37"/>
      <c r="M37" s="37"/>
      <c r="N37" s="37"/>
      <c r="O37" s="37"/>
      <c r="P37" s="37"/>
      <c r="Q37" s="37"/>
      <c r="R37" s="32"/>
      <c r="S37" s="32"/>
      <c r="T37" s="37"/>
      <c r="U37" s="37"/>
      <c r="V37" s="80"/>
      <c r="W37" s="37">
        <v>7000</v>
      </c>
      <c r="X37" s="335"/>
      <c r="Y37" s="131"/>
      <c r="Z37" s="22" t="s">
        <v>473</v>
      </c>
      <c r="AA37" s="189" t="s">
        <v>459</v>
      </c>
      <c r="AB37" s="6">
        <f t="shared" ref="AB37:AB77" si="11">W37</f>
        <v>7000</v>
      </c>
      <c r="AC37" s="6"/>
      <c r="AD37" s="6"/>
      <c r="AE37" s="6"/>
    </row>
    <row r="38" spans="1:49" ht="60.75" customHeight="1">
      <c r="A38" s="114">
        <f t="shared" ref="A38:A63" si="12">+A37+1</f>
        <v>2</v>
      </c>
      <c r="B38" s="183" t="s">
        <v>194</v>
      </c>
      <c r="C38" s="28" t="s">
        <v>185</v>
      </c>
      <c r="D38" s="28" t="s">
        <v>19</v>
      </c>
      <c r="E38" s="28" t="s">
        <v>195</v>
      </c>
      <c r="F38" s="28" t="s">
        <v>36</v>
      </c>
      <c r="G38" s="86"/>
      <c r="H38" s="62"/>
      <c r="I38" s="32"/>
      <c r="J38" s="37"/>
      <c r="K38" s="37"/>
      <c r="L38" s="37"/>
      <c r="M38" s="37"/>
      <c r="N38" s="37"/>
      <c r="O38" s="37"/>
      <c r="P38" s="37"/>
      <c r="Q38" s="37"/>
      <c r="R38" s="32"/>
      <c r="S38" s="32"/>
      <c r="T38" s="37"/>
      <c r="U38" s="37"/>
      <c r="V38" s="80"/>
      <c r="W38" s="37">
        <v>6000</v>
      </c>
      <c r="X38" s="335"/>
      <c r="Y38" s="131"/>
      <c r="Z38" s="22" t="s">
        <v>473</v>
      </c>
      <c r="AA38" s="189" t="s">
        <v>459</v>
      </c>
      <c r="AB38" s="6">
        <f t="shared" si="11"/>
        <v>6000</v>
      </c>
      <c r="AC38" s="6"/>
      <c r="AD38" s="6"/>
      <c r="AE38" s="6"/>
    </row>
    <row r="39" spans="1:49" ht="60.75" customHeight="1">
      <c r="A39" s="114">
        <f t="shared" si="12"/>
        <v>3</v>
      </c>
      <c r="B39" s="183" t="s">
        <v>196</v>
      </c>
      <c r="C39" s="28" t="s">
        <v>185</v>
      </c>
      <c r="D39" s="28" t="s">
        <v>19</v>
      </c>
      <c r="E39" s="28" t="s">
        <v>197</v>
      </c>
      <c r="F39" s="28" t="s">
        <v>36</v>
      </c>
      <c r="G39" s="86"/>
      <c r="H39" s="62"/>
      <c r="I39" s="32"/>
      <c r="J39" s="37"/>
      <c r="K39" s="37"/>
      <c r="L39" s="37"/>
      <c r="M39" s="37"/>
      <c r="N39" s="37"/>
      <c r="O39" s="37"/>
      <c r="P39" s="37"/>
      <c r="Q39" s="37"/>
      <c r="R39" s="32"/>
      <c r="S39" s="32"/>
      <c r="T39" s="37"/>
      <c r="U39" s="37"/>
      <c r="V39" s="80"/>
      <c r="W39" s="37">
        <v>6000</v>
      </c>
      <c r="X39" s="335"/>
      <c r="Y39" s="131"/>
      <c r="Z39" s="22" t="s">
        <v>473</v>
      </c>
      <c r="AA39" s="189" t="s">
        <v>459</v>
      </c>
      <c r="AB39" s="6">
        <f t="shared" si="11"/>
        <v>6000</v>
      </c>
      <c r="AC39" s="6"/>
      <c r="AD39" s="6"/>
      <c r="AE39" s="6"/>
    </row>
    <row r="40" spans="1:49" ht="60.75" customHeight="1">
      <c r="A40" s="114">
        <f t="shared" si="12"/>
        <v>4</v>
      </c>
      <c r="B40" s="183" t="s">
        <v>198</v>
      </c>
      <c r="C40" s="28" t="s">
        <v>189</v>
      </c>
      <c r="D40" s="28" t="s">
        <v>19</v>
      </c>
      <c r="E40" s="28" t="s">
        <v>199</v>
      </c>
      <c r="F40" s="28" t="s">
        <v>36</v>
      </c>
      <c r="G40" s="86"/>
      <c r="H40" s="62"/>
      <c r="I40" s="32"/>
      <c r="J40" s="37"/>
      <c r="K40" s="37"/>
      <c r="L40" s="37"/>
      <c r="M40" s="37"/>
      <c r="N40" s="37"/>
      <c r="O40" s="37"/>
      <c r="P40" s="37"/>
      <c r="Q40" s="37"/>
      <c r="R40" s="32"/>
      <c r="S40" s="32"/>
      <c r="T40" s="37"/>
      <c r="U40" s="37"/>
      <c r="V40" s="80"/>
      <c r="W40" s="37">
        <v>5000</v>
      </c>
      <c r="X40" s="335"/>
      <c r="Y40" s="131"/>
      <c r="Z40" s="22" t="s">
        <v>473</v>
      </c>
      <c r="AA40" s="189" t="s">
        <v>459</v>
      </c>
      <c r="AB40" s="6">
        <f t="shared" si="11"/>
        <v>5000</v>
      </c>
      <c r="AC40" s="6"/>
      <c r="AD40" s="6"/>
      <c r="AE40" s="6"/>
    </row>
    <row r="41" spans="1:49" ht="60.75" customHeight="1">
      <c r="A41" s="114">
        <f t="shared" si="12"/>
        <v>5</v>
      </c>
      <c r="B41" s="183" t="s">
        <v>200</v>
      </c>
      <c r="C41" s="28" t="s">
        <v>189</v>
      </c>
      <c r="D41" s="28" t="s">
        <v>19</v>
      </c>
      <c r="E41" s="28" t="s">
        <v>201</v>
      </c>
      <c r="F41" s="28" t="s">
        <v>36</v>
      </c>
      <c r="G41" s="86"/>
      <c r="H41" s="62"/>
      <c r="I41" s="32"/>
      <c r="J41" s="37"/>
      <c r="K41" s="37"/>
      <c r="L41" s="37"/>
      <c r="M41" s="37"/>
      <c r="N41" s="37"/>
      <c r="O41" s="37"/>
      <c r="P41" s="37"/>
      <c r="Q41" s="37"/>
      <c r="R41" s="32"/>
      <c r="S41" s="32"/>
      <c r="T41" s="37"/>
      <c r="U41" s="37"/>
      <c r="V41" s="80"/>
      <c r="W41" s="37">
        <v>5000</v>
      </c>
      <c r="X41" s="335"/>
      <c r="Y41" s="131"/>
      <c r="Z41" s="22" t="s">
        <v>473</v>
      </c>
      <c r="AA41" s="189" t="s">
        <v>459</v>
      </c>
      <c r="AB41" s="6">
        <f t="shared" si="11"/>
        <v>5000</v>
      </c>
      <c r="AC41" s="6"/>
      <c r="AD41" s="6"/>
      <c r="AE41" s="6"/>
    </row>
    <row r="42" spans="1:49" ht="60.75" customHeight="1">
      <c r="A42" s="114">
        <f t="shared" si="12"/>
        <v>6</v>
      </c>
      <c r="B42" s="183" t="s">
        <v>222</v>
      </c>
      <c r="C42" s="28" t="s">
        <v>211</v>
      </c>
      <c r="D42" s="28" t="s">
        <v>19</v>
      </c>
      <c r="E42" s="28" t="s">
        <v>223</v>
      </c>
      <c r="F42" s="28" t="s">
        <v>36</v>
      </c>
      <c r="G42" s="86"/>
      <c r="H42" s="62"/>
      <c r="I42" s="32"/>
      <c r="J42" s="37"/>
      <c r="K42" s="37"/>
      <c r="L42" s="37"/>
      <c r="M42" s="37"/>
      <c r="N42" s="37"/>
      <c r="O42" s="37"/>
      <c r="P42" s="37"/>
      <c r="Q42" s="37"/>
      <c r="R42" s="32"/>
      <c r="S42" s="32"/>
      <c r="T42" s="37"/>
      <c r="U42" s="37"/>
      <c r="V42" s="80"/>
      <c r="W42" s="37">
        <v>3200</v>
      </c>
      <c r="X42" s="335"/>
      <c r="Y42" s="131"/>
      <c r="Z42" s="22" t="s">
        <v>473</v>
      </c>
      <c r="AA42" s="189" t="s">
        <v>459</v>
      </c>
      <c r="AB42" s="6">
        <f t="shared" si="11"/>
        <v>3200</v>
      </c>
      <c r="AC42" s="6"/>
      <c r="AD42" s="6"/>
      <c r="AE42" s="6"/>
    </row>
    <row r="43" spans="1:49" ht="60.75" customHeight="1">
      <c r="A43" s="114">
        <f t="shared" si="12"/>
        <v>7</v>
      </c>
      <c r="B43" s="183" t="s">
        <v>227</v>
      </c>
      <c r="C43" s="28" t="s">
        <v>216</v>
      </c>
      <c r="D43" s="28" t="s">
        <v>19</v>
      </c>
      <c r="E43" s="28" t="s">
        <v>228</v>
      </c>
      <c r="F43" s="28" t="s">
        <v>36</v>
      </c>
      <c r="G43" s="87" t="s">
        <v>229</v>
      </c>
      <c r="H43" s="62"/>
      <c r="I43" s="32"/>
      <c r="J43" s="37"/>
      <c r="K43" s="37"/>
      <c r="L43" s="37"/>
      <c r="M43" s="37"/>
      <c r="N43" s="37"/>
      <c r="O43" s="37"/>
      <c r="P43" s="37"/>
      <c r="Q43" s="37"/>
      <c r="R43" s="32"/>
      <c r="S43" s="32"/>
      <c r="T43" s="37"/>
      <c r="U43" s="37"/>
      <c r="V43" s="80"/>
      <c r="W43" s="37">
        <v>7500</v>
      </c>
      <c r="X43" s="335"/>
      <c r="Y43" s="131"/>
      <c r="Z43" s="22" t="s">
        <v>473</v>
      </c>
      <c r="AA43" s="189" t="s">
        <v>459</v>
      </c>
      <c r="AB43" s="6">
        <f t="shared" si="11"/>
        <v>7500</v>
      </c>
      <c r="AC43" s="6"/>
      <c r="AD43" s="6"/>
      <c r="AE43" s="6"/>
    </row>
    <row r="44" spans="1:49" ht="60.9" customHeight="1">
      <c r="A44" s="114">
        <f t="shared" si="12"/>
        <v>8</v>
      </c>
      <c r="B44" s="183" t="s">
        <v>230</v>
      </c>
      <c r="C44" s="28" t="s">
        <v>216</v>
      </c>
      <c r="D44" s="28" t="s">
        <v>19</v>
      </c>
      <c r="E44" s="28" t="s">
        <v>231</v>
      </c>
      <c r="F44" s="28" t="s">
        <v>36</v>
      </c>
      <c r="G44" s="87" t="s">
        <v>232</v>
      </c>
      <c r="H44" s="62"/>
      <c r="I44" s="32"/>
      <c r="J44" s="37"/>
      <c r="K44" s="37"/>
      <c r="L44" s="37"/>
      <c r="M44" s="37"/>
      <c r="N44" s="37"/>
      <c r="O44" s="37"/>
      <c r="P44" s="37"/>
      <c r="Q44" s="37"/>
      <c r="R44" s="32"/>
      <c r="S44" s="32"/>
      <c r="T44" s="37"/>
      <c r="U44" s="37"/>
      <c r="V44" s="80"/>
      <c r="W44" s="37">
        <v>8600</v>
      </c>
      <c r="X44" s="335"/>
      <c r="Y44" s="131"/>
      <c r="Z44" s="22" t="s">
        <v>473</v>
      </c>
      <c r="AA44" s="189" t="s">
        <v>459</v>
      </c>
      <c r="AB44" s="6">
        <f t="shared" si="11"/>
        <v>8600</v>
      </c>
      <c r="AC44" s="6"/>
      <c r="AD44" s="6"/>
      <c r="AE44" s="6"/>
    </row>
    <row r="45" spans="1:49" ht="60.9" customHeight="1">
      <c r="A45" s="114">
        <f t="shared" si="12"/>
        <v>9</v>
      </c>
      <c r="B45" s="183" t="s">
        <v>251</v>
      </c>
      <c r="C45" s="28" t="s">
        <v>250</v>
      </c>
      <c r="D45" s="28" t="s">
        <v>19</v>
      </c>
      <c r="E45" s="28" t="s">
        <v>252</v>
      </c>
      <c r="F45" s="28" t="s">
        <v>36</v>
      </c>
      <c r="G45" s="87"/>
      <c r="H45" s="62"/>
      <c r="I45" s="32"/>
      <c r="J45" s="37"/>
      <c r="K45" s="37"/>
      <c r="L45" s="37"/>
      <c r="M45" s="37"/>
      <c r="N45" s="37"/>
      <c r="O45" s="37"/>
      <c r="P45" s="37"/>
      <c r="Q45" s="37"/>
      <c r="R45" s="32"/>
      <c r="S45" s="32"/>
      <c r="T45" s="37"/>
      <c r="U45" s="37"/>
      <c r="V45" s="80"/>
      <c r="W45" s="37">
        <v>7800</v>
      </c>
      <c r="X45" s="335"/>
      <c r="Y45" s="131"/>
      <c r="Z45" s="22" t="s">
        <v>473</v>
      </c>
      <c r="AA45" s="189" t="s">
        <v>459</v>
      </c>
      <c r="AB45" s="6">
        <f t="shared" si="11"/>
        <v>7800</v>
      </c>
      <c r="AC45" s="6"/>
      <c r="AD45" s="6"/>
      <c r="AE45" s="6"/>
    </row>
    <row r="46" spans="1:49" ht="60.9" customHeight="1">
      <c r="A46" s="114">
        <f t="shared" si="12"/>
        <v>10</v>
      </c>
      <c r="B46" s="36" t="s">
        <v>388</v>
      </c>
      <c r="C46" s="23" t="s">
        <v>389</v>
      </c>
      <c r="D46" s="34" t="s">
        <v>19</v>
      </c>
      <c r="E46" s="23" t="s">
        <v>421</v>
      </c>
      <c r="F46" s="23" t="s">
        <v>391</v>
      </c>
      <c r="G46" s="86" t="s">
        <v>393</v>
      </c>
      <c r="H46" s="62"/>
      <c r="I46" s="32"/>
      <c r="J46" s="37"/>
      <c r="K46" s="37"/>
      <c r="L46" s="37"/>
      <c r="M46" s="37"/>
      <c r="N46" s="37"/>
      <c r="O46" s="37"/>
      <c r="P46" s="37"/>
      <c r="Q46" s="37"/>
      <c r="R46" s="32"/>
      <c r="S46" s="32"/>
      <c r="T46" s="37"/>
      <c r="U46" s="37"/>
      <c r="V46" s="80"/>
      <c r="W46" s="37">
        <v>12000</v>
      </c>
      <c r="X46" s="335"/>
      <c r="Y46" s="131"/>
      <c r="Z46" s="22" t="s">
        <v>473</v>
      </c>
      <c r="AA46" s="189" t="s">
        <v>459</v>
      </c>
      <c r="AB46" s="6">
        <f t="shared" si="11"/>
        <v>12000</v>
      </c>
      <c r="AC46" s="6"/>
      <c r="AD46" s="6"/>
      <c r="AE46" s="6"/>
    </row>
    <row r="47" spans="1:49" ht="60.9" customHeight="1">
      <c r="A47" s="114">
        <f t="shared" si="12"/>
        <v>11</v>
      </c>
      <c r="B47" s="36" t="s">
        <v>395</v>
      </c>
      <c r="C47" s="23" t="s">
        <v>392</v>
      </c>
      <c r="D47" s="34" t="s">
        <v>19</v>
      </c>
      <c r="E47" s="23" t="s">
        <v>421</v>
      </c>
      <c r="F47" s="23" t="s">
        <v>391</v>
      </c>
      <c r="G47" s="86" t="s">
        <v>396</v>
      </c>
      <c r="H47" s="62"/>
      <c r="I47" s="32"/>
      <c r="J47" s="37"/>
      <c r="K47" s="37"/>
      <c r="L47" s="37"/>
      <c r="M47" s="37"/>
      <c r="N47" s="37"/>
      <c r="O47" s="37"/>
      <c r="P47" s="37"/>
      <c r="Q47" s="37"/>
      <c r="R47" s="32"/>
      <c r="S47" s="32"/>
      <c r="T47" s="37"/>
      <c r="U47" s="37"/>
      <c r="V47" s="80"/>
      <c r="W47" s="37">
        <v>10000</v>
      </c>
      <c r="X47" s="335"/>
      <c r="Y47" s="131"/>
      <c r="Z47" s="22" t="s">
        <v>473</v>
      </c>
      <c r="AA47" s="189" t="s">
        <v>459</v>
      </c>
      <c r="AB47" s="6">
        <f t="shared" si="11"/>
        <v>10000</v>
      </c>
      <c r="AC47" s="6"/>
      <c r="AD47" s="6"/>
      <c r="AE47" s="6"/>
    </row>
    <row r="48" spans="1:49" ht="60.9" customHeight="1">
      <c r="A48" s="114">
        <f t="shared" si="12"/>
        <v>12</v>
      </c>
      <c r="B48" s="36" t="s">
        <v>397</v>
      </c>
      <c r="C48" s="23" t="s">
        <v>398</v>
      </c>
      <c r="D48" s="34" t="s">
        <v>19</v>
      </c>
      <c r="E48" s="23" t="s">
        <v>421</v>
      </c>
      <c r="F48" s="23" t="s">
        <v>391</v>
      </c>
      <c r="G48" s="86" t="s">
        <v>399</v>
      </c>
      <c r="H48" s="62"/>
      <c r="I48" s="32"/>
      <c r="J48" s="37"/>
      <c r="K48" s="37"/>
      <c r="L48" s="37"/>
      <c r="M48" s="37"/>
      <c r="N48" s="37"/>
      <c r="O48" s="37"/>
      <c r="P48" s="37"/>
      <c r="Q48" s="37"/>
      <c r="R48" s="32"/>
      <c r="S48" s="32"/>
      <c r="T48" s="37"/>
      <c r="U48" s="37"/>
      <c r="V48" s="80"/>
      <c r="W48" s="37">
        <v>15000</v>
      </c>
      <c r="X48" s="335"/>
      <c r="Y48" s="131"/>
      <c r="Z48" s="22" t="s">
        <v>473</v>
      </c>
      <c r="AA48" s="189" t="s">
        <v>459</v>
      </c>
      <c r="AB48" s="6">
        <f t="shared" si="11"/>
        <v>15000</v>
      </c>
      <c r="AC48" s="6"/>
      <c r="AD48" s="6"/>
      <c r="AE48" s="6"/>
    </row>
    <row r="49" spans="1:31" ht="60.9" customHeight="1">
      <c r="A49" s="114">
        <f t="shared" si="12"/>
        <v>13</v>
      </c>
      <c r="B49" s="36" t="s">
        <v>401</v>
      </c>
      <c r="C49" s="23" t="s">
        <v>487</v>
      </c>
      <c r="D49" s="34" t="s">
        <v>19</v>
      </c>
      <c r="E49" s="23" t="s">
        <v>421</v>
      </c>
      <c r="F49" s="23" t="s">
        <v>391</v>
      </c>
      <c r="G49" s="86" t="s">
        <v>402</v>
      </c>
      <c r="H49" s="62"/>
      <c r="I49" s="32"/>
      <c r="J49" s="37"/>
      <c r="K49" s="37"/>
      <c r="L49" s="37"/>
      <c r="M49" s="37"/>
      <c r="N49" s="37"/>
      <c r="O49" s="37"/>
      <c r="P49" s="37"/>
      <c r="Q49" s="37"/>
      <c r="R49" s="32"/>
      <c r="S49" s="32"/>
      <c r="T49" s="37"/>
      <c r="U49" s="37"/>
      <c r="V49" s="80"/>
      <c r="W49" s="37">
        <v>12000</v>
      </c>
      <c r="X49" s="335"/>
      <c r="Y49" s="131"/>
      <c r="Z49" s="22" t="s">
        <v>473</v>
      </c>
      <c r="AA49" s="189" t="s">
        <v>459</v>
      </c>
      <c r="AB49" s="6">
        <f t="shared" si="11"/>
        <v>12000</v>
      </c>
      <c r="AC49" s="6"/>
      <c r="AD49" s="6"/>
      <c r="AE49" s="6"/>
    </row>
    <row r="50" spans="1:31" ht="60.9" customHeight="1">
      <c r="A50" s="114">
        <f t="shared" si="12"/>
        <v>14</v>
      </c>
      <c r="B50" s="36" t="s">
        <v>406</v>
      </c>
      <c r="C50" s="23" t="s">
        <v>488</v>
      </c>
      <c r="D50" s="34" t="s">
        <v>19</v>
      </c>
      <c r="E50" s="23" t="s">
        <v>421</v>
      </c>
      <c r="F50" s="23" t="s">
        <v>391</v>
      </c>
      <c r="G50" s="86" t="s">
        <v>407</v>
      </c>
      <c r="H50" s="62"/>
      <c r="I50" s="32"/>
      <c r="J50" s="37"/>
      <c r="K50" s="37"/>
      <c r="L50" s="37"/>
      <c r="M50" s="37"/>
      <c r="N50" s="37"/>
      <c r="O50" s="37"/>
      <c r="P50" s="37"/>
      <c r="Q50" s="37"/>
      <c r="R50" s="32"/>
      <c r="S50" s="32"/>
      <c r="T50" s="37"/>
      <c r="U50" s="37"/>
      <c r="V50" s="80"/>
      <c r="W50" s="37">
        <v>15000</v>
      </c>
      <c r="X50" s="335"/>
      <c r="Y50" s="131"/>
      <c r="Z50" s="22" t="s">
        <v>473</v>
      </c>
      <c r="AA50" s="189" t="s">
        <v>459</v>
      </c>
      <c r="AB50" s="6">
        <f t="shared" si="11"/>
        <v>15000</v>
      </c>
      <c r="AC50" s="6"/>
      <c r="AD50" s="6"/>
      <c r="AE50" s="6"/>
    </row>
    <row r="51" spans="1:31" ht="60.9" customHeight="1">
      <c r="A51" s="114">
        <f t="shared" si="12"/>
        <v>15</v>
      </c>
      <c r="B51" s="36" t="s">
        <v>409</v>
      </c>
      <c r="C51" s="23" t="s">
        <v>490</v>
      </c>
      <c r="D51" s="34" t="s">
        <v>19</v>
      </c>
      <c r="E51" s="23" t="s">
        <v>421</v>
      </c>
      <c r="F51" s="23" t="s">
        <v>391</v>
      </c>
      <c r="G51" s="86" t="s">
        <v>410</v>
      </c>
      <c r="H51" s="62"/>
      <c r="I51" s="32"/>
      <c r="J51" s="37"/>
      <c r="K51" s="37"/>
      <c r="L51" s="37"/>
      <c r="M51" s="37"/>
      <c r="N51" s="37"/>
      <c r="O51" s="37"/>
      <c r="P51" s="37"/>
      <c r="Q51" s="37"/>
      <c r="R51" s="32"/>
      <c r="S51" s="32"/>
      <c r="T51" s="37"/>
      <c r="U51" s="37"/>
      <c r="V51" s="80"/>
      <c r="W51" s="37">
        <v>18000</v>
      </c>
      <c r="X51" s="335"/>
      <c r="Y51" s="131"/>
      <c r="Z51" s="22" t="s">
        <v>473</v>
      </c>
      <c r="AA51" s="189" t="s">
        <v>459</v>
      </c>
      <c r="AB51" s="6">
        <f t="shared" si="11"/>
        <v>18000</v>
      </c>
      <c r="AC51" s="6"/>
      <c r="AD51" s="6"/>
      <c r="AE51" s="6"/>
    </row>
    <row r="52" spans="1:31" ht="60.9" customHeight="1">
      <c r="A52" s="114">
        <f t="shared" si="12"/>
        <v>16</v>
      </c>
      <c r="B52" s="36" t="s">
        <v>411</v>
      </c>
      <c r="C52" s="23" t="s">
        <v>489</v>
      </c>
      <c r="D52" s="34" t="s">
        <v>19</v>
      </c>
      <c r="E52" s="23" t="s">
        <v>421</v>
      </c>
      <c r="F52" s="23" t="s">
        <v>391</v>
      </c>
      <c r="G52" s="86" t="s">
        <v>412</v>
      </c>
      <c r="H52" s="62"/>
      <c r="I52" s="32"/>
      <c r="J52" s="37"/>
      <c r="K52" s="37"/>
      <c r="L52" s="37"/>
      <c r="M52" s="37"/>
      <c r="N52" s="37"/>
      <c r="O52" s="37"/>
      <c r="P52" s="37"/>
      <c r="Q52" s="37"/>
      <c r="R52" s="32"/>
      <c r="S52" s="32"/>
      <c r="T52" s="37"/>
      <c r="U52" s="37"/>
      <c r="V52" s="80"/>
      <c r="W52" s="37">
        <v>14000</v>
      </c>
      <c r="X52" s="335"/>
      <c r="Y52" s="131"/>
      <c r="Z52" s="22" t="s">
        <v>473</v>
      </c>
      <c r="AA52" s="189" t="s">
        <v>459</v>
      </c>
      <c r="AB52" s="6">
        <f t="shared" si="11"/>
        <v>14000</v>
      </c>
      <c r="AC52" s="6"/>
      <c r="AD52" s="6"/>
      <c r="AE52" s="6"/>
    </row>
    <row r="53" spans="1:31" ht="60.9" customHeight="1">
      <c r="A53" s="114">
        <f t="shared" si="12"/>
        <v>17</v>
      </c>
      <c r="B53" s="36" t="s">
        <v>413</v>
      </c>
      <c r="C53" s="23" t="s">
        <v>491</v>
      </c>
      <c r="D53" s="34" t="s">
        <v>19</v>
      </c>
      <c r="E53" s="23" t="s">
        <v>421</v>
      </c>
      <c r="F53" s="23" t="s">
        <v>391</v>
      </c>
      <c r="G53" s="86" t="s">
        <v>414</v>
      </c>
      <c r="H53" s="62"/>
      <c r="I53" s="32"/>
      <c r="J53" s="37"/>
      <c r="K53" s="37"/>
      <c r="L53" s="37"/>
      <c r="M53" s="37"/>
      <c r="N53" s="37"/>
      <c r="O53" s="37"/>
      <c r="P53" s="37"/>
      <c r="Q53" s="37"/>
      <c r="R53" s="32"/>
      <c r="S53" s="32"/>
      <c r="T53" s="37"/>
      <c r="U53" s="37"/>
      <c r="V53" s="80"/>
      <c r="W53" s="37">
        <v>12000</v>
      </c>
      <c r="X53" s="335"/>
      <c r="Y53" s="131"/>
      <c r="Z53" s="22" t="s">
        <v>473</v>
      </c>
      <c r="AA53" s="189" t="s">
        <v>459</v>
      </c>
      <c r="AB53" s="6">
        <f t="shared" si="11"/>
        <v>12000</v>
      </c>
      <c r="AC53" s="6"/>
      <c r="AD53" s="6"/>
      <c r="AE53" s="6"/>
    </row>
    <row r="54" spans="1:31" ht="60.75" customHeight="1">
      <c r="A54" s="114">
        <f t="shared" si="12"/>
        <v>18</v>
      </c>
      <c r="B54" s="36" t="s">
        <v>718</v>
      </c>
      <c r="C54" s="23" t="s">
        <v>934</v>
      </c>
      <c r="D54" s="185" t="s">
        <v>19</v>
      </c>
      <c r="E54" s="23" t="s">
        <v>935</v>
      </c>
      <c r="F54" s="23" t="s">
        <v>391</v>
      </c>
      <c r="G54" s="86" t="s">
        <v>719</v>
      </c>
      <c r="H54" s="62"/>
      <c r="I54" s="32"/>
      <c r="J54" s="37"/>
      <c r="K54" s="37"/>
      <c r="L54" s="37"/>
      <c r="M54" s="37"/>
      <c r="N54" s="37"/>
      <c r="O54" s="37"/>
      <c r="P54" s="37"/>
      <c r="Q54" s="37"/>
      <c r="R54" s="32"/>
      <c r="S54" s="32"/>
      <c r="T54" s="37"/>
      <c r="U54" s="37"/>
      <c r="V54" s="80"/>
      <c r="W54" s="37">
        <v>5000</v>
      </c>
      <c r="X54" s="335"/>
      <c r="Y54" s="131"/>
      <c r="Z54" s="22" t="s">
        <v>473</v>
      </c>
      <c r="AA54" s="189" t="s">
        <v>459</v>
      </c>
      <c r="AB54" s="6">
        <f t="shared" si="11"/>
        <v>5000</v>
      </c>
      <c r="AC54" s="6"/>
      <c r="AD54" s="6"/>
      <c r="AE54" s="6"/>
    </row>
    <row r="55" spans="1:31" ht="60.75" customHeight="1">
      <c r="A55" s="114">
        <f t="shared" si="12"/>
        <v>19</v>
      </c>
      <c r="B55" s="36" t="s">
        <v>576</v>
      </c>
      <c r="C55" s="23" t="s">
        <v>314</v>
      </c>
      <c r="D55" s="34" t="s">
        <v>19</v>
      </c>
      <c r="E55" s="23" t="s">
        <v>202</v>
      </c>
      <c r="F55" s="23" t="s">
        <v>36</v>
      </c>
      <c r="G55" s="86"/>
      <c r="H55" s="62"/>
      <c r="I55" s="32"/>
      <c r="J55" s="37"/>
      <c r="K55" s="37"/>
      <c r="L55" s="37"/>
      <c r="M55" s="37"/>
      <c r="N55" s="37"/>
      <c r="O55" s="37"/>
      <c r="P55" s="37"/>
      <c r="Q55" s="37"/>
      <c r="R55" s="32"/>
      <c r="S55" s="32"/>
      <c r="T55" s="37"/>
      <c r="U55" s="37"/>
      <c r="V55" s="80"/>
      <c r="W55" s="37">
        <v>4300</v>
      </c>
      <c r="X55" s="335"/>
      <c r="Y55" s="131"/>
      <c r="Z55" s="22" t="s">
        <v>473</v>
      </c>
      <c r="AA55" s="189" t="s">
        <v>459</v>
      </c>
      <c r="AB55" s="6">
        <f t="shared" si="11"/>
        <v>4300</v>
      </c>
      <c r="AC55" s="6"/>
      <c r="AD55" s="6"/>
      <c r="AE55" s="6"/>
    </row>
    <row r="56" spans="1:31" ht="60.75" customHeight="1">
      <c r="A56" s="114">
        <f t="shared" si="12"/>
        <v>20</v>
      </c>
      <c r="B56" s="36" t="s">
        <v>577</v>
      </c>
      <c r="C56" s="23" t="s">
        <v>95</v>
      </c>
      <c r="D56" s="34" t="s">
        <v>19</v>
      </c>
      <c r="E56" s="23" t="s">
        <v>202</v>
      </c>
      <c r="F56" s="23" t="s">
        <v>36</v>
      </c>
      <c r="G56" s="86"/>
      <c r="H56" s="62"/>
      <c r="I56" s="32"/>
      <c r="J56" s="37"/>
      <c r="K56" s="37"/>
      <c r="L56" s="37"/>
      <c r="M56" s="37"/>
      <c r="N56" s="37"/>
      <c r="O56" s="37"/>
      <c r="P56" s="37"/>
      <c r="Q56" s="37"/>
      <c r="R56" s="32"/>
      <c r="S56" s="32"/>
      <c r="T56" s="37"/>
      <c r="U56" s="37"/>
      <c r="V56" s="80"/>
      <c r="W56" s="37">
        <v>3600</v>
      </c>
      <c r="X56" s="335"/>
      <c r="Y56" s="131"/>
      <c r="Z56" s="22" t="s">
        <v>473</v>
      </c>
      <c r="AA56" s="189" t="s">
        <v>459</v>
      </c>
      <c r="AB56" s="6">
        <f t="shared" si="11"/>
        <v>3600</v>
      </c>
      <c r="AC56" s="6"/>
      <c r="AD56" s="6"/>
      <c r="AE56" s="6"/>
    </row>
    <row r="57" spans="1:31" ht="60.75" customHeight="1">
      <c r="A57" s="114">
        <f t="shared" si="12"/>
        <v>21</v>
      </c>
      <c r="B57" s="36" t="s">
        <v>578</v>
      </c>
      <c r="C57" s="23" t="s">
        <v>73</v>
      </c>
      <c r="D57" s="34" t="s">
        <v>19</v>
      </c>
      <c r="E57" s="23" t="s">
        <v>202</v>
      </c>
      <c r="F57" s="23" t="s">
        <v>36</v>
      </c>
      <c r="G57" s="86"/>
      <c r="H57" s="62"/>
      <c r="I57" s="32"/>
      <c r="J57" s="37"/>
      <c r="K57" s="37"/>
      <c r="L57" s="37"/>
      <c r="M57" s="37"/>
      <c r="N57" s="37"/>
      <c r="O57" s="37"/>
      <c r="P57" s="37"/>
      <c r="Q57" s="37"/>
      <c r="R57" s="32"/>
      <c r="S57" s="32"/>
      <c r="T57" s="37"/>
      <c r="U57" s="37"/>
      <c r="V57" s="80"/>
      <c r="W57" s="37">
        <v>4400</v>
      </c>
      <c r="X57" s="335"/>
      <c r="Y57" s="131"/>
      <c r="Z57" s="22" t="s">
        <v>473</v>
      </c>
      <c r="AA57" s="189" t="s">
        <v>459</v>
      </c>
      <c r="AB57" s="6">
        <f t="shared" si="11"/>
        <v>4400</v>
      </c>
      <c r="AC57" s="6"/>
      <c r="AD57" s="6"/>
      <c r="AE57" s="6"/>
    </row>
    <row r="58" spans="1:31" ht="60.75" customHeight="1">
      <c r="A58" s="114">
        <f t="shared" si="12"/>
        <v>22</v>
      </c>
      <c r="B58" s="36" t="s">
        <v>579</v>
      </c>
      <c r="C58" s="23" t="s">
        <v>287</v>
      </c>
      <c r="D58" s="34" t="s">
        <v>19</v>
      </c>
      <c r="E58" s="23" t="s">
        <v>202</v>
      </c>
      <c r="F58" s="23" t="s">
        <v>36</v>
      </c>
      <c r="G58" s="86"/>
      <c r="H58" s="62"/>
      <c r="I58" s="32"/>
      <c r="J58" s="37"/>
      <c r="K58" s="37"/>
      <c r="L58" s="37"/>
      <c r="M58" s="37"/>
      <c r="N58" s="37"/>
      <c r="O58" s="37"/>
      <c r="P58" s="37"/>
      <c r="Q58" s="37"/>
      <c r="R58" s="32"/>
      <c r="S58" s="32"/>
      <c r="T58" s="37"/>
      <c r="U58" s="37"/>
      <c r="V58" s="80"/>
      <c r="W58" s="37">
        <v>2000</v>
      </c>
      <c r="X58" s="335"/>
      <c r="Y58" s="131"/>
      <c r="Z58" s="22" t="s">
        <v>473</v>
      </c>
      <c r="AA58" s="189" t="s">
        <v>459</v>
      </c>
      <c r="AB58" s="6">
        <f t="shared" si="11"/>
        <v>2000</v>
      </c>
      <c r="AC58" s="6"/>
      <c r="AD58" s="6"/>
      <c r="AE58" s="6"/>
    </row>
    <row r="59" spans="1:31" ht="60.75" customHeight="1">
      <c r="A59" s="114">
        <f t="shared" si="12"/>
        <v>23</v>
      </c>
      <c r="B59" s="36" t="s">
        <v>580</v>
      </c>
      <c r="C59" s="23" t="s">
        <v>73</v>
      </c>
      <c r="D59" s="34" t="s">
        <v>19</v>
      </c>
      <c r="E59" s="23" t="s">
        <v>202</v>
      </c>
      <c r="F59" s="23" t="s">
        <v>36</v>
      </c>
      <c r="G59" s="86"/>
      <c r="H59" s="62"/>
      <c r="I59" s="32"/>
      <c r="J59" s="37"/>
      <c r="K59" s="37"/>
      <c r="L59" s="37"/>
      <c r="M59" s="37"/>
      <c r="N59" s="37"/>
      <c r="O59" s="37"/>
      <c r="P59" s="37"/>
      <c r="Q59" s="37"/>
      <c r="R59" s="32"/>
      <c r="S59" s="32"/>
      <c r="T59" s="37"/>
      <c r="U59" s="37"/>
      <c r="V59" s="80"/>
      <c r="W59" s="37">
        <v>1900</v>
      </c>
      <c r="X59" s="335"/>
      <c r="Y59" s="131"/>
      <c r="Z59" s="22" t="s">
        <v>473</v>
      </c>
      <c r="AA59" s="189" t="s">
        <v>459</v>
      </c>
      <c r="AB59" s="6">
        <f t="shared" si="11"/>
        <v>1900</v>
      </c>
      <c r="AC59" s="6"/>
      <c r="AD59" s="6"/>
      <c r="AE59" s="6"/>
    </row>
    <row r="60" spans="1:31" ht="60.75" customHeight="1">
      <c r="A60" s="114">
        <f t="shared" si="12"/>
        <v>24</v>
      </c>
      <c r="B60" s="36" t="s">
        <v>885</v>
      </c>
      <c r="C60" s="23" t="s">
        <v>95</v>
      </c>
      <c r="D60" s="34" t="s">
        <v>19</v>
      </c>
      <c r="E60" s="23" t="s">
        <v>202</v>
      </c>
      <c r="F60" s="23" t="s">
        <v>36</v>
      </c>
      <c r="G60" s="86"/>
      <c r="H60" s="62"/>
      <c r="I60" s="32"/>
      <c r="J60" s="37"/>
      <c r="K60" s="37"/>
      <c r="L60" s="37"/>
      <c r="M60" s="37"/>
      <c r="N60" s="37"/>
      <c r="O60" s="37"/>
      <c r="P60" s="37"/>
      <c r="Q60" s="37"/>
      <c r="R60" s="32"/>
      <c r="S60" s="32"/>
      <c r="T60" s="37"/>
      <c r="U60" s="37"/>
      <c r="V60" s="80"/>
      <c r="W60" s="37">
        <v>1500</v>
      </c>
      <c r="X60" s="335"/>
      <c r="Y60" s="131"/>
      <c r="Z60" s="22" t="s">
        <v>473</v>
      </c>
      <c r="AA60" s="189" t="s">
        <v>459</v>
      </c>
      <c r="AB60" s="6">
        <f t="shared" si="11"/>
        <v>1500</v>
      </c>
      <c r="AC60" s="6"/>
      <c r="AD60" s="6"/>
      <c r="AE60" s="6"/>
    </row>
    <row r="61" spans="1:31" ht="60.75" customHeight="1">
      <c r="A61" s="114">
        <f t="shared" si="12"/>
        <v>25</v>
      </c>
      <c r="B61" s="36" t="s">
        <v>581</v>
      </c>
      <c r="C61" s="23" t="s">
        <v>315</v>
      </c>
      <c r="D61" s="34" t="s">
        <v>19</v>
      </c>
      <c r="E61" s="23" t="s">
        <v>202</v>
      </c>
      <c r="F61" s="23" t="s">
        <v>36</v>
      </c>
      <c r="G61" s="86"/>
      <c r="H61" s="62"/>
      <c r="I61" s="32"/>
      <c r="J61" s="37"/>
      <c r="K61" s="37"/>
      <c r="L61" s="37"/>
      <c r="M61" s="37"/>
      <c r="N61" s="37"/>
      <c r="O61" s="37"/>
      <c r="P61" s="37"/>
      <c r="Q61" s="37"/>
      <c r="R61" s="32"/>
      <c r="S61" s="32"/>
      <c r="T61" s="37"/>
      <c r="U61" s="37"/>
      <c r="V61" s="80"/>
      <c r="W61" s="37">
        <v>1100</v>
      </c>
      <c r="X61" s="335"/>
      <c r="Y61" s="131"/>
      <c r="Z61" s="22" t="s">
        <v>473</v>
      </c>
      <c r="AA61" s="189" t="s">
        <v>459</v>
      </c>
      <c r="AB61" s="6">
        <f t="shared" si="11"/>
        <v>1100</v>
      </c>
      <c r="AC61" s="6"/>
      <c r="AD61" s="6"/>
      <c r="AE61" s="6"/>
    </row>
    <row r="62" spans="1:31" ht="60.75" customHeight="1">
      <c r="A62" s="114">
        <f t="shared" si="12"/>
        <v>26</v>
      </c>
      <c r="B62" s="36" t="s">
        <v>582</v>
      </c>
      <c r="C62" s="23" t="s">
        <v>18</v>
      </c>
      <c r="D62" s="34" t="s">
        <v>19</v>
      </c>
      <c r="E62" s="23" t="s">
        <v>202</v>
      </c>
      <c r="F62" s="23" t="s">
        <v>36</v>
      </c>
      <c r="G62" s="86"/>
      <c r="H62" s="62"/>
      <c r="I62" s="32"/>
      <c r="J62" s="37"/>
      <c r="K62" s="37"/>
      <c r="L62" s="37"/>
      <c r="M62" s="37"/>
      <c r="N62" s="37"/>
      <c r="O62" s="37"/>
      <c r="P62" s="37"/>
      <c r="Q62" s="37"/>
      <c r="R62" s="32"/>
      <c r="S62" s="32"/>
      <c r="T62" s="37"/>
      <c r="U62" s="37"/>
      <c r="V62" s="80"/>
      <c r="W62" s="37">
        <v>1100</v>
      </c>
      <c r="X62" s="335"/>
      <c r="Y62" s="131"/>
      <c r="Z62" s="22" t="s">
        <v>473</v>
      </c>
      <c r="AA62" s="189" t="s">
        <v>459</v>
      </c>
      <c r="AB62" s="6">
        <f t="shared" si="11"/>
        <v>1100</v>
      </c>
      <c r="AC62" s="6"/>
      <c r="AD62" s="6"/>
      <c r="AE62" s="6"/>
    </row>
    <row r="63" spans="1:31" ht="60.75" customHeight="1">
      <c r="A63" s="114">
        <f t="shared" si="12"/>
        <v>27</v>
      </c>
      <c r="B63" s="36" t="s">
        <v>886</v>
      </c>
      <c r="C63" s="23" t="s">
        <v>18</v>
      </c>
      <c r="D63" s="34" t="s">
        <v>19</v>
      </c>
      <c r="E63" s="23" t="s">
        <v>202</v>
      </c>
      <c r="F63" s="23" t="s">
        <v>36</v>
      </c>
      <c r="G63" s="86"/>
      <c r="H63" s="62"/>
      <c r="I63" s="32"/>
      <c r="J63" s="37"/>
      <c r="K63" s="37"/>
      <c r="L63" s="37"/>
      <c r="M63" s="37"/>
      <c r="N63" s="37"/>
      <c r="O63" s="37"/>
      <c r="P63" s="37"/>
      <c r="Q63" s="37"/>
      <c r="R63" s="32"/>
      <c r="S63" s="32"/>
      <c r="T63" s="37"/>
      <c r="U63" s="37"/>
      <c r="V63" s="80"/>
      <c r="W63" s="37">
        <v>1100</v>
      </c>
      <c r="X63" s="335"/>
      <c r="Y63" s="131"/>
      <c r="Z63" s="22" t="s">
        <v>473</v>
      </c>
      <c r="AA63" s="189" t="s">
        <v>459</v>
      </c>
      <c r="AB63" s="6">
        <f t="shared" si="11"/>
        <v>1100</v>
      </c>
      <c r="AC63" s="6"/>
      <c r="AD63" s="6"/>
      <c r="AE63" s="6"/>
    </row>
    <row r="64" spans="1:31" s="20" customFormat="1" ht="44.25" customHeight="1">
      <c r="A64" s="109" t="s">
        <v>30</v>
      </c>
      <c r="B64" s="110" t="s">
        <v>355</v>
      </c>
      <c r="C64" s="110"/>
      <c r="D64" s="109"/>
      <c r="E64" s="110"/>
      <c r="F64" s="110"/>
      <c r="G64" s="110"/>
      <c r="H64" s="111"/>
      <c r="I64" s="111"/>
      <c r="J64" s="111"/>
      <c r="K64" s="111"/>
      <c r="L64" s="111"/>
      <c r="M64" s="111"/>
      <c r="N64" s="111"/>
      <c r="O64" s="111"/>
      <c r="P64" s="111"/>
      <c r="Q64" s="111"/>
      <c r="R64" s="111"/>
      <c r="S64" s="111"/>
      <c r="T64" s="111"/>
      <c r="U64" s="111"/>
      <c r="V64" s="111"/>
      <c r="W64" s="111">
        <f>SUM(W65:W65)</f>
        <v>50000</v>
      </c>
      <c r="X64" s="335"/>
      <c r="Y64" s="130"/>
      <c r="Z64" s="113"/>
      <c r="AA64" s="113"/>
    </row>
    <row r="65" spans="1:49" ht="59.25" customHeight="1">
      <c r="A65" s="10">
        <v>1</v>
      </c>
      <c r="B65" s="115" t="s">
        <v>426</v>
      </c>
      <c r="C65" s="23" t="s">
        <v>132</v>
      </c>
      <c r="D65" s="185" t="s">
        <v>20</v>
      </c>
      <c r="E65" s="23" t="s">
        <v>282</v>
      </c>
      <c r="F65" s="23" t="s">
        <v>36</v>
      </c>
      <c r="G65" s="86" t="s">
        <v>427</v>
      </c>
      <c r="W65" s="54">
        <v>50000</v>
      </c>
      <c r="X65" s="335"/>
      <c r="Z65" s="22" t="s">
        <v>473</v>
      </c>
      <c r="AA65" s="189" t="s">
        <v>460</v>
      </c>
      <c r="AB65" s="6">
        <f t="shared" si="11"/>
        <v>50000</v>
      </c>
    </row>
    <row r="66" spans="1:49" s="20" customFormat="1" ht="44.25" customHeight="1">
      <c r="A66" s="109" t="s">
        <v>94</v>
      </c>
      <c r="B66" s="110" t="s">
        <v>65</v>
      </c>
      <c r="C66" s="110"/>
      <c r="D66" s="109"/>
      <c r="E66" s="110"/>
      <c r="F66" s="110"/>
      <c r="G66" s="110"/>
      <c r="H66" s="111"/>
      <c r="I66" s="111"/>
      <c r="J66" s="111"/>
      <c r="K66" s="111"/>
      <c r="L66" s="111"/>
      <c r="M66" s="111"/>
      <c r="N66" s="111"/>
      <c r="O66" s="111"/>
      <c r="P66" s="111"/>
      <c r="Q66" s="111"/>
      <c r="R66" s="111"/>
      <c r="S66" s="111"/>
      <c r="T66" s="111"/>
      <c r="U66" s="111"/>
      <c r="V66" s="111"/>
      <c r="W66" s="111">
        <f>SUM(W67:W73)</f>
        <v>31000</v>
      </c>
      <c r="X66" s="335"/>
      <c r="Y66" s="130"/>
      <c r="Z66" s="113"/>
      <c r="AA66" s="113"/>
    </row>
    <row r="67" spans="1:49" ht="72" customHeight="1">
      <c r="A67" s="114">
        <v>1</v>
      </c>
      <c r="B67" s="36" t="s">
        <v>180</v>
      </c>
      <c r="C67" s="23" t="s">
        <v>158</v>
      </c>
      <c r="D67" s="34" t="s">
        <v>19</v>
      </c>
      <c r="E67" s="23" t="s">
        <v>277</v>
      </c>
      <c r="F67" s="23" t="s">
        <v>36</v>
      </c>
      <c r="G67" s="86"/>
      <c r="H67" s="62"/>
      <c r="I67" s="32"/>
      <c r="J67" s="37"/>
      <c r="K67" s="37"/>
      <c r="L67" s="37"/>
      <c r="M67" s="37"/>
      <c r="N67" s="37"/>
      <c r="O67" s="37"/>
      <c r="P67" s="37"/>
      <c r="Q67" s="37"/>
      <c r="R67" s="32"/>
      <c r="S67" s="32"/>
      <c r="T67" s="37"/>
      <c r="U67" s="37"/>
      <c r="V67" s="80"/>
      <c r="W67" s="37">
        <v>3300</v>
      </c>
      <c r="X67" s="335"/>
      <c r="Y67" s="131"/>
      <c r="Z67" s="22" t="s">
        <v>473</v>
      </c>
      <c r="AA67" s="189" t="s">
        <v>461</v>
      </c>
      <c r="AB67" s="6">
        <f t="shared" si="11"/>
        <v>3300</v>
      </c>
      <c r="AC67" s="6"/>
      <c r="AD67" s="6"/>
      <c r="AE67" s="6"/>
    </row>
    <row r="68" spans="1:49" ht="72" customHeight="1">
      <c r="A68" s="114">
        <f t="shared" ref="A68:A73" si="13">+A67+1</f>
        <v>2</v>
      </c>
      <c r="B68" s="36" t="s">
        <v>207</v>
      </c>
      <c r="C68" s="23" t="s">
        <v>189</v>
      </c>
      <c r="D68" s="34" t="s">
        <v>19</v>
      </c>
      <c r="E68" s="23" t="s">
        <v>208</v>
      </c>
      <c r="F68" s="23" t="s">
        <v>36</v>
      </c>
      <c r="G68" s="86"/>
      <c r="H68" s="62"/>
      <c r="I68" s="32"/>
      <c r="J68" s="37"/>
      <c r="K68" s="37"/>
      <c r="L68" s="37"/>
      <c r="M68" s="37"/>
      <c r="N68" s="37"/>
      <c r="O68" s="37"/>
      <c r="P68" s="37"/>
      <c r="Q68" s="37"/>
      <c r="R68" s="32"/>
      <c r="S68" s="32"/>
      <c r="T68" s="37"/>
      <c r="U68" s="37"/>
      <c r="V68" s="80"/>
      <c r="W68" s="37">
        <v>2800</v>
      </c>
      <c r="X68" s="335"/>
      <c r="Y68" s="131"/>
      <c r="Z68" s="22" t="s">
        <v>473</v>
      </c>
      <c r="AA68" s="189" t="s">
        <v>461</v>
      </c>
      <c r="AB68" s="6">
        <f t="shared" si="11"/>
        <v>2800</v>
      </c>
      <c r="AC68" s="6"/>
      <c r="AD68" s="6"/>
      <c r="AE68" s="6"/>
    </row>
    <row r="69" spans="1:49" ht="72" customHeight="1">
      <c r="A69" s="114">
        <f t="shared" si="13"/>
        <v>3</v>
      </c>
      <c r="B69" s="36" t="s">
        <v>209</v>
      </c>
      <c r="C69" s="23" t="s">
        <v>189</v>
      </c>
      <c r="D69" s="34" t="s">
        <v>19</v>
      </c>
      <c r="E69" s="23" t="s">
        <v>177</v>
      </c>
      <c r="F69" s="23" t="s">
        <v>36</v>
      </c>
      <c r="G69" s="86"/>
      <c r="H69" s="62"/>
      <c r="I69" s="32"/>
      <c r="J69" s="37"/>
      <c r="K69" s="37"/>
      <c r="L69" s="37"/>
      <c r="M69" s="37"/>
      <c r="N69" s="37"/>
      <c r="O69" s="37"/>
      <c r="P69" s="37"/>
      <c r="Q69" s="37"/>
      <c r="R69" s="32"/>
      <c r="S69" s="32"/>
      <c r="T69" s="37"/>
      <c r="U69" s="37"/>
      <c r="V69" s="80"/>
      <c r="W69" s="37">
        <v>1500</v>
      </c>
      <c r="X69" s="335"/>
      <c r="Y69" s="131"/>
      <c r="Z69" s="22" t="s">
        <v>473</v>
      </c>
      <c r="AA69" s="189" t="s">
        <v>461</v>
      </c>
      <c r="AB69" s="6">
        <f t="shared" si="11"/>
        <v>1500</v>
      </c>
      <c r="AC69" s="6"/>
      <c r="AD69" s="6"/>
      <c r="AE69" s="6"/>
    </row>
    <row r="70" spans="1:49" ht="84.75" customHeight="1">
      <c r="A70" s="114">
        <f t="shared" si="13"/>
        <v>4</v>
      </c>
      <c r="B70" s="183" t="s">
        <v>844</v>
      </c>
      <c r="C70" s="28" t="s">
        <v>215</v>
      </c>
      <c r="D70" s="28" t="s">
        <v>19</v>
      </c>
      <c r="E70" s="28" t="s">
        <v>206</v>
      </c>
      <c r="F70" s="28" t="s">
        <v>36</v>
      </c>
      <c r="G70" s="86"/>
      <c r="H70" s="62"/>
      <c r="I70" s="32"/>
      <c r="J70" s="37"/>
      <c r="K70" s="37"/>
      <c r="L70" s="37"/>
      <c r="M70" s="37"/>
      <c r="N70" s="37"/>
      <c r="O70" s="37"/>
      <c r="P70" s="37"/>
      <c r="Q70" s="37"/>
      <c r="R70" s="32"/>
      <c r="S70" s="32"/>
      <c r="T70" s="37"/>
      <c r="U70" s="37"/>
      <c r="V70" s="80"/>
      <c r="W70" s="37">
        <v>1000</v>
      </c>
      <c r="X70" s="335"/>
      <c r="Y70" s="131"/>
      <c r="Z70" s="22" t="s">
        <v>473</v>
      </c>
      <c r="AA70" s="189" t="s">
        <v>461</v>
      </c>
      <c r="AB70" s="6">
        <f t="shared" si="11"/>
        <v>1000</v>
      </c>
      <c r="AC70" s="6"/>
      <c r="AD70" s="6"/>
      <c r="AE70" s="6"/>
    </row>
    <row r="71" spans="1:49" ht="75.75" customHeight="1">
      <c r="A71" s="114">
        <f t="shared" si="13"/>
        <v>5</v>
      </c>
      <c r="B71" s="183" t="s">
        <v>235</v>
      </c>
      <c r="C71" s="28" t="s">
        <v>216</v>
      </c>
      <c r="D71" s="28" t="s">
        <v>19</v>
      </c>
      <c r="E71" s="28" t="s">
        <v>208</v>
      </c>
      <c r="F71" s="28" t="s">
        <v>36</v>
      </c>
      <c r="G71" s="86"/>
      <c r="H71" s="62"/>
      <c r="I71" s="32"/>
      <c r="J71" s="37"/>
      <c r="K71" s="37"/>
      <c r="L71" s="37"/>
      <c r="M71" s="37"/>
      <c r="N71" s="37"/>
      <c r="O71" s="37"/>
      <c r="P71" s="37"/>
      <c r="Q71" s="37"/>
      <c r="R71" s="32"/>
      <c r="S71" s="32"/>
      <c r="T71" s="37"/>
      <c r="U71" s="37"/>
      <c r="V71" s="80"/>
      <c r="W71" s="37">
        <v>3100</v>
      </c>
      <c r="X71" s="335"/>
      <c r="Y71" s="131"/>
      <c r="Z71" s="22" t="s">
        <v>473</v>
      </c>
      <c r="AA71" s="189" t="s">
        <v>461</v>
      </c>
      <c r="AB71" s="6">
        <f t="shared" si="11"/>
        <v>3100</v>
      </c>
      <c r="AC71" s="6"/>
      <c r="AD71" s="6"/>
      <c r="AE71" s="6"/>
    </row>
    <row r="72" spans="1:49" ht="78.75" customHeight="1">
      <c r="A72" s="114">
        <f t="shared" si="13"/>
        <v>6</v>
      </c>
      <c r="B72" s="36" t="s">
        <v>882</v>
      </c>
      <c r="C72" s="23" t="s">
        <v>748</v>
      </c>
      <c r="D72" s="34" t="s">
        <v>20</v>
      </c>
      <c r="E72" s="23" t="s">
        <v>750</v>
      </c>
      <c r="F72" s="23" t="s">
        <v>749</v>
      </c>
      <c r="G72" s="86"/>
      <c r="H72" s="62"/>
      <c r="I72" s="32"/>
      <c r="J72" s="37"/>
      <c r="K72" s="37"/>
      <c r="L72" s="37"/>
      <c r="M72" s="37"/>
      <c r="N72" s="37"/>
      <c r="O72" s="37"/>
      <c r="P72" s="37"/>
      <c r="Q72" s="37"/>
      <c r="R72" s="32"/>
      <c r="S72" s="32"/>
      <c r="T72" s="37"/>
      <c r="U72" s="37"/>
      <c r="V72" s="80"/>
      <c r="W72" s="37">
        <v>15000</v>
      </c>
      <c r="X72" s="335"/>
      <c r="Y72" s="131"/>
      <c r="Z72" s="22" t="s">
        <v>473</v>
      </c>
      <c r="AA72" s="189" t="s">
        <v>461</v>
      </c>
      <c r="AB72" s="6">
        <f t="shared" si="11"/>
        <v>15000</v>
      </c>
      <c r="AC72" s="6"/>
      <c r="AD72" s="6"/>
      <c r="AE72" s="6"/>
    </row>
    <row r="73" spans="1:49" ht="78.75" customHeight="1">
      <c r="A73" s="114">
        <f t="shared" si="13"/>
        <v>7</v>
      </c>
      <c r="B73" s="187" t="s">
        <v>715</v>
      </c>
      <c r="C73" s="89" t="s">
        <v>747</v>
      </c>
      <c r="D73" s="163" t="s">
        <v>19</v>
      </c>
      <c r="E73" s="186" t="s">
        <v>422</v>
      </c>
      <c r="F73" s="163" t="s">
        <v>391</v>
      </c>
      <c r="G73" s="86"/>
      <c r="H73" s="62"/>
      <c r="I73" s="32"/>
      <c r="J73" s="37"/>
      <c r="K73" s="37"/>
      <c r="L73" s="37"/>
      <c r="M73" s="37"/>
      <c r="N73" s="37"/>
      <c r="O73" s="37"/>
      <c r="P73" s="37"/>
      <c r="Q73" s="37"/>
      <c r="R73" s="32"/>
      <c r="S73" s="32"/>
      <c r="T73" s="37"/>
      <c r="U73" s="37"/>
      <c r="V73" s="80"/>
      <c r="W73" s="37">
        <v>4300</v>
      </c>
      <c r="X73" s="335"/>
      <c r="Y73" s="131"/>
      <c r="Z73" s="22" t="s">
        <v>473</v>
      </c>
      <c r="AA73" s="189" t="s">
        <v>461</v>
      </c>
      <c r="AB73" s="6">
        <f t="shared" si="11"/>
        <v>4300</v>
      </c>
      <c r="AC73" s="6"/>
      <c r="AD73" s="6"/>
      <c r="AE73" s="6"/>
    </row>
    <row r="74" spans="1:49" s="20" customFormat="1" ht="44.25" customHeight="1">
      <c r="A74" s="109" t="s">
        <v>97</v>
      </c>
      <c r="B74" s="110" t="s">
        <v>381</v>
      </c>
      <c r="C74" s="110"/>
      <c r="D74" s="109"/>
      <c r="E74" s="110"/>
      <c r="F74" s="110"/>
      <c r="G74" s="110"/>
      <c r="H74" s="111"/>
      <c r="I74" s="111"/>
      <c r="J74" s="111"/>
      <c r="K74" s="111"/>
      <c r="L74" s="111"/>
      <c r="M74" s="111"/>
      <c r="N74" s="111"/>
      <c r="O74" s="111"/>
      <c r="P74" s="111"/>
      <c r="Q74" s="111"/>
      <c r="R74" s="111"/>
      <c r="S74" s="111"/>
      <c r="T74" s="111"/>
      <c r="U74" s="111"/>
      <c r="V74" s="111"/>
      <c r="W74" s="111">
        <f>SUM(W75:W75)</f>
        <v>12000</v>
      </c>
      <c r="X74" s="335"/>
      <c r="Y74" s="130"/>
      <c r="Z74" s="113"/>
      <c r="AA74" s="113"/>
    </row>
    <row r="75" spans="1:49" ht="60.75" customHeight="1">
      <c r="A75" s="114">
        <v>1</v>
      </c>
      <c r="B75" s="36" t="s">
        <v>386</v>
      </c>
      <c r="C75" s="23" t="s">
        <v>382</v>
      </c>
      <c r="D75" s="34" t="s">
        <v>19</v>
      </c>
      <c r="E75" s="23" t="s">
        <v>384</v>
      </c>
      <c r="F75" s="23" t="s">
        <v>36</v>
      </c>
      <c r="G75" s="86"/>
      <c r="H75" s="62"/>
      <c r="I75" s="32"/>
      <c r="J75" s="37"/>
      <c r="K75" s="37"/>
      <c r="L75" s="37"/>
      <c r="M75" s="37"/>
      <c r="N75" s="37"/>
      <c r="O75" s="37"/>
      <c r="P75" s="37"/>
      <c r="Q75" s="37"/>
      <c r="R75" s="32"/>
      <c r="S75" s="32"/>
      <c r="T75" s="37"/>
      <c r="U75" s="37"/>
      <c r="V75" s="80"/>
      <c r="W75" s="37">
        <v>12000</v>
      </c>
      <c r="X75" s="335"/>
      <c r="Y75" s="131"/>
      <c r="Z75" s="22" t="s">
        <v>473</v>
      </c>
      <c r="AA75" s="189" t="s">
        <v>462</v>
      </c>
      <c r="AB75" s="6">
        <f t="shared" si="11"/>
        <v>12000</v>
      </c>
      <c r="AC75" s="6"/>
      <c r="AD75" s="6"/>
      <c r="AE75" s="6"/>
    </row>
    <row r="76" spans="1:49" s="20" customFormat="1" ht="44.25" customHeight="1">
      <c r="A76" s="109" t="s">
        <v>324</v>
      </c>
      <c r="B76" s="16" t="s">
        <v>278</v>
      </c>
      <c r="C76" s="110"/>
      <c r="D76" s="109"/>
      <c r="E76" s="110"/>
      <c r="F76" s="110"/>
      <c r="G76" s="110"/>
      <c r="H76" s="111"/>
      <c r="I76" s="111"/>
      <c r="J76" s="111"/>
      <c r="K76" s="111"/>
      <c r="L76" s="111"/>
      <c r="M76" s="111"/>
      <c r="N76" s="111"/>
      <c r="O76" s="111"/>
      <c r="P76" s="111"/>
      <c r="Q76" s="111"/>
      <c r="R76" s="111"/>
      <c r="S76" s="111"/>
      <c r="T76" s="111"/>
      <c r="U76" s="111"/>
      <c r="V76" s="111"/>
      <c r="W76" s="111">
        <f>SUM(W77:W77)</f>
        <v>3000</v>
      </c>
      <c r="X76" s="335"/>
      <c r="Y76" s="130"/>
      <c r="Z76" s="113"/>
      <c r="AA76" s="113"/>
    </row>
    <row r="77" spans="1:49" ht="60.75" customHeight="1">
      <c r="A77" s="114">
        <v>1</v>
      </c>
      <c r="B77" s="36" t="s">
        <v>271</v>
      </c>
      <c r="C77" s="23" t="s">
        <v>272</v>
      </c>
      <c r="D77" s="34" t="s">
        <v>19</v>
      </c>
      <c r="E77" s="23" t="s">
        <v>273</v>
      </c>
      <c r="F77" s="23" t="s">
        <v>36</v>
      </c>
      <c r="G77" s="86"/>
      <c r="H77" s="62"/>
      <c r="I77" s="32"/>
      <c r="J77" s="37"/>
      <c r="K77" s="37"/>
      <c r="L77" s="37"/>
      <c r="M77" s="37"/>
      <c r="N77" s="37"/>
      <c r="O77" s="37"/>
      <c r="P77" s="37"/>
      <c r="Q77" s="37"/>
      <c r="R77" s="32"/>
      <c r="S77" s="32"/>
      <c r="T77" s="37"/>
      <c r="U77" s="37"/>
      <c r="V77" s="80"/>
      <c r="W77" s="37">
        <v>3000</v>
      </c>
      <c r="X77" s="335"/>
      <c r="Y77" s="131"/>
      <c r="Z77" s="22" t="s">
        <v>473</v>
      </c>
      <c r="AA77" s="22" t="s">
        <v>464</v>
      </c>
      <c r="AB77" s="6">
        <f t="shared" si="11"/>
        <v>3000</v>
      </c>
      <c r="AC77" s="6"/>
      <c r="AD77" s="6"/>
      <c r="AE77" s="6"/>
    </row>
    <row r="78" spans="1:49" s="18" customFormat="1" ht="60" customHeight="1">
      <c r="A78" s="13" t="s">
        <v>19</v>
      </c>
      <c r="B78" s="26" t="s">
        <v>507</v>
      </c>
      <c r="C78" s="13"/>
      <c r="D78" s="13"/>
      <c r="E78" s="13"/>
      <c r="F78" s="13"/>
      <c r="G78" s="13"/>
      <c r="H78" s="8"/>
      <c r="I78" s="8"/>
      <c r="J78" s="8"/>
      <c r="K78" s="8"/>
      <c r="L78" s="8"/>
      <c r="M78" s="8"/>
      <c r="N78" s="8"/>
      <c r="O78" s="8"/>
      <c r="P78" s="8"/>
      <c r="Q78" s="8"/>
      <c r="R78" s="8"/>
      <c r="S78" s="8"/>
      <c r="T78" s="8"/>
      <c r="U78" s="8"/>
      <c r="V78" s="8"/>
      <c r="W78" s="8">
        <f>SUM(W79)</f>
        <v>11900</v>
      </c>
      <c r="X78" s="196" t="s">
        <v>928</v>
      </c>
      <c r="Y78" s="211"/>
      <c r="Z78" s="189"/>
      <c r="AA78" s="189"/>
      <c r="AB78" s="179"/>
      <c r="AC78" s="179"/>
      <c r="AD78" s="179"/>
      <c r="AE78" s="179"/>
      <c r="AF78" s="179"/>
      <c r="AG78" s="179"/>
      <c r="AH78" s="179"/>
      <c r="AI78" s="179"/>
      <c r="AJ78" s="179"/>
      <c r="AK78" s="179"/>
      <c r="AL78" s="179"/>
      <c r="AM78" s="179"/>
      <c r="AN78" s="179"/>
      <c r="AO78" s="179"/>
      <c r="AP78" s="179"/>
      <c r="AQ78" s="179"/>
      <c r="AR78" s="179"/>
      <c r="AS78" s="179"/>
      <c r="AT78" s="179"/>
      <c r="AU78" s="179"/>
      <c r="AV78" s="179"/>
      <c r="AW78" s="179"/>
    </row>
    <row r="79" spans="1:49" s="20" customFormat="1" ht="44.25" customHeight="1">
      <c r="A79" s="109" t="s">
        <v>17</v>
      </c>
      <c r="B79" s="110" t="s">
        <v>355</v>
      </c>
      <c r="C79" s="110"/>
      <c r="D79" s="109"/>
      <c r="E79" s="110"/>
      <c r="F79" s="110"/>
      <c r="G79" s="110"/>
      <c r="H79" s="111"/>
      <c r="I79" s="111"/>
      <c r="J79" s="111"/>
      <c r="K79" s="111"/>
      <c r="L79" s="111"/>
      <c r="M79" s="111"/>
      <c r="N79" s="111"/>
      <c r="O79" s="111"/>
      <c r="P79" s="111"/>
      <c r="Q79" s="111"/>
      <c r="R79" s="111"/>
      <c r="S79" s="111"/>
      <c r="T79" s="111"/>
      <c r="U79" s="111"/>
      <c r="V79" s="111"/>
      <c r="W79" s="111">
        <f>SUM(W80:W89)</f>
        <v>11900</v>
      </c>
      <c r="X79" s="112"/>
      <c r="Y79" s="130"/>
      <c r="Z79" s="113"/>
      <c r="AA79" s="113"/>
    </row>
    <row r="80" spans="1:49" ht="61.5" customHeight="1">
      <c r="A80" s="10">
        <v>1</v>
      </c>
      <c r="B80" s="115" t="s">
        <v>590</v>
      </c>
      <c r="C80" s="10" t="s">
        <v>591</v>
      </c>
      <c r="D80" s="185" t="s">
        <v>19</v>
      </c>
      <c r="E80" s="10" t="s">
        <v>492</v>
      </c>
      <c r="F80" s="10" t="s">
        <v>391</v>
      </c>
      <c r="G80" s="17" t="s">
        <v>391</v>
      </c>
      <c r="H80" s="17"/>
      <c r="I80" s="17"/>
      <c r="J80" s="17"/>
      <c r="K80" s="17"/>
      <c r="L80" s="17"/>
      <c r="M80" s="17"/>
      <c r="N80" s="17"/>
      <c r="O80" s="17"/>
      <c r="P80" s="17"/>
      <c r="Q80" s="17"/>
      <c r="R80" s="17"/>
      <c r="S80" s="17"/>
      <c r="T80" s="17"/>
      <c r="U80" s="17"/>
      <c r="V80" s="17"/>
      <c r="W80" s="70">
        <v>3500</v>
      </c>
      <c r="X80" s="17"/>
      <c r="Z80" s="22" t="s">
        <v>473</v>
      </c>
      <c r="AA80" s="22" t="s">
        <v>460</v>
      </c>
      <c r="AB80" s="6">
        <f t="shared" ref="AB80:AB89" si="14">W80</f>
        <v>3500</v>
      </c>
    </row>
    <row r="81" spans="1:49" ht="61.5" customHeight="1">
      <c r="A81" s="10">
        <f>+A80+1</f>
        <v>2</v>
      </c>
      <c r="B81" s="115" t="s">
        <v>1054</v>
      </c>
      <c r="C81" s="10" t="s">
        <v>263</v>
      </c>
      <c r="D81" s="185" t="s">
        <v>19</v>
      </c>
      <c r="E81" s="10" t="s">
        <v>492</v>
      </c>
      <c r="F81" s="10" t="s">
        <v>391</v>
      </c>
      <c r="G81" s="17"/>
      <c r="H81" s="17"/>
      <c r="I81" s="17"/>
      <c r="J81" s="17"/>
      <c r="K81" s="17"/>
      <c r="L81" s="17"/>
      <c r="M81" s="17"/>
      <c r="N81" s="17"/>
      <c r="O81" s="17"/>
      <c r="P81" s="17"/>
      <c r="Q81" s="17"/>
      <c r="R81" s="17"/>
      <c r="S81" s="17"/>
      <c r="T81" s="17"/>
      <c r="U81" s="17"/>
      <c r="V81" s="17"/>
      <c r="W81" s="70">
        <v>3500</v>
      </c>
      <c r="X81" s="17"/>
      <c r="Z81" s="22" t="s">
        <v>473</v>
      </c>
      <c r="AA81" s="22" t="s">
        <v>460</v>
      </c>
      <c r="AB81" s="6">
        <f t="shared" si="14"/>
        <v>3500</v>
      </c>
    </row>
    <row r="82" spans="1:49" ht="97.5" customHeight="1">
      <c r="A82" s="10">
        <f t="shared" ref="A82:A89" si="15">+A81+1</f>
        <v>3</v>
      </c>
      <c r="B82" s="115" t="s">
        <v>592</v>
      </c>
      <c r="C82" s="10" t="s">
        <v>593</v>
      </c>
      <c r="D82" s="185" t="s">
        <v>19</v>
      </c>
      <c r="E82" s="10" t="s">
        <v>492</v>
      </c>
      <c r="F82" s="10" t="s">
        <v>391</v>
      </c>
      <c r="G82" s="17" t="s">
        <v>391</v>
      </c>
      <c r="H82" s="17"/>
      <c r="I82" s="17"/>
      <c r="J82" s="17"/>
      <c r="K82" s="17"/>
      <c r="L82" s="17"/>
      <c r="M82" s="17"/>
      <c r="N82" s="17"/>
      <c r="O82" s="17"/>
      <c r="P82" s="17"/>
      <c r="Q82" s="17"/>
      <c r="R82" s="17"/>
      <c r="S82" s="17"/>
      <c r="T82" s="17"/>
      <c r="U82" s="17"/>
      <c r="V82" s="17"/>
      <c r="W82" s="70">
        <v>600</v>
      </c>
      <c r="X82" s="17"/>
      <c r="Z82" s="22" t="s">
        <v>473</v>
      </c>
      <c r="AA82" s="22" t="s">
        <v>460</v>
      </c>
      <c r="AB82" s="6">
        <f t="shared" si="14"/>
        <v>600</v>
      </c>
    </row>
    <row r="83" spans="1:49" ht="63.75" customHeight="1">
      <c r="A83" s="10">
        <f t="shared" si="15"/>
        <v>4</v>
      </c>
      <c r="B83" s="115" t="s">
        <v>691</v>
      </c>
      <c r="C83" s="10" t="s">
        <v>594</v>
      </c>
      <c r="D83" s="185" t="s">
        <v>19</v>
      </c>
      <c r="E83" s="10" t="s">
        <v>492</v>
      </c>
      <c r="F83" s="10" t="s">
        <v>391</v>
      </c>
      <c r="G83" s="17" t="s">
        <v>391</v>
      </c>
      <c r="H83" s="17"/>
      <c r="I83" s="17"/>
      <c r="J83" s="17"/>
      <c r="K83" s="17"/>
      <c r="L83" s="17"/>
      <c r="M83" s="17"/>
      <c r="N83" s="17"/>
      <c r="O83" s="17"/>
      <c r="P83" s="17"/>
      <c r="Q83" s="17"/>
      <c r="R83" s="17"/>
      <c r="S83" s="17"/>
      <c r="T83" s="17"/>
      <c r="U83" s="17"/>
      <c r="V83" s="17"/>
      <c r="W83" s="70">
        <v>700</v>
      </c>
      <c r="X83" s="17"/>
      <c r="Z83" s="22" t="s">
        <v>473</v>
      </c>
      <c r="AA83" s="22" t="s">
        <v>460</v>
      </c>
      <c r="AB83" s="6">
        <f t="shared" si="14"/>
        <v>700</v>
      </c>
    </row>
    <row r="84" spans="1:49" ht="63.75" customHeight="1">
      <c r="A84" s="10">
        <f t="shared" si="15"/>
        <v>5</v>
      </c>
      <c r="B84" s="115" t="s">
        <v>595</v>
      </c>
      <c r="C84" s="10" t="s">
        <v>596</v>
      </c>
      <c r="D84" s="185" t="s">
        <v>19</v>
      </c>
      <c r="E84" s="10" t="s">
        <v>492</v>
      </c>
      <c r="F84" s="10" t="s">
        <v>391</v>
      </c>
      <c r="G84" s="17" t="s">
        <v>391</v>
      </c>
      <c r="H84" s="17"/>
      <c r="I84" s="17"/>
      <c r="J84" s="17"/>
      <c r="K84" s="17"/>
      <c r="L84" s="17"/>
      <c r="M84" s="17"/>
      <c r="N84" s="17"/>
      <c r="O84" s="17"/>
      <c r="P84" s="17"/>
      <c r="Q84" s="17"/>
      <c r="R84" s="17"/>
      <c r="S84" s="17"/>
      <c r="T84" s="17"/>
      <c r="U84" s="17"/>
      <c r="V84" s="17"/>
      <c r="W84" s="70">
        <v>600</v>
      </c>
      <c r="X84" s="17"/>
      <c r="Z84" s="22" t="s">
        <v>473</v>
      </c>
      <c r="AA84" s="22" t="s">
        <v>460</v>
      </c>
      <c r="AB84" s="6">
        <f t="shared" si="14"/>
        <v>600</v>
      </c>
    </row>
    <row r="85" spans="1:49" ht="63.75" customHeight="1">
      <c r="A85" s="10">
        <f t="shared" si="15"/>
        <v>6</v>
      </c>
      <c r="B85" s="115" t="s">
        <v>1055</v>
      </c>
      <c r="C85" s="10" t="s">
        <v>1056</v>
      </c>
      <c r="D85" s="185" t="s">
        <v>19</v>
      </c>
      <c r="E85" s="10" t="s">
        <v>492</v>
      </c>
      <c r="F85" s="10" t="s">
        <v>391</v>
      </c>
      <c r="G85" s="17"/>
      <c r="H85" s="17"/>
      <c r="I85" s="17"/>
      <c r="J85" s="17"/>
      <c r="K85" s="17"/>
      <c r="L85" s="17"/>
      <c r="M85" s="17"/>
      <c r="N85" s="17"/>
      <c r="O85" s="17"/>
      <c r="P85" s="17"/>
      <c r="Q85" s="17"/>
      <c r="R85" s="17"/>
      <c r="S85" s="17"/>
      <c r="T85" s="17"/>
      <c r="U85" s="17"/>
      <c r="V85" s="17"/>
      <c r="W85" s="70">
        <v>600</v>
      </c>
      <c r="X85" s="17"/>
      <c r="Z85" s="22" t="s">
        <v>473</v>
      </c>
      <c r="AA85" s="22" t="s">
        <v>460</v>
      </c>
      <c r="AB85" s="6">
        <f t="shared" si="14"/>
        <v>600</v>
      </c>
    </row>
    <row r="86" spans="1:49" ht="63.75" customHeight="1">
      <c r="A86" s="10">
        <f t="shared" si="15"/>
        <v>7</v>
      </c>
      <c r="B86" s="115" t="s">
        <v>1057</v>
      </c>
      <c r="C86" s="10" t="s">
        <v>1058</v>
      </c>
      <c r="D86" s="185" t="s">
        <v>19</v>
      </c>
      <c r="E86" s="10" t="s">
        <v>492</v>
      </c>
      <c r="F86" s="10" t="s">
        <v>391</v>
      </c>
      <c r="G86" s="17"/>
      <c r="H86" s="17"/>
      <c r="I86" s="17"/>
      <c r="J86" s="17"/>
      <c r="K86" s="17"/>
      <c r="L86" s="17"/>
      <c r="M86" s="17"/>
      <c r="N86" s="17"/>
      <c r="O86" s="17"/>
      <c r="P86" s="17"/>
      <c r="Q86" s="17"/>
      <c r="R86" s="17"/>
      <c r="S86" s="17"/>
      <c r="T86" s="17"/>
      <c r="U86" s="17"/>
      <c r="V86" s="17"/>
      <c r="W86" s="70">
        <v>600</v>
      </c>
      <c r="X86" s="17"/>
      <c r="Z86" s="22" t="s">
        <v>473</v>
      </c>
      <c r="AA86" s="22" t="s">
        <v>460</v>
      </c>
      <c r="AB86" s="6">
        <f t="shared" si="14"/>
        <v>600</v>
      </c>
    </row>
    <row r="87" spans="1:49" ht="63.75" customHeight="1">
      <c r="A87" s="10">
        <f t="shared" si="15"/>
        <v>8</v>
      </c>
      <c r="B87" s="115" t="s">
        <v>1059</v>
      </c>
      <c r="C87" s="10" t="s">
        <v>1060</v>
      </c>
      <c r="D87" s="185" t="s">
        <v>19</v>
      </c>
      <c r="E87" s="10" t="s">
        <v>492</v>
      </c>
      <c r="F87" s="10" t="s">
        <v>391</v>
      </c>
      <c r="G87" s="17"/>
      <c r="H87" s="17"/>
      <c r="I87" s="17"/>
      <c r="J87" s="17"/>
      <c r="K87" s="17"/>
      <c r="L87" s="17"/>
      <c r="M87" s="17"/>
      <c r="N87" s="17"/>
      <c r="O87" s="17"/>
      <c r="P87" s="17"/>
      <c r="Q87" s="17"/>
      <c r="R87" s="17"/>
      <c r="S87" s="17"/>
      <c r="T87" s="17"/>
      <c r="U87" s="17"/>
      <c r="V87" s="17"/>
      <c r="W87" s="70">
        <v>600</v>
      </c>
      <c r="X87" s="17"/>
      <c r="Z87" s="22" t="s">
        <v>473</v>
      </c>
      <c r="AA87" s="22" t="s">
        <v>460</v>
      </c>
      <c r="AB87" s="6">
        <f t="shared" si="14"/>
        <v>600</v>
      </c>
    </row>
    <row r="88" spans="1:49" ht="63.75" customHeight="1">
      <c r="A88" s="10">
        <f t="shared" si="15"/>
        <v>9</v>
      </c>
      <c r="B88" s="115" t="s">
        <v>612</v>
      </c>
      <c r="C88" s="10" t="s">
        <v>613</v>
      </c>
      <c r="D88" s="185" t="s">
        <v>19</v>
      </c>
      <c r="E88" s="10" t="s">
        <v>492</v>
      </c>
      <c r="F88" s="10" t="s">
        <v>391</v>
      </c>
      <c r="G88" s="17"/>
      <c r="H88" s="17"/>
      <c r="I88" s="17"/>
      <c r="J88" s="17"/>
      <c r="K88" s="17"/>
      <c r="L88" s="17"/>
      <c r="M88" s="17"/>
      <c r="N88" s="17"/>
      <c r="O88" s="17"/>
      <c r="P88" s="17"/>
      <c r="Q88" s="17"/>
      <c r="R88" s="17"/>
      <c r="S88" s="17"/>
      <c r="T88" s="17"/>
      <c r="U88" s="17"/>
      <c r="V88" s="17"/>
      <c r="W88" s="70">
        <v>600</v>
      </c>
      <c r="X88" s="17"/>
      <c r="Z88" s="22" t="s">
        <v>473</v>
      </c>
      <c r="AA88" s="22" t="s">
        <v>460</v>
      </c>
      <c r="AB88" s="6">
        <f t="shared" si="14"/>
        <v>600</v>
      </c>
    </row>
    <row r="89" spans="1:49" ht="63.75" customHeight="1">
      <c r="A89" s="10">
        <f t="shared" si="15"/>
        <v>10</v>
      </c>
      <c r="B89" s="115" t="s">
        <v>617</v>
      </c>
      <c r="C89" s="10" t="s">
        <v>618</v>
      </c>
      <c r="D89" s="185" t="s">
        <v>19</v>
      </c>
      <c r="E89" s="10" t="s">
        <v>492</v>
      </c>
      <c r="F89" s="10" t="s">
        <v>391</v>
      </c>
      <c r="G89" s="17"/>
      <c r="H89" s="17"/>
      <c r="I89" s="17"/>
      <c r="J89" s="17"/>
      <c r="K89" s="17"/>
      <c r="L89" s="17"/>
      <c r="M89" s="17"/>
      <c r="N89" s="17"/>
      <c r="O89" s="17"/>
      <c r="P89" s="17"/>
      <c r="Q89" s="17"/>
      <c r="R89" s="17"/>
      <c r="S89" s="17"/>
      <c r="T89" s="17"/>
      <c r="U89" s="17"/>
      <c r="V89" s="17"/>
      <c r="W89" s="70">
        <v>600</v>
      </c>
      <c r="X89" s="17"/>
      <c r="Z89" s="22" t="s">
        <v>473</v>
      </c>
      <c r="AA89" s="22" t="s">
        <v>460</v>
      </c>
      <c r="AB89" s="6">
        <f t="shared" si="14"/>
        <v>600</v>
      </c>
    </row>
    <row r="90" spans="1:49" s="18" customFormat="1" ht="54" customHeight="1">
      <c r="A90" s="13" t="s">
        <v>502</v>
      </c>
      <c r="B90" s="26" t="s">
        <v>811</v>
      </c>
      <c r="C90" s="13"/>
      <c r="D90" s="13"/>
      <c r="E90" s="13"/>
      <c r="F90" s="13"/>
      <c r="G90" s="13"/>
      <c r="H90" s="8"/>
      <c r="I90" s="8"/>
      <c r="J90" s="8"/>
      <c r="K90" s="8"/>
      <c r="L90" s="8"/>
      <c r="M90" s="8"/>
      <c r="N90" s="8"/>
      <c r="O90" s="8"/>
      <c r="P90" s="8"/>
      <c r="Q90" s="8"/>
      <c r="R90" s="8"/>
      <c r="S90" s="8"/>
      <c r="T90" s="8"/>
      <c r="U90" s="8"/>
      <c r="V90" s="8"/>
      <c r="W90" s="8">
        <f>SUM(W91)</f>
        <v>2000</v>
      </c>
      <c r="X90" s="196" t="s">
        <v>927</v>
      </c>
      <c r="Y90" s="211"/>
      <c r="Z90" s="189"/>
      <c r="AA90" s="18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row>
    <row r="91" spans="1:49" s="20" customFormat="1" ht="44.25" customHeight="1">
      <c r="A91" s="109" t="s">
        <v>17</v>
      </c>
      <c r="B91" s="16" t="s">
        <v>65</v>
      </c>
      <c r="C91" s="110"/>
      <c r="D91" s="109"/>
      <c r="E91" s="110"/>
      <c r="F91" s="110"/>
      <c r="G91" s="110"/>
      <c r="H91" s="111"/>
      <c r="I91" s="111"/>
      <c r="J91" s="111"/>
      <c r="K91" s="111"/>
      <c r="L91" s="111"/>
      <c r="M91" s="111"/>
      <c r="N91" s="111"/>
      <c r="O91" s="111"/>
      <c r="P91" s="111"/>
      <c r="Q91" s="111"/>
      <c r="R91" s="111"/>
      <c r="S91" s="111"/>
      <c r="T91" s="111"/>
      <c r="U91" s="111"/>
      <c r="V91" s="111"/>
      <c r="W91" s="111">
        <f>SUM(W92:W92)</f>
        <v>2000</v>
      </c>
      <c r="X91" s="112"/>
      <c r="Y91" s="130"/>
      <c r="Z91" s="113"/>
      <c r="AA91" s="113"/>
    </row>
    <row r="92" spans="1:49" ht="53.25" customHeight="1">
      <c r="A92" s="10">
        <v>1</v>
      </c>
      <c r="B92" s="115" t="s">
        <v>672</v>
      </c>
      <c r="C92" s="10" t="s">
        <v>128</v>
      </c>
      <c r="D92" s="185" t="s">
        <v>19</v>
      </c>
      <c r="E92" s="10" t="s">
        <v>422</v>
      </c>
      <c r="F92" s="10" t="s">
        <v>391</v>
      </c>
      <c r="G92" s="17" t="s">
        <v>840</v>
      </c>
      <c r="H92" s="17"/>
      <c r="I92" s="17"/>
      <c r="J92" s="17"/>
      <c r="K92" s="17"/>
      <c r="L92" s="17"/>
      <c r="M92" s="17"/>
      <c r="N92" s="17"/>
      <c r="O92" s="17"/>
      <c r="P92" s="17"/>
      <c r="Q92" s="17"/>
      <c r="R92" s="17"/>
      <c r="S92" s="17"/>
      <c r="T92" s="17"/>
      <c r="U92" s="17"/>
      <c r="V92" s="17"/>
      <c r="W92" s="70">
        <v>2000</v>
      </c>
      <c r="X92" s="17"/>
      <c r="Z92" s="22" t="s">
        <v>473</v>
      </c>
      <c r="AA92" s="22" t="s">
        <v>461</v>
      </c>
      <c r="AB92" s="6">
        <f>W92</f>
        <v>2000</v>
      </c>
    </row>
    <row r="93" spans="1:49" s="18" customFormat="1" ht="54" customHeight="1">
      <c r="A93" s="13" t="s">
        <v>504</v>
      </c>
      <c r="B93" s="26" t="s">
        <v>812</v>
      </c>
      <c r="C93" s="13"/>
      <c r="D93" s="13"/>
      <c r="E93" s="13"/>
      <c r="F93" s="13"/>
      <c r="G93" s="13"/>
      <c r="H93" s="8"/>
      <c r="I93" s="8"/>
      <c r="J93" s="8"/>
      <c r="K93" s="8"/>
      <c r="L93" s="8"/>
      <c r="M93" s="8"/>
      <c r="N93" s="8"/>
      <c r="O93" s="8"/>
      <c r="P93" s="8"/>
      <c r="Q93" s="8"/>
      <c r="R93" s="8"/>
      <c r="S93" s="8"/>
      <c r="T93" s="8"/>
      <c r="U93" s="8"/>
      <c r="V93" s="8"/>
      <c r="W93" s="8">
        <f>SUM(W94,W96,W98)</f>
        <v>133000</v>
      </c>
      <c r="X93" s="196" t="s">
        <v>926</v>
      </c>
      <c r="Y93" s="211"/>
      <c r="Z93" s="189"/>
      <c r="AA93" s="189"/>
      <c r="AB93" s="179"/>
      <c r="AC93" s="179"/>
      <c r="AD93" s="179"/>
      <c r="AE93" s="179"/>
      <c r="AF93" s="179"/>
      <c r="AG93" s="179"/>
      <c r="AH93" s="179"/>
      <c r="AI93" s="179"/>
      <c r="AJ93" s="179"/>
      <c r="AK93" s="179"/>
      <c r="AL93" s="179"/>
      <c r="AM93" s="179"/>
      <c r="AN93" s="179"/>
      <c r="AO93" s="179"/>
      <c r="AP93" s="179"/>
      <c r="AQ93" s="179"/>
      <c r="AR93" s="179"/>
      <c r="AS93" s="179"/>
      <c r="AT93" s="179"/>
      <c r="AU93" s="179"/>
      <c r="AV93" s="179"/>
      <c r="AW93" s="179"/>
    </row>
    <row r="94" spans="1:49" s="20" customFormat="1" ht="44.25" customHeight="1">
      <c r="A94" s="109" t="s">
        <v>17</v>
      </c>
      <c r="B94" s="110" t="s">
        <v>358</v>
      </c>
      <c r="C94" s="110"/>
      <c r="D94" s="109"/>
      <c r="E94" s="110"/>
      <c r="F94" s="110"/>
      <c r="G94" s="110"/>
      <c r="H94" s="111"/>
      <c r="I94" s="111"/>
      <c r="J94" s="111"/>
      <c r="K94" s="111"/>
      <c r="L94" s="111"/>
      <c r="M94" s="111"/>
      <c r="N94" s="111"/>
      <c r="O94" s="111"/>
      <c r="P94" s="111"/>
      <c r="Q94" s="111"/>
      <c r="R94" s="111"/>
      <c r="S94" s="111"/>
      <c r="T94" s="111"/>
      <c r="U94" s="111"/>
      <c r="V94" s="111"/>
      <c r="W94" s="111">
        <f>SUM(W95)</f>
        <v>8500</v>
      </c>
      <c r="X94" s="112"/>
      <c r="Y94" s="130"/>
      <c r="Z94" s="113"/>
      <c r="AA94" s="113"/>
    </row>
    <row r="95" spans="1:49" ht="52.5" customHeight="1">
      <c r="A95" s="10">
        <v>1</v>
      </c>
      <c r="B95" s="115" t="s">
        <v>673</v>
      </c>
      <c r="C95" s="10" t="s">
        <v>674</v>
      </c>
      <c r="D95" s="185" t="s">
        <v>19</v>
      </c>
      <c r="E95" s="10" t="s">
        <v>675</v>
      </c>
      <c r="F95" s="10" t="s">
        <v>36</v>
      </c>
      <c r="G95" s="17" t="s">
        <v>842</v>
      </c>
      <c r="H95" s="17"/>
      <c r="I95" s="17"/>
      <c r="J95" s="17"/>
      <c r="K95" s="17"/>
      <c r="L95" s="17"/>
      <c r="M95" s="17"/>
      <c r="N95" s="17"/>
      <c r="O95" s="17"/>
      <c r="P95" s="17"/>
      <c r="Q95" s="17"/>
      <c r="R95" s="17"/>
      <c r="S95" s="17"/>
      <c r="T95" s="17"/>
      <c r="U95" s="17"/>
      <c r="V95" s="17"/>
      <c r="W95" s="70">
        <v>8500</v>
      </c>
      <c r="X95" s="17"/>
      <c r="Z95" s="22" t="s">
        <v>473</v>
      </c>
      <c r="AA95" s="22" t="s">
        <v>459</v>
      </c>
      <c r="AB95" s="6">
        <f>W95</f>
        <v>8500</v>
      </c>
    </row>
    <row r="96" spans="1:49" s="20" customFormat="1" ht="44.25" customHeight="1">
      <c r="A96" s="109" t="s">
        <v>25</v>
      </c>
      <c r="B96" s="110" t="s">
        <v>64</v>
      </c>
      <c r="C96" s="110"/>
      <c r="D96" s="109"/>
      <c r="E96" s="110"/>
      <c r="F96" s="110"/>
      <c r="G96" s="110"/>
      <c r="H96" s="111"/>
      <c r="I96" s="111"/>
      <c r="J96" s="111"/>
      <c r="K96" s="111"/>
      <c r="L96" s="111"/>
      <c r="M96" s="111"/>
      <c r="N96" s="111"/>
      <c r="O96" s="111"/>
      <c r="P96" s="111"/>
      <c r="Q96" s="111"/>
      <c r="R96" s="111"/>
      <c r="S96" s="111"/>
      <c r="T96" s="111"/>
      <c r="U96" s="111"/>
      <c r="V96" s="111"/>
      <c r="W96" s="111">
        <f>SUM(W97)</f>
        <v>120000</v>
      </c>
      <c r="X96" s="112"/>
      <c r="Y96" s="130"/>
      <c r="Z96" s="113"/>
      <c r="AA96" s="113"/>
    </row>
    <row r="97" spans="1:28" ht="81.75" customHeight="1">
      <c r="A97" s="10">
        <v>1</v>
      </c>
      <c r="B97" s="115" t="s">
        <v>680</v>
      </c>
      <c r="C97" s="10" t="s">
        <v>681</v>
      </c>
      <c r="D97" s="185" t="s">
        <v>20</v>
      </c>
      <c r="E97" s="10" t="s">
        <v>682</v>
      </c>
      <c r="F97" s="10" t="s">
        <v>391</v>
      </c>
      <c r="G97" s="17"/>
      <c r="H97" s="17"/>
      <c r="I97" s="17"/>
      <c r="J97" s="17"/>
      <c r="K97" s="17"/>
      <c r="L97" s="17"/>
      <c r="M97" s="17"/>
      <c r="N97" s="17"/>
      <c r="O97" s="17"/>
      <c r="P97" s="17"/>
      <c r="Q97" s="17"/>
      <c r="R97" s="17"/>
      <c r="S97" s="17"/>
      <c r="T97" s="17"/>
      <c r="U97" s="17"/>
      <c r="V97" s="17"/>
      <c r="W97" s="70">
        <v>120000</v>
      </c>
      <c r="X97" s="17"/>
      <c r="Z97" s="22" t="s">
        <v>473</v>
      </c>
      <c r="AA97" s="22" t="s">
        <v>474</v>
      </c>
      <c r="AB97" s="6">
        <f>W97</f>
        <v>120000</v>
      </c>
    </row>
    <row r="98" spans="1:28" s="20" customFormat="1" ht="44.25" customHeight="1">
      <c r="A98" s="109" t="s">
        <v>30</v>
      </c>
      <c r="B98" s="110" t="s">
        <v>355</v>
      </c>
      <c r="C98" s="110"/>
      <c r="D98" s="109"/>
      <c r="E98" s="110"/>
      <c r="F98" s="110"/>
      <c r="G98" s="110"/>
      <c r="H98" s="111"/>
      <c r="I98" s="111"/>
      <c r="J98" s="111"/>
      <c r="K98" s="111"/>
      <c r="L98" s="111"/>
      <c r="M98" s="111"/>
      <c r="N98" s="111"/>
      <c r="O98" s="111"/>
      <c r="P98" s="111"/>
      <c r="Q98" s="111"/>
      <c r="R98" s="111"/>
      <c r="S98" s="111"/>
      <c r="T98" s="111"/>
      <c r="U98" s="111"/>
      <c r="V98" s="111"/>
      <c r="W98" s="111">
        <f>SUM(W99)</f>
        <v>4500</v>
      </c>
      <c r="X98" s="112"/>
      <c r="Y98" s="130"/>
      <c r="Z98" s="113"/>
      <c r="AA98" s="113"/>
    </row>
    <row r="99" spans="1:28" ht="72" customHeight="1">
      <c r="A99" s="10">
        <v>1</v>
      </c>
      <c r="B99" s="115" t="s">
        <v>687</v>
      </c>
      <c r="C99" s="10" t="s">
        <v>131</v>
      </c>
      <c r="D99" s="185" t="s">
        <v>19</v>
      </c>
      <c r="E99" s="10" t="s">
        <v>688</v>
      </c>
      <c r="F99" s="10" t="s">
        <v>391</v>
      </c>
      <c r="G99" s="17"/>
      <c r="H99" s="17"/>
      <c r="I99" s="17"/>
      <c r="J99" s="17"/>
      <c r="K99" s="17"/>
      <c r="L99" s="17"/>
      <c r="M99" s="17"/>
      <c r="N99" s="17"/>
      <c r="O99" s="17"/>
      <c r="P99" s="17"/>
      <c r="Q99" s="17"/>
      <c r="R99" s="17"/>
      <c r="S99" s="17"/>
      <c r="T99" s="17"/>
      <c r="U99" s="17"/>
      <c r="V99" s="17"/>
      <c r="W99" s="70">
        <v>4500</v>
      </c>
      <c r="X99" s="17"/>
      <c r="Z99" s="22" t="s">
        <v>473</v>
      </c>
      <c r="AA99" s="22" t="s">
        <v>460</v>
      </c>
      <c r="AB99" s="6">
        <f>W99</f>
        <v>4500</v>
      </c>
    </row>
    <row r="100" spans="1:28" ht="9" customHeight="1"/>
  </sheetData>
  <mergeCells count="19">
    <mergeCell ref="J6:Q6"/>
    <mergeCell ref="R6:R7"/>
    <mergeCell ref="S6:U6"/>
    <mergeCell ref="X5:X7"/>
    <mergeCell ref="A1:X1"/>
    <mergeCell ref="A2:X2"/>
    <mergeCell ref="A3:X3"/>
    <mergeCell ref="A5:A7"/>
    <mergeCell ref="B5:B7"/>
    <mergeCell ref="C5:C7"/>
    <mergeCell ref="D5:D7"/>
    <mergeCell ref="E5:E7"/>
    <mergeCell ref="F5:F7"/>
    <mergeCell ref="H5:H7"/>
    <mergeCell ref="I5:Q5"/>
    <mergeCell ref="R5:U5"/>
    <mergeCell ref="V5:V7"/>
    <mergeCell ref="W5:W7"/>
    <mergeCell ref="I6:I7"/>
  </mergeCells>
  <printOptions horizontalCentered="1"/>
  <pageMargins left="0.39370078740157499" right="0.39370078740157499" top="0.39370078740157499" bottom="0.39370078740157499" header="0.196850393700787" footer="0.196850393700787"/>
  <pageSetup paperSize="9" scale="69" fitToHeight="0" orientation="landscape" r:id="rId1"/>
  <headerFooter alignWithMargins="0">
    <oddFooter>&amp;C&amp;"Times New Roman,thường"&amp;11&amp;P/&amp;N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
  <sheetViews>
    <sheetView view="pageBreakPreview" topLeftCell="C1" zoomScale="60" zoomScaleNormal="70" workbookViewId="0">
      <selection activeCell="B11" sqref="B11"/>
    </sheetView>
  </sheetViews>
  <sheetFormatPr defaultColWidth="9.109375" defaultRowHeight="16.8"/>
  <cols>
    <col min="1" max="1" width="8.6640625" style="11" customWidth="1"/>
    <col min="2" max="2" width="50.6640625" style="11" customWidth="1"/>
    <col min="3" max="3" width="15.6640625" style="11" customWidth="1"/>
    <col min="4" max="4" width="15.6640625" style="22" customWidth="1"/>
    <col min="5" max="6" width="15.6640625" style="11" customWidth="1"/>
    <col min="7" max="7" width="22.6640625" style="11" customWidth="1"/>
    <col min="8" max="9" width="15.6640625" style="11" customWidth="1"/>
    <col min="10" max="21" width="15.6640625" style="11" hidden="1" customWidth="1"/>
    <col min="22" max="25" width="15.6640625" style="11" customWidth="1"/>
    <col min="26" max="26" width="40.6640625" style="11" customWidth="1"/>
    <col min="27" max="27" width="19.109375" style="11" customWidth="1"/>
    <col min="28" max="28" width="14.88671875" style="11" customWidth="1"/>
    <col min="29" max="29" width="13.44140625" style="11" customWidth="1"/>
    <col min="30" max="30" width="17.88671875" style="11" customWidth="1"/>
    <col min="31" max="31" width="19.33203125" style="11" customWidth="1"/>
    <col min="32" max="32" width="17.33203125" style="11" customWidth="1"/>
    <col min="33" max="33" width="12.6640625" style="11" bestFit="1" customWidth="1"/>
    <col min="34" max="35" width="9.109375" style="11"/>
    <col min="36" max="36" width="10" style="11" bestFit="1" customWidth="1"/>
    <col min="37" max="16384" width="9.109375" style="11"/>
  </cols>
  <sheetData>
    <row r="1" spans="1:47" ht="39.9" customHeight="1">
      <c r="A1" s="554" t="s">
        <v>1125</v>
      </c>
      <c r="B1" s="554"/>
      <c r="C1" s="554"/>
      <c r="D1" s="554"/>
      <c r="E1" s="554"/>
      <c r="F1" s="554"/>
      <c r="G1" s="554"/>
      <c r="H1" s="554"/>
      <c r="I1" s="554"/>
      <c r="J1" s="554"/>
      <c r="K1" s="554"/>
      <c r="L1" s="554"/>
      <c r="M1" s="554"/>
      <c r="N1" s="554"/>
      <c r="O1" s="554"/>
      <c r="P1" s="554"/>
      <c r="Q1" s="554"/>
      <c r="R1" s="554"/>
      <c r="S1" s="554"/>
      <c r="T1" s="554"/>
      <c r="U1" s="554"/>
      <c r="V1" s="554"/>
      <c r="W1" s="554"/>
      <c r="X1" s="554"/>
      <c r="Y1" s="554"/>
      <c r="Z1" s="554"/>
    </row>
    <row r="2" spans="1:47" ht="96" customHeight="1">
      <c r="A2" s="622" t="s">
        <v>1447</v>
      </c>
      <c r="B2" s="622"/>
      <c r="C2" s="622"/>
      <c r="D2" s="622"/>
      <c r="E2" s="622"/>
      <c r="F2" s="622"/>
      <c r="G2" s="622"/>
      <c r="H2" s="622"/>
      <c r="I2" s="622"/>
      <c r="J2" s="622"/>
      <c r="K2" s="622"/>
      <c r="L2" s="622"/>
      <c r="M2" s="622"/>
      <c r="N2" s="622"/>
      <c r="O2" s="622"/>
      <c r="P2" s="622"/>
      <c r="Q2" s="622"/>
      <c r="R2" s="622"/>
      <c r="S2" s="622"/>
      <c r="T2" s="622"/>
      <c r="U2" s="622"/>
      <c r="V2" s="622"/>
      <c r="W2" s="622"/>
      <c r="X2" s="622"/>
      <c r="Y2" s="622"/>
      <c r="Z2" s="622"/>
    </row>
    <row r="3" spans="1:47" ht="38.25" customHeight="1">
      <c r="A3" s="556" t="str">
        <f>'16. DA chưa QĐĐT (2)'!A3</f>
        <v>(Ban hành kèm theo Quyết định số: 2571/QĐ-UBND ngày 12/12/2024 của Ủy ban nhân dân tỉnh)</v>
      </c>
      <c r="B3" s="556"/>
      <c r="C3" s="556"/>
      <c r="D3" s="556"/>
      <c r="E3" s="556"/>
      <c r="F3" s="556"/>
      <c r="G3" s="556"/>
      <c r="H3" s="556"/>
      <c r="I3" s="556"/>
      <c r="J3" s="556"/>
      <c r="K3" s="556"/>
      <c r="L3" s="556"/>
      <c r="M3" s="556"/>
      <c r="N3" s="556"/>
      <c r="O3" s="556"/>
      <c r="P3" s="556"/>
      <c r="Q3" s="556"/>
      <c r="R3" s="556"/>
      <c r="S3" s="556"/>
      <c r="T3" s="556"/>
      <c r="U3" s="556"/>
      <c r="V3" s="556"/>
      <c r="W3" s="556"/>
      <c r="X3" s="556"/>
      <c r="Y3" s="556"/>
      <c r="Z3" s="556"/>
    </row>
    <row r="4" spans="1:47" ht="33.75" customHeight="1">
      <c r="J4" s="12"/>
      <c r="K4" s="12"/>
      <c r="L4" s="12"/>
      <c r="M4" s="12"/>
      <c r="N4" s="12"/>
      <c r="O4" s="12"/>
      <c r="P4" s="12"/>
      <c r="Q4" s="12"/>
      <c r="R4" s="12"/>
      <c r="S4" s="12"/>
      <c r="T4" s="12"/>
      <c r="U4" s="12"/>
      <c r="V4" s="12"/>
      <c r="W4" s="12"/>
      <c r="X4" s="12"/>
      <c r="Y4" s="12"/>
      <c r="Z4" s="12" t="s">
        <v>0</v>
      </c>
    </row>
    <row r="5" spans="1:47" ht="60" customHeight="1">
      <c r="A5" s="562" t="s">
        <v>1</v>
      </c>
      <c r="B5" s="562" t="s">
        <v>1091</v>
      </c>
      <c r="C5" s="562" t="s">
        <v>2</v>
      </c>
      <c r="D5" s="562" t="s">
        <v>3</v>
      </c>
      <c r="E5" s="562" t="s">
        <v>4</v>
      </c>
      <c r="F5" s="562" t="s">
        <v>5</v>
      </c>
      <c r="G5" s="562" t="s">
        <v>1092</v>
      </c>
      <c r="H5" s="562"/>
      <c r="I5" s="562"/>
      <c r="J5" s="565" t="s">
        <v>512</v>
      </c>
      <c r="K5" s="565"/>
      <c r="L5" s="565"/>
      <c r="M5" s="565"/>
      <c r="N5" s="565"/>
      <c r="O5" s="565"/>
      <c r="P5" s="565"/>
      <c r="Q5" s="565"/>
      <c r="R5" s="565" t="s">
        <v>630</v>
      </c>
      <c r="S5" s="565"/>
      <c r="T5" s="565"/>
      <c r="U5" s="565"/>
      <c r="V5" s="565" t="s">
        <v>1093</v>
      </c>
      <c r="W5" s="557" t="s">
        <v>1072</v>
      </c>
      <c r="X5" s="557" t="s">
        <v>1073</v>
      </c>
      <c r="Y5" s="557" t="s">
        <v>1215</v>
      </c>
      <c r="Z5" s="562" t="s">
        <v>6</v>
      </c>
      <c r="AA5" s="14"/>
      <c r="AB5" s="56" t="s">
        <v>452</v>
      </c>
      <c r="AC5" s="56" t="s">
        <v>453</v>
      </c>
      <c r="AD5" s="57" t="s">
        <v>454</v>
      </c>
      <c r="AE5" s="57"/>
      <c r="AF5" s="57" t="s">
        <v>455</v>
      </c>
      <c r="AG5" s="56" t="s">
        <v>456</v>
      </c>
      <c r="AH5" s="56" t="s">
        <v>457</v>
      </c>
      <c r="AI5" s="56" t="s">
        <v>458</v>
      </c>
      <c r="AJ5" s="56" t="s">
        <v>459</v>
      </c>
      <c r="AK5" s="56" t="s">
        <v>460</v>
      </c>
      <c r="AL5" s="56" t="s">
        <v>461</v>
      </c>
      <c r="AM5" s="56" t="s">
        <v>462</v>
      </c>
      <c r="AN5" s="56" t="s">
        <v>463</v>
      </c>
      <c r="AO5" s="56" t="s">
        <v>464</v>
      </c>
      <c r="AP5" s="56" t="s">
        <v>465</v>
      </c>
      <c r="AQ5" s="56" t="s">
        <v>466</v>
      </c>
      <c r="AR5" s="56" t="s">
        <v>467</v>
      </c>
      <c r="AS5" s="56" t="s">
        <v>468</v>
      </c>
      <c r="AT5" s="56" t="s">
        <v>469</v>
      </c>
      <c r="AU5" s="57"/>
    </row>
    <row r="6" spans="1:47" ht="60" customHeight="1">
      <c r="A6" s="562"/>
      <c r="B6" s="562"/>
      <c r="C6" s="562"/>
      <c r="D6" s="562"/>
      <c r="E6" s="562"/>
      <c r="F6" s="562"/>
      <c r="G6" s="562" t="s">
        <v>7</v>
      </c>
      <c r="H6" s="562" t="s">
        <v>8</v>
      </c>
      <c r="I6" s="562"/>
      <c r="J6" s="565" t="s">
        <v>558</v>
      </c>
      <c r="K6" s="565" t="s">
        <v>559</v>
      </c>
      <c r="L6" s="565"/>
      <c r="M6" s="565"/>
      <c r="N6" s="565"/>
      <c r="O6" s="565"/>
      <c r="P6" s="565"/>
      <c r="Q6" s="565"/>
      <c r="R6" s="565" t="s">
        <v>9</v>
      </c>
      <c r="S6" s="565" t="s">
        <v>10</v>
      </c>
      <c r="T6" s="565"/>
      <c r="U6" s="565"/>
      <c r="V6" s="565"/>
      <c r="W6" s="569"/>
      <c r="X6" s="569"/>
      <c r="Y6" s="569"/>
      <c r="Z6" s="562"/>
      <c r="AA6" s="14"/>
      <c r="AB6" s="56"/>
      <c r="AC6" s="56"/>
      <c r="AD6" s="57"/>
      <c r="AE6" s="58" t="s">
        <v>470</v>
      </c>
      <c r="AF6" s="57">
        <f>COUNTIF(AB8:AB989,"CT")</f>
        <v>0</v>
      </c>
      <c r="AG6" s="82">
        <f>SUMIF(AB8:AB989,"CT",AD8:AD989)</f>
        <v>0</v>
      </c>
      <c r="AH6" s="82"/>
      <c r="AI6" s="82"/>
      <c r="AJ6" s="82"/>
      <c r="AK6" s="82"/>
      <c r="AL6" s="82"/>
      <c r="AM6" s="82"/>
      <c r="AN6" s="82"/>
      <c r="AO6" s="82"/>
      <c r="AP6" s="82"/>
      <c r="AQ6" s="82"/>
      <c r="AR6" s="82"/>
      <c r="AS6" s="82"/>
      <c r="AT6" s="82"/>
      <c r="AU6" s="58">
        <f>SUM(AH6:AT6)</f>
        <v>0</v>
      </c>
    </row>
    <row r="7" spans="1:47" ht="60" customHeight="1">
      <c r="A7" s="562"/>
      <c r="B7" s="562"/>
      <c r="C7" s="562"/>
      <c r="D7" s="562"/>
      <c r="E7" s="562"/>
      <c r="F7" s="562"/>
      <c r="G7" s="562"/>
      <c r="H7" s="13" t="s">
        <v>66</v>
      </c>
      <c r="I7" s="13" t="s">
        <v>1094</v>
      </c>
      <c r="J7" s="565"/>
      <c r="K7" s="85" t="s">
        <v>560</v>
      </c>
      <c r="L7" s="85" t="s">
        <v>562</v>
      </c>
      <c r="M7" s="85" t="s">
        <v>565</v>
      </c>
      <c r="N7" s="85" t="s">
        <v>573</v>
      </c>
      <c r="O7" s="85" t="s">
        <v>586</v>
      </c>
      <c r="P7" s="85" t="s">
        <v>589</v>
      </c>
      <c r="Q7" s="85"/>
      <c r="R7" s="565"/>
      <c r="S7" s="85" t="s">
        <v>13</v>
      </c>
      <c r="T7" s="85" t="s">
        <v>564</v>
      </c>
      <c r="U7" s="85" t="s">
        <v>813</v>
      </c>
      <c r="V7" s="565"/>
      <c r="W7" s="558"/>
      <c r="X7" s="558"/>
      <c r="Y7" s="558"/>
      <c r="Z7" s="562"/>
      <c r="AA7" s="6"/>
      <c r="AB7" s="56"/>
      <c r="AC7" s="56"/>
      <c r="AD7" s="57"/>
      <c r="AE7" s="57" t="s">
        <v>471</v>
      </c>
      <c r="AF7" s="57">
        <f>COUNTIF(AB8:AB988,"KCM")</f>
        <v>0</v>
      </c>
      <c r="AG7" s="82">
        <f>SUMIF(AB9:AB989,"KCM",AD9:AD989)</f>
        <v>0</v>
      </c>
      <c r="AH7" s="82"/>
      <c r="AI7" s="82"/>
      <c r="AJ7" s="82">
        <f>SUMIFS($AD$8:$AD$1091,$AB$8:$AB$1091,"KCM",$AC$8:$AC$1091,"GDĐT")</f>
        <v>0</v>
      </c>
      <c r="AK7" s="82"/>
      <c r="AL7" s="82"/>
      <c r="AM7" s="82"/>
      <c r="AN7" s="82"/>
      <c r="AO7" s="82"/>
      <c r="AP7" s="82"/>
      <c r="AQ7" s="82"/>
      <c r="AR7" s="82"/>
      <c r="AS7" s="82"/>
      <c r="AT7" s="82"/>
      <c r="AU7" s="58">
        <f>SUM(AH7:AT7)</f>
        <v>0</v>
      </c>
    </row>
    <row r="8" spans="1:47" s="2" customFormat="1" ht="60" customHeight="1">
      <c r="A8" s="21"/>
      <c r="B8" s="24" t="s">
        <v>280</v>
      </c>
      <c r="C8" s="21"/>
      <c r="D8" s="21"/>
      <c r="E8" s="21"/>
      <c r="F8" s="21"/>
      <c r="G8" s="21"/>
      <c r="H8" s="7">
        <f>SUM(H9)</f>
        <v>53659</v>
      </c>
      <c r="I8" s="7">
        <f t="shared" ref="I8:Y8" si="0">SUM(I9)</f>
        <v>37300</v>
      </c>
      <c r="J8" s="7">
        <f t="shared" si="0"/>
        <v>0</v>
      </c>
      <c r="K8" s="7">
        <f t="shared" si="0"/>
        <v>0</v>
      </c>
      <c r="L8" s="7">
        <f t="shared" si="0"/>
        <v>0</v>
      </c>
      <c r="M8" s="7">
        <f t="shared" si="0"/>
        <v>0</v>
      </c>
      <c r="N8" s="7">
        <f t="shared" si="0"/>
        <v>0</v>
      </c>
      <c r="O8" s="7">
        <f t="shared" si="0"/>
        <v>0</v>
      </c>
      <c r="P8" s="7">
        <f t="shared" si="0"/>
        <v>0</v>
      </c>
      <c r="Q8" s="7">
        <f t="shared" si="0"/>
        <v>0</v>
      </c>
      <c r="R8" s="7">
        <f t="shared" si="0"/>
        <v>0</v>
      </c>
      <c r="S8" s="7">
        <f t="shared" si="0"/>
        <v>0</v>
      </c>
      <c r="T8" s="7">
        <f t="shared" si="0"/>
        <v>0</v>
      </c>
      <c r="U8" s="7">
        <f t="shared" si="0"/>
        <v>0</v>
      </c>
      <c r="V8" s="7">
        <f t="shared" si="0"/>
        <v>6500</v>
      </c>
      <c r="W8" s="7">
        <f t="shared" si="0"/>
        <v>0</v>
      </c>
      <c r="X8" s="7">
        <f t="shared" si="0"/>
        <v>0</v>
      </c>
      <c r="Y8" s="7">
        <f t="shared" si="0"/>
        <v>6500</v>
      </c>
      <c r="Z8" s="25"/>
      <c r="AA8" s="2">
        <f>(93495+46000)</f>
        <v>139495</v>
      </c>
    </row>
    <row r="9" spans="1:47" ht="60" customHeight="1">
      <c r="A9" s="13"/>
      <c r="B9" s="30" t="s">
        <v>1095</v>
      </c>
      <c r="C9" s="10"/>
      <c r="D9" s="10"/>
      <c r="E9" s="10"/>
      <c r="F9" s="10"/>
      <c r="G9" s="10"/>
      <c r="H9" s="8">
        <f>SUM(H10)</f>
        <v>53659</v>
      </c>
      <c r="I9" s="8">
        <f t="shared" ref="I9:Y10" si="1">SUM(I10)</f>
        <v>37300</v>
      </c>
      <c r="J9" s="8">
        <f t="shared" si="1"/>
        <v>0</v>
      </c>
      <c r="K9" s="8">
        <f t="shared" si="1"/>
        <v>0</v>
      </c>
      <c r="L9" s="8">
        <f t="shared" si="1"/>
        <v>0</v>
      </c>
      <c r="M9" s="8">
        <f t="shared" si="1"/>
        <v>0</v>
      </c>
      <c r="N9" s="8">
        <f t="shared" si="1"/>
        <v>0</v>
      </c>
      <c r="O9" s="8">
        <f t="shared" si="1"/>
        <v>0</v>
      </c>
      <c r="P9" s="8">
        <f t="shared" si="1"/>
        <v>0</v>
      </c>
      <c r="Q9" s="8">
        <f t="shared" si="1"/>
        <v>0</v>
      </c>
      <c r="R9" s="8">
        <f t="shared" si="1"/>
        <v>0</v>
      </c>
      <c r="S9" s="8">
        <f t="shared" si="1"/>
        <v>0</v>
      </c>
      <c r="T9" s="8">
        <f t="shared" si="1"/>
        <v>0</v>
      </c>
      <c r="U9" s="8">
        <f t="shared" si="1"/>
        <v>0</v>
      </c>
      <c r="V9" s="8">
        <f t="shared" si="1"/>
        <v>6500</v>
      </c>
      <c r="W9" s="8">
        <f t="shared" si="1"/>
        <v>0</v>
      </c>
      <c r="X9" s="8">
        <f t="shared" si="1"/>
        <v>0</v>
      </c>
      <c r="Y9" s="8">
        <f t="shared" si="1"/>
        <v>6500</v>
      </c>
      <c r="Z9" s="17"/>
    </row>
    <row r="10" spans="1:47" ht="46.5" customHeight="1">
      <c r="A10" s="13"/>
      <c r="B10" s="30" t="s">
        <v>70</v>
      </c>
      <c r="C10" s="10"/>
      <c r="D10" s="10"/>
      <c r="E10" s="10"/>
      <c r="F10" s="10"/>
      <c r="G10" s="10"/>
      <c r="H10" s="8">
        <f>SUM(H11)</f>
        <v>53659</v>
      </c>
      <c r="I10" s="8">
        <f t="shared" si="1"/>
        <v>37300</v>
      </c>
      <c r="J10" s="8">
        <f t="shared" si="1"/>
        <v>0</v>
      </c>
      <c r="K10" s="8">
        <f t="shared" si="1"/>
        <v>0</v>
      </c>
      <c r="L10" s="8">
        <f t="shared" si="1"/>
        <v>0</v>
      </c>
      <c r="M10" s="8">
        <f t="shared" si="1"/>
        <v>0</v>
      </c>
      <c r="N10" s="8">
        <f t="shared" si="1"/>
        <v>0</v>
      </c>
      <c r="O10" s="8">
        <f t="shared" si="1"/>
        <v>0</v>
      </c>
      <c r="P10" s="8">
        <f t="shared" si="1"/>
        <v>0</v>
      </c>
      <c r="Q10" s="8">
        <f t="shared" si="1"/>
        <v>0</v>
      </c>
      <c r="R10" s="8">
        <f t="shared" si="1"/>
        <v>0</v>
      </c>
      <c r="S10" s="8">
        <f t="shared" si="1"/>
        <v>0</v>
      </c>
      <c r="T10" s="8">
        <f t="shared" si="1"/>
        <v>0</v>
      </c>
      <c r="U10" s="8">
        <f t="shared" si="1"/>
        <v>0</v>
      </c>
      <c r="V10" s="8">
        <f t="shared" si="1"/>
        <v>6500</v>
      </c>
      <c r="W10" s="8">
        <f t="shared" si="1"/>
        <v>0</v>
      </c>
      <c r="X10" s="8">
        <f t="shared" si="1"/>
        <v>0</v>
      </c>
      <c r="Y10" s="8">
        <f t="shared" si="1"/>
        <v>6500</v>
      </c>
      <c r="Z10" s="17"/>
    </row>
    <row r="11" spans="1:47" s="20" customFormat="1" ht="44.25" customHeight="1">
      <c r="A11" s="15"/>
      <c r="B11" s="16" t="s">
        <v>169</v>
      </c>
      <c r="C11" s="16"/>
      <c r="D11" s="15"/>
      <c r="E11" s="16"/>
      <c r="F11" s="16"/>
      <c r="G11" s="16"/>
      <c r="H11" s="29">
        <f t="shared" ref="H11:Y11" si="2">SUM(H12:H12)</f>
        <v>53659</v>
      </c>
      <c r="I11" s="29">
        <f t="shared" si="2"/>
        <v>37300</v>
      </c>
      <c r="J11" s="29">
        <f t="shared" si="2"/>
        <v>0</v>
      </c>
      <c r="K11" s="29">
        <f t="shared" si="2"/>
        <v>0</v>
      </c>
      <c r="L11" s="29">
        <f t="shared" si="2"/>
        <v>0</v>
      </c>
      <c r="M11" s="29">
        <f t="shared" si="2"/>
        <v>0</v>
      </c>
      <c r="N11" s="29">
        <f t="shared" si="2"/>
        <v>0</v>
      </c>
      <c r="O11" s="29">
        <f t="shared" si="2"/>
        <v>0</v>
      </c>
      <c r="P11" s="29">
        <f t="shared" si="2"/>
        <v>0</v>
      </c>
      <c r="Q11" s="29">
        <f t="shared" si="2"/>
        <v>0</v>
      </c>
      <c r="R11" s="29">
        <f t="shared" si="2"/>
        <v>0</v>
      </c>
      <c r="S11" s="29">
        <f t="shared" si="2"/>
        <v>0</v>
      </c>
      <c r="T11" s="29">
        <f t="shared" si="2"/>
        <v>0</v>
      </c>
      <c r="U11" s="29">
        <f t="shared" si="2"/>
        <v>0</v>
      </c>
      <c r="V11" s="29">
        <f t="shared" si="2"/>
        <v>6500</v>
      </c>
      <c r="W11" s="29">
        <f t="shared" si="2"/>
        <v>0</v>
      </c>
      <c r="X11" s="29">
        <f t="shared" si="2"/>
        <v>0</v>
      </c>
      <c r="Y11" s="29">
        <f t="shared" si="2"/>
        <v>6500</v>
      </c>
      <c r="Z11" s="19"/>
      <c r="AA11" s="344"/>
      <c r="AC11" s="113"/>
      <c r="AD11" s="113"/>
    </row>
    <row r="12" spans="1:47" ht="131.25" customHeight="1">
      <c r="A12" s="10">
        <v>1</v>
      </c>
      <c r="B12" s="115" t="s">
        <v>1096</v>
      </c>
      <c r="C12" s="272" t="s">
        <v>239</v>
      </c>
      <c r="D12" s="272" t="s">
        <v>19</v>
      </c>
      <c r="E12" s="273" t="s">
        <v>1097</v>
      </c>
      <c r="F12" s="273" t="s">
        <v>36</v>
      </c>
      <c r="G12" s="273" t="s">
        <v>1098</v>
      </c>
      <c r="H12" s="274">
        <v>53659</v>
      </c>
      <c r="I12" s="274">
        <f>37300</f>
        <v>37300</v>
      </c>
      <c r="J12" s="37"/>
      <c r="K12" s="37"/>
      <c r="L12" s="37"/>
      <c r="M12" s="37"/>
      <c r="N12" s="37"/>
      <c r="O12" s="37"/>
      <c r="P12" s="80"/>
      <c r="Q12" s="32"/>
      <c r="R12" s="54"/>
      <c r="S12" s="84"/>
      <c r="T12" s="70"/>
      <c r="U12" s="343"/>
      <c r="V12" s="343">
        <v>6500</v>
      </c>
      <c r="W12" s="343"/>
      <c r="X12" s="343"/>
      <c r="Y12" s="343">
        <f>SUM(V12:X12)</f>
        <v>6500</v>
      </c>
      <c r="Z12" s="277" t="s">
        <v>1099</v>
      </c>
      <c r="AA12" s="344"/>
      <c r="AC12" s="22"/>
      <c r="AD12" s="22"/>
    </row>
  </sheetData>
  <mergeCells count="23">
    <mergeCell ref="Z5:Z7"/>
    <mergeCell ref="G6:G7"/>
    <mergeCell ref="H6:I6"/>
    <mergeCell ref="J6:J7"/>
    <mergeCell ref="K6:Q6"/>
    <mergeCell ref="R6:R7"/>
    <mergeCell ref="S6:U6"/>
    <mergeCell ref="A1:Z1"/>
    <mergeCell ref="A2:Z2"/>
    <mergeCell ref="A3:Z3"/>
    <mergeCell ref="A5:A7"/>
    <mergeCell ref="B5:B7"/>
    <mergeCell ref="C5:C7"/>
    <mergeCell ref="D5:D7"/>
    <mergeCell ref="E5:E7"/>
    <mergeCell ref="F5:F7"/>
    <mergeCell ref="G5:I5"/>
    <mergeCell ref="W5:W7"/>
    <mergeCell ref="X5:X7"/>
    <mergeCell ref="Y5:Y7"/>
    <mergeCell ref="J5:Q5"/>
    <mergeCell ref="R5:U5"/>
    <mergeCell ref="V5:V7"/>
  </mergeCells>
  <printOptions horizontalCentered="1"/>
  <pageMargins left="0.39370078740157499" right="0.39370078740157499" top="0.39370078740157499" bottom="0.39370078740157499" header="0.196850393700787" footer="0.196850393700787"/>
  <pageSetup paperSize="9" scale="50" fitToHeight="0" orientation="landscape" r:id="rId1"/>
  <headerFooter alignWithMargins="0">
    <oddFooter>&amp;C&amp;"Times New Roman,thường"&amp;11&amp;P/&amp;N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B71"/>
  <sheetViews>
    <sheetView view="pageBreakPreview" zoomScale="60" zoomScaleNormal="70" workbookViewId="0">
      <selection activeCell="A71" sqref="A71:AC71"/>
    </sheetView>
  </sheetViews>
  <sheetFormatPr defaultColWidth="9.109375" defaultRowHeight="16.8"/>
  <cols>
    <col min="1" max="1" width="8.6640625" style="11" customWidth="1"/>
    <col min="2" max="2" width="50.6640625" style="11" customWidth="1"/>
    <col min="3" max="3" width="20.6640625" style="11" customWidth="1"/>
    <col min="4" max="4" width="20.6640625" style="22" customWidth="1"/>
    <col min="5" max="6" width="20.6640625" style="11" customWidth="1"/>
    <col min="7" max="7" width="22.6640625" style="11" customWidth="1"/>
    <col min="8" max="9" width="20.6640625" style="11" customWidth="1"/>
    <col min="10" max="24" width="20.6640625" style="11" hidden="1" customWidth="1"/>
    <col min="25" max="28" width="20.6640625" style="11" customWidth="1"/>
    <col min="29" max="29" width="40.6640625" style="11" customWidth="1"/>
    <col min="30" max="30" width="12.44140625" style="11" customWidth="1"/>
    <col min="31" max="31" width="14.88671875" style="22" customWidth="1"/>
    <col min="32" max="32" width="13.44140625" style="22" customWidth="1"/>
    <col min="33" max="36" width="17.88671875" style="11" customWidth="1"/>
    <col min="37" max="37" width="19.33203125" style="11" customWidth="1"/>
    <col min="38" max="38" width="17.33203125" style="11" customWidth="1"/>
    <col min="39" max="39" width="15.33203125" style="11" customWidth="1"/>
    <col min="40" max="40" width="14.6640625" style="11" bestFit="1" customWidth="1"/>
    <col min="41" max="41" width="12.6640625" style="11" bestFit="1" customWidth="1"/>
    <col min="42" max="43" width="9.109375" style="11"/>
    <col min="44" max="44" width="11.33203125" style="11" bestFit="1" customWidth="1"/>
    <col min="45" max="45" width="9.109375" style="11"/>
    <col min="46" max="46" width="12.6640625" style="11" bestFit="1" customWidth="1"/>
    <col min="47" max="47" width="9.109375" style="11"/>
    <col min="48" max="48" width="12.44140625" style="11" customWidth="1"/>
    <col min="49" max="49" width="15.33203125" style="11" customWidth="1"/>
    <col min="50" max="50" width="15" style="11" customWidth="1"/>
    <col min="51" max="51" width="9.109375" style="11"/>
    <col min="52" max="52" width="11.33203125" style="11" bestFit="1" customWidth="1"/>
    <col min="53" max="53" width="14.88671875" style="11" customWidth="1"/>
    <col min="54" max="16384" width="9.109375" style="11"/>
  </cols>
  <sheetData>
    <row r="1" spans="1:54" ht="39.9" customHeight="1">
      <c r="A1" s="554" t="s">
        <v>76</v>
      </c>
      <c r="B1" s="554"/>
      <c r="C1" s="554"/>
      <c r="D1" s="554"/>
      <c r="E1" s="554"/>
      <c r="F1" s="554"/>
      <c r="G1" s="554"/>
      <c r="H1" s="554"/>
      <c r="I1" s="554"/>
      <c r="J1" s="554"/>
      <c r="K1" s="554"/>
      <c r="L1" s="554"/>
      <c r="M1" s="554"/>
      <c r="N1" s="554"/>
      <c r="O1" s="554"/>
      <c r="P1" s="554"/>
      <c r="Q1" s="554"/>
      <c r="R1" s="554"/>
      <c r="S1" s="554"/>
      <c r="T1" s="554"/>
      <c r="U1" s="554"/>
      <c r="V1" s="554"/>
      <c r="W1" s="554"/>
      <c r="X1" s="554"/>
      <c r="Y1" s="554"/>
      <c r="Z1" s="554"/>
      <c r="AA1" s="554"/>
      <c r="AB1" s="554"/>
      <c r="AC1" s="554"/>
      <c r="AD1" s="248"/>
    </row>
    <row r="2" spans="1:54" s="157" customFormat="1" ht="65.099999999999994" customHeight="1">
      <c r="A2" s="555" t="s">
        <v>1454</v>
      </c>
      <c r="B2" s="555"/>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c r="AD2" s="249"/>
      <c r="AE2" s="158"/>
      <c r="AF2" s="158"/>
    </row>
    <row r="3" spans="1:54" ht="39.9" customHeight="1">
      <c r="A3" s="556" t="str">
        <f>TH!A2</f>
        <v>(Ban hành kèm theo Quyết định số: 2571/QĐ-UBND ngày 12/12/2024 của Ủy ban nhân dân tỉnh)</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250"/>
    </row>
    <row r="4" spans="1:54" ht="33.75" customHeight="1">
      <c r="J4" s="12"/>
      <c r="K4" s="12"/>
      <c r="L4" s="12"/>
      <c r="M4" s="12"/>
      <c r="N4" s="12"/>
      <c r="O4" s="12"/>
      <c r="P4" s="12"/>
      <c r="Q4" s="12"/>
      <c r="R4" s="12"/>
      <c r="S4" s="12"/>
      <c r="T4" s="12"/>
      <c r="U4" s="12"/>
      <c r="V4" s="12"/>
      <c r="W4" s="12"/>
      <c r="X4" s="12"/>
      <c r="Y4" s="12"/>
      <c r="Z4" s="12"/>
      <c r="AA4" s="12"/>
      <c r="AB4" s="12"/>
      <c r="AC4" s="12" t="s">
        <v>0</v>
      </c>
      <c r="AD4" s="128"/>
    </row>
    <row r="5" spans="1:54" ht="60" customHeight="1">
      <c r="A5" s="559" t="s">
        <v>1</v>
      </c>
      <c r="B5" s="561" t="s">
        <v>513</v>
      </c>
      <c r="C5" s="559" t="s">
        <v>2</v>
      </c>
      <c r="D5" s="559" t="s">
        <v>3</v>
      </c>
      <c r="E5" s="562" t="s">
        <v>4</v>
      </c>
      <c r="F5" s="562" t="s">
        <v>5</v>
      </c>
      <c r="G5" s="562" t="s">
        <v>148</v>
      </c>
      <c r="H5" s="562"/>
      <c r="I5" s="562"/>
      <c r="J5" s="557" t="s">
        <v>696</v>
      </c>
      <c r="K5" s="566" t="s">
        <v>512</v>
      </c>
      <c r="L5" s="567"/>
      <c r="M5" s="567"/>
      <c r="N5" s="567"/>
      <c r="O5" s="567"/>
      <c r="P5" s="567"/>
      <c r="Q5" s="567"/>
      <c r="R5" s="567"/>
      <c r="S5" s="568"/>
      <c r="T5" s="565" t="s">
        <v>808</v>
      </c>
      <c r="U5" s="565"/>
      <c r="V5" s="565"/>
      <c r="W5" s="565"/>
      <c r="X5" s="557" t="s">
        <v>689</v>
      </c>
      <c r="Y5" s="557" t="s">
        <v>690</v>
      </c>
      <c r="Z5" s="557" t="s">
        <v>1072</v>
      </c>
      <c r="AA5" s="557" t="s">
        <v>1073</v>
      </c>
      <c r="AB5" s="557" t="s">
        <v>1215</v>
      </c>
      <c r="AC5" s="559" t="s">
        <v>6</v>
      </c>
      <c r="AD5" s="55"/>
      <c r="AE5" s="56" t="s">
        <v>452</v>
      </c>
      <c r="AF5" s="56" t="s">
        <v>453</v>
      </c>
      <c r="AG5" s="57" t="s">
        <v>454</v>
      </c>
      <c r="AH5" s="57" t="s">
        <v>627</v>
      </c>
      <c r="AI5" s="57" t="s">
        <v>629</v>
      </c>
      <c r="AJ5" s="57" t="s">
        <v>628</v>
      </c>
      <c r="AK5" s="57"/>
      <c r="AL5" s="57" t="s">
        <v>455</v>
      </c>
      <c r="AM5" s="56" t="s">
        <v>456</v>
      </c>
      <c r="AN5" s="56" t="s">
        <v>474</v>
      </c>
      <c r="AO5" s="56" t="s">
        <v>629</v>
      </c>
      <c r="AP5" s="56" t="s">
        <v>459</v>
      </c>
      <c r="AQ5" s="56" t="s">
        <v>460</v>
      </c>
      <c r="AR5" s="56" t="s">
        <v>461</v>
      </c>
      <c r="AS5" s="56" t="s">
        <v>462</v>
      </c>
      <c r="AT5" s="56" t="s">
        <v>463</v>
      </c>
      <c r="AU5" s="56" t="s">
        <v>464</v>
      </c>
      <c r="AV5" s="56" t="s">
        <v>465</v>
      </c>
      <c r="AW5" s="56" t="s">
        <v>466</v>
      </c>
      <c r="AX5" s="56" t="s">
        <v>467</v>
      </c>
      <c r="AY5" s="56" t="s">
        <v>468</v>
      </c>
      <c r="AZ5" s="56" t="s">
        <v>469</v>
      </c>
      <c r="BA5" s="57"/>
      <c r="BB5" s="57"/>
    </row>
    <row r="6" spans="1:54" ht="60" customHeight="1">
      <c r="A6" s="560"/>
      <c r="B6" s="561"/>
      <c r="C6" s="560"/>
      <c r="D6" s="560"/>
      <c r="E6" s="562"/>
      <c r="F6" s="562"/>
      <c r="G6" s="562" t="s">
        <v>7</v>
      </c>
      <c r="H6" s="562" t="s">
        <v>8</v>
      </c>
      <c r="I6" s="562"/>
      <c r="J6" s="569"/>
      <c r="K6" s="557" t="s">
        <v>558</v>
      </c>
      <c r="L6" s="566" t="s">
        <v>559</v>
      </c>
      <c r="M6" s="567"/>
      <c r="N6" s="567"/>
      <c r="O6" s="567"/>
      <c r="P6" s="567"/>
      <c r="Q6" s="567"/>
      <c r="R6" s="567"/>
      <c r="S6" s="568"/>
      <c r="T6" s="565" t="s">
        <v>9</v>
      </c>
      <c r="U6" s="565" t="s">
        <v>10</v>
      </c>
      <c r="V6" s="565"/>
      <c r="W6" s="565"/>
      <c r="X6" s="569"/>
      <c r="Y6" s="569"/>
      <c r="Z6" s="569"/>
      <c r="AA6" s="569"/>
      <c r="AB6" s="569"/>
      <c r="AC6" s="560"/>
      <c r="AD6" s="55"/>
      <c r="AE6" s="56"/>
      <c r="AF6" s="56"/>
      <c r="AG6" s="57"/>
      <c r="AH6" s="57"/>
      <c r="AI6" s="57"/>
      <c r="AJ6" s="57"/>
      <c r="AK6" s="58" t="s">
        <v>470</v>
      </c>
      <c r="AL6" s="57">
        <f>COUNTIF(AE8:AE920,"CT")</f>
        <v>11</v>
      </c>
      <c r="AM6" s="82">
        <f>SUMIF(AE8:AE920,"CT",AG8:AG920)</f>
        <v>196410</v>
      </c>
      <c r="AN6" s="82">
        <f t="shared" ref="AN6:AZ6" si="0">SUMIFS($AG$8:$AG$1022,$AE$8:$AE$1022,"CT",$AF$8:$AF$1022,AN5)</f>
        <v>165882</v>
      </c>
      <c r="AO6" s="82">
        <f t="shared" si="0"/>
        <v>0</v>
      </c>
      <c r="AP6" s="82">
        <f t="shared" si="0"/>
        <v>0</v>
      </c>
      <c r="AQ6" s="82">
        <f t="shared" si="0"/>
        <v>0</v>
      </c>
      <c r="AR6" s="82">
        <f t="shared" si="0"/>
        <v>0</v>
      </c>
      <c r="AS6" s="82">
        <f t="shared" si="0"/>
        <v>0</v>
      </c>
      <c r="AT6" s="82">
        <f t="shared" si="0"/>
        <v>700</v>
      </c>
      <c r="AU6" s="82">
        <f t="shared" si="0"/>
        <v>0</v>
      </c>
      <c r="AV6" s="82">
        <f t="shared" si="0"/>
        <v>0</v>
      </c>
      <c r="AW6" s="82">
        <f t="shared" si="0"/>
        <v>22328</v>
      </c>
      <c r="AX6" s="82">
        <f t="shared" si="0"/>
        <v>0</v>
      </c>
      <c r="AY6" s="82">
        <f t="shared" si="0"/>
        <v>0</v>
      </c>
      <c r="AZ6" s="82">
        <f t="shared" si="0"/>
        <v>7500</v>
      </c>
      <c r="BA6" s="58">
        <f>SUM(AN6:AZ6)</f>
        <v>196410</v>
      </c>
      <c r="BB6" s="57"/>
    </row>
    <row r="7" spans="1:54" ht="60" customHeight="1">
      <c r="A7" s="560"/>
      <c r="B7" s="561"/>
      <c r="C7" s="560"/>
      <c r="D7" s="563"/>
      <c r="E7" s="562"/>
      <c r="F7" s="562"/>
      <c r="G7" s="562"/>
      <c r="H7" s="13" t="s">
        <v>66</v>
      </c>
      <c r="I7" s="13" t="s">
        <v>67</v>
      </c>
      <c r="J7" s="558"/>
      <c r="K7" s="558"/>
      <c r="L7" s="85" t="s">
        <v>560</v>
      </c>
      <c r="M7" s="85" t="s">
        <v>562</v>
      </c>
      <c r="N7" s="85" t="s">
        <v>565</v>
      </c>
      <c r="O7" s="85" t="s">
        <v>573</v>
      </c>
      <c r="P7" s="85" t="s">
        <v>586</v>
      </c>
      <c r="Q7" s="85" t="s">
        <v>589</v>
      </c>
      <c r="R7" s="85" t="s">
        <v>648</v>
      </c>
      <c r="S7" s="85" t="s">
        <v>686</v>
      </c>
      <c r="T7" s="565"/>
      <c r="U7" s="85" t="s">
        <v>13</v>
      </c>
      <c r="V7" s="85" t="s">
        <v>564</v>
      </c>
      <c r="W7" s="85" t="s">
        <v>753</v>
      </c>
      <c r="X7" s="558"/>
      <c r="Y7" s="558"/>
      <c r="Z7" s="558"/>
      <c r="AA7" s="558"/>
      <c r="AB7" s="558"/>
      <c r="AC7" s="560"/>
      <c r="AD7" s="55"/>
      <c r="AE7" s="56"/>
      <c r="AF7" s="56"/>
      <c r="AG7" s="57"/>
      <c r="AH7" s="57">
        <f>SUMIF($AH$8:$AH$918,AH5,$AG$8:$AG$918)</f>
        <v>72987</v>
      </c>
      <c r="AI7" s="57">
        <f>SUMIF($AH$8:$AH$918,AI5,$AG$8:$AG$918)</f>
        <v>64000</v>
      </c>
      <c r="AJ7" s="57">
        <f>SUMIF($AH$8:$AH$918,AJ5,$AG$8:$AG$918)</f>
        <v>0</v>
      </c>
      <c r="AK7" s="57" t="s">
        <v>471</v>
      </c>
      <c r="AL7" s="57">
        <f>COUNTIF(AE8:AE919,"KCM")</f>
        <v>11</v>
      </c>
      <c r="AM7" s="82">
        <f>SUMIF(AE9:AE920,"KCM",AG9:AG920)</f>
        <v>81887</v>
      </c>
      <c r="AN7" s="82">
        <f t="shared" ref="AN7:AZ7" si="1">SUMIFS($AG$8:$AG$1022,$AE$8:$AE$1022,"KCM",$AF$8:$AF$1022,AN5)</f>
        <v>49000</v>
      </c>
      <c r="AO7" s="82">
        <f t="shared" si="1"/>
        <v>5000</v>
      </c>
      <c r="AP7" s="82">
        <f t="shared" si="1"/>
        <v>0</v>
      </c>
      <c r="AQ7" s="82">
        <f t="shared" si="1"/>
        <v>0</v>
      </c>
      <c r="AR7" s="82">
        <f t="shared" si="1"/>
        <v>0</v>
      </c>
      <c r="AS7" s="82">
        <f t="shared" si="1"/>
        <v>0</v>
      </c>
      <c r="AT7" s="82">
        <f t="shared" si="1"/>
        <v>0</v>
      </c>
      <c r="AU7" s="82">
        <f t="shared" si="1"/>
        <v>0</v>
      </c>
      <c r="AV7" s="82">
        <f t="shared" si="1"/>
        <v>0</v>
      </c>
      <c r="AW7" s="82">
        <f t="shared" si="1"/>
        <v>17587</v>
      </c>
      <c r="AX7" s="82">
        <f t="shared" si="1"/>
        <v>10300</v>
      </c>
      <c r="AY7" s="82">
        <f t="shared" si="1"/>
        <v>0</v>
      </c>
      <c r="AZ7" s="82">
        <f t="shared" si="1"/>
        <v>0</v>
      </c>
      <c r="BA7" s="58">
        <f>SUM(AN7:AZ7)</f>
        <v>81887</v>
      </c>
      <c r="BB7" s="57"/>
    </row>
    <row r="8" spans="1:54" s="2" customFormat="1" ht="60" customHeight="1">
      <c r="A8" s="21"/>
      <c r="B8" s="24" t="s">
        <v>280</v>
      </c>
      <c r="C8" s="21"/>
      <c r="D8" s="21"/>
      <c r="E8" s="21"/>
      <c r="F8" s="21"/>
      <c r="G8" s="21"/>
      <c r="H8" s="7">
        <f t="shared" ref="H8:Y8" si="2">SUM(H9,H18,H19)</f>
        <v>4453272</v>
      </c>
      <c r="I8" s="7">
        <f t="shared" si="2"/>
        <v>2426257</v>
      </c>
      <c r="J8" s="7">
        <f t="shared" si="2"/>
        <v>1764815</v>
      </c>
      <c r="K8" s="7">
        <f t="shared" si="2"/>
        <v>1378828</v>
      </c>
      <c r="L8" s="7">
        <f t="shared" si="2"/>
        <v>0</v>
      </c>
      <c r="M8" s="7">
        <f t="shared" si="2"/>
        <v>541000</v>
      </c>
      <c r="N8" s="7">
        <f t="shared" si="2"/>
        <v>0</v>
      </c>
      <c r="O8" s="7">
        <f t="shared" si="2"/>
        <v>17000</v>
      </c>
      <c r="P8" s="7">
        <f t="shared" si="2"/>
        <v>0</v>
      </c>
      <c r="Q8" s="7">
        <f t="shared" si="2"/>
        <v>0</v>
      </c>
      <c r="R8" s="7">
        <f t="shared" si="2"/>
        <v>2200</v>
      </c>
      <c r="S8" s="7">
        <f t="shared" si="2"/>
        <v>0</v>
      </c>
      <c r="T8" s="7">
        <f t="shared" si="2"/>
        <v>730069</v>
      </c>
      <c r="U8" s="7">
        <f t="shared" si="2"/>
        <v>151200</v>
      </c>
      <c r="V8" s="7">
        <f t="shared" si="2"/>
        <v>193473</v>
      </c>
      <c r="W8" s="7">
        <f t="shared" si="2"/>
        <v>417135</v>
      </c>
      <c r="X8" s="7">
        <f t="shared" si="2"/>
        <v>1003007</v>
      </c>
      <c r="Y8" s="7">
        <f t="shared" si="2"/>
        <v>555197</v>
      </c>
      <c r="Z8" s="7">
        <f>SUM(Z9,Z18,Z19)</f>
        <v>42850</v>
      </c>
      <c r="AA8" s="369">
        <f>SUM(AA9,AA18,AA19)</f>
        <v>-42850</v>
      </c>
      <c r="AB8" s="7">
        <f>SUM(AB9,AB18,AB19)</f>
        <v>555197</v>
      </c>
      <c r="AC8" s="7">
        <f>555197-AB8</f>
        <v>0</v>
      </c>
      <c r="AD8" s="252"/>
      <c r="AE8" s="40"/>
      <c r="AF8" s="40"/>
      <c r="AG8" s="45"/>
      <c r="AH8" s="45"/>
      <c r="AI8" s="45"/>
      <c r="AJ8" s="45"/>
      <c r="AK8" s="230" t="s">
        <v>470</v>
      </c>
      <c r="AL8" s="44">
        <f>SUM(AN8:AZ8)</f>
        <v>11</v>
      </c>
      <c r="AM8" s="44"/>
      <c r="AN8" s="44">
        <f t="shared" ref="AN8:AV8" si="3">COUNTIFS($AE$8:$AE$920,"CT",$AF$8:$AF$920,AN5)</f>
        <v>5</v>
      </c>
      <c r="AO8" s="44">
        <f t="shared" si="3"/>
        <v>0</v>
      </c>
      <c r="AP8" s="44">
        <f t="shared" si="3"/>
        <v>0</v>
      </c>
      <c r="AQ8" s="44">
        <f t="shared" si="3"/>
        <v>0</v>
      </c>
      <c r="AR8" s="44">
        <f t="shared" si="3"/>
        <v>0</v>
      </c>
      <c r="AS8" s="44">
        <f t="shared" si="3"/>
        <v>0</v>
      </c>
      <c r="AT8" s="44">
        <f t="shared" si="3"/>
        <v>2</v>
      </c>
      <c r="AU8" s="44">
        <f t="shared" si="3"/>
        <v>0</v>
      </c>
      <c r="AV8" s="44">
        <f t="shared" si="3"/>
        <v>0</v>
      </c>
      <c r="AW8" s="44">
        <f>COUNTIFS($AE$8:$AE$42,"CT",$AF$8:$AF$42,AW5)</f>
        <v>3</v>
      </c>
      <c r="AX8" s="44">
        <f>COUNTIFS($AE$8:$AE$920,"CT",$AF$8:$AF$920,AX5)</f>
        <v>0</v>
      </c>
      <c r="AY8" s="44">
        <f>COUNTIFS($AE$8:$AE$920,"CT",$AF$8:$AF$920,AY5)</f>
        <v>0</v>
      </c>
      <c r="AZ8" s="44">
        <f>COUNTIFS($AE$8:$AE$920,"CT",$AF$8:$AF$920,AZ5)</f>
        <v>1</v>
      </c>
      <c r="BA8" s="45"/>
      <c r="BB8" s="45"/>
    </row>
    <row r="9" spans="1:54" s="18" customFormat="1" ht="50.1" customHeight="1">
      <c r="A9" s="107" t="s">
        <v>86</v>
      </c>
      <c r="B9" s="108" t="s">
        <v>85</v>
      </c>
      <c r="C9" s="107"/>
      <c r="D9" s="107"/>
      <c r="E9" s="107"/>
      <c r="F9" s="107"/>
      <c r="G9" s="107"/>
      <c r="H9" s="68">
        <f t="shared" ref="H9:Y9" si="4">SUM(H10:H17)</f>
        <v>0</v>
      </c>
      <c r="I9" s="68">
        <f t="shared" si="4"/>
        <v>0</v>
      </c>
      <c r="J9" s="68">
        <f t="shared" si="4"/>
        <v>726000</v>
      </c>
      <c r="K9" s="68">
        <f t="shared" si="4"/>
        <v>726000</v>
      </c>
      <c r="L9" s="68">
        <f t="shared" si="4"/>
        <v>0</v>
      </c>
      <c r="M9" s="68">
        <f t="shared" si="4"/>
        <v>0</v>
      </c>
      <c r="N9" s="68">
        <f t="shared" si="4"/>
        <v>0</v>
      </c>
      <c r="O9" s="68">
        <f t="shared" si="4"/>
        <v>0</v>
      </c>
      <c r="P9" s="68">
        <f t="shared" si="4"/>
        <v>0</v>
      </c>
      <c r="Q9" s="68">
        <f t="shared" si="4"/>
        <v>0</v>
      </c>
      <c r="R9" s="68">
        <f t="shared" si="4"/>
        <v>0</v>
      </c>
      <c r="S9" s="68">
        <f t="shared" si="4"/>
        <v>0</v>
      </c>
      <c r="T9" s="68">
        <f t="shared" si="4"/>
        <v>435600</v>
      </c>
      <c r="U9" s="68">
        <f t="shared" si="4"/>
        <v>145200</v>
      </c>
      <c r="V9" s="68">
        <f t="shared" si="4"/>
        <v>145200</v>
      </c>
      <c r="W9" s="68">
        <f t="shared" si="4"/>
        <v>145200</v>
      </c>
      <c r="X9" s="68">
        <f t="shared" si="4"/>
        <v>290400</v>
      </c>
      <c r="Y9" s="68">
        <f t="shared" si="4"/>
        <v>145200</v>
      </c>
      <c r="Z9" s="68">
        <f>SUM(Z10:Z17)</f>
        <v>0</v>
      </c>
      <c r="AA9" s="68">
        <f>SUM(AA10:AA17)</f>
        <v>0</v>
      </c>
      <c r="AB9" s="68">
        <f>SUM(AB10:AB17)</f>
        <v>145200</v>
      </c>
      <c r="AC9" s="53"/>
      <c r="AD9" s="66"/>
      <c r="AE9" s="39"/>
      <c r="AF9" s="39"/>
      <c r="AG9" s="44"/>
      <c r="AH9" s="44"/>
      <c r="AI9" s="44"/>
      <c r="AJ9" s="44"/>
      <c r="AK9" s="42" t="s">
        <v>471</v>
      </c>
      <c r="AL9" s="44">
        <f>SUM(AN9:AZ9)</f>
        <v>11</v>
      </c>
      <c r="AM9" s="44"/>
      <c r="AN9" s="44">
        <f t="shared" ref="AN9:AZ9" si="5">COUNTIFS($AE$8:$AE$920,"KCM",$AF$8:$AF$920,AN5)</f>
        <v>4</v>
      </c>
      <c r="AO9" s="44">
        <f t="shared" si="5"/>
        <v>1</v>
      </c>
      <c r="AP9" s="44">
        <f t="shared" si="5"/>
        <v>0</v>
      </c>
      <c r="AQ9" s="44">
        <f t="shared" si="5"/>
        <v>0</v>
      </c>
      <c r="AR9" s="44">
        <f t="shared" si="5"/>
        <v>0</v>
      </c>
      <c r="AS9" s="44">
        <f t="shared" si="5"/>
        <v>0</v>
      </c>
      <c r="AT9" s="44">
        <f t="shared" si="5"/>
        <v>0</v>
      </c>
      <c r="AU9" s="44">
        <f t="shared" si="5"/>
        <v>0</v>
      </c>
      <c r="AV9" s="44">
        <f t="shared" si="5"/>
        <v>0</v>
      </c>
      <c r="AW9" s="44">
        <f t="shared" si="5"/>
        <v>3</v>
      </c>
      <c r="AX9" s="44">
        <f t="shared" si="5"/>
        <v>3</v>
      </c>
      <c r="AY9" s="44">
        <f t="shared" si="5"/>
        <v>0</v>
      </c>
      <c r="AZ9" s="44">
        <f t="shared" si="5"/>
        <v>0</v>
      </c>
      <c r="BA9" s="44"/>
      <c r="BB9" s="44"/>
    </row>
    <row r="10" spans="1:54" s="2" customFormat="1" ht="39.9" customHeight="1">
      <c r="A10" s="107"/>
      <c r="B10" s="253" t="s">
        <v>77</v>
      </c>
      <c r="C10" s="107"/>
      <c r="D10" s="107"/>
      <c r="E10" s="107"/>
      <c r="F10" s="107"/>
      <c r="G10" s="107"/>
      <c r="H10" s="68"/>
      <c r="I10" s="68"/>
      <c r="J10" s="80">
        <f t="shared" ref="J10:J17" si="6">SUM(K10,L10:S10)</f>
        <v>130815</v>
      </c>
      <c r="K10" s="80">
        <f t="shared" ref="K10:K17" si="7">U10*5</f>
        <v>130815</v>
      </c>
      <c r="L10" s="32"/>
      <c r="M10" s="32"/>
      <c r="N10" s="32"/>
      <c r="O10" s="32"/>
      <c r="P10" s="32"/>
      <c r="Q10" s="32"/>
      <c r="R10" s="32"/>
      <c r="S10" s="32"/>
      <c r="T10" s="32">
        <f t="shared" ref="T10:T17" si="8">SUM(U10:W10)</f>
        <v>78489</v>
      </c>
      <c r="U10" s="32">
        <v>26163</v>
      </c>
      <c r="V10" s="32">
        <v>26163</v>
      </c>
      <c r="W10" s="32">
        <v>26163</v>
      </c>
      <c r="X10" s="80">
        <f t="shared" ref="X10:X17" si="9">J10-T10</f>
        <v>52326</v>
      </c>
      <c r="Y10" s="32">
        <f t="shared" ref="Y10:Y17" si="10">W10</f>
        <v>26163</v>
      </c>
      <c r="Z10" s="32"/>
      <c r="AA10" s="32"/>
      <c r="AB10" s="32">
        <f>SUM(Y10:AA10)</f>
        <v>26163</v>
      </c>
      <c r="AC10" s="53"/>
      <c r="AD10" s="66"/>
      <c r="AE10" s="39"/>
      <c r="AF10" s="39"/>
      <c r="AG10" s="44"/>
      <c r="AH10" s="44"/>
      <c r="AI10" s="44"/>
      <c r="AJ10" s="44"/>
      <c r="BA10" s="44"/>
      <c r="BB10" s="44"/>
    </row>
    <row r="11" spans="1:54" s="2" customFormat="1" ht="39.9" customHeight="1">
      <c r="A11" s="107"/>
      <c r="B11" s="253" t="s">
        <v>78</v>
      </c>
      <c r="C11" s="107"/>
      <c r="D11" s="107"/>
      <c r="E11" s="107"/>
      <c r="F11" s="107"/>
      <c r="G11" s="107"/>
      <c r="H11" s="68"/>
      <c r="I11" s="68"/>
      <c r="J11" s="80">
        <f t="shared" si="6"/>
        <v>88510</v>
      </c>
      <c r="K11" s="80">
        <f t="shared" si="7"/>
        <v>88510</v>
      </c>
      <c r="L11" s="32"/>
      <c r="M11" s="32"/>
      <c r="N11" s="32"/>
      <c r="O11" s="32"/>
      <c r="P11" s="32"/>
      <c r="Q11" s="32"/>
      <c r="R11" s="32"/>
      <c r="S11" s="32"/>
      <c r="T11" s="32">
        <f t="shared" si="8"/>
        <v>53106</v>
      </c>
      <c r="U11" s="32">
        <v>17702</v>
      </c>
      <c r="V11" s="32">
        <v>17702</v>
      </c>
      <c r="W11" s="32">
        <v>17702</v>
      </c>
      <c r="X11" s="80">
        <f t="shared" si="9"/>
        <v>35404</v>
      </c>
      <c r="Y11" s="32">
        <f t="shared" si="10"/>
        <v>17702</v>
      </c>
      <c r="Z11" s="32"/>
      <c r="AA11" s="32"/>
      <c r="AB11" s="32">
        <f t="shared" ref="AB11:AB20" si="11">SUM(Y11:AA11)</f>
        <v>17702</v>
      </c>
      <c r="AC11" s="53"/>
      <c r="AD11" s="66"/>
      <c r="AE11" s="254"/>
      <c r="AF11" s="254"/>
    </row>
    <row r="12" spans="1:54" s="2" customFormat="1" ht="39.9" customHeight="1">
      <c r="A12" s="107"/>
      <c r="B12" s="253" t="s">
        <v>79</v>
      </c>
      <c r="C12" s="107"/>
      <c r="D12" s="107"/>
      <c r="E12" s="107"/>
      <c r="F12" s="107"/>
      <c r="G12" s="107"/>
      <c r="H12" s="68"/>
      <c r="I12" s="68"/>
      <c r="J12" s="80">
        <f t="shared" si="6"/>
        <v>85880</v>
      </c>
      <c r="K12" s="80">
        <f t="shared" si="7"/>
        <v>85880</v>
      </c>
      <c r="L12" s="32"/>
      <c r="M12" s="32"/>
      <c r="N12" s="32"/>
      <c r="O12" s="32"/>
      <c r="P12" s="32"/>
      <c r="Q12" s="32"/>
      <c r="R12" s="32"/>
      <c r="S12" s="32"/>
      <c r="T12" s="32">
        <f t="shared" si="8"/>
        <v>51528</v>
      </c>
      <c r="U12" s="32">
        <v>17176</v>
      </c>
      <c r="V12" s="32">
        <v>17176</v>
      </c>
      <c r="W12" s="32">
        <v>17176</v>
      </c>
      <c r="X12" s="80">
        <f t="shared" si="9"/>
        <v>34352</v>
      </c>
      <c r="Y12" s="32">
        <f t="shared" si="10"/>
        <v>17176</v>
      </c>
      <c r="Z12" s="32"/>
      <c r="AA12" s="32"/>
      <c r="AB12" s="32">
        <f t="shared" si="11"/>
        <v>17176</v>
      </c>
      <c r="AC12" s="53"/>
      <c r="AD12" s="66"/>
      <c r="AE12" s="254"/>
      <c r="AF12" s="254"/>
    </row>
    <row r="13" spans="1:54" s="2" customFormat="1" ht="39.9" customHeight="1">
      <c r="A13" s="107"/>
      <c r="B13" s="253" t="s">
        <v>80</v>
      </c>
      <c r="C13" s="107"/>
      <c r="D13" s="107"/>
      <c r="E13" s="107"/>
      <c r="F13" s="107"/>
      <c r="G13" s="107"/>
      <c r="H13" s="68"/>
      <c r="I13" s="68"/>
      <c r="J13" s="80">
        <f t="shared" si="6"/>
        <v>74620</v>
      </c>
      <c r="K13" s="80">
        <f t="shared" si="7"/>
        <v>74620</v>
      </c>
      <c r="L13" s="32"/>
      <c r="M13" s="32"/>
      <c r="N13" s="32"/>
      <c r="O13" s="32"/>
      <c r="P13" s="32"/>
      <c r="Q13" s="32"/>
      <c r="R13" s="32"/>
      <c r="S13" s="32"/>
      <c r="T13" s="32">
        <f t="shared" si="8"/>
        <v>44772</v>
      </c>
      <c r="U13" s="32">
        <v>14924</v>
      </c>
      <c r="V13" s="32">
        <v>14924</v>
      </c>
      <c r="W13" s="32">
        <v>14924</v>
      </c>
      <c r="X13" s="80">
        <f t="shared" si="9"/>
        <v>29848</v>
      </c>
      <c r="Y13" s="32">
        <f t="shared" si="10"/>
        <v>14924</v>
      </c>
      <c r="Z13" s="32"/>
      <c r="AA13" s="32"/>
      <c r="AB13" s="32">
        <f t="shared" si="11"/>
        <v>14924</v>
      </c>
      <c r="AC13" s="53"/>
      <c r="AD13" s="66"/>
      <c r="AE13" s="254"/>
      <c r="AF13" s="254"/>
    </row>
    <row r="14" spans="1:54" s="2" customFormat="1" ht="39.9" customHeight="1">
      <c r="A14" s="107"/>
      <c r="B14" s="253" t="s">
        <v>81</v>
      </c>
      <c r="C14" s="107"/>
      <c r="D14" s="107"/>
      <c r="E14" s="107"/>
      <c r="F14" s="107"/>
      <c r="G14" s="107"/>
      <c r="H14" s="68"/>
      <c r="I14" s="68"/>
      <c r="J14" s="80">
        <f t="shared" si="6"/>
        <v>92565</v>
      </c>
      <c r="K14" s="80">
        <f t="shared" si="7"/>
        <v>92565</v>
      </c>
      <c r="L14" s="32"/>
      <c r="M14" s="32"/>
      <c r="N14" s="32"/>
      <c r="O14" s="32"/>
      <c r="P14" s="32"/>
      <c r="Q14" s="32"/>
      <c r="R14" s="32"/>
      <c r="S14" s="32"/>
      <c r="T14" s="32">
        <f t="shared" si="8"/>
        <v>55539</v>
      </c>
      <c r="U14" s="32">
        <v>18513</v>
      </c>
      <c r="V14" s="32">
        <v>18513</v>
      </c>
      <c r="W14" s="32">
        <v>18513</v>
      </c>
      <c r="X14" s="80">
        <f t="shared" si="9"/>
        <v>37026</v>
      </c>
      <c r="Y14" s="32">
        <f t="shared" si="10"/>
        <v>18513</v>
      </c>
      <c r="Z14" s="32"/>
      <c r="AA14" s="32"/>
      <c r="AB14" s="32">
        <f t="shared" si="11"/>
        <v>18513</v>
      </c>
      <c r="AC14" s="53"/>
      <c r="AD14" s="66"/>
      <c r="AE14" s="254"/>
      <c r="AF14" s="254"/>
    </row>
    <row r="15" spans="1:54" s="2" customFormat="1" ht="39.9" customHeight="1">
      <c r="A15" s="107"/>
      <c r="B15" s="253" t="s">
        <v>82</v>
      </c>
      <c r="C15" s="107"/>
      <c r="D15" s="107"/>
      <c r="E15" s="107"/>
      <c r="F15" s="107"/>
      <c r="G15" s="107"/>
      <c r="H15" s="68"/>
      <c r="I15" s="68"/>
      <c r="J15" s="80">
        <f t="shared" si="6"/>
        <v>83930</v>
      </c>
      <c r="K15" s="80">
        <f t="shared" si="7"/>
        <v>83930</v>
      </c>
      <c r="L15" s="32"/>
      <c r="M15" s="32"/>
      <c r="N15" s="32"/>
      <c r="O15" s="32"/>
      <c r="P15" s="32"/>
      <c r="Q15" s="32"/>
      <c r="R15" s="32"/>
      <c r="S15" s="32"/>
      <c r="T15" s="32">
        <f t="shared" si="8"/>
        <v>50358</v>
      </c>
      <c r="U15" s="32">
        <v>16786</v>
      </c>
      <c r="V15" s="32">
        <v>16786</v>
      </c>
      <c r="W15" s="32">
        <v>16786</v>
      </c>
      <c r="X15" s="80">
        <f t="shared" si="9"/>
        <v>33572</v>
      </c>
      <c r="Y15" s="32">
        <f t="shared" si="10"/>
        <v>16786</v>
      </c>
      <c r="Z15" s="32"/>
      <c r="AA15" s="32"/>
      <c r="AB15" s="32">
        <f t="shared" si="11"/>
        <v>16786</v>
      </c>
      <c r="AC15" s="53"/>
      <c r="AD15" s="66"/>
      <c r="AE15" s="254"/>
      <c r="AF15" s="254"/>
    </row>
    <row r="16" spans="1:54" s="2" customFormat="1" ht="39.9" customHeight="1">
      <c r="A16" s="107"/>
      <c r="B16" s="253" t="s">
        <v>83</v>
      </c>
      <c r="C16" s="107"/>
      <c r="D16" s="107"/>
      <c r="E16" s="107"/>
      <c r="F16" s="107"/>
      <c r="G16" s="107"/>
      <c r="H16" s="68"/>
      <c r="I16" s="68"/>
      <c r="J16" s="80">
        <f t="shared" si="6"/>
        <v>91030</v>
      </c>
      <c r="K16" s="80">
        <f t="shared" si="7"/>
        <v>91030</v>
      </c>
      <c r="L16" s="32"/>
      <c r="M16" s="32"/>
      <c r="N16" s="32"/>
      <c r="O16" s="32"/>
      <c r="P16" s="32"/>
      <c r="Q16" s="32"/>
      <c r="R16" s="32"/>
      <c r="S16" s="32"/>
      <c r="T16" s="32">
        <f t="shared" si="8"/>
        <v>54618</v>
      </c>
      <c r="U16" s="32">
        <v>18206</v>
      </c>
      <c r="V16" s="32">
        <v>18206</v>
      </c>
      <c r="W16" s="32">
        <v>18206</v>
      </c>
      <c r="X16" s="80">
        <f t="shared" si="9"/>
        <v>36412</v>
      </c>
      <c r="Y16" s="32">
        <f t="shared" si="10"/>
        <v>18206</v>
      </c>
      <c r="Z16" s="32"/>
      <c r="AA16" s="32"/>
      <c r="AB16" s="32">
        <f t="shared" si="11"/>
        <v>18206</v>
      </c>
      <c r="AC16" s="53"/>
      <c r="AD16" s="66"/>
      <c r="AE16" s="254"/>
      <c r="AF16" s="254"/>
    </row>
    <row r="17" spans="1:36" s="2" customFormat="1" ht="39.9" customHeight="1">
      <c r="A17" s="107"/>
      <c r="B17" s="253" t="s">
        <v>84</v>
      </c>
      <c r="C17" s="107"/>
      <c r="D17" s="107"/>
      <c r="E17" s="107"/>
      <c r="F17" s="107"/>
      <c r="G17" s="107"/>
      <c r="H17" s="68"/>
      <c r="I17" s="68"/>
      <c r="J17" s="80">
        <f t="shared" si="6"/>
        <v>78650</v>
      </c>
      <c r="K17" s="80">
        <f t="shared" si="7"/>
        <v>78650</v>
      </c>
      <c r="L17" s="32"/>
      <c r="M17" s="32"/>
      <c r="N17" s="32"/>
      <c r="O17" s="32"/>
      <c r="P17" s="32"/>
      <c r="Q17" s="32"/>
      <c r="R17" s="32"/>
      <c r="S17" s="32"/>
      <c r="T17" s="32">
        <f t="shared" si="8"/>
        <v>47190</v>
      </c>
      <c r="U17" s="32">
        <v>15730</v>
      </c>
      <c r="V17" s="32">
        <v>15730</v>
      </c>
      <c r="W17" s="32">
        <v>15730</v>
      </c>
      <c r="X17" s="80">
        <f t="shared" si="9"/>
        <v>31460</v>
      </c>
      <c r="Y17" s="32">
        <f t="shared" si="10"/>
        <v>15730</v>
      </c>
      <c r="Z17" s="32"/>
      <c r="AA17" s="32"/>
      <c r="AB17" s="32">
        <f t="shared" si="11"/>
        <v>15730</v>
      </c>
      <c r="AC17" s="53"/>
      <c r="AD17" s="66"/>
      <c r="AE17" s="254"/>
      <c r="AF17" s="254"/>
    </row>
    <row r="18" spans="1:36" s="18" customFormat="1" ht="50.1" customHeight="1">
      <c r="A18" s="107" t="s">
        <v>20</v>
      </c>
      <c r="B18" s="108" t="s">
        <v>692</v>
      </c>
      <c r="C18" s="107"/>
      <c r="D18" s="107"/>
      <c r="E18" s="107"/>
      <c r="F18" s="107"/>
      <c r="G18" s="107"/>
      <c r="H18" s="68"/>
      <c r="I18" s="68"/>
      <c r="J18" s="68"/>
      <c r="K18" s="68"/>
      <c r="L18" s="68"/>
      <c r="M18" s="68"/>
      <c r="N18" s="68"/>
      <c r="O18" s="68"/>
      <c r="P18" s="68"/>
      <c r="Q18" s="68"/>
      <c r="R18" s="68"/>
      <c r="S18" s="68"/>
      <c r="T18" s="68"/>
      <c r="U18" s="68"/>
      <c r="V18" s="68"/>
      <c r="W18" s="68"/>
      <c r="X18" s="68"/>
      <c r="Y18" s="68">
        <v>28700</v>
      </c>
      <c r="Z18" s="68"/>
      <c r="AA18" s="68"/>
      <c r="AB18" s="68">
        <f t="shared" si="11"/>
        <v>28700</v>
      </c>
      <c r="AC18" s="65" t="s">
        <v>727</v>
      </c>
      <c r="AD18" s="129"/>
      <c r="AE18" s="55"/>
      <c r="AF18" s="55"/>
    </row>
    <row r="19" spans="1:36" s="18" customFormat="1" ht="48" customHeight="1">
      <c r="A19" s="107" t="s">
        <v>19</v>
      </c>
      <c r="B19" s="108" t="s">
        <v>87</v>
      </c>
      <c r="C19" s="107"/>
      <c r="D19" s="107"/>
      <c r="E19" s="107"/>
      <c r="F19" s="107"/>
      <c r="G19" s="107"/>
      <c r="H19" s="68">
        <f t="shared" ref="H19:AB19" si="12">SUM(H20,H21)</f>
        <v>4453272</v>
      </c>
      <c r="I19" s="68">
        <f t="shared" si="12"/>
        <v>2426257</v>
      </c>
      <c r="J19" s="68">
        <f t="shared" si="12"/>
        <v>1038815</v>
      </c>
      <c r="K19" s="68">
        <f t="shared" si="12"/>
        <v>652828</v>
      </c>
      <c r="L19" s="68">
        <f t="shared" si="12"/>
        <v>0</v>
      </c>
      <c r="M19" s="68">
        <f t="shared" si="12"/>
        <v>541000</v>
      </c>
      <c r="N19" s="68">
        <f t="shared" si="12"/>
        <v>0</v>
      </c>
      <c r="O19" s="68">
        <f t="shared" si="12"/>
        <v>17000</v>
      </c>
      <c r="P19" s="68">
        <f t="shared" si="12"/>
        <v>0</v>
      </c>
      <c r="Q19" s="68">
        <f t="shared" si="12"/>
        <v>0</v>
      </c>
      <c r="R19" s="68">
        <f t="shared" si="12"/>
        <v>2200</v>
      </c>
      <c r="S19" s="68">
        <f t="shared" si="12"/>
        <v>0</v>
      </c>
      <c r="T19" s="68">
        <f t="shared" si="12"/>
        <v>294469</v>
      </c>
      <c r="U19" s="68">
        <f t="shared" si="12"/>
        <v>6000</v>
      </c>
      <c r="V19" s="68">
        <f t="shared" si="12"/>
        <v>48273</v>
      </c>
      <c r="W19" s="68">
        <f t="shared" si="12"/>
        <v>271935</v>
      </c>
      <c r="X19" s="68">
        <f t="shared" si="12"/>
        <v>712607</v>
      </c>
      <c r="Y19" s="68">
        <f t="shared" si="12"/>
        <v>381297</v>
      </c>
      <c r="Z19" s="68">
        <f t="shared" si="12"/>
        <v>42850</v>
      </c>
      <c r="AA19" s="379">
        <f t="shared" si="12"/>
        <v>-42850</v>
      </c>
      <c r="AB19" s="68">
        <f t="shared" si="12"/>
        <v>381297</v>
      </c>
      <c r="AC19" s="53">
        <f>555197-Y9-Y18-Y19</f>
        <v>0</v>
      </c>
      <c r="AD19" s="66"/>
      <c r="AE19" s="55"/>
      <c r="AF19" s="55"/>
    </row>
    <row r="20" spans="1:36" s="127" customFormat="1" ht="83.25" customHeight="1">
      <c r="A20" s="107" t="s">
        <v>15</v>
      </c>
      <c r="B20" s="108" t="s">
        <v>88</v>
      </c>
      <c r="C20" s="107"/>
      <c r="D20" s="107"/>
      <c r="E20" s="107"/>
      <c r="F20" s="107"/>
      <c r="G20" s="107"/>
      <c r="H20" s="68"/>
      <c r="I20" s="68"/>
      <c r="J20" s="68">
        <f>SUM(K20,L20:S20)</f>
        <v>75000</v>
      </c>
      <c r="K20" s="68">
        <v>75000</v>
      </c>
      <c r="L20" s="68"/>
      <c r="M20" s="68"/>
      <c r="N20" s="68"/>
      <c r="O20" s="68"/>
      <c r="P20" s="68"/>
      <c r="Q20" s="68"/>
      <c r="R20" s="68"/>
      <c r="S20" s="68"/>
      <c r="T20" s="64">
        <f>SUM(U20:W20)</f>
        <v>28956</v>
      </c>
      <c r="U20" s="68">
        <v>6000</v>
      </c>
      <c r="V20" s="68">
        <v>8273</v>
      </c>
      <c r="W20" s="255">
        <f>15000-317</f>
        <v>14683</v>
      </c>
      <c r="X20" s="68">
        <f>J20-T20</f>
        <v>46044</v>
      </c>
      <c r="Y20" s="342">
        <v>15000</v>
      </c>
      <c r="Z20" s="342">
        <v>2350</v>
      </c>
      <c r="AA20" s="342"/>
      <c r="AB20" s="342">
        <f t="shared" si="11"/>
        <v>17350</v>
      </c>
      <c r="AC20" s="53"/>
      <c r="AD20" s="66"/>
      <c r="AE20" s="256"/>
      <c r="AF20" s="256"/>
    </row>
    <row r="21" spans="1:36" s="18" customFormat="1" ht="50.1" customHeight="1">
      <c r="A21" s="107" t="s">
        <v>31</v>
      </c>
      <c r="B21" s="108" t="s">
        <v>93</v>
      </c>
      <c r="C21" s="107"/>
      <c r="D21" s="107"/>
      <c r="E21" s="107"/>
      <c r="F21" s="107"/>
      <c r="G21" s="107"/>
      <c r="H21" s="68">
        <f t="shared" ref="H21:X21" si="13">SUM(H22,H39)</f>
        <v>4453272</v>
      </c>
      <c r="I21" s="68">
        <f t="shared" si="13"/>
        <v>2426257</v>
      </c>
      <c r="J21" s="68">
        <f t="shared" si="13"/>
        <v>963815</v>
      </c>
      <c r="K21" s="68">
        <f t="shared" si="13"/>
        <v>577828</v>
      </c>
      <c r="L21" s="68">
        <f t="shared" si="13"/>
        <v>0</v>
      </c>
      <c r="M21" s="68">
        <f t="shared" si="13"/>
        <v>541000</v>
      </c>
      <c r="N21" s="68">
        <f t="shared" si="13"/>
        <v>0</v>
      </c>
      <c r="O21" s="68">
        <f t="shared" si="13"/>
        <v>17000</v>
      </c>
      <c r="P21" s="68">
        <f t="shared" si="13"/>
        <v>0</v>
      </c>
      <c r="Q21" s="68">
        <f t="shared" si="13"/>
        <v>0</v>
      </c>
      <c r="R21" s="68">
        <f t="shared" si="13"/>
        <v>2200</v>
      </c>
      <c r="S21" s="68">
        <f t="shared" si="13"/>
        <v>0</v>
      </c>
      <c r="T21" s="68">
        <f t="shared" si="13"/>
        <v>265513</v>
      </c>
      <c r="U21" s="68">
        <f t="shared" si="13"/>
        <v>0</v>
      </c>
      <c r="V21" s="68">
        <f t="shared" si="13"/>
        <v>40000</v>
      </c>
      <c r="W21" s="68">
        <f t="shared" si="13"/>
        <v>257252</v>
      </c>
      <c r="X21" s="68">
        <f t="shared" si="13"/>
        <v>666563</v>
      </c>
      <c r="Y21" s="68">
        <f>SUM(Y22,Y39,Y69)</f>
        <v>366297</v>
      </c>
      <c r="Z21" s="68">
        <f>SUM(Z22,Z39,Z69)</f>
        <v>40500</v>
      </c>
      <c r="AA21" s="379">
        <f>SUM(AA22,AA39,AA69)</f>
        <v>-42850</v>
      </c>
      <c r="AB21" s="68">
        <f>SUM(AB22,AB39,AB69)</f>
        <v>363947</v>
      </c>
      <c r="AC21" s="53"/>
      <c r="AD21" s="66"/>
      <c r="AE21" s="55"/>
      <c r="AF21" s="55"/>
    </row>
    <row r="22" spans="1:36" s="18" customFormat="1" ht="50.1" customHeight="1">
      <c r="A22" s="107" t="s">
        <v>479</v>
      </c>
      <c r="B22" s="108" t="s">
        <v>70</v>
      </c>
      <c r="C22" s="107"/>
      <c r="D22" s="107"/>
      <c r="E22" s="107"/>
      <c r="F22" s="107"/>
      <c r="G22" s="107"/>
      <c r="H22" s="68">
        <f t="shared" ref="H22:Y22" si="14">SUM(H23,H30,H34,H36)</f>
        <v>2914996</v>
      </c>
      <c r="I22" s="68">
        <f t="shared" si="14"/>
        <v>1202758</v>
      </c>
      <c r="J22" s="68">
        <f t="shared" si="14"/>
        <v>606128</v>
      </c>
      <c r="K22" s="68">
        <f t="shared" si="14"/>
        <v>454528</v>
      </c>
      <c r="L22" s="68">
        <f t="shared" si="14"/>
        <v>0</v>
      </c>
      <c r="M22" s="68">
        <f t="shared" si="14"/>
        <v>-30000</v>
      </c>
      <c r="N22" s="68">
        <f t="shared" si="14"/>
        <v>0</v>
      </c>
      <c r="O22" s="68">
        <f t="shared" si="14"/>
        <v>17000</v>
      </c>
      <c r="P22" s="68">
        <f t="shared" si="14"/>
        <v>0</v>
      </c>
      <c r="Q22" s="68">
        <f t="shared" si="14"/>
        <v>0</v>
      </c>
      <c r="R22" s="68">
        <f t="shared" si="14"/>
        <v>0</v>
      </c>
      <c r="S22" s="68">
        <f t="shared" si="14"/>
        <v>0</v>
      </c>
      <c r="T22" s="68">
        <f t="shared" si="14"/>
        <v>265513</v>
      </c>
      <c r="U22" s="68">
        <f t="shared" si="14"/>
        <v>0</v>
      </c>
      <c r="V22" s="68">
        <f t="shared" si="14"/>
        <v>40000</v>
      </c>
      <c r="W22" s="68">
        <f t="shared" si="14"/>
        <v>257252</v>
      </c>
      <c r="X22" s="68">
        <f t="shared" si="14"/>
        <v>308876</v>
      </c>
      <c r="Y22" s="68">
        <f t="shared" si="14"/>
        <v>196410</v>
      </c>
      <c r="Z22" s="68">
        <f>SUM(Z23,Z30,Z34,Z36)</f>
        <v>22700</v>
      </c>
      <c r="AA22" s="379">
        <f>SUM(AA23,AA30,AA34,AA36)</f>
        <v>-18163</v>
      </c>
      <c r="AB22" s="68">
        <f>SUM(AB23,AB30,AB34,AB36)</f>
        <v>200947</v>
      </c>
      <c r="AC22" s="53"/>
      <c r="AD22" s="66"/>
      <c r="AE22" s="55"/>
      <c r="AF22" s="55"/>
    </row>
    <row r="23" spans="1:36" s="20" customFormat="1" ht="44.25" customHeight="1">
      <c r="A23" s="109" t="s">
        <v>17</v>
      </c>
      <c r="B23" s="110" t="s">
        <v>64</v>
      </c>
      <c r="C23" s="110"/>
      <c r="D23" s="109"/>
      <c r="E23" s="110"/>
      <c r="F23" s="110"/>
      <c r="G23" s="110"/>
      <c r="H23" s="111">
        <f>SUM(H24:H29)</f>
        <v>2762359</v>
      </c>
      <c r="I23" s="111">
        <f t="shared" ref="I23:AB23" si="15">SUM(I24:I29)</f>
        <v>1066276</v>
      </c>
      <c r="J23" s="111">
        <f t="shared" si="15"/>
        <v>475600</v>
      </c>
      <c r="K23" s="111">
        <f t="shared" si="15"/>
        <v>341000</v>
      </c>
      <c r="L23" s="111">
        <f t="shared" si="15"/>
        <v>0</v>
      </c>
      <c r="M23" s="111">
        <f t="shared" si="15"/>
        <v>-30000</v>
      </c>
      <c r="N23" s="111">
        <f t="shared" si="15"/>
        <v>0</v>
      </c>
      <c r="O23" s="111">
        <f t="shared" si="15"/>
        <v>0</v>
      </c>
      <c r="P23" s="111">
        <f t="shared" si="15"/>
        <v>0</v>
      </c>
      <c r="Q23" s="111">
        <f t="shared" si="15"/>
        <v>0</v>
      </c>
      <c r="R23" s="111">
        <f t="shared" si="15"/>
        <v>0</v>
      </c>
      <c r="S23" s="111">
        <f t="shared" si="15"/>
        <v>0</v>
      </c>
      <c r="T23" s="111">
        <f t="shared" si="15"/>
        <v>183013</v>
      </c>
      <c r="U23" s="111">
        <f t="shared" si="15"/>
        <v>0</v>
      </c>
      <c r="V23" s="111">
        <f t="shared" si="15"/>
        <v>0</v>
      </c>
      <c r="W23" s="111">
        <f t="shared" si="15"/>
        <v>214752</v>
      </c>
      <c r="X23" s="111">
        <f t="shared" si="15"/>
        <v>260848</v>
      </c>
      <c r="Y23" s="111">
        <f t="shared" si="15"/>
        <v>165882</v>
      </c>
      <c r="Z23" s="111">
        <f t="shared" si="15"/>
        <v>22700</v>
      </c>
      <c r="AA23" s="388">
        <f t="shared" si="15"/>
        <v>-15963</v>
      </c>
      <c r="AB23" s="111">
        <f t="shared" si="15"/>
        <v>172619</v>
      </c>
      <c r="AC23" s="112"/>
      <c r="AD23" s="130"/>
      <c r="AE23" s="113"/>
      <c r="AF23" s="113"/>
    </row>
    <row r="24" spans="1:36" ht="135" customHeight="1">
      <c r="A24" s="114">
        <v>1</v>
      </c>
      <c r="B24" s="115" t="s">
        <v>631</v>
      </c>
      <c r="C24" s="116" t="s">
        <v>320</v>
      </c>
      <c r="D24" s="89" t="s">
        <v>20</v>
      </c>
      <c r="E24" s="23" t="s">
        <v>321</v>
      </c>
      <c r="F24" s="23" t="s">
        <v>296</v>
      </c>
      <c r="G24" s="23" t="s">
        <v>755</v>
      </c>
      <c r="H24" s="37">
        <v>704500</v>
      </c>
      <c r="I24" s="37">
        <f>H24-438535</f>
        <v>265965</v>
      </c>
      <c r="J24" s="80">
        <f>SUM(K24,L24:S24)</f>
        <v>126000</v>
      </c>
      <c r="K24" s="32">
        <v>126000</v>
      </c>
      <c r="L24" s="37"/>
      <c r="M24" s="37"/>
      <c r="N24" s="37"/>
      <c r="O24" s="37"/>
      <c r="P24" s="37"/>
      <c r="Q24" s="37"/>
      <c r="R24" s="37"/>
      <c r="S24" s="37"/>
      <c r="T24" s="32">
        <f>SUM(U24:W24)</f>
        <v>71000</v>
      </c>
      <c r="U24" s="37"/>
      <c r="V24" s="37"/>
      <c r="W24" s="37">
        <v>71000</v>
      </c>
      <c r="X24" s="80">
        <f>J24-T24</f>
        <v>55000</v>
      </c>
      <c r="Y24" s="32">
        <v>45000</v>
      </c>
      <c r="Z24" s="32">
        <v>10000</v>
      </c>
      <c r="AA24" s="32"/>
      <c r="AB24" s="32">
        <f t="shared" ref="AB24:AB29" si="16">SUM(Y24:AA24)</f>
        <v>55000</v>
      </c>
      <c r="AC24" s="257" t="s">
        <v>693</v>
      </c>
      <c r="AD24" s="101" t="s">
        <v>1413</v>
      </c>
      <c r="AE24" s="22" t="s">
        <v>472</v>
      </c>
      <c r="AF24" s="22" t="s">
        <v>474</v>
      </c>
      <c r="AG24" s="6">
        <f>Y24</f>
        <v>45000</v>
      </c>
      <c r="AH24" s="6" t="s">
        <v>627</v>
      </c>
      <c r="AI24" s="6"/>
      <c r="AJ24" s="6"/>
    </row>
    <row r="25" spans="1:36" ht="88.5" customHeight="1">
      <c r="A25" s="114">
        <f>+A24+1</f>
        <v>2</v>
      </c>
      <c r="B25" s="115" t="s">
        <v>322</v>
      </c>
      <c r="C25" s="88" t="s">
        <v>18</v>
      </c>
      <c r="D25" s="89" t="s">
        <v>20</v>
      </c>
      <c r="E25" s="23" t="s">
        <v>323</v>
      </c>
      <c r="F25" s="23" t="s">
        <v>36</v>
      </c>
      <c r="G25" s="33" t="s">
        <v>756</v>
      </c>
      <c r="H25" s="37">
        <v>156541</v>
      </c>
      <c r="I25" s="37">
        <v>150000</v>
      </c>
      <c r="J25" s="80">
        <f>SUM(K25,L25:S25)</f>
        <v>130000</v>
      </c>
      <c r="K25" s="37">
        <v>130000</v>
      </c>
      <c r="L25" s="37"/>
      <c r="M25" s="37"/>
      <c r="N25" s="37"/>
      <c r="O25" s="37"/>
      <c r="P25" s="37"/>
      <c r="Q25" s="37"/>
      <c r="R25" s="37"/>
      <c r="S25" s="37"/>
      <c r="T25" s="32">
        <f>SUM(U25:W25)</f>
        <v>107013</v>
      </c>
      <c r="U25" s="37"/>
      <c r="V25" s="37"/>
      <c r="W25" s="37">
        <v>107013</v>
      </c>
      <c r="X25" s="80">
        <f>J25-T25</f>
        <v>22987</v>
      </c>
      <c r="Y25" s="37">
        <f>X25</f>
        <v>22987</v>
      </c>
      <c r="Z25" s="37"/>
      <c r="AA25" s="37"/>
      <c r="AB25" s="32">
        <f t="shared" si="16"/>
        <v>22987</v>
      </c>
      <c r="AC25" s="117" t="s">
        <v>895</v>
      </c>
      <c r="AD25" s="131"/>
      <c r="AE25" s="22" t="s">
        <v>472</v>
      </c>
      <c r="AF25" s="22" t="s">
        <v>474</v>
      </c>
      <c r="AG25" s="6">
        <f>Y25</f>
        <v>22987</v>
      </c>
      <c r="AH25" s="6" t="s">
        <v>627</v>
      </c>
      <c r="AI25" s="6"/>
      <c r="AJ25" s="6"/>
    </row>
    <row r="26" spans="1:36" ht="88.5" customHeight="1">
      <c r="A26" s="114">
        <f>+A25+1</f>
        <v>3</v>
      </c>
      <c r="B26" s="115" t="s">
        <v>359</v>
      </c>
      <c r="C26" s="23" t="s">
        <v>260</v>
      </c>
      <c r="D26" s="89" t="s">
        <v>19</v>
      </c>
      <c r="E26" s="23" t="s">
        <v>362</v>
      </c>
      <c r="F26" s="23" t="s">
        <v>36</v>
      </c>
      <c r="G26" s="177" t="s">
        <v>1414</v>
      </c>
      <c r="H26" s="37">
        <v>52000</v>
      </c>
      <c r="I26" s="37">
        <v>25000</v>
      </c>
      <c r="J26" s="80">
        <f>SUM(K26,L26:S26)</f>
        <v>25000</v>
      </c>
      <c r="K26" s="37">
        <v>25000</v>
      </c>
      <c r="L26" s="37"/>
      <c r="M26" s="37"/>
      <c r="N26" s="37"/>
      <c r="O26" s="37"/>
      <c r="P26" s="37"/>
      <c r="Q26" s="37"/>
      <c r="R26" s="37"/>
      <c r="S26" s="37"/>
      <c r="T26" s="32">
        <f>SUM(U26:W26)</f>
        <v>5000</v>
      </c>
      <c r="U26" s="32"/>
      <c r="V26" s="37"/>
      <c r="W26" s="37">
        <v>5000</v>
      </c>
      <c r="X26" s="80">
        <f>J26-T26</f>
        <v>20000</v>
      </c>
      <c r="Y26" s="37">
        <v>10000</v>
      </c>
      <c r="Z26" s="37"/>
      <c r="AA26" s="37"/>
      <c r="AB26" s="32">
        <f t="shared" si="16"/>
        <v>10000</v>
      </c>
      <c r="AC26" s="117" t="s">
        <v>828</v>
      </c>
      <c r="AD26" s="131"/>
      <c r="AE26" s="22" t="s">
        <v>472</v>
      </c>
      <c r="AF26" s="22" t="s">
        <v>474</v>
      </c>
      <c r="AG26" s="6">
        <f>Y26</f>
        <v>10000</v>
      </c>
      <c r="AH26" s="6" t="s">
        <v>629</v>
      </c>
      <c r="AI26" s="6"/>
      <c r="AJ26" s="6"/>
    </row>
    <row r="27" spans="1:36" ht="129" customHeight="1">
      <c r="A27" s="114">
        <v>4</v>
      </c>
      <c r="B27" s="115" t="s">
        <v>340</v>
      </c>
      <c r="C27" s="23" t="s">
        <v>73</v>
      </c>
      <c r="D27" s="89" t="s">
        <v>20</v>
      </c>
      <c r="E27" s="23" t="s">
        <v>350</v>
      </c>
      <c r="F27" s="23" t="s">
        <v>36</v>
      </c>
      <c r="G27" s="202" t="s">
        <v>757</v>
      </c>
      <c r="H27" s="258">
        <v>223311</v>
      </c>
      <c r="I27" s="37">
        <f>H27-142000</f>
        <v>81311</v>
      </c>
      <c r="J27" s="80">
        <f>SUM(K27,L27:S27)</f>
        <v>30000</v>
      </c>
      <c r="K27" s="32">
        <v>60000</v>
      </c>
      <c r="L27" s="37"/>
      <c r="M27" s="37">
        <v>-30000</v>
      </c>
      <c r="N27" s="37"/>
      <c r="O27" s="37"/>
      <c r="P27" s="37"/>
      <c r="Q27" s="37"/>
      <c r="R27" s="37"/>
      <c r="S27" s="37"/>
      <c r="T27" s="32">
        <f>SUM(U27:W27)</f>
        <v>0</v>
      </c>
      <c r="U27" s="32"/>
      <c r="V27" s="37"/>
      <c r="W27" s="37"/>
      <c r="X27" s="80">
        <f>J27-T27</f>
        <v>30000</v>
      </c>
      <c r="Y27" s="37">
        <v>10000</v>
      </c>
      <c r="Z27" s="37"/>
      <c r="AA27" s="37"/>
      <c r="AB27" s="32">
        <f t="shared" si="16"/>
        <v>10000</v>
      </c>
      <c r="AC27" s="117" t="s">
        <v>878</v>
      </c>
      <c r="AD27" s="131"/>
      <c r="AE27" s="22" t="s">
        <v>472</v>
      </c>
      <c r="AF27" s="22" t="s">
        <v>474</v>
      </c>
      <c r="AG27" s="6">
        <f>Y27</f>
        <v>10000</v>
      </c>
      <c r="AH27" s="6" t="s">
        <v>629</v>
      </c>
      <c r="AI27" s="6"/>
      <c r="AJ27" s="6"/>
    </row>
    <row r="28" spans="1:36" ht="129" customHeight="1">
      <c r="A28" s="114">
        <v>5</v>
      </c>
      <c r="B28" s="115" t="s">
        <v>863</v>
      </c>
      <c r="C28" s="23" t="s">
        <v>958</v>
      </c>
      <c r="D28" s="89" t="s">
        <v>20</v>
      </c>
      <c r="E28" s="23" t="s">
        <v>347</v>
      </c>
      <c r="F28" s="23" t="s">
        <v>36</v>
      </c>
      <c r="G28" s="10" t="s">
        <v>563</v>
      </c>
      <c r="H28" s="258">
        <v>1493000</v>
      </c>
      <c r="I28" s="37">
        <v>493000</v>
      </c>
      <c r="J28" s="49">
        <v>164600</v>
      </c>
      <c r="K28" s="32"/>
      <c r="L28" s="37"/>
      <c r="M28" s="37"/>
      <c r="N28" s="37"/>
      <c r="O28" s="37"/>
      <c r="P28" s="37"/>
      <c r="Q28" s="37"/>
      <c r="R28" s="37"/>
      <c r="S28" s="37"/>
      <c r="T28" s="32"/>
      <c r="U28" s="32"/>
      <c r="V28" s="37"/>
      <c r="W28" s="37">
        <v>31739</v>
      </c>
      <c r="X28" s="80">
        <f>J28-W28</f>
        <v>132861</v>
      </c>
      <c r="Y28" s="37">
        <v>77895</v>
      </c>
      <c r="Z28" s="37"/>
      <c r="AA28" s="389">
        <f>-9500-6463</f>
        <v>-15963</v>
      </c>
      <c r="AB28" s="32">
        <f t="shared" si="16"/>
        <v>61932</v>
      </c>
      <c r="AC28" s="117" t="s">
        <v>843</v>
      </c>
      <c r="AD28" s="101" t="s">
        <v>1412</v>
      </c>
      <c r="AE28" s="22" t="s">
        <v>472</v>
      </c>
      <c r="AF28" s="22" t="s">
        <v>474</v>
      </c>
      <c r="AG28" s="6">
        <f>Y28</f>
        <v>77895</v>
      </c>
      <c r="AH28" s="6"/>
      <c r="AI28" s="6"/>
      <c r="AJ28" s="6"/>
    </row>
    <row r="29" spans="1:36" ht="129" customHeight="1">
      <c r="A29" s="114">
        <v>6</v>
      </c>
      <c r="B29" s="115" t="s">
        <v>44</v>
      </c>
      <c r="C29" s="203" t="s">
        <v>26</v>
      </c>
      <c r="D29" s="203" t="s">
        <v>20</v>
      </c>
      <c r="E29" s="203" t="s">
        <v>45</v>
      </c>
      <c r="F29" s="23" t="s">
        <v>46</v>
      </c>
      <c r="G29" s="203" t="s">
        <v>800</v>
      </c>
      <c r="H29" s="54">
        <v>133007</v>
      </c>
      <c r="I29" s="54">
        <v>51000</v>
      </c>
      <c r="J29" s="49"/>
      <c r="K29" s="32"/>
      <c r="L29" s="37"/>
      <c r="M29" s="37"/>
      <c r="N29" s="37"/>
      <c r="O29" s="37"/>
      <c r="P29" s="37"/>
      <c r="Q29" s="37"/>
      <c r="R29" s="37"/>
      <c r="S29" s="37"/>
      <c r="T29" s="32"/>
      <c r="U29" s="32"/>
      <c r="V29" s="37"/>
      <c r="W29" s="37"/>
      <c r="X29" s="80"/>
      <c r="Y29" s="37"/>
      <c r="Z29" s="37">
        <v>12700</v>
      </c>
      <c r="AA29" s="37"/>
      <c r="AB29" s="32">
        <f t="shared" si="16"/>
        <v>12700</v>
      </c>
      <c r="AC29" s="117"/>
      <c r="AD29" s="101" t="s">
        <v>1413</v>
      </c>
      <c r="AG29" s="6"/>
      <c r="AH29" s="6"/>
      <c r="AI29" s="6"/>
      <c r="AJ29" s="6"/>
    </row>
    <row r="30" spans="1:36" s="20" customFormat="1" ht="44.25" customHeight="1">
      <c r="A30" s="109" t="s">
        <v>25</v>
      </c>
      <c r="B30" s="110" t="s">
        <v>96</v>
      </c>
      <c r="C30" s="110"/>
      <c r="D30" s="109"/>
      <c r="E30" s="110"/>
      <c r="F30" s="110"/>
      <c r="G30" s="110"/>
      <c r="H30" s="111">
        <f t="shared" ref="H30:AB30" si="17">SUM(H31:H33)</f>
        <v>96059</v>
      </c>
      <c r="I30" s="111">
        <f t="shared" si="17"/>
        <v>85516</v>
      </c>
      <c r="J30" s="111">
        <f t="shared" si="17"/>
        <v>79628</v>
      </c>
      <c r="K30" s="111">
        <f t="shared" si="17"/>
        <v>79628</v>
      </c>
      <c r="L30" s="111">
        <f t="shared" si="17"/>
        <v>0</v>
      </c>
      <c r="M30" s="111">
        <f t="shared" si="17"/>
        <v>0</v>
      </c>
      <c r="N30" s="111">
        <f t="shared" si="17"/>
        <v>0</v>
      </c>
      <c r="O30" s="111">
        <f t="shared" si="17"/>
        <v>0</v>
      </c>
      <c r="P30" s="111">
        <f t="shared" si="17"/>
        <v>0</v>
      </c>
      <c r="Q30" s="111">
        <f t="shared" si="17"/>
        <v>0</v>
      </c>
      <c r="R30" s="111">
        <f t="shared" si="17"/>
        <v>0</v>
      </c>
      <c r="S30" s="111">
        <f t="shared" si="17"/>
        <v>0</v>
      </c>
      <c r="T30" s="111">
        <f t="shared" si="17"/>
        <v>57300</v>
      </c>
      <c r="U30" s="111">
        <f t="shared" si="17"/>
        <v>0</v>
      </c>
      <c r="V30" s="111">
        <f t="shared" si="17"/>
        <v>35000</v>
      </c>
      <c r="W30" s="111">
        <f t="shared" si="17"/>
        <v>22300</v>
      </c>
      <c r="X30" s="111">
        <f t="shared" si="17"/>
        <v>22328</v>
      </c>
      <c r="Y30" s="111">
        <f t="shared" si="17"/>
        <v>22328</v>
      </c>
      <c r="Z30" s="111">
        <f t="shared" si="17"/>
        <v>0</v>
      </c>
      <c r="AA30" s="388">
        <f t="shared" si="17"/>
        <v>-2200</v>
      </c>
      <c r="AB30" s="111">
        <f t="shared" si="17"/>
        <v>20128</v>
      </c>
      <c r="AC30" s="112"/>
      <c r="AD30" s="130"/>
      <c r="AE30" s="113"/>
      <c r="AF30" s="113"/>
    </row>
    <row r="31" spans="1:36" ht="60" customHeight="1">
      <c r="A31" s="114">
        <v>1</v>
      </c>
      <c r="B31" s="115" t="s">
        <v>101</v>
      </c>
      <c r="C31" s="114" t="s">
        <v>146</v>
      </c>
      <c r="D31" s="89" t="s">
        <v>20</v>
      </c>
      <c r="E31" s="114" t="s">
        <v>102</v>
      </c>
      <c r="F31" s="259" t="s">
        <v>36</v>
      </c>
      <c r="G31" s="259" t="s">
        <v>103</v>
      </c>
      <c r="H31" s="120">
        <v>65816</v>
      </c>
      <c r="I31" s="120">
        <v>65816</v>
      </c>
      <c r="J31" s="80">
        <f>SUM(K31,L31:S31)</f>
        <v>60828</v>
      </c>
      <c r="K31" s="80">
        <v>60828</v>
      </c>
      <c r="L31" s="37"/>
      <c r="M31" s="37"/>
      <c r="N31" s="37"/>
      <c r="O31" s="37"/>
      <c r="P31" s="37"/>
      <c r="Q31" s="37"/>
      <c r="R31" s="37"/>
      <c r="S31" s="37"/>
      <c r="T31" s="32">
        <f>SUM(U31:W31)</f>
        <v>45000</v>
      </c>
      <c r="U31" s="32"/>
      <c r="V31" s="32">
        <v>35000</v>
      </c>
      <c r="W31" s="37">
        <v>10000</v>
      </c>
      <c r="X31" s="80">
        <f>J31-T31</f>
        <v>15828</v>
      </c>
      <c r="Y31" s="37">
        <f>X31</f>
        <v>15828</v>
      </c>
      <c r="Z31" s="37"/>
      <c r="AA31" s="389">
        <v>-2200</v>
      </c>
      <c r="AB31" s="32">
        <f>SUM(Y31:AA31)</f>
        <v>13628</v>
      </c>
      <c r="AC31" s="117"/>
      <c r="AD31" s="131"/>
      <c r="AE31" s="22" t="s">
        <v>472</v>
      </c>
      <c r="AF31" s="22" t="s">
        <v>466</v>
      </c>
      <c r="AG31" s="6">
        <f>Y31</f>
        <v>15828</v>
      </c>
      <c r="AH31" s="6"/>
      <c r="AI31" s="6"/>
      <c r="AJ31" s="6"/>
    </row>
    <row r="32" spans="1:36" ht="57" customHeight="1">
      <c r="A32" s="114">
        <f>+A31+1</f>
        <v>2</v>
      </c>
      <c r="B32" s="115" t="s">
        <v>107</v>
      </c>
      <c r="C32" s="260" t="s">
        <v>104</v>
      </c>
      <c r="D32" s="89" t="s">
        <v>19</v>
      </c>
      <c r="E32" s="114" t="s">
        <v>99</v>
      </c>
      <c r="F32" s="259" t="s">
        <v>36</v>
      </c>
      <c r="G32" s="259" t="s">
        <v>731</v>
      </c>
      <c r="H32" s="120">
        <v>13343</v>
      </c>
      <c r="I32" s="120">
        <v>8800</v>
      </c>
      <c r="J32" s="80">
        <f>SUM(K32,L32:S32)</f>
        <v>8800</v>
      </c>
      <c r="K32" s="120">
        <v>8800</v>
      </c>
      <c r="L32" s="37"/>
      <c r="M32" s="37"/>
      <c r="N32" s="37"/>
      <c r="O32" s="37"/>
      <c r="P32" s="37"/>
      <c r="Q32" s="37"/>
      <c r="R32" s="37"/>
      <c r="S32" s="37"/>
      <c r="T32" s="32">
        <f>SUM(U32:W32)</f>
        <v>6600</v>
      </c>
      <c r="U32" s="32"/>
      <c r="V32" s="37"/>
      <c r="W32" s="37">
        <v>6600</v>
      </c>
      <c r="X32" s="80">
        <f>J32-T32</f>
        <v>2200</v>
      </c>
      <c r="Y32" s="37">
        <f>X32</f>
        <v>2200</v>
      </c>
      <c r="Z32" s="37"/>
      <c r="AA32" s="37"/>
      <c r="AB32" s="32">
        <f>SUM(Y32:AA32)</f>
        <v>2200</v>
      </c>
      <c r="AC32" s="117" t="s">
        <v>829</v>
      </c>
      <c r="AD32" s="131"/>
      <c r="AE32" s="22" t="s">
        <v>472</v>
      </c>
      <c r="AF32" s="22" t="s">
        <v>466</v>
      </c>
      <c r="AG32" s="6">
        <f>Y32</f>
        <v>2200</v>
      </c>
      <c r="AH32" s="6"/>
      <c r="AI32" s="6"/>
      <c r="AJ32" s="6"/>
    </row>
    <row r="33" spans="1:36" ht="57" customHeight="1">
      <c r="A33" s="114">
        <f>+A32+1</f>
        <v>3</v>
      </c>
      <c r="B33" s="115" t="s">
        <v>108</v>
      </c>
      <c r="C33" s="260" t="s">
        <v>105</v>
      </c>
      <c r="D33" s="89" t="s">
        <v>19</v>
      </c>
      <c r="E33" s="114" t="s">
        <v>100</v>
      </c>
      <c r="F33" s="259" t="s">
        <v>36</v>
      </c>
      <c r="G33" s="259" t="s">
        <v>106</v>
      </c>
      <c r="H33" s="120">
        <v>16900</v>
      </c>
      <c r="I33" s="120">
        <v>10900</v>
      </c>
      <c r="J33" s="80">
        <f>SUM(K33,L33:S33)</f>
        <v>10000</v>
      </c>
      <c r="K33" s="120">
        <v>10000</v>
      </c>
      <c r="L33" s="37"/>
      <c r="M33" s="37"/>
      <c r="N33" s="37"/>
      <c r="O33" s="37"/>
      <c r="P33" s="37"/>
      <c r="Q33" s="37"/>
      <c r="R33" s="37"/>
      <c r="S33" s="37"/>
      <c r="T33" s="32">
        <f>SUM(U33:W33)</f>
        <v>5700</v>
      </c>
      <c r="U33" s="32"/>
      <c r="V33" s="37"/>
      <c r="W33" s="37">
        <v>5700</v>
      </c>
      <c r="X33" s="80">
        <f>J33-T33</f>
        <v>4300</v>
      </c>
      <c r="Y33" s="37">
        <f>X33</f>
        <v>4300</v>
      </c>
      <c r="Z33" s="37"/>
      <c r="AA33" s="37"/>
      <c r="AB33" s="32">
        <f>SUM(Y33:AA33)</f>
        <v>4300</v>
      </c>
      <c r="AC33" s="117"/>
      <c r="AD33" s="131"/>
      <c r="AE33" s="22" t="s">
        <v>472</v>
      </c>
      <c r="AF33" s="22" t="s">
        <v>466</v>
      </c>
      <c r="AG33" s="6">
        <f>Y33</f>
        <v>4300</v>
      </c>
      <c r="AH33" s="6"/>
      <c r="AI33" s="6"/>
      <c r="AJ33" s="6"/>
    </row>
    <row r="34" spans="1:36" s="20" customFormat="1" ht="44.25" customHeight="1">
      <c r="A34" s="109" t="s">
        <v>30</v>
      </c>
      <c r="B34" s="110" t="s">
        <v>134</v>
      </c>
      <c r="C34" s="110"/>
      <c r="D34" s="109"/>
      <c r="E34" s="110"/>
      <c r="F34" s="110"/>
      <c r="G34" s="110"/>
      <c r="H34" s="111">
        <f t="shared" ref="H34:AB34" si="18">SUM(H35)</f>
        <v>37066</v>
      </c>
      <c r="I34" s="111">
        <f t="shared" si="18"/>
        <v>37066</v>
      </c>
      <c r="J34" s="111">
        <f t="shared" si="18"/>
        <v>37000</v>
      </c>
      <c r="K34" s="111">
        <f t="shared" si="18"/>
        <v>20000</v>
      </c>
      <c r="L34" s="111">
        <f t="shared" si="18"/>
        <v>0</v>
      </c>
      <c r="M34" s="111">
        <f t="shared" si="18"/>
        <v>0</v>
      </c>
      <c r="N34" s="111">
        <f t="shared" si="18"/>
        <v>0</v>
      </c>
      <c r="O34" s="111">
        <f t="shared" si="18"/>
        <v>17000</v>
      </c>
      <c r="P34" s="111">
        <f t="shared" si="18"/>
        <v>0</v>
      </c>
      <c r="Q34" s="111">
        <f t="shared" si="18"/>
        <v>0</v>
      </c>
      <c r="R34" s="111">
        <f t="shared" si="18"/>
        <v>0</v>
      </c>
      <c r="S34" s="111">
        <f t="shared" si="18"/>
        <v>0</v>
      </c>
      <c r="T34" s="111">
        <f t="shared" si="18"/>
        <v>12000</v>
      </c>
      <c r="U34" s="111">
        <f t="shared" si="18"/>
        <v>0</v>
      </c>
      <c r="V34" s="111">
        <f t="shared" si="18"/>
        <v>5000</v>
      </c>
      <c r="W34" s="111">
        <f t="shared" si="18"/>
        <v>7000</v>
      </c>
      <c r="X34" s="111">
        <f t="shared" si="18"/>
        <v>25000</v>
      </c>
      <c r="Y34" s="111">
        <f t="shared" si="18"/>
        <v>7500</v>
      </c>
      <c r="Z34" s="111">
        <f t="shared" si="18"/>
        <v>0</v>
      </c>
      <c r="AA34" s="111">
        <f t="shared" si="18"/>
        <v>0</v>
      </c>
      <c r="AB34" s="111">
        <f t="shared" si="18"/>
        <v>7500</v>
      </c>
      <c r="AC34" s="112"/>
      <c r="AD34" s="130"/>
      <c r="AE34" s="113"/>
      <c r="AF34" s="113"/>
    </row>
    <row r="35" spans="1:36" ht="86.25" customHeight="1">
      <c r="A35" s="114">
        <v>1</v>
      </c>
      <c r="B35" s="121" t="s">
        <v>135</v>
      </c>
      <c r="C35" s="23" t="s">
        <v>136</v>
      </c>
      <c r="D35" s="89" t="s">
        <v>19</v>
      </c>
      <c r="E35" s="23" t="s">
        <v>137</v>
      </c>
      <c r="F35" s="122" t="s">
        <v>36</v>
      </c>
      <c r="G35" s="33" t="s">
        <v>758</v>
      </c>
      <c r="H35" s="37">
        <v>37066</v>
      </c>
      <c r="I35" s="261">
        <v>37066</v>
      </c>
      <c r="J35" s="80">
        <f>SUM(K35,L35:S35)</f>
        <v>37000</v>
      </c>
      <c r="K35" s="32">
        <v>20000</v>
      </c>
      <c r="L35" s="37"/>
      <c r="M35" s="37"/>
      <c r="N35" s="37"/>
      <c r="O35" s="37">
        <v>17000</v>
      </c>
      <c r="P35" s="37"/>
      <c r="Q35" s="37"/>
      <c r="R35" s="37"/>
      <c r="S35" s="37"/>
      <c r="T35" s="32">
        <f>SUM(U35:W35)</f>
        <v>12000</v>
      </c>
      <c r="U35" s="70">
        <v>0</v>
      </c>
      <c r="V35" s="32">
        <v>5000</v>
      </c>
      <c r="W35" s="37">
        <v>7000</v>
      </c>
      <c r="X35" s="80">
        <f>J35-T35</f>
        <v>25000</v>
      </c>
      <c r="Y35" s="37">
        <v>7500</v>
      </c>
      <c r="Z35" s="37"/>
      <c r="AA35" s="37"/>
      <c r="AB35" s="32">
        <f>SUM(Y35:AA35)</f>
        <v>7500</v>
      </c>
      <c r="AC35" s="117"/>
      <c r="AD35" s="131"/>
      <c r="AE35" s="22" t="s">
        <v>472</v>
      </c>
      <c r="AF35" s="22" t="s">
        <v>469</v>
      </c>
      <c r="AG35" s="6">
        <f>Y35</f>
        <v>7500</v>
      </c>
      <c r="AH35" s="6"/>
      <c r="AI35" s="6"/>
      <c r="AJ35" s="6"/>
    </row>
    <row r="36" spans="1:36" s="20" customFormat="1" ht="44.25" customHeight="1">
      <c r="A36" s="109" t="s">
        <v>94</v>
      </c>
      <c r="B36" s="110" t="s">
        <v>281</v>
      </c>
      <c r="C36" s="110"/>
      <c r="D36" s="109"/>
      <c r="E36" s="110"/>
      <c r="F36" s="110"/>
      <c r="G36" s="110"/>
      <c r="H36" s="111">
        <f>SUM(H37:H38)</f>
        <v>19512</v>
      </c>
      <c r="I36" s="111">
        <f t="shared" ref="I36:AA36" si="19">SUM(I37:I38)</f>
        <v>13900</v>
      </c>
      <c r="J36" s="111">
        <f t="shared" si="19"/>
        <v>13900</v>
      </c>
      <c r="K36" s="111">
        <f t="shared" si="19"/>
        <v>13900</v>
      </c>
      <c r="L36" s="111">
        <f t="shared" si="19"/>
        <v>0</v>
      </c>
      <c r="M36" s="111">
        <f t="shared" si="19"/>
        <v>0</v>
      </c>
      <c r="N36" s="111">
        <f t="shared" si="19"/>
        <v>0</v>
      </c>
      <c r="O36" s="111">
        <f t="shared" si="19"/>
        <v>0</v>
      </c>
      <c r="P36" s="111">
        <f t="shared" si="19"/>
        <v>0</v>
      </c>
      <c r="Q36" s="111">
        <f t="shared" si="19"/>
        <v>0</v>
      </c>
      <c r="R36" s="111">
        <f t="shared" si="19"/>
        <v>0</v>
      </c>
      <c r="S36" s="111">
        <f t="shared" si="19"/>
        <v>0</v>
      </c>
      <c r="T36" s="111">
        <f t="shared" si="19"/>
        <v>13200</v>
      </c>
      <c r="U36" s="111">
        <f t="shared" si="19"/>
        <v>0</v>
      </c>
      <c r="V36" s="111">
        <f t="shared" si="19"/>
        <v>0</v>
      </c>
      <c r="W36" s="111">
        <f t="shared" si="19"/>
        <v>13200</v>
      </c>
      <c r="X36" s="111">
        <f t="shared" si="19"/>
        <v>700</v>
      </c>
      <c r="Y36" s="111">
        <f t="shared" si="19"/>
        <v>700</v>
      </c>
      <c r="Z36" s="111">
        <f t="shared" si="19"/>
        <v>0</v>
      </c>
      <c r="AA36" s="111">
        <f t="shared" si="19"/>
        <v>0</v>
      </c>
      <c r="AB36" s="111">
        <f>SUM(AB37:AB38)</f>
        <v>700</v>
      </c>
      <c r="AC36" s="112"/>
      <c r="AD36" s="130"/>
      <c r="AE36" s="113"/>
      <c r="AF36" s="113"/>
    </row>
    <row r="37" spans="1:36" ht="97.5" customHeight="1">
      <c r="A37" s="114">
        <v>1</v>
      </c>
      <c r="B37" s="36" t="s">
        <v>632</v>
      </c>
      <c r="C37" s="23" t="s">
        <v>450</v>
      </c>
      <c r="D37" s="34" t="s">
        <v>19</v>
      </c>
      <c r="E37" s="23" t="s">
        <v>423</v>
      </c>
      <c r="F37" s="23" t="s">
        <v>36</v>
      </c>
      <c r="G37" s="33" t="s">
        <v>759</v>
      </c>
      <c r="H37" s="37">
        <v>10740</v>
      </c>
      <c r="I37" s="123">
        <v>7500</v>
      </c>
      <c r="J37" s="80">
        <f>SUM(K37,L37:R37)</f>
        <v>7500</v>
      </c>
      <c r="K37" s="32">
        <v>7500</v>
      </c>
      <c r="L37" s="32"/>
      <c r="M37" s="32"/>
      <c r="N37" s="32"/>
      <c r="O37" s="32"/>
      <c r="P37" s="32"/>
      <c r="Q37" s="32"/>
      <c r="R37" s="32"/>
      <c r="S37" s="32"/>
      <c r="T37" s="32">
        <f>SUM(U37:W37)</f>
        <v>7200</v>
      </c>
      <c r="U37" s="32"/>
      <c r="V37" s="32"/>
      <c r="W37" s="37">
        <v>7200</v>
      </c>
      <c r="X37" s="80">
        <f>J37-T37</f>
        <v>300</v>
      </c>
      <c r="Y37" s="37">
        <v>300</v>
      </c>
      <c r="Z37" s="37"/>
      <c r="AA37" s="37"/>
      <c r="AB37" s="32">
        <f>SUM(Y37:AA37)</f>
        <v>300</v>
      </c>
      <c r="AC37" s="35"/>
      <c r="AD37" s="262"/>
      <c r="AE37" s="22" t="s">
        <v>472</v>
      </c>
      <c r="AF37" s="22" t="s">
        <v>463</v>
      </c>
      <c r="AG37" s="6">
        <f>Y37</f>
        <v>300</v>
      </c>
      <c r="AH37" s="6"/>
      <c r="AI37" s="6"/>
      <c r="AJ37" s="6"/>
    </row>
    <row r="38" spans="1:36" ht="82.5" customHeight="1">
      <c r="A38" s="114">
        <f>+A37+1</f>
        <v>2</v>
      </c>
      <c r="B38" s="36" t="s">
        <v>424</v>
      </c>
      <c r="C38" s="23" t="s">
        <v>451</v>
      </c>
      <c r="D38" s="34" t="s">
        <v>19</v>
      </c>
      <c r="E38" s="23" t="s">
        <v>425</v>
      </c>
      <c r="F38" s="23" t="s">
        <v>36</v>
      </c>
      <c r="G38" s="33" t="s">
        <v>760</v>
      </c>
      <c r="H38" s="37">
        <v>8772</v>
      </c>
      <c r="I38" s="123">
        <v>6400</v>
      </c>
      <c r="J38" s="80">
        <f>SUM(K38,L38:R38)</f>
        <v>6400</v>
      </c>
      <c r="K38" s="37">
        <v>6400</v>
      </c>
      <c r="L38" s="32"/>
      <c r="M38" s="32"/>
      <c r="N38" s="32"/>
      <c r="O38" s="32"/>
      <c r="P38" s="32"/>
      <c r="Q38" s="32"/>
      <c r="R38" s="32"/>
      <c r="S38" s="32"/>
      <c r="T38" s="32">
        <f>SUM(U38:W38)</f>
        <v>6000</v>
      </c>
      <c r="U38" s="32"/>
      <c r="V38" s="32"/>
      <c r="W38" s="37">
        <v>6000</v>
      </c>
      <c r="X38" s="80">
        <f>J38-T38</f>
        <v>400</v>
      </c>
      <c r="Y38" s="37">
        <v>400</v>
      </c>
      <c r="Z38" s="37"/>
      <c r="AA38" s="37"/>
      <c r="AB38" s="32">
        <f>SUM(Y38:AA38)</f>
        <v>400</v>
      </c>
      <c r="AC38" s="35"/>
      <c r="AD38" s="262"/>
      <c r="AE38" s="22" t="s">
        <v>472</v>
      </c>
      <c r="AF38" s="22" t="s">
        <v>463</v>
      </c>
      <c r="AG38" s="6">
        <f>Y38</f>
        <v>400</v>
      </c>
      <c r="AH38" s="6"/>
      <c r="AI38" s="6"/>
      <c r="AJ38" s="6"/>
    </row>
    <row r="39" spans="1:36" s="18" customFormat="1" ht="60" customHeight="1">
      <c r="A39" s="107" t="s">
        <v>480</v>
      </c>
      <c r="B39" s="108" t="s">
        <v>74</v>
      </c>
      <c r="C39" s="107"/>
      <c r="D39" s="107"/>
      <c r="E39" s="107"/>
      <c r="F39" s="107"/>
      <c r="G39" s="107"/>
      <c r="H39" s="68">
        <f t="shared" ref="H39:Y39" si="20">SUM(H40,H47,H49,H54)</f>
        <v>1538276</v>
      </c>
      <c r="I39" s="68">
        <f t="shared" si="20"/>
        <v>1223499</v>
      </c>
      <c r="J39" s="68">
        <f t="shared" si="20"/>
        <v>357687</v>
      </c>
      <c r="K39" s="68">
        <f t="shared" si="20"/>
        <v>123300</v>
      </c>
      <c r="L39" s="68">
        <f t="shared" si="20"/>
        <v>0</v>
      </c>
      <c r="M39" s="68">
        <f t="shared" si="20"/>
        <v>571000</v>
      </c>
      <c r="N39" s="68">
        <f t="shared" si="20"/>
        <v>0</v>
      </c>
      <c r="O39" s="68">
        <f t="shared" si="20"/>
        <v>0</v>
      </c>
      <c r="P39" s="68">
        <f t="shared" si="20"/>
        <v>0</v>
      </c>
      <c r="Q39" s="68">
        <f t="shared" si="20"/>
        <v>0</v>
      </c>
      <c r="R39" s="68">
        <f t="shared" si="20"/>
        <v>2200</v>
      </c>
      <c r="S39" s="68">
        <f t="shared" si="20"/>
        <v>0</v>
      </c>
      <c r="T39" s="68">
        <f t="shared" si="20"/>
        <v>0</v>
      </c>
      <c r="U39" s="68">
        <f t="shared" si="20"/>
        <v>0</v>
      </c>
      <c r="V39" s="68">
        <f t="shared" si="20"/>
        <v>0</v>
      </c>
      <c r="W39" s="68">
        <f t="shared" si="20"/>
        <v>0</v>
      </c>
      <c r="X39" s="68">
        <f t="shared" si="20"/>
        <v>357687</v>
      </c>
      <c r="Y39" s="68">
        <f t="shared" si="20"/>
        <v>169887</v>
      </c>
      <c r="Z39" s="68">
        <f>SUM(Z40,Z47,Z49,Z54)</f>
        <v>17800</v>
      </c>
      <c r="AA39" s="379">
        <f>SUM(AA40,AA47,AA49,AA54)</f>
        <v>-24687</v>
      </c>
      <c r="AB39" s="68">
        <f>SUM(AB40,AB47,AB49,AB54)</f>
        <v>163000</v>
      </c>
      <c r="AC39" s="53"/>
      <c r="AD39" s="66"/>
      <c r="AE39" s="55"/>
      <c r="AF39" s="55"/>
    </row>
    <row r="40" spans="1:36" s="20" customFormat="1" ht="44.25" customHeight="1">
      <c r="A40" s="109" t="s">
        <v>17</v>
      </c>
      <c r="B40" s="110" t="s">
        <v>64</v>
      </c>
      <c r="C40" s="110"/>
      <c r="D40" s="109"/>
      <c r="E40" s="110"/>
      <c r="F40" s="110"/>
      <c r="G40" s="110"/>
      <c r="H40" s="111">
        <f>SUM(H41:H46)</f>
        <v>1320377</v>
      </c>
      <c r="I40" s="111">
        <f t="shared" ref="I40:AB40" si="21">SUM(I41:I46)</f>
        <v>1146858</v>
      </c>
      <c r="J40" s="111">
        <f t="shared" si="21"/>
        <v>319800</v>
      </c>
      <c r="K40" s="111">
        <f t="shared" si="21"/>
        <v>108800</v>
      </c>
      <c r="L40" s="111">
        <f t="shared" si="21"/>
        <v>0</v>
      </c>
      <c r="M40" s="111">
        <f t="shared" si="21"/>
        <v>571000</v>
      </c>
      <c r="N40" s="111">
        <f t="shared" si="21"/>
        <v>0</v>
      </c>
      <c r="O40" s="111">
        <f t="shared" si="21"/>
        <v>0</v>
      </c>
      <c r="P40" s="111">
        <f t="shared" si="21"/>
        <v>0</v>
      </c>
      <c r="Q40" s="111">
        <f t="shared" si="21"/>
        <v>0</v>
      </c>
      <c r="R40" s="111">
        <f t="shared" si="21"/>
        <v>-11000</v>
      </c>
      <c r="S40" s="111">
        <f t="shared" si="21"/>
        <v>0</v>
      </c>
      <c r="T40" s="111">
        <f t="shared" si="21"/>
        <v>0</v>
      </c>
      <c r="U40" s="111">
        <f t="shared" si="21"/>
        <v>0</v>
      </c>
      <c r="V40" s="111">
        <f t="shared" si="21"/>
        <v>0</v>
      </c>
      <c r="W40" s="111">
        <f t="shared" si="21"/>
        <v>0</v>
      </c>
      <c r="X40" s="111">
        <f t="shared" si="21"/>
        <v>319800</v>
      </c>
      <c r="Y40" s="111">
        <f>SUM(Y41:Y46)</f>
        <v>116000</v>
      </c>
      <c r="Z40" s="111">
        <f t="shared" si="21"/>
        <v>17800</v>
      </c>
      <c r="AA40" s="388">
        <f t="shared" si="21"/>
        <v>-13000</v>
      </c>
      <c r="AB40" s="111">
        <f t="shared" si="21"/>
        <v>120800</v>
      </c>
      <c r="AC40" s="112"/>
      <c r="AD40" s="130"/>
      <c r="AE40" s="113"/>
      <c r="AF40" s="113"/>
    </row>
    <row r="41" spans="1:36" ht="78" customHeight="1">
      <c r="A41" s="114">
        <v>1</v>
      </c>
      <c r="B41" s="115" t="s">
        <v>548</v>
      </c>
      <c r="C41" s="23" t="s">
        <v>346</v>
      </c>
      <c r="D41" s="89" t="s">
        <v>20</v>
      </c>
      <c r="E41" s="23" t="s">
        <v>354</v>
      </c>
      <c r="F41" s="23" t="s">
        <v>116</v>
      </c>
      <c r="G41" s="33" t="s">
        <v>850</v>
      </c>
      <c r="H41" s="37">
        <v>891966</v>
      </c>
      <c r="I41" s="37">
        <v>891966</v>
      </c>
      <c r="J41" s="80">
        <v>300000</v>
      </c>
      <c r="K41" s="32">
        <v>50000</v>
      </c>
      <c r="L41" s="37"/>
      <c r="M41" s="37">
        <v>610000</v>
      </c>
      <c r="N41" s="37"/>
      <c r="O41" s="37"/>
      <c r="P41" s="37"/>
      <c r="Q41" s="37"/>
      <c r="R41" s="37">
        <v>-11000</v>
      </c>
      <c r="S41" s="37"/>
      <c r="T41" s="32">
        <f>SUM(U41:W41)</f>
        <v>0</v>
      </c>
      <c r="U41" s="32"/>
      <c r="V41" s="37"/>
      <c r="W41" s="37"/>
      <c r="X41" s="80">
        <f>J41-T41</f>
        <v>300000</v>
      </c>
      <c r="Y41" s="37">
        <v>37000</v>
      </c>
      <c r="Z41" s="37"/>
      <c r="AA41" s="37"/>
      <c r="AB41" s="32">
        <f t="shared" ref="AB41:AB46" si="22">SUM(Y41:AA41)</f>
        <v>37000</v>
      </c>
      <c r="AC41" s="263" t="s">
        <v>897</v>
      </c>
      <c r="AD41" s="264"/>
      <c r="AE41" s="22" t="s">
        <v>473</v>
      </c>
      <c r="AF41" s="22" t="s">
        <v>474</v>
      </c>
      <c r="AG41" s="6">
        <f t="shared" ref="AG41:AG46" si="23">Y41</f>
        <v>37000</v>
      </c>
      <c r="AH41" s="6" t="s">
        <v>629</v>
      </c>
      <c r="AI41" s="6"/>
      <c r="AJ41" s="6"/>
    </row>
    <row r="42" spans="1:36" ht="90.75" customHeight="1">
      <c r="A42" s="114">
        <f>+A41+1</f>
        <v>2</v>
      </c>
      <c r="B42" s="115" t="s">
        <v>341</v>
      </c>
      <c r="C42" s="23" t="s">
        <v>345</v>
      </c>
      <c r="D42" s="89" t="s">
        <v>20</v>
      </c>
      <c r="E42" s="23" t="s">
        <v>353</v>
      </c>
      <c r="F42" s="23" t="s">
        <v>36</v>
      </c>
      <c r="G42" s="114" t="s">
        <v>1052</v>
      </c>
      <c r="H42" s="37">
        <v>206092</v>
      </c>
      <c r="I42" s="37">
        <f>H42-115000</f>
        <v>91092</v>
      </c>
      <c r="J42" s="80">
        <f>SUM(K42,L42:S42)</f>
        <v>1000</v>
      </c>
      <c r="K42" s="32">
        <v>40000</v>
      </c>
      <c r="L42" s="37"/>
      <c r="M42" s="37">
        <v>-39000</v>
      </c>
      <c r="N42" s="37"/>
      <c r="O42" s="37"/>
      <c r="P42" s="37"/>
      <c r="Q42" s="37"/>
      <c r="R42" s="37"/>
      <c r="S42" s="37"/>
      <c r="T42" s="32">
        <f>SUM(U42:W42)</f>
        <v>0</v>
      </c>
      <c r="U42" s="32"/>
      <c r="V42" s="37"/>
      <c r="W42" s="37"/>
      <c r="X42" s="80">
        <f>J42-T42</f>
        <v>1000</v>
      </c>
      <c r="Y42" s="37">
        <v>1000</v>
      </c>
      <c r="Z42" s="37"/>
      <c r="AA42" s="37"/>
      <c r="AB42" s="32">
        <f t="shared" si="22"/>
        <v>1000</v>
      </c>
      <c r="AC42" s="263" t="s">
        <v>896</v>
      </c>
      <c r="AD42" s="264"/>
      <c r="AE42" s="22" t="s">
        <v>473</v>
      </c>
      <c r="AF42" s="22" t="s">
        <v>474</v>
      </c>
      <c r="AG42" s="6">
        <f t="shared" si="23"/>
        <v>1000</v>
      </c>
      <c r="AH42" s="6" t="s">
        <v>629</v>
      </c>
      <c r="AI42" s="6"/>
      <c r="AJ42" s="6"/>
    </row>
    <row r="43" spans="1:36" ht="69.900000000000006" customHeight="1">
      <c r="A43" s="114">
        <f>+A42+1</f>
        <v>3</v>
      </c>
      <c r="B43" s="115" t="s">
        <v>360</v>
      </c>
      <c r="C43" s="23" t="s">
        <v>361</v>
      </c>
      <c r="D43" s="89" t="s">
        <v>19</v>
      </c>
      <c r="E43" s="265" t="s">
        <v>363</v>
      </c>
      <c r="F43" s="265" t="s">
        <v>36</v>
      </c>
      <c r="G43" s="266" t="s">
        <v>704</v>
      </c>
      <c r="H43" s="267">
        <v>13118</v>
      </c>
      <c r="I43" s="267">
        <v>9000</v>
      </c>
      <c r="J43" s="80">
        <f>SUM(K43,L43:S43)</f>
        <v>9000</v>
      </c>
      <c r="K43" s="267">
        <v>9000</v>
      </c>
      <c r="L43" s="37"/>
      <c r="M43" s="37"/>
      <c r="N43" s="37"/>
      <c r="O43" s="37"/>
      <c r="P43" s="37"/>
      <c r="Q43" s="37"/>
      <c r="R43" s="37"/>
      <c r="S43" s="37"/>
      <c r="T43" s="32">
        <f>SUM(U43:W43)</f>
        <v>0</v>
      </c>
      <c r="U43" s="32"/>
      <c r="V43" s="37"/>
      <c r="W43" s="37"/>
      <c r="X43" s="80">
        <f>J43-T43</f>
        <v>9000</v>
      </c>
      <c r="Y43" s="37">
        <v>6000</v>
      </c>
      <c r="Z43" s="37"/>
      <c r="AA43" s="37"/>
      <c r="AB43" s="32">
        <f t="shared" si="22"/>
        <v>6000</v>
      </c>
      <c r="AC43" s="117"/>
      <c r="AD43" s="131"/>
      <c r="AE43" s="22" t="s">
        <v>473</v>
      </c>
      <c r="AF43" s="22" t="s">
        <v>474</v>
      </c>
      <c r="AG43" s="6">
        <f t="shared" si="23"/>
        <v>6000</v>
      </c>
      <c r="AH43" s="6" t="s">
        <v>629</v>
      </c>
      <c r="AI43" s="6"/>
      <c r="AJ43" s="6"/>
    </row>
    <row r="44" spans="1:36" ht="69.900000000000006" customHeight="1">
      <c r="A44" s="114">
        <f>+A43+1</f>
        <v>4</v>
      </c>
      <c r="B44" s="115" t="s">
        <v>364</v>
      </c>
      <c r="C44" s="114" t="s">
        <v>365</v>
      </c>
      <c r="D44" s="34" t="s">
        <v>19</v>
      </c>
      <c r="E44" s="114" t="s">
        <v>366</v>
      </c>
      <c r="F44" s="114" t="s">
        <v>46</v>
      </c>
      <c r="G44" s="118" t="s">
        <v>707</v>
      </c>
      <c r="H44" s="80">
        <v>13820</v>
      </c>
      <c r="I44" s="54">
        <v>9800</v>
      </c>
      <c r="J44" s="80">
        <f>SUM(K44,L44:S44)</f>
        <v>9800</v>
      </c>
      <c r="K44" s="81">
        <v>9800</v>
      </c>
      <c r="L44" s="32"/>
      <c r="M44" s="32"/>
      <c r="N44" s="32"/>
      <c r="O44" s="32"/>
      <c r="P44" s="32"/>
      <c r="Q44" s="32"/>
      <c r="R44" s="32"/>
      <c r="S44" s="32"/>
      <c r="T44" s="32">
        <f>SUM(U44:W44)</f>
        <v>0</v>
      </c>
      <c r="U44" s="81"/>
      <c r="V44" s="32"/>
      <c r="W44" s="37"/>
      <c r="X44" s="80">
        <f>J44-T44</f>
        <v>9800</v>
      </c>
      <c r="Y44" s="37">
        <v>5000</v>
      </c>
      <c r="Z44" s="37">
        <v>4800</v>
      </c>
      <c r="AA44" s="37"/>
      <c r="AB44" s="32">
        <f t="shared" si="22"/>
        <v>9800</v>
      </c>
      <c r="AC44" s="119"/>
      <c r="AD44" s="125"/>
      <c r="AE44" s="22" t="s">
        <v>473</v>
      </c>
      <c r="AF44" s="22" t="s">
        <v>474</v>
      </c>
      <c r="AG44" s="6">
        <f t="shared" si="23"/>
        <v>5000</v>
      </c>
      <c r="AH44" s="6" t="s">
        <v>627</v>
      </c>
      <c r="AI44" s="6"/>
      <c r="AJ44" s="6"/>
    </row>
    <row r="45" spans="1:36" ht="69.900000000000006" customHeight="1">
      <c r="A45" s="114">
        <f>+A44+1</f>
        <v>5</v>
      </c>
      <c r="B45" s="115" t="s">
        <v>736</v>
      </c>
      <c r="C45" s="28" t="s">
        <v>930</v>
      </c>
      <c r="D45" s="150" t="s">
        <v>20</v>
      </c>
      <c r="E45" s="375" t="s">
        <v>1188</v>
      </c>
      <c r="F45" s="28" t="s">
        <v>932</v>
      </c>
      <c r="G45" s="118" t="s">
        <v>1187</v>
      </c>
      <c r="H45" s="80">
        <v>87399</v>
      </c>
      <c r="I45" s="54">
        <v>65000</v>
      </c>
      <c r="J45" s="80"/>
      <c r="K45" s="81"/>
      <c r="L45" s="32"/>
      <c r="M45" s="32"/>
      <c r="N45" s="32"/>
      <c r="O45" s="32"/>
      <c r="P45" s="32"/>
      <c r="Q45" s="32"/>
      <c r="R45" s="32"/>
      <c r="S45" s="32"/>
      <c r="T45" s="32"/>
      <c r="U45" s="81"/>
      <c r="V45" s="32"/>
      <c r="W45" s="37"/>
      <c r="X45" s="80"/>
      <c r="Y45" s="37">
        <v>17000</v>
      </c>
      <c r="Z45" s="37">
        <v>13000</v>
      </c>
      <c r="AA45" s="37"/>
      <c r="AB45" s="32">
        <f t="shared" si="22"/>
        <v>30000</v>
      </c>
      <c r="AC45" s="119"/>
      <c r="AD45" s="125"/>
      <c r="AG45" s="6">
        <f t="shared" si="23"/>
        <v>17000</v>
      </c>
      <c r="AH45" s="6"/>
      <c r="AI45" s="6"/>
      <c r="AJ45" s="6"/>
    </row>
    <row r="46" spans="1:36" ht="83.25" customHeight="1">
      <c r="A46" s="114">
        <f>+A45+1</f>
        <v>6</v>
      </c>
      <c r="B46" s="115" t="s">
        <v>737</v>
      </c>
      <c r="C46" s="28" t="s">
        <v>930</v>
      </c>
      <c r="D46" s="150" t="s">
        <v>20</v>
      </c>
      <c r="E46" s="28" t="s">
        <v>933</v>
      </c>
      <c r="F46" s="28" t="s">
        <v>932</v>
      </c>
      <c r="G46" s="118" t="s">
        <v>1437</v>
      </c>
      <c r="H46" s="80">
        <v>107982</v>
      </c>
      <c r="I46" s="54">
        <v>80000</v>
      </c>
      <c r="J46" s="80"/>
      <c r="K46" s="81"/>
      <c r="L46" s="32"/>
      <c r="M46" s="32"/>
      <c r="N46" s="32"/>
      <c r="O46" s="32"/>
      <c r="P46" s="32"/>
      <c r="Q46" s="32"/>
      <c r="R46" s="32"/>
      <c r="S46" s="32"/>
      <c r="T46" s="32"/>
      <c r="U46" s="81"/>
      <c r="V46" s="32"/>
      <c r="W46" s="37"/>
      <c r="X46" s="80"/>
      <c r="Y46" s="37">
        <v>50000</v>
      </c>
      <c r="Z46" s="37"/>
      <c r="AA46" s="389">
        <v>-13000</v>
      </c>
      <c r="AB46" s="32">
        <f t="shared" si="22"/>
        <v>37000</v>
      </c>
      <c r="AC46" s="119"/>
      <c r="AD46" s="125"/>
      <c r="AG46" s="6">
        <f t="shared" si="23"/>
        <v>50000</v>
      </c>
      <c r="AH46" s="6"/>
      <c r="AI46" s="6"/>
      <c r="AJ46" s="6"/>
    </row>
    <row r="47" spans="1:36" s="20" customFormat="1" ht="44.25" customHeight="1">
      <c r="A47" s="109" t="s">
        <v>25</v>
      </c>
      <c r="B47" s="110" t="s">
        <v>879</v>
      </c>
      <c r="C47" s="110"/>
      <c r="D47" s="109"/>
      <c r="E47" s="110"/>
      <c r="F47" s="110"/>
      <c r="G47" s="110"/>
      <c r="H47" s="111">
        <f t="shared" ref="H47:AB47" si="24">SUM(H48)</f>
        <v>25100</v>
      </c>
      <c r="I47" s="111">
        <f t="shared" si="24"/>
        <v>22100</v>
      </c>
      <c r="J47" s="111">
        <f t="shared" si="24"/>
        <v>10000</v>
      </c>
      <c r="K47" s="111">
        <f t="shared" si="24"/>
        <v>0</v>
      </c>
      <c r="L47" s="111">
        <f t="shared" si="24"/>
        <v>0</v>
      </c>
      <c r="M47" s="111">
        <f t="shared" si="24"/>
        <v>0</v>
      </c>
      <c r="N47" s="111">
        <f t="shared" si="24"/>
        <v>0</v>
      </c>
      <c r="O47" s="111">
        <f t="shared" si="24"/>
        <v>0</v>
      </c>
      <c r="P47" s="111">
        <f t="shared" si="24"/>
        <v>0</v>
      </c>
      <c r="Q47" s="111">
        <f t="shared" si="24"/>
        <v>0</v>
      </c>
      <c r="R47" s="111">
        <f t="shared" si="24"/>
        <v>0</v>
      </c>
      <c r="S47" s="111">
        <f t="shared" si="24"/>
        <v>0</v>
      </c>
      <c r="T47" s="111">
        <f t="shared" si="24"/>
        <v>0</v>
      </c>
      <c r="U47" s="111">
        <f t="shared" si="24"/>
        <v>0</v>
      </c>
      <c r="V47" s="111">
        <f t="shared" si="24"/>
        <v>0</v>
      </c>
      <c r="W47" s="111">
        <f t="shared" si="24"/>
        <v>0</v>
      </c>
      <c r="X47" s="111">
        <f t="shared" si="24"/>
        <v>10000</v>
      </c>
      <c r="Y47" s="111">
        <f t="shared" si="24"/>
        <v>5000</v>
      </c>
      <c r="Z47" s="111">
        <f t="shared" si="24"/>
        <v>0</v>
      </c>
      <c r="AA47" s="111">
        <f t="shared" si="24"/>
        <v>0</v>
      </c>
      <c r="AB47" s="111">
        <f t="shared" si="24"/>
        <v>5000</v>
      </c>
      <c r="AC47" s="112"/>
      <c r="AD47" s="130"/>
      <c r="AE47" s="113"/>
      <c r="AF47" s="113"/>
    </row>
    <row r="48" spans="1:36" ht="69.900000000000006" customHeight="1">
      <c r="A48" s="114">
        <v>1</v>
      </c>
      <c r="B48" s="115" t="s">
        <v>853</v>
      </c>
      <c r="C48" s="88" t="s">
        <v>854</v>
      </c>
      <c r="D48" s="89" t="s">
        <v>19</v>
      </c>
      <c r="E48" s="23" t="s">
        <v>855</v>
      </c>
      <c r="F48" s="23" t="s">
        <v>36</v>
      </c>
      <c r="G48" s="118" t="s">
        <v>856</v>
      </c>
      <c r="H48" s="80">
        <v>25100</v>
      </c>
      <c r="I48" s="54">
        <f>H48-3000</f>
        <v>22100</v>
      </c>
      <c r="J48" s="80">
        <v>10000</v>
      </c>
      <c r="K48" s="81"/>
      <c r="L48" s="32"/>
      <c r="M48" s="32"/>
      <c r="N48" s="32"/>
      <c r="O48" s="32"/>
      <c r="P48" s="32"/>
      <c r="Q48" s="32"/>
      <c r="R48" s="32"/>
      <c r="S48" s="32"/>
      <c r="T48" s="32"/>
      <c r="U48" s="81"/>
      <c r="V48" s="32"/>
      <c r="W48" s="37"/>
      <c r="X48" s="80">
        <f>J48-T48</f>
        <v>10000</v>
      </c>
      <c r="Y48" s="37">
        <v>5000</v>
      </c>
      <c r="Z48" s="341"/>
      <c r="AA48" s="341"/>
      <c r="AB48" s="32">
        <f>SUM(Y48:AA48)</f>
        <v>5000</v>
      </c>
      <c r="AC48" s="268"/>
      <c r="AD48" s="125"/>
      <c r="AE48" s="22" t="s">
        <v>473</v>
      </c>
      <c r="AF48" s="22" t="s">
        <v>629</v>
      </c>
      <c r="AG48" s="6">
        <f>Y48</f>
        <v>5000</v>
      </c>
      <c r="AH48" s="6"/>
      <c r="AI48" s="6"/>
      <c r="AJ48" s="6"/>
    </row>
    <row r="49" spans="1:36" s="20" customFormat="1" ht="44.25" customHeight="1">
      <c r="A49" s="109" t="s">
        <v>30</v>
      </c>
      <c r="B49" s="110" t="s">
        <v>96</v>
      </c>
      <c r="C49" s="110"/>
      <c r="D49" s="109"/>
      <c r="E49" s="110"/>
      <c r="F49" s="110"/>
      <c r="G49" s="110"/>
      <c r="H49" s="111">
        <f>SUM(H50:H53)</f>
        <v>40815</v>
      </c>
      <c r="I49" s="111">
        <f t="shared" ref="I49:AB49" si="25">SUM(I50:I53)</f>
        <v>24500</v>
      </c>
      <c r="J49" s="111">
        <f t="shared" si="25"/>
        <v>17587</v>
      </c>
      <c r="K49" s="111">
        <f t="shared" si="25"/>
        <v>14500</v>
      </c>
      <c r="L49" s="111">
        <f t="shared" si="25"/>
        <v>0</v>
      </c>
      <c r="M49" s="111">
        <f t="shared" si="25"/>
        <v>0</v>
      </c>
      <c r="N49" s="111">
        <f t="shared" si="25"/>
        <v>0</v>
      </c>
      <c r="O49" s="111">
        <f t="shared" si="25"/>
        <v>0</v>
      </c>
      <c r="P49" s="111">
        <f t="shared" si="25"/>
        <v>0</v>
      </c>
      <c r="Q49" s="111">
        <f t="shared" si="25"/>
        <v>0</v>
      </c>
      <c r="R49" s="111">
        <f t="shared" si="25"/>
        <v>3087</v>
      </c>
      <c r="S49" s="111">
        <f t="shared" si="25"/>
        <v>0</v>
      </c>
      <c r="T49" s="111">
        <f t="shared" si="25"/>
        <v>0</v>
      </c>
      <c r="U49" s="111">
        <f t="shared" si="25"/>
        <v>0</v>
      </c>
      <c r="V49" s="111">
        <f t="shared" si="25"/>
        <v>0</v>
      </c>
      <c r="W49" s="111">
        <f t="shared" si="25"/>
        <v>0</v>
      </c>
      <c r="X49" s="111">
        <f t="shared" si="25"/>
        <v>17587</v>
      </c>
      <c r="Y49" s="111">
        <f t="shared" si="25"/>
        <v>22587</v>
      </c>
      <c r="Z49" s="111">
        <f t="shared" si="25"/>
        <v>0</v>
      </c>
      <c r="AA49" s="388">
        <f t="shared" si="25"/>
        <v>-10500</v>
      </c>
      <c r="AB49" s="111">
        <f t="shared" si="25"/>
        <v>12087</v>
      </c>
      <c r="AC49" s="112"/>
      <c r="AD49" s="130"/>
      <c r="AE49" s="113"/>
      <c r="AF49" s="113"/>
    </row>
    <row r="50" spans="1:36" ht="60.75" customHeight="1">
      <c r="A50" s="114">
        <v>1</v>
      </c>
      <c r="B50" s="115" t="s">
        <v>109</v>
      </c>
      <c r="C50" s="260" t="s">
        <v>110</v>
      </c>
      <c r="D50" s="89" t="s">
        <v>19</v>
      </c>
      <c r="E50" s="114" t="s">
        <v>100</v>
      </c>
      <c r="F50" s="259" t="s">
        <v>36</v>
      </c>
      <c r="G50" s="259" t="s">
        <v>724</v>
      </c>
      <c r="H50" s="120">
        <v>14862</v>
      </c>
      <c r="I50" s="120">
        <v>8000</v>
      </c>
      <c r="J50" s="80">
        <f>SUM(K50,L50:S50)</f>
        <v>8000</v>
      </c>
      <c r="K50" s="120">
        <v>8000</v>
      </c>
      <c r="L50" s="37"/>
      <c r="M50" s="37"/>
      <c r="N50" s="37"/>
      <c r="O50" s="37"/>
      <c r="P50" s="37"/>
      <c r="Q50" s="37"/>
      <c r="R50" s="37"/>
      <c r="S50" s="37"/>
      <c r="T50" s="32">
        <f>SUM(U50:W50)</f>
        <v>0</v>
      </c>
      <c r="U50" s="32"/>
      <c r="V50" s="37"/>
      <c r="W50" s="37"/>
      <c r="X50" s="80">
        <f>J50-T50</f>
        <v>8000</v>
      </c>
      <c r="Y50" s="37">
        <f>X50</f>
        <v>8000</v>
      </c>
      <c r="Z50" s="37"/>
      <c r="AA50" s="389">
        <v>-8000</v>
      </c>
      <c r="AB50" s="32">
        <f>SUM(Y50:AA50)</f>
        <v>0</v>
      </c>
      <c r="AC50" s="117"/>
      <c r="AD50" s="131"/>
      <c r="AE50" s="22" t="s">
        <v>473</v>
      </c>
      <c r="AF50" s="22" t="s">
        <v>466</v>
      </c>
      <c r="AG50" s="6">
        <f>Y50</f>
        <v>8000</v>
      </c>
      <c r="AH50" s="6"/>
      <c r="AI50" s="6"/>
      <c r="AJ50" s="6"/>
    </row>
    <row r="51" spans="1:36" ht="50.25" customHeight="1">
      <c r="A51" s="114">
        <f>+A50+1</f>
        <v>2</v>
      </c>
      <c r="B51" s="115" t="s">
        <v>523</v>
      </c>
      <c r="C51" s="260" t="s">
        <v>111</v>
      </c>
      <c r="D51" s="89" t="s">
        <v>19</v>
      </c>
      <c r="E51" s="114" t="s">
        <v>99</v>
      </c>
      <c r="F51" s="259" t="s">
        <v>36</v>
      </c>
      <c r="G51" s="259" t="s">
        <v>725</v>
      </c>
      <c r="H51" s="120">
        <v>10974</v>
      </c>
      <c r="I51" s="120">
        <v>6500</v>
      </c>
      <c r="J51" s="80">
        <f>SUM(K51,L51:S51)</f>
        <v>6500</v>
      </c>
      <c r="K51" s="120">
        <v>6500</v>
      </c>
      <c r="L51" s="37"/>
      <c r="M51" s="37"/>
      <c r="N51" s="37"/>
      <c r="O51" s="37"/>
      <c r="P51" s="37"/>
      <c r="Q51" s="37"/>
      <c r="R51" s="37"/>
      <c r="S51" s="37"/>
      <c r="T51" s="32">
        <f>SUM(U51:W51)</f>
        <v>0</v>
      </c>
      <c r="U51" s="32"/>
      <c r="V51" s="37"/>
      <c r="W51" s="37"/>
      <c r="X51" s="80">
        <f>J51-T51</f>
        <v>6500</v>
      </c>
      <c r="Y51" s="37">
        <f>X51</f>
        <v>6500</v>
      </c>
      <c r="Z51" s="37"/>
      <c r="AA51" s="389">
        <v>-2500</v>
      </c>
      <c r="AB51" s="32">
        <f>SUM(Y51:AA51)</f>
        <v>4000</v>
      </c>
      <c r="AC51" s="117"/>
      <c r="AD51" s="131"/>
      <c r="AE51" s="22" t="s">
        <v>473</v>
      </c>
      <c r="AF51" s="22" t="s">
        <v>466</v>
      </c>
      <c r="AG51" s="6">
        <f>Y51</f>
        <v>6500</v>
      </c>
      <c r="AH51" s="6"/>
      <c r="AI51" s="6"/>
      <c r="AJ51" s="6"/>
    </row>
    <row r="52" spans="1:36" ht="65.25" customHeight="1">
      <c r="A52" s="114">
        <f>+A51+1</f>
        <v>3</v>
      </c>
      <c r="B52" s="36" t="s">
        <v>649</v>
      </c>
      <c r="C52" s="23" t="s">
        <v>54</v>
      </c>
      <c r="D52" s="34" t="s">
        <v>19</v>
      </c>
      <c r="E52" s="23" t="s">
        <v>650</v>
      </c>
      <c r="F52" s="23" t="s">
        <v>391</v>
      </c>
      <c r="G52" s="33" t="s">
        <v>695</v>
      </c>
      <c r="H52" s="37">
        <v>7805</v>
      </c>
      <c r="I52" s="37">
        <v>4000</v>
      </c>
      <c r="J52" s="80">
        <f>SUM(K52,L52:S52)</f>
        <v>3087</v>
      </c>
      <c r="K52" s="120"/>
      <c r="L52" s="37"/>
      <c r="M52" s="37"/>
      <c r="N52" s="37"/>
      <c r="O52" s="37"/>
      <c r="P52" s="37"/>
      <c r="Q52" s="37"/>
      <c r="R52" s="37">
        <v>3087</v>
      </c>
      <c r="S52" s="37"/>
      <c r="T52" s="32"/>
      <c r="U52" s="32"/>
      <c r="V52" s="37"/>
      <c r="W52" s="37"/>
      <c r="X52" s="80">
        <f>J52-T52</f>
        <v>3087</v>
      </c>
      <c r="Y52" s="37">
        <f>X52</f>
        <v>3087</v>
      </c>
      <c r="Z52" s="37"/>
      <c r="AA52" s="37"/>
      <c r="AB52" s="32">
        <f>SUM(Y52:AA52)</f>
        <v>3087</v>
      </c>
      <c r="AC52" s="117"/>
      <c r="AD52" s="131"/>
      <c r="AE52" s="22" t="s">
        <v>473</v>
      </c>
      <c r="AF52" s="22" t="s">
        <v>466</v>
      </c>
      <c r="AG52" s="6">
        <f>Y52</f>
        <v>3087</v>
      </c>
      <c r="AH52" s="6"/>
      <c r="AI52" s="6"/>
      <c r="AJ52" s="6"/>
    </row>
    <row r="53" spans="1:36" ht="65.25" customHeight="1">
      <c r="A53" s="114">
        <f>+A52+1</f>
        <v>4</v>
      </c>
      <c r="B53" s="36" t="s">
        <v>651</v>
      </c>
      <c r="C53" s="23" t="s">
        <v>652</v>
      </c>
      <c r="D53" s="34" t="s">
        <v>19</v>
      </c>
      <c r="E53" s="23" t="s">
        <v>1189</v>
      </c>
      <c r="F53" s="23" t="s">
        <v>391</v>
      </c>
      <c r="G53" s="370" t="s">
        <v>1190</v>
      </c>
      <c r="H53" s="376">
        <v>7174</v>
      </c>
      <c r="I53" s="376">
        <v>6000</v>
      </c>
      <c r="J53" s="80"/>
      <c r="K53" s="120"/>
      <c r="L53" s="37"/>
      <c r="M53" s="37"/>
      <c r="N53" s="37"/>
      <c r="O53" s="37"/>
      <c r="P53" s="37"/>
      <c r="Q53" s="37"/>
      <c r="R53" s="37"/>
      <c r="S53" s="37"/>
      <c r="T53" s="32"/>
      <c r="U53" s="32"/>
      <c r="V53" s="37"/>
      <c r="W53" s="37"/>
      <c r="X53" s="80"/>
      <c r="Y53" s="37">
        <v>5000</v>
      </c>
      <c r="Z53" s="37"/>
      <c r="AA53" s="37"/>
      <c r="AB53" s="32">
        <f>SUM(Y53:AA53)</f>
        <v>5000</v>
      </c>
      <c r="AC53" s="117"/>
      <c r="AD53" s="131"/>
      <c r="AG53" s="6"/>
      <c r="AH53" s="6"/>
      <c r="AI53" s="6"/>
      <c r="AJ53" s="6"/>
    </row>
    <row r="54" spans="1:36" s="20" customFormat="1" ht="44.25" customHeight="1">
      <c r="A54" s="109" t="s">
        <v>94</v>
      </c>
      <c r="B54" s="110" t="s">
        <v>98</v>
      </c>
      <c r="C54" s="110"/>
      <c r="D54" s="109"/>
      <c r="E54" s="110"/>
      <c r="F54" s="110"/>
      <c r="G54" s="110"/>
      <c r="H54" s="111">
        <f>SUM(H55:H68)</f>
        <v>151984</v>
      </c>
      <c r="I54" s="111">
        <f t="shared" ref="I54:AB54" si="26">SUM(I55:I68)</f>
        <v>30041</v>
      </c>
      <c r="J54" s="111">
        <f t="shared" si="26"/>
        <v>10300</v>
      </c>
      <c r="K54" s="111">
        <f t="shared" si="26"/>
        <v>0</v>
      </c>
      <c r="L54" s="111">
        <f t="shared" si="26"/>
        <v>0</v>
      </c>
      <c r="M54" s="111">
        <f t="shared" si="26"/>
        <v>0</v>
      </c>
      <c r="N54" s="111">
        <f t="shared" si="26"/>
        <v>0</v>
      </c>
      <c r="O54" s="111">
        <f t="shared" si="26"/>
        <v>0</v>
      </c>
      <c r="P54" s="111">
        <f t="shared" si="26"/>
        <v>0</v>
      </c>
      <c r="Q54" s="111">
        <f t="shared" si="26"/>
        <v>0</v>
      </c>
      <c r="R54" s="111">
        <f t="shared" si="26"/>
        <v>10113</v>
      </c>
      <c r="S54" s="111">
        <f t="shared" si="26"/>
        <v>0</v>
      </c>
      <c r="T54" s="111">
        <f t="shared" si="26"/>
        <v>0</v>
      </c>
      <c r="U54" s="111">
        <f t="shared" si="26"/>
        <v>0</v>
      </c>
      <c r="V54" s="111">
        <f t="shared" si="26"/>
        <v>0</v>
      </c>
      <c r="W54" s="111">
        <f t="shared" si="26"/>
        <v>0</v>
      </c>
      <c r="X54" s="111">
        <f t="shared" si="26"/>
        <v>10300</v>
      </c>
      <c r="Y54" s="111">
        <f t="shared" si="26"/>
        <v>26300</v>
      </c>
      <c r="Z54" s="111">
        <f t="shared" si="26"/>
        <v>0</v>
      </c>
      <c r="AA54" s="388">
        <f t="shared" si="26"/>
        <v>-1187</v>
      </c>
      <c r="AB54" s="111">
        <f t="shared" si="26"/>
        <v>25113</v>
      </c>
      <c r="AC54" s="112"/>
      <c r="AD54" s="130"/>
      <c r="AE54" s="113"/>
      <c r="AF54" s="113"/>
    </row>
    <row r="55" spans="1:36" ht="60.9" customHeight="1">
      <c r="A55" s="114">
        <v>1</v>
      </c>
      <c r="B55" s="36" t="s">
        <v>656</v>
      </c>
      <c r="C55" s="23" t="s">
        <v>743</v>
      </c>
      <c r="D55" s="34" t="s">
        <v>19</v>
      </c>
      <c r="E55" s="23" t="s">
        <v>653</v>
      </c>
      <c r="F55" s="23" t="s">
        <v>391</v>
      </c>
      <c r="G55" s="33" t="s">
        <v>919</v>
      </c>
      <c r="H55" s="37">
        <v>1631</v>
      </c>
      <c r="I55" s="37">
        <v>1631</v>
      </c>
      <c r="J55" s="80">
        <f>SUM(K55,L55:S55)</f>
        <v>1400</v>
      </c>
      <c r="K55" s="32"/>
      <c r="L55" s="37"/>
      <c r="M55" s="37"/>
      <c r="N55" s="37"/>
      <c r="O55" s="37"/>
      <c r="P55" s="37"/>
      <c r="Q55" s="37"/>
      <c r="R55" s="37">
        <v>1400</v>
      </c>
      <c r="S55" s="37"/>
      <c r="T55" s="32"/>
      <c r="U55" s="32"/>
      <c r="V55" s="37"/>
      <c r="W55" s="37"/>
      <c r="X55" s="80">
        <f>J55-T55</f>
        <v>1400</v>
      </c>
      <c r="Y55" s="37">
        <v>1400</v>
      </c>
      <c r="Z55" s="37"/>
      <c r="AA55" s="37"/>
      <c r="AB55" s="32">
        <f t="shared" ref="AB55:AB68" si="27">SUM(Y55:AA55)</f>
        <v>1400</v>
      </c>
      <c r="AC55" s="117"/>
      <c r="AD55" s="131"/>
      <c r="AE55" s="22" t="s">
        <v>473</v>
      </c>
      <c r="AF55" s="22" t="s">
        <v>467</v>
      </c>
      <c r="AG55" s="6">
        <f>Y55</f>
        <v>1400</v>
      </c>
      <c r="AH55" s="6"/>
      <c r="AI55" s="6"/>
      <c r="AJ55" s="6"/>
    </row>
    <row r="56" spans="1:36" ht="60.9" customHeight="1">
      <c r="A56" s="114">
        <f>A55+1</f>
        <v>2</v>
      </c>
      <c r="B56" s="36" t="s">
        <v>657</v>
      </c>
      <c r="C56" s="23" t="s">
        <v>744</v>
      </c>
      <c r="D56" s="34" t="s">
        <v>19</v>
      </c>
      <c r="E56" s="23" t="s">
        <v>492</v>
      </c>
      <c r="F56" s="23" t="s">
        <v>391</v>
      </c>
      <c r="G56" s="33" t="s">
        <v>694</v>
      </c>
      <c r="H56" s="269">
        <v>5311</v>
      </c>
      <c r="I56" s="37">
        <v>5311</v>
      </c>
      <c r="J56" s="80">
        <v>4700</v>
      </c>
      <c r="K56" s="32"/>
      <c r="L56" s="37"/>
      <c r="M56" s="37"/>
      <c r="N56" s="37"/>
      <c r="O56" s="37"/>
      <c r="P56" s="37"/>
      <c r="Q56" s="37"/>
      <c r="R56" s="37">
        <v>4513</v>
      </c>
      <c r="S56" s="37"/>
      <c r="T56" s="32"/>
      <c r="U56" s="32"/>
      <c r="V56" s="37"/>
      <c r="W56" s="37"/>
      <c r="X56" s="80">
        <f>J56-T56</f>
        <v>4700</v>
      </c>
      <c r="Y56" s="37">
        <f>X56</f>
        <v>4700</v>
      </c>
      <c r="Z56" s="37"/>
      <c r="AA56" s="389">
        <v>-187</v>
      </c>
      <c r="AB56" s="32">
        <f t="shared" si="27"/>
        <v>4513</v>
      </c>
      <c r="AC56" s="117"/>
      <c r="AD56" s="131"/>
      <c r="AE56" s="22" t="s">
        <v>473</v>
      </c>
      <c r="AF56" s="22" t="s">
        <v>467</v>
      </c>
      <c r="AG56" s="6">
        <f>Y56</f>
        <v>4700</v>
      </c>
      <c r="AH56" s="6"/>
      <c r="AI56" s="6"/>
      <c r="AJ56" s="6"/>
    </row>
    <row r="57" spans="1:36" ht="53.25" customHeight="1">
      <c r="A57" s="114">
        <f>A56+1</f>
        <v>3</v>
      </c>
      <c r="B57" s="36" t="s">
        <v>655</v>
      </c>
      <c r="C57" s="23" t="s">
        <v>104</v>
      </c>
      <c r="D57" s="34" t="s">
        <v>19</v>
      </c>
      <c r="E57" s="23" t="s">
        <v>653</v>
      </c>
      <c r="F57" s="23" t="s">
        <v>391</v>
      </c>
      <c r="G57" s="33" t="s">
        <v>726</v>
      </c>
      <c r="H57" s="37">
        <v>5730</v>
      </c>
      <c r="I57" s="37">
        <v>4934</v>
      </c>
      <c r="J57" s="80">
        <f>SUM(K57,L57:S57)</f>
        <v>4200</v>
      </c>
      <c r="K57" s="32"/>
      <c r="L57" s="37"/>
      <c r="M57" s="37"/>
      <c r="N57" s="37"/>
      <c r="O57" s="37"/>
      <c r="P57" s="37"/>
      <c r="Q57" s="37"/>
      <c r="R57" s="37">
        <v>4200</v>
      </c>
      <c r="S57" s="37"/>
      <c r="T57" s="32"/>
      <c r="U57" s="32"/>
      <c r="V57" s="37"/>
      <c r="W57" s="37"/>
      <c r="X57" s="80">
        <f>J57-T57</f>
        <v>4200</v>
      </c>
      <c r="Y57" s="37">
        <v>4200</v>
      </c>
      <c r="Z57" s="37"/>
      <c r="AA57" s="37"/>
      <c r="AB57" s="32">
        <f t="shared" si="27"/>
        <v>4200</v>
      </c>
      <c r="AC57" s="117"/>
      <c r="AD57" s="131"/>
      <c r="AE57" s="22" t="s">
        <v>473</v>
      </c>
      <c r="AF57" s="22" t="s">
        <v>467</v>
      </c>
      <c r="AG57" s="6">
        <f>Y57</f>
        <v>4200</v>
      </c>
      <c r="AH57" s="6"/>
      <c r="AI57" s="6"/>
      <c r="AJ57" s="6"/>
    </row>
    <row r="58" spans="1:36" ht="53.25" customHeight="1">
      <c r="A58" s="114">
        <f t="shared" ref="A58:A68" si="28">A57+1</f>
        <v>4</v>
      </c>
      <c r="B58" s="36" t="s">
        <v>118</v>
      </c>
      <c r="C58" s="23" t="s">
        <v>126</v>
      </c>
      <c r="D58" s="34" t="s">
        <v>19</v>
      </c>
      <c r="E58" s="23" t="s">
        <v>115</v>
      </c>
      <c r="F58" s="23" t="s">
        <v>116</v>
      </c>
      <c r="G58" s="33" t="s">
        <v>1172</v>
      </c>
      <c r="H58" s="37">
        <v>1629</v>
      </c>
      <c r="I58" s="37">
        <v>1629</v>
      </c>
      <c r="J58" s="80"/>
      <c r="K58" s="32"/>
      <c r="L58" s="37"/>
      <c r="M58" s="37"/>
      <c r="N58" s="37"/>
      <c r="O58" s="37"/>
      <c r="P58" s="37"/>
      <c r="Q58" s="37"/>
      <c r="R58" s="37"/>
      <c r="S58" s="37"/>
      <c r="T58" s="32"/>
      <c r="U58" s="32"/>
      <c r="V58" s="37"/>
      <c r="W58" s="37"/>
      <c r="X58" s="80"/>
      <c r="Y58" s="37">
        <v>1200</v>
      </c>
      <c r="Z58" s="37"/>
      <c r="AA58" s="37"/>
      <c r="AB58" s="32">
        <f t="shared" si="27"/>
        <v>1200</v>
      </c>
      <c r="AC58" s="117"/>
      <c r="AD58" s="131"/>
      <c r="AG58" s="6"/>
      <c r="AH58" s="6"/>
      <c r="AI58" s="6"/>
      <c r="AJ58" s="6"/>
    </row>
    <row r="59" spans="1:36" ht="53.25" customHeight="1">
      <c r="A59" s="114">
        <f t="shared" si="28"/>
        <v>5</v>
      </c>
      <c r="B59" s="36" t="s">
        <v>119</v>
      </c>
      <c r="C59" s="23" t="s">
        <v>127</v>
      </c>
      <c r="D59" s="34" t="s">
        <v>19</v>
      </c>
      <c r="E59" s="23" t="s">
        <v>115</v>
      </c>
      <c r="F59" s="23" t="s">
        <v>116</v>
      </c>
      <c r="G59" s="33" t="s">
        <v>1173</v>
      </c>
      <c r="H59" s="37">
        <v>1645</v>
      </c>
      <c r="I59" s="37">
        <v>1645</v>
      </c>
      <c r="J59" s="80"/>
      <c r="K59" s="32"/>
      <c r="L59" s="37"/>
      <c r="M59" s="37"/>
      <c r="N59" s="37"/>
      <c r="O59" s="37"/>
      <c r="P59" s="37"/>
      <c r="Q59" s="37"/>
      <c r="R59" s="37"/>
      <c r="S59" s="37"/>
      <c r="T59" s="32"/>
      <c r="U59" s="32"/>
      <c r="V59" s="37"/>
      <c r="W59" s="37"/>
      <c r="X59" s="80"/>
      <c r="Y59" s="37">
        <v>1200</v>
      </c>
      <c r="Z59" s="37"/>
      <c r="AA59" s="37"/>
      <c r="AB59" s="32">
        <f t="shared" si="27"/>
        <v>1200</v>
      </c>
      <c r="AC59" s="117"/>
      <c r="AD59" s="131"/>
      <c r="AG59" s="6"/>
      <c r="AH59" s="6"/>
      <c r="AI59" s="6"/>
      <c r="AJ59" s="6"/>
    </row>
    <row r="60" spans="1:36" ht="53.25" customHeight="1">
      <c r="A60" s="114">
        <f t="shared" si="28"/>
        <v>6</v>
      </c>
      <c r="B60" s="36" t="s">
        <v>120</v>
      </c>
      <c r="C60" s="23" t="s">
        <v>112</v>
      </c>
      <c r="D60" s="34" t="s">
        <v>19</v>
      </c>
      <c r="E60" s="23" t="s">
        <v>115</v>
      </c>
      <c r="F60" s="23" t="s">
        <v>116</v>
      </c>
      <c r="G60" s="33" t="s">
        <v>1174</v>
      </c>
      <c r="H60" s="37">
        <v>1561</v>
      </c>
      <c r="I60" s="37">
        <v>1561</v>
      </c>
      <c r="J60" s="80"/>
      <c r="K60" s="32"/>
      <c r="L60" s="37"/>
      <c r="M60" s="37"/>
      <c r="N60" s="37"/>
      <c r="O60" s="37"/>
      <c r="P60" s="37"/>
      <c r="Q60" s="37"/>
      <c r="R60" s="37"/>
      <c r="S60" s="37"/>
      <c r="T60" s="32"/>
      <c r="U60" s="32"/>
      <c r="V60" s="37"/>
      <c r="W60" s="37"/>
      <c r="X60" s="80"/>
      <c r="Y60" s="37">
        <v>1200</v>
      </c>
      <c r="Z60" s="37"/>
      <c r="AA60" s="37"/>
      <c r="AB60" s="32">
        <f t="shared" si="27"/>
        <v>1200</v>
      </c>
      <c r="AC60" s="117"/>
      <c r="AD60" s="131"/>
      <c r="AG60" s="6"/>
      <c r="AH60" s="6"/>
      <c r="AI60" s="6"/>
      <c r="AJ60" s="6"/>
    </row>
    <row r="61" spans="1:36" ht="53.25" customHeight="1">
      <c r="A61" s="114">
        <f t="shared" si="28"/>
        <v>7</v>
      </c>
      <c r="B61" s="36" t="s">
        <v>121</v>
      </c>
      <c r="C61" s="23" t="s">
        <v>449</v>
      </c>
      <c r="D61" s="34" t="s">
        <v>19</v>
      </c>
      <c r="E61" s="23" t="s">
        <v>115</v>
      </c>
      <c r="F61" s="23" t="s">
        <v>116</v>
      </c>
      <c r="G61" s="33" t="s">
        <v>1201</v>
      </c>
      <c r="H61" s="37">
        <v>1990</v>
      </c>
      <c r="I61" s="37">
        <v>1200</v>
      </c>
      <c r="J61" s="80"/>
      <c r="K61" s="32"/>
      <c r="L61" s="37"/>
      <c r="M61" s="37"/>
      <c r="N61" s="37"/>
      <c r="O61" s="37"/>
      <c r="P61" s="37"/>
      <c r="Q61" s="37"/>
      <c r="R61" s="37"/>
      <c r="S61" s="37"/>
      <c r="T61" s="32"/>
      <c r="U61" s="32"/>
      <c r="V61" s="37"/>
      <c r="W61" s="37"/>
      <c r="X61" s="80"/>
      <c r="Y61" s="37">
        <v>1200</v>
      </c>
      <c r="Z61" s="37"/>
      <c r="AA61" s="37"/>
      <c r="AB61" s="32">
        <f t="shared" si="27"/>
        <v>1200</v>
      </c>
      <c r="AC61" s="117"/>
      <c r="AD61" s="131"/>
      <c r="AG61" s="6"/>
      <c r="AH61" s="6"/>
      <c r="AI61" s="6"/>
      <c r="AJ61" s="6"/>
    </row>
    <row r="62" spans="1:36" ht="53.25" customHeight="1">
      <c r="A62" s="114">
        <f t="shared" si="28"/>
        <v>8</v>
      </c>
      <c r="B62" s="36" t="s">
        <v>122</v>
      </c>
      <c r="C62" s="23" t="s">
        <v>129</v>
      </c>
      <c r="D62" s="34" t="s">
        <v>19</v>
      </c>
      <c r="E62" s="23" t="s">
        <v>115</v>
      </c>
      <c r="F62" s="23" t="s">
        <v>116</v>
      </c>
      <c r="G62" s="33" t="s">
        <v>1175</v>
      </c>
      <c r="H62" s="37">
        <v>1480</v>
      </c>
      <c r="I62" s="37">
        <v>1480</v>
      </c>
      <c r="J62" s="80"/>
      <c r="K62" s="32"/>
      <c r="L62" s="37"/>
      <c r="M62" s="37"/>
      <c r="N62" s="37"/>
      <c r="O62" s="37"/>
      <c r="P62" s="37"/>
      <c r="Q62" s="37"/>
      <c r="R62" s="37"/>
      <c r="S62" s="37"/>
      <c r="T62" s="32"/>
      <c r="U62" s="32"/>
      <c r="V62" s="37"/>
      <c r="W62" s="37"/>
      <c r="X62" s="80"/>
      <c r="Y62" s="37">
        <v>1200</v>
      </c>
      <c r="Z62" s="37"/>
      <c r="AA62" s="37"/>
      <c r="AB62" s="32">
        <f t="shared" si="27"/>
        <v>1200</v>
      </c>
      <c r="AC62" s="117"/>
      <c r="AD62" s="131"/>
      <c r="AG62" s="6"/>
      <c r="AH62" s="6"/>
      <c r="AI62" s="6"/>
      <c r="AJ62" s="6"/>
    </row>
    <row r="63" spans="1:36" ht="53.25" customHeight="1">
      <c r="A63" s="114">
        <f t="shared" si="28"/>
        <v>9</v>
      </c>
      <c r="B63" s="36" t="s">
        <v>123</v>
      </c>
      <c r="C63" s="23" t="s">
        <v>130</v>
      </c>
      <c r="D63" s="34" t="s">
        <v>19</v>
      </c>
      <c r="E63" s="23" t="s">
        <v>115</v>
      </c>
      <c r="F63" s="23" t="s">
        <v>116</v>
      </c>
      <c r="G63" s="33" t="s">
        <v>1176</v>
      </c>
      <c r="H63" s="37">
        <v>1480</v>
      </c>
      <c r="I63" s="37">
        <v>1480</v>
      </c>
      <c r="J63" s="80"/>
      <c r="K63" s="32"/>
      <c r="L63" s="37"/>
      <c r="M63" s="37"/>
      <c r="N63" s="37"/>
      <c r="O63" s="37"/>
      <c r="P63" s="37"/>
      <c r="Q63" s="37"/>
      <c r="R63" s="37"/>
      <c r="S63" s="37"/>
      <c r="T63" s="32"/>
      <c r="U63" s="32"/>
      <c r="V63" s="37"/>
      <c r="W63" s="37"/>
      <c r="X63" s="80"/>
      <c r="Y63" s="37">
        <v>1200</v>
      </c>
      <c r="Z63" s="37"/>
      <c r="AA63" s="37"/>
      <c r="AB63" s="32">
        <f t="shared" si="27"/>
        <v>1200</v>
      </c>
      <c r="AC63" s="117"/>
      <c r="AD63" s="131"/>
      <c r="AG63" s="6"/>
      <c r="AH63" s="6"/>
      <c r="AI63" s="6"/>
      <c r="AJ63" s="6"/>
    </row>
    <row r="64" spans="1:36" ht="53.25" customHeight="1">
      <c r="A64" s="114">
        <f t="shared" si="28"/>
        <v>10</v>
      </c>
      <c r="B64" s="36" t="s">
        <v>124</v>
      </c>
      <c r="C64" s="23" t="s">
        <v>131</v>
      </c>
      <c r="D64" s="34" t="s">
        <v>19</v>
      </c>
      <c r="E64" s="23" t="s">
        <v>115</v>
      </c>
      <c r="F64" s="23" t="s">
        <v>116</v>
      </c>
      <c r="G64" s="33" t="s">
        <v>1202</v>
      </c>
      <c r="H64" s="37">
        <v>1880</v>
      </c>
      <c r="I64" s="37">
        <v>1200</v>
      </c>
      <c r="J64" s="80"/>
      <c r="K64" s="32"/>
      <c r="L64" s="37"/>
      <c r="M64" s="37"/>
      <c r="N64" s="37"/>
      <c r="O64" s="37"/>
      <c r="P64" s="37"/>
      <c r="Q64" s="37"/>
      <c r="R64" s="37"/>
      <c r="S64" s="37"/>
      <c r="T64" s="32"/>
      <c r="U64" s="32"/>
      <c r="V64" s="37"/>
      <c r="W64" s="37"/>
      <c r="X64" s="80"/>
      <c r="Y64" s="37">
        <v>1200</v>
      </c>
      <c r="Z64" s="37"/>
      <c r="AA64" s="37"/>
      <c r="AB64" s="32">
        <f t="shared" si="27"/>
        <v>1200</v>
      </c>
      <c r="AC64" s="117"/>
      <c r="AD64" s="131"/>
      <c r="AG64" s="6"/>
      <c r="AH64" s="6"/>
      <c r="AI64" s="6"/>
      <c r="AJ64" s="6"/>
    </row>
    <row r="65" spans="1:36" ht="53.25" customHeight="1">
      <c r="A65" s="114">
        <f t="shared" si="28"/>
        <v>11</v>
      </c>
      <c r="B65" s="36" t="s">
        <v>125</v>
      </c>
      <c r="C65" s="23" t="s">
        <v>132</v>
      </c>
      <c r="D65" s="34" t="s">
        <v>19</v>
      </c>
      <c r="E65" s="23" t="s">
        <v>115</v>
      </c>
      <c r="F65" s="23" t="s">
        <v>116</v>
      </c>
      <c r="G65" s="33" t="s">
        <v>1203</v>
      </c>
      <c r="H65" s="37">
        <v>1877</v>
      </c>
      <c r="I65" s="37">
        <v>1200</v>
      </c>
      <c r="J65" s="80"/>
      <c r="K65" s="32"/>
      <c r="L65" s="37"/>
      <c r="M65" s="37"/>
      <c r="N65" s="37"/>
      <c r="O65" s="37"/>
      <c r="P65" s="37"/>
      <c r="Q65" s="37"/>
      <c r="R65" s="37"/>
      <c r="S65" s="37"/>
      <c r="T65" s="32"/>
      <c r="U65" s="32"/>
      <c r="V65" s="37"/>
      <c r="W65" s="37"/>
      <c r="X65" s="80"/>
      <c r="Y65" s="37">
        <v>1200</v>
      </c>
      <c r="Z65" s="37"/>
      <c r="AA65" s="37"/>
      <c r="AB65" s="32">
        <f t="shared" si="27"/>
        <v>1200</v>
      </c>
      <c r="AC65" s="117"/>
      <c r="AD65" s="131"/>
      <c r="AG65" s="6"/>
      <c r="AH65" s="6"/>
      <c r="AI65" s="6"/>
      <c r="AJ65" s="6"/>
    </row>
    <row r="66" spans="1:36" ht="87" customHeight="1">
      <c r="A66" s="114">
        <f t="shared" si="28"/>
        <v>12</v>
      </c>
      <c r="B66" s="36" t="s">
        <v>721</v>
      </c>
      <c r="C66" s="23" t="s">
        <v>722</v>
      </c>
      <c r="D66" s="34" t="s">
        <v>20</v>
      </c>
      <c r="E66" s="23" t="s">
        <v>415</v>
      </c>
      <c r="F66" s="23" t="s">
        <v>391</v>
      </c>
      <c r="G66" s="33" t="s">
        <v>1191</v>
      </c>
      <c r="H66" s="37">
        <v>120000</v>
      </c>
      <c r="I66" s="37">
        <v>1000</v>
      </c>
      <c r="J66" s="80"/>
      <c r="K66" s="32"/>
      <c r="L66" s="37"/>
      <c r="M66" s="37"/>
      <c r="N66" s="37"/>
      <c r="O66" s="37"/>
      <c r="P66" s="37"/>
      <c r="Q66" s="37"/>
      <c r="R66" s="37"/>
      <c r="S66" s="37"/>
      <c r="T66" s="32"/>
      <c r="U66" s="32"/>
      <c r="V66" s="37"/>
      <c r="W66" s="37"/>
      <c r="X66" s="80"/>
      <c r="Y66" s="37">
        <v>1000</v>
      </c>
      <c r="Z66" s="37"/>
      <c r="AA66" s="389">
        <v>-1000</v>
      </c>
      <c r="AB66" s="32">
        <f t="shared" si="27"/>
        <v>0</v>
      </c>
      <c r="AC66" s="117"/>
      <c r="AD66" s="131"/>
      <c r="AG66" s="6"/>
      <c r="AH66" s="6"/>
      <c r="AI66" s="6"/>
      <c r="AJ66" s="6"/>
    </row>
    <row r="67" spans="1:36" ht="53.25" customHeight="1">
      <c r="A67" s="114">
        <f t="shared" si="28"/>
        <v>13</v>
      </c>
      <c r="B67" s="36" t="s">
        <v>738</v>
      </c>
      <c r="C67" s="23" t="s">
        <v>740</v>
      </c>
      <c r="D67" s="34" t="s">
        <v>19</v>
      </c>
      <c r="E67" s="23" t="s">
        <v>741</v>
      </c>
      <c r="F67" s="23" t="s">
        <v>391</v>
      </c>
      <c r="G67" s="33" t="s">
        <v>1148</v>
      </c>
      <c r="H67" s="37">
        <v>2689</v>
      </c>
      <c r="I67" s="37">
        <v>2689</v>
      </c>
      <c r="J67" s="80"/>
      <c r="K67" s="32"/>
      <c r="L67" s="37"/>
      <c r="M67" s="37"/>
      <c r="N67" s="37"/>
      <c r="O67" s="37"/>
      <c r="P67" s="37"/>
      <c r="Q67" s="37"/>
      <c r="R67" s="37"/>
      <c r="S67" s="37"/>
      <c r="T67" s="32"/>
      <c r="U67" s="32"/>
      <c r="V67" s="37"/>
      <c r="W67" s="37"/>
      <c r="X67" s="80"/>
      <c r="Y67" s="37">
        <v>2500</v>
      </c>
      <c r="Z67" s="37"/>
      <c r="AA67" s="37"/>
      <c r="AB67" s="32">
        <f t="shared" si="27"/>
        <v>2500</v>
      </c>
      <c r="AC67" s="117"/>
      <c r="AD67" s="131"/>
      <c r="AG67" s="6"/>
      <c r="AH67" s="6"/>
      <c r="AI67" s="6"/>
      <c r="AJ67" s="6"/>
    </row>
    <row r="68" spans="1:36" ht="53.25" customHeight="1">
      <c r="A68" s="114">
        <f t="shared" si="28"/>
        <v>14</v>
      </c>
      <c r="B68" s="36" t="s">
        <v>742</v>
      </c>
      <c r="C68" s="23" t="s">
        <v>1149</v>
      </c>
      <c r="D68" s="34" t="s">
        <v>19</v>
      </c>
      <c r="E68" s="23" t="s">
        <v>741</v>
      </c>
      <c r="F68" s="23" t="s">
        <v>391</v>
      </c>
      <c r="G68" s="33" t="s">
        <v>1150</v>
      </c>
      <c r="H68" s="37">
        <v>3081</v>
      </c>
      <c r="I68" s="37">
        <v>3081</v>
      </c>
      <c r="J68" s="80"/>
      <c r="K68" s="32"/>
      <c r="L68" s="37"/>
      <c r="M68" s="37"/>
      <c r="N68" s="37"/>
      <c r="O68" s="37"/>
      <c r="P68" s="37"/>
      <c r="Q68" s="37"/>
      <c r="R68" s="37"/>
      <c r="S68" s="37"/>
      <c r="T68" s="32"/>
      <c r="U68" s="32"/>
      <c r="V68" s="37"/>
      <c r="W68" s="37"/>
      <c r="X68" s="80"/>
      <c r="Y68" s="37">
        <v>2900</v>
      </c>
      <c r="Z68" s="37"/>
      <c r="AA68" s="37"/>
      <c r="AB68" s="32">
        <f t="shared" si="27"/>
        <v>2900</v>
      </c>
      <c r="AC68" s="117"/>
      <c r="AD68" s="131"/>
      <c r="AG68" s="6"/>
      <c r="AH68" s="6"/>
      <c r="AI68" s="6"/>
      <c r="AJ68" s="6"/>
    </row>
    <row r="69" spans="1:36" s="448" customFormat="1" ht="96.75" customHeight="1">
      <c r="A69" s="443" t="s">
        <v>481</v>
      </c>
      <c r="B69" s="444" t="s">
        <v>975</v>
      </c>
      <c r="C69" s="443" t="s">
        <v>745</v>
      </c>
      <c r="D69" s="443" t="s">
        <v>19</v>
      </c>
      <c r="E69" s="443"/>
      <c r="F69" s="443"/>
      <c r="G69" s="443"/>
      <c r="H69" s="445"/>
      <c r="I69" s="445"/>
      <c r="J69" s="445" t="e">
        <f>SUM(#REF!,#REF!,#REF!,#REF!)</f>
        <v>#REF!</v>
      </c>
      <c r="K69" s="445" t="e">
        <f>SUM(#REF!,#REF!,#REF!,#REF!)</f>
        <v>#REF!</v>
      </c>
      <c r="L69" s="445" t="e">
        <f>SUM(#REF!,#REF!,#REF!,#REF!)</f>
        <v>#REF!</v>
      </c>
      <c r="M69" s="445" t="e">
        <f>SUM(#REF!,#REF!,#REF!,#REF!)</f>
        <v>#REF!</v>
      </c>
      <c r="N69" s="445" t="e">
        <f>SUM(#REF!,#REF!,#REF!,#REF!)</f>
        <v>#REF!</v>
      </c>
      <c r="O69" s="445" t="e">
        <f>SUM(#REF!,#REF!,#REF!,#REF!)</f>
        <v>#REF!</v>
      </c>
      <c r="P69" s="445" t="e">
        <f>SUM(#REF!,#REF!,#REF!,#REF!)</f>
        <v>#REF!</v>
      </c>
      <c r="Q69" s="445" t="e">
        <f>SUM(#REF!,#REF!,#REF!,#REF!)</f>
        <v>#REF!</v>
      </c>
      <c r="R69" s="445" t="e">
        <f>SUM(#REF!,#REF!,#REF!,#REF!)</f>
        <v>#REF!</v>
      </c>
      <c r="S69" s="445" t="e">
        <f>SUM(#REF!,#REF!,#REF!,#REF!)</f>
        <v>#REF!</v>
      </c>
      <c r="T69" s="445" t="e">
        <f>SUM(#REF!,#REF!,#REF!,#REF!)</f>
        <v>#REF!</v>
      </c>
      <c r="U69" s="445" t="e">
        <f>SUM(#REF!,#REF!,#REF!,#REF!)</f>
        <v>#REF!</v>
      </c>
      <c r="V69" s="445" t="e">
        <f>SUM(#REF!,#REF!,#REF!,#REF!)</f>
        <v>#REF!</v>
      </c>
      <c r="W69" s="445" t="e">
        <f>SUM(#REF!,#REF!,#REF!,#REF!)</f>
        <v>#REF!</v>
      </c>
      <c r="X69" s="445" t="e">
        <f>SUM(#REF!,#REF!,#REF!,#REF!)</f>
        <v>#REF!</v>
      </c>
      <c r="Y69" s="445"/>
      <c r="Z69" s="445"/>
      <c r="AA69" s="446"/>
      <c r="AB69" s="445"/>
      <c r="AC69" s="464" t="s">
        <v>1475</v>
      </c>
      <c r="AD69" s="66"/>
      <c r="AE69" s="447"/>
      <c r="AF69" s="447"/>
    </row>
    <row r="71" spans="1:36" ht="114" customHeight="1">
      <c r="A71" s="564" t="s">
        <v>699</v>
      </c>
      <c r="B71" s="564"/>
      <c r="C71" s="564"/>
      <c r="D71" s="564"/>
      <c r="E71" s="564"/>
      <c r="F71" s="564"/>
      <c r="G71" s="564"/>
      <c r="H71" s="564"/>
      <c r="I71" s="564"/>
      <c r="J71" s="564"/>
      <c r="K71" s="564"/>
      <c r="L71" s="564"/>
      <c r="M71" s="564"/>
      <c r="N71" s="564"/>
      <c r="O71" s="564"/>
      <c r="P71" s="564"/>
      <c r="Q71" s="564"/>
      <c r="R71" s="564"/>
      <c r="S71" s="564"/>
      <c r="T71" s="564"/>
      <c r="U71" s="564"/>
      <c r="V71" s="564"/>
      <c r="W71" s="564"/>
      <c r="X71" s="564"/>
      <c r="Y71" s="564"/>
      <c r="Z71" s="564"/>
      <c r="AA71" s="564"/>
      <c r="AB71" s="564"/>
      <c r="AC71" s="564"/>
      <c r="AD71" s="337"/>
    </row>
  </sheetData>
  <mergeCells count="26">
    <mergeCell ref="A71:AC71"/>
    <mergeCell ref="T5:W5"/>
    <mergeCell ref="T6:T7"/>
    <mergeCell ref="U6:W6"/>
    <mergeCell ref="G6:G7"/>
    <mergeCell ref="H6:I6"/>
    <mergeCell ref="L6:S6"/>
    <mergeCell ref="X5:X7"/>
    <mergeCell ref="Y5:Y7"/>
    <mergeCell ref="J5:J7"/>
    <mergeCell ref="K5:S5"/>
    <mergeCell ref="AB5:AB7"/>
    <mergeCell ref="Z5:Z7"/>
    <mergeCell ref="AA5:AA7"/>
    <mergeCell ref="A1:AC1"/>
    <mergeCell ref="A2:AC2"/>
    <mergeCell ref="A3:AC3"/>
    <mergeCell ref="K6:K7"/>
    <mergeCell ref="A5:A7"/>
    <mergeCell ref="B5:B7"/>
    <mergeCell ref="C5:C7"/>
    <mergeCell ref="E5:E7"/>
    <mergeCell ref="F5:F7"/>
    <mergeCell ref="G5:I5"/>
    <mergeCell ref="D5:D7"/>
    <mergeCell ref="AC5:AC7"/>
  </mergeCells>
  <printOptions horizontalCentered="1"/>
  <pageMargins left="0.39370078740157499" right="0.39370078740157499" top="0.39370078740157499" bottom="0.39370078740157499" header="0.196850393700787" footer="0.196850393700787"/>
  <pageSetup paperSize="9" scale="43" fitToHeight="0" orientation="landscape" r:id="rId1"/>
  <headerFooter alignWithMargins="0">
    <oddFooter>&amp;C&amp;"Times New Roman,thường"&amp;11&amp;P/&amp;N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4"/>
  <sheetViews>
    <sheetView view="pageBreakPreview" zoomScale="60" zoomScaleNormal="70" workbookViewId="0">
      <selection activeCell="N11" sqref="N11"/>
    </sheetView>
  </sheetViews>
  <sheetFormatPr defaultColWidth="9.109375" defaultRowHeight="16.8"/>
  <cols>
    <col min="1" max="1" width="8.6640625" style="11" customWidth="1"/>
    <col min="2" max="2" width="50.6640625" style="11" customWidth="1"/>
    <col min="3" max="3" width="15.6640625" style="11" customWidth="1"/>
    <col min="4" max="4" width="15.6640625" style="22" customWidth="1"/>
    <col min="5" max="6" width="15.6640625" style="11" customWidth="1"/>
    <col min="7" max="7" width="22.6640625" style="11" customWidth="1"/>
    <col min="8" max="13" width="15.6640625" style="11" customWidth="1"/>
    <col min="14" max="14" width="30.6640625" style="11" customWidth="1"/>
    <col min="15" max="15" width="19.109375" style="11" customWidth="1"/>
    <col min="16" max="16" width="14.88671875" style="22" customWidth="1"/>
    <col min="17" max="17" width="13.44140625" style="22" customWidth="1"/>
    <col min="18" max="18" width="17.88671875" style="11" customWidth="1"/>
    <col min="19" max="19" width="19.33203125" style="11" customWidth="1"/>
    <col min="20" max="20" width="17.33203125" style="11" customWidth="1"/>
    <col min="21" max="21" width="15.33203125" style="11" customWidth="1"/>
    <col min="22" max="23" width="12.6640625" style="11" bestFit="1" customWidth="1"/>
    <col min="24" max="25" width="9.109375" style="11"/>
    <col min="26" max="26" width="11.33203125" style="11" bestFit="1" customWidth="1"/>
    <col min="27" max="27" width="9.109375" style="11"/>
    <col min="28" max="28" width="12.6640625" style="11" bestFit="1" customWidth="1"/>
    <col min="29" max="29" width="9.109375" style="11"/>
    <col min="30" max="30" width="12.44140625" style="11" customWidth="1"/>
    <col min="31" max="31" width="15.33203125" style="11" customWidth="1"/>
    <col min="32" max="32" width="15" style="11" customWidth="1"/>
    <col min="33" max="33" width="9.109375" style="11"/>
    <col min="34" max="34" width="11.33203125" style="11" bestFit="1" customWidth="1"/>
    <col min="35" max="35" width="14.88671875" style="11" customWidth="1"/>
    <col min="36" max="16384" width="9.109375" style="11"/>
  </cols>
  <sheetData>
    <row r="1" spans="1:36" ht="39.9" customHeight="1">
      <c r="A1" s="554" t="s">
        <v>1124</v>
      </c>
      <c r="B1" s="554"/>
      <c r="C1" s="554"/>
      <c r="D1" s="554"/>
      <c r="E1" s="554"/>
      <c r="F1" s="554"/>
      <c r="G1" s="554"/>
      <c r="H1" s="554"/>
      <c r="I1" s="554"/>
      <c r="J1" s="554"/>
      <c r="K1" s="554"/>
      <c r="L1" s="554"/>
      <c r="M1" s="554"/>
      <c r="N1" s="554"/>
      <c r="O1" s="22"/>
      <c r="P1" s="11"/>
      <c r="Q1" s="11"/>
    </row>
    <row r="2" spans="1:36" ht="69.900000000000006" customHeight="1">
      <c r="A2" s="555" t="s">
        <v>1448</v>
      </c>
      <c r="B2" s="555"/>
      <c r="C2" s="555"/>
      <c r="D2" s="555"/>
      <c r="E2" s="555"/>
      <c r="F2" s="555"/>
      <c r="G2" s="555"/>
      <c r="H2" s="555"/>
      <c r="I2" s="555"/>
      <c r="J2" s="555"/>
      <c r="K2" s="555"/>
      <c r="L2" s="555"/>
      <c r="M2" s="555"/>
      <c r="N2" s="555"/>
      <c r="O2" s="22"/>
      <c r="P2" s="11"/>
      <c r="Q2" s="11"/>
    </row>
    <row r="3" spans="1:36" s="125" customFormat="1" ht="30" customHeight="1">
      <c r="A3" s="606" t="str">
        <f>'17. KDXS2020-CNT'!A3:Z3</f>
        <v>(Ban hành kèm theo Quyết định số: 2571/QĐ-UBND ngày 12/12/2024 của Ủy ban nhân dân tỉnh)</v>
      </c>
      <c r="B3" s="606"/>
      <c r="C3" s="606"/>
      <c r="D3" s="606"/>
      <c r="E3" s="606"/>
      <c r="F3" s="606"/>
      <c r="G3" s="606"/>
      <c r="H3" s="606"/>
      <c r="I3" s="606"/>
      <c r="J3" s="606"/>
      <c r="K3" s="606"/>
      <c r="L3" s="606"/>
      <c r="M3" s="606"/>
      <c r="N3" s="606"/>
      <c r="O3" s="124"/>
    </row>
    <row r="4" spans="1:36" ht="33.75" customHeight="1">
      <c r="J4" s="12"/>
      <c r="K4" s="12"/>
      <c r="L4" s="12"/>
      <c r="M4" s="12"/>
      <c r="N4" s="12" t="s">
        <v>0</v>
      </c>
    </row>
    <row r="5" spans="1:36" ht="39" customHeight="1">
      <c r="A5" s="559" t="s">
        <v>1</v>
      </c>
      <c r="B5" s="559" t="s">
        <v>1091</v>
      </c>
      <c r="C5" s="559" t="s">
        <v>2</v>
      </c>
      <c r="D5" s="559" t="s">
        <v>3</v>
      </c>
      <c r="E5" s="562" t="s">
        <v>4</v>
      </c>
      <c r="F5" s="562" t="s">
        <v>5</v>
      </c>
      <c r="G5" s="562" t="s">
        <v>1100</v>
      </c>
      <c r="H5" s="562"/>
      <c r="I5" s="562"/>
      <c r="J5" s="582" t="s">
        <v>1093</v>
      </c>
      <c r="K5" s="557" t="s">
        <v>1072</v>
      </c>
      <c r="L5" s="557" t="s">
        <v>1073</v>
      </c>
      <c r="M5" s="557" t="s">
        <v>1215</v>
      </c>
      <c r="N5" s="559" t="s">
        <v>6</v>
      </c>
      <c r="O5" s="14"/>
      <c r="P5" s="56" t="s">
        <v>452</v>
      </c>
      <c r="Q5" s="56" t="s">
        <v>453</v>
      </c>
      <c r="R5" s="57" t="s">
        <v>454</v>
      </c>
      <c r="S5" s="57"/>
      <c r="T5" s="57" t="s">
        <v>455</v>
      </c>
      <c r="U5" s="56" t="s">
        <v>456</v>
      </c>
      <c r="V5" s="56" t="s">
        <v>457</v>
      </c>
      <c r="W5" s="56" t="s">
        <v>458</v>
      </c>
      <c r="X5" s="56" t="s">
        <v>459</v>
      </c>
      <c r="Y5" s="56" t="s">
        <v>460</v>
      </c>
      <c r="Z5" s="56" t="s">
        <v>461</v>
      </c>
      <c r="AA5" s="56" t="s">
        <v>462</v>
      </c>
      <c r="AB5" s="56" t="s">
        <v>463</v>
      </c>
      <c r="AC5" s="56" t="s">
        <v>464</v>
      </c>
      <c r="AD5" s="56" t="s">
        <v>465</v>
      </c>
      <c r="AE5" s="56" t="s">
        <v>466</v>
      </c>
      <c r="AF5" s="56" t="s">
        <v>467</v>
      </c>
      <c r="AG5" s="56" t="s">
        <v>468</v>
      </c>
      <c r="AH5" s="56" t="s">
        <v>469</v>
      </c>
      <c r="AI5" s="57"/>
      <c r="AJ5" s="57"/>
    </row>
    <row r="6" spans="1:36" ht="30" customHeight="1">
      <c r="A6" s="560"/>
      <c r="B6" s="560"/>
      <c r="C6" s="560"/>
      <c r="D6" s="560"/>
      <c r="E6" s="562"/>
      <c r="F6" s="562"/>
      <c r="G6" s="562" t="s">
        <v>7</v>
      </c>
      <c r="H6" s="562" t="s">
        <v>8</v>
      </c>
      <c r="I6" s="562"/>
      <c r="J6" s="583"/>
      <c r="K6" s="569"/>
      <c r="L6" s="569"/>
      <c r="M6" s="569"/>
      <c r="N6" s="560"/>
      <c r="O6" s="14"/>
      <c r="P6" s="56"/>
      <c r="Q6" s="56"/>
      <c r="R6" s="57"/>
      <c r="S6" s="58" t="s">
        <v>470</v>
      </c>
      <c r="T6" s="57">
        <f>COUNTIF(P8:P858,"CT")</f>
        <v>0</v>
      </c>
      <c r="U6" s="82">
        <f>SUMIF(P8:P858,"CT",R8:R858)</f>
        <v>0</v>
      </c>
      <c r="V6" s="82">
        <f>SUMIFS($R$8:$R$960,$P$8:$P$960,"CT",$Q$8:$Q$960,"GT")</f>
        <v>0</v>
      </c>
      <c r="W6" s="82">
        <f>SUMIFS($R$8:$R$960,$P$8:$P$960,"CT",$Q$8:$Q$960,"NN-TL")</f>
        <v>0</v>
      </c>
      <c r="X6" s="82">
        <f>SUMIFS($R$8:$R$960,$P$8:$P$960,"CT",$Q$8:$Q$960,"GDĐT")</f>
        <v>0</v>
      </c>
      <c r="Y6" s="82">
        <f>SUMIFS($R$8:$R$960,$P$8:$P$960,"CT",$Q$8:$Q$960,"YT")</f>
        <v>0</v>
      </c>
      <c r="Z6" s="82">
        <f>SUMIFS($R$8:$R$960,$P$8:$P$960,"CT",$Q$8:$Q$960,"VH")</f>
        <v>0</v>
      </c>
      <c r="AA6" s="82">
        <f>SUMIFS($R$8:$R$960,$P$8:$P$960,"CT",$Q$8:$Q$960,"TTTT")</f>
        <v>0</v>
      </c>
      <c r="AB6" s="82">
        <f>SUMIFS($R$8:$R$960,$P$8:$P$960,"CT",$Q$8:$Q$960,"XH-CC")</f>
        <v>0</v>
      </c>
      <c r="AC6" s="82">
        <f>SUMIFS($R$8:$R$960,$P$8:$P$960,"CT",$Q$8:$Q$960,"NS")</f>
        <v>0</v>
      </c>
      <c r="AD6" s="82">
        <f>SUMIFS($R$8:$R$960,$P$8:$P$960,"CT",$Q$8:$Q$960,"TNMT")</f>
        <v>0</v>
      </c>
      <c r="AE6" s="82">
        <f>SUMIFS($R$8:$R$960,$P$8:$P$960,"CT",$Q$8:$Q$960,"QLNN")</f>
        <v>0</v>
      </c>
      <c r="AF6" s="82">
        <f>SUMIFS($R$8:$R$960,$P$8:$P$960,"CT",$Q$8:$Q$960,"QPAN")</f>
        <v>0</v>
      </c>
      <c r="AG6" s="82">
        <f>SUMIFS($R$8:$R$960,$P$8:$P$960,"CT",$Q$8:$Q$960,"PTĐT")</f>
        <v>0</v>
      </c>
      <c r="AH6" s="82">
        <f>SUMIFS($R$8:$R$960,$P$8:$P$960,"CT",$Q$8:$Q$960,"TMDV")</f>
        <v>0</v>
      </c>
      <c r="AI6" s="58">
        <f>SUM(V6:AH6)</f>
        <v>0</v>
      </c>
      <c r="AJ6" s="57"/>
    </row>
    <row r="7" spans="1:36" ht="83.25" customHeight="1">
      <c r="A7" s="560"/>
      <c r="B7" s="560"/>
      <c r="C7" s="560"/>
      <c r="D7" s="563"/>
      <c r="E7" s="562"/>
      <c r="F7" s="562"/>
      <c r="G7" s="562"/>
      <c r="H7" s="13" t="s">
        <v>66</v>
      </c>
      <c r="I7" s="13" t="s">
        <v>1101</v>
      </c>
      <c r="J7" s="584"/>
      <c r="K7" s="558"/>
      <c r="L7" s="558"/>
      <c r="M7" s="558"/>
      <c r="N7" s="560"/>
      <c r="O7" s="6"/>
      <c r="P7" s="56"/>
      <c r="Q7" s="56"/>
      <c r="R7" s="57"/>
      <c r="S7" s="57" t="s">
        <v>471</v>
      </c>
      <c r="T7" s="57">
        <f>COUNTIF(P8:P857,"KCM")</f>
        <v>1</v>
      </c>
      <c r="U7" s="82">
        <f>SUMIF(P12:P858,"KCM",R12:R858)</f>
        <v>0</v>
      </c>
      <c r="V7" s="82">
        <f>SUMIFS($R$8:$R$960,$P$8:$P$960,"KCM",$Q$8:$Q$960,"GT")</f>
        <v>600000</v>
      </c>
      <c r="W7" s="82">
        <f>SUMIFS($R$8:$R$960,$P$8:$P$960,"KCM",$Q$8:$Q$960,"NN-TL")</f>
        <v>0</v>
      </c>
      <c r="X7" s="82">
        <f>SUMIFS($R$8:$R$960,$P$8:$P$960,"KCM",$Q$8:$Q$960,"GDĐT")</f>
        <v>0</v>
      </c>
      <c r="Y7" s="82">
        <f>SUMIFS($R$8:$R$960,$P$8:$P$960,"KCM",$Q$8:$Q$960,"YT")</f>
        <v>0</v>
      </c>
      <c r="Z7" s="82">
        <f>SUMIFS($R$8:$R$960,$P$8:$P$960,"KCM",$Q$8:$Q$960,"VH")</f>
        <v>0</v>
      </c>
      <c r="AA7" s="82">
        <f>SUMIFS($R$8:$R$960,$P$8:$P$960,"KCM",$Q$8:$Q$960,"TTTT")</f>
        <v>0</v>
      </c>
      <c r="AB7" s="82">
        <f>SUMIFS($R$8:$R$960,$P$8:$P$960,"KCM",$Q$8:$Q$960,"XH-CC")</f>
        <v>0</v>
      </c>
      <c r="AC7" s="82">
        <f>SUMIFS($R$8:$R$960,$P$8:$P$960,"KCM",$Q$8:$Q$960,"NS")</f>
        <v>0</v>
      </c>
      <c r="AD7" s="82">
        <f>SUMIFS($R$8:$R$960,$P$8:$P$960,"KCM",$Q$8:$Q$960,"TNMT")</f>
        <v>0</v>
      </c>
      <c r="AE7" s="82">
        <f>SUMIFS($R$8:$R$960,$P$8:$P$960,"KCM",$Q$8:$Q$960,"QLNN")</f>
        <v>0</v>
      </c>
      <c r="AF7" s="82">
        <f>SUMIFS($R$8:$R$960,$P$8:$P$960,"KCM",$Q$8:$Q$960,"QPAN")</f>
        <v>0</v>
      </c>
      <c r="AG7" s="82">
        <f>SUMIFS($R$8:$R$960,$P$8:$P$960,"KCM",$Q$8:$Q$960,"PTĐT")</f>
        <v>0</v>
      </c>
      <c r="AH7" s="82">
        <f>SUMIFS($R$8:$R$960,$P$8:$P$960,"KCM",$Q$8:$Q$960,"TMDV")</f>
        <v>0</v>
      </c>
      <c r="AI7" s="58">
        <f>SUM(V7:AH7)</f>
        <v>600000</v>
      </c>
      <c r="AJ7" s="57"/>
    </row>
    <row r="8" spans="1:36" s="2" customFormat="1" ht="50.1" customHeight="1">
      <c r="A8" s="21"/>
      <c r="B8" s="24" t="s">
        <v>280</v>
      </c>
      <c r="C8" s="21"/>
      <c r="D8" s="21"/>
      <c r="E8" s="21"/>
      <c r="F8" s="21"/>
      <c r="G8" s="21"/>
      <c r="H8" s="7">
        <f>SUM(H9)</f>
        <v>4731480</v>
      </c>
      <c r="I8" s="7">
        <f t="shared" ref="I8:M9" si="0">SUM(I9)</f>
        <v>0</v>
      </c>
      <c r="J8" s="7">
        <f t="shared" si="0"/>
        <v>600000</v>
      </c>
      <c r="K8" s="7">
        <f t="shared" si="0"/>
        <v>0</v>
      </c>
      <c r="L8" s="369">
        <f t="shared" si="0"/>
        <v>-380000</v>
      </c>
      <c r="M8" s="7">
        <f t="shared" si="0"/>
        <v>220000</v>
      </c>
      <c r="N8" s="83"/>
      <c r="O8" s="38">
        <f>256158-J8</f>
        <v>-343842</v>
      </c>
      <c r="P8" s="330"/>
      <c r="Q8" s="330"/>
      <c r="R8" s="331"/>
      <c r="S8" s="331"/>
      <c r="T8" s="331"/>
      <c r="U8" s="331"/>
      <c r="V8" s="331"/>
      <c r="W8" s="331"/>
      <c r="X8" s="331"/>
      <c r="Y8" s="331"/>
      <c r="Z8" s="331"/>
      <c r="AA8" s="331"/>
      <c r="AB8" s="331"/>
      <c r="AC8" s="331"/>
      <c r="AD8" s="331"/>
      <c r="AE8" s="331"/>
      <c r="AF8" s="331"/>
      <c r="AG8" s="331"/>
      <c r="AH8" s="331"/>
      <c r="AI8" s="331"/>
      <c r="AJ8" s="331"/>
    </row>
    <row r="9" spans="1:36" s="18" customFormat="1" ht="39.9" customHeight="1">
      <c r="A9" s="13"/>
      <c r="B9" s="26" t="s">
        <v>16</v>
      </c>
      <c r="C9" s="13"/>
      <c r="D9" s="13"/>
      <c r="E9" s="13"/>
      <c r="F9" s="13"/>
      <c r="G9" s="13"/>
      <c r="H9" s="8">
        <f>SUM(H10)</f>
        <v>4731480</v>
      </c>
      <c r="I9" s="8">
        <f t="shared" si="0"/>
        <v>0</v>
      </c>
      <c r="J9" s="8">
        <f t="shared" si="0"/>
        <v>600000</v>
      </c>
      <c r="K9" s="8">
        <f t="shared" si="0"/>
        <v>0</v>
      </c>
      <c r="L9" s="366">
        <f t="shared" si="0"/>
        <v>-380000</v>
      </c>
      <c r="M9" s="8">
        <f t="shared" si="0"/>
        <v>220000</v>
      </c>
      <c r="N9" s="27"/>
      <c r="P9" s="55"/>
      <c r="Q9" s="55"/>
    </row>
    <row r="10" spans="1:36" s="20" customFormat="1" ht="39.9" customHeight="1">
      <c r="A10" s="15"/>
      <c r="B10" s="16" t="s">
        <v>1102</v>
      </c>
      <c r="C10" s="16"/>
      <c r="D10" s="15"/>
      <c r="E10" s="16"/>
      <c r="F10" s="16"/>
      <c r="G10" s="16"/>
      <c r="H10" s="29">
        <f t="shared" ref="H10:M10" si="1">SUM(H11:H11)</f>
        <v>4731480</v>
      </c>
      <c r="I10" s="29">
        <f t="shared" si="1"/>
        <v>0</v>
      </c>
      <c r="J10" s="29">
        <f t="shared" si="1"/>
        <v>600000</v>
      </c>
      <c r="K10" s="29">
        <f t="shared" si="1"/>
        <v>0</v>
      </c>
      <c r="L10" s="367">
        <f t="shared" si="1"/>
        <v>-380000</v>
      </c>
      <c r="M10" s="29">
        <f t="shared" si="1"/>
        <v>220000</v>
      </c>
      <c r="N10" s="19"/>
      <c r="P10" s="113"/>
      <c r="Q10" s="113"/>
    </row>
    <row r="11" spans="1:36" ht="156" customHeight="1">
      <c r="A11" s="10">
        <v>1</v>
      </c>
      <c r="B11" s="4" t="s">
        <v>700</v>
      </c>
      <c r="C11" s="10" t="s">
        <v>18</v>
      </c>
      <c r="D11" s="150" t="s">
        <v>86</v>
      </c>
      <c r="E11" s="10" t="s">
        <v>550</v>
      </c>
      <c r="F11" s="163" t="s">
        <v>36</v>
      </c>
      <c r="G11" s="10" t="s">
        <v>761</v>
      </c>
      <c r="H11" s="49">
        <v>4731480</v>
      </c>
      <c r="I11" s="49">
        <v>0</v>
      </c>
      <c r="J11" s="49">
        <v>600000</v>
      </c>
      <c r="K11" s="49"/>
      <c r="L11" s="368">
        <v>-380000</v>
      </c>
      <c r="M11" s="49">
        <f>SUM(J11:L11)</f>
        <v>220000</v>
      </c>
      <c r="N11" s="92" t="s">
        <v>1144</v>
      </c>
      <c r="P11" s="22" t="s">
        <v>473</v>
      </c>
      <c r="Q11" s="22" t="s">
        <v>474</v>
      </c>
      <c r="R11" s="6">
        <f>J11</f>
        <v>600000</v>
      </c>
    </row>
    <row r="12" spans="1:36" ht="12.75" customHeight="1"/>
    <row r="14" spans="1:36">
      <c r="J14" s="6"/>
      <c r="K14" s="6"/>
      <c r="L14" s="6"/>
      <c r="M14" s="6"/>
    </row>
  </sheetData>
  <mergeCells count="17">
    <mergeCell ref="G6:G7"/>
    <mergeCell ref="H6:I6"/>
    <mergeCell ref="A1:N1"/>
    <mergeCell ref="A2:N2"/>
    <mergeCell ref="A3:N3"/>
    <mergeCell ref="A5:A7"/>
    <mergeCell ref="B5:B7"/>
    <mergeCell ref="C5:C7"/>
    <mergeCell ref="D5:D7"/>
    <mergeCell ref="E5:E7"/>
    <mergeCell ref="F5:F7"/>
    <mergeCell ref="G5:I5"/>
    <mergeCell ref="K5:K7"/>
    <mergeCell ref="L5:L7"/>
    <mergeCell ref="M5:M7"/>
    <mergeCell ref="J5:J7"/>
    <mergeCell ref="N5:N7"/>
  </mergeCells>
  <printOptions horizontalCentered="1"/>
  <pageMargins left="0.39370078740157499" right="0.39370078740157499" top="0.39370078740157499" bottom="0.39370078740157499" header="0.196850393700787" footer="0.196850393700787"/>
  <pageSetup paperSize="9" scale="52" fitToHeight="0" orientation="landscape" r:id="rId1"/>
  <headerFooter alignWithMargins="0">
    <oddFooter>&amp;C&amp;"Times New Roman,thường"&amp;11&amp;P/&amp;N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1"/>
  <sheetViews>
    <sheetView view="pageBreakPreview" zoomScale="60" zoomScaleNormal="60" workbookViewId="0">
      <selection activeCell="F15" sqref="F15"/>
    </sheetView>
  </sheetViews>
  <sheetFormatPr defaultColWidth="9.109375" defaultRowHeight="16.8"/>
  <cols>
    <col min="1" max="1" width="8.6640625" style="11" customWidth="1"/>
    <col min="2" max="2" width="50.6640625" style="11" customWidth="1"/>
    <col min="3" max="3" width="20.6640625" style="11" customWidth="1"/>
    <col min="4" max="4" width="15.6640625" style="22" customWidth="1"/>
    <col min="5" max="6" width="15.6640625" style="11" customWidth="1"/>
    <col min="7" max="7" width="22.6640625" style="11" customWidth="1"/>
    <col min="8" max="13" width="15.6640625" style="11" customWidth="1"/>
    <col min="14" max="14" width="30.6640625" style="11" customWidth="1"/>
    <col min="15" max="15" width="16.6640625" style="11" customWidth="1"/>
    <col min="16" max="16" width="19.109375" style="11" customWidth="1"/>
    <col min="17" max="17" width="14.88671875" style="22" customWidth="1"/>
    <col min="18" max="18" width="13.44140625" style="22" customWidth="1"/>
    <col min="19" max="19" width="17.88671875" style="11" customWidth="1"/>
    <col min="20" max="21" width="9" style="11" bestFit="1" customWidth="1"/>
    <col min="22" max="22" width="6.44140625" style="11" bestFit="1" customWidth="1"/>
    <col min="23" max="23" width="19.33203125" style="11" customWidth="1"/>
    <col min="24" max="24" width="17.33203125" style="11" customWidth="1"/>
    <col min="25" max="39" width="15.109375" style="11" customWidth="1"/>
    <col min="40" max="16384" width="9.109375" style="11"/>
  </cols>
  <sheetData>
    <row r="1" spans="1:39" ht="39.9" customHeight="1">
      <c r="A1" s="554" t="s">
        <v>1123</v>
      </c>
      <c r="B1" s="554"/>
      <c r="C1" s="554"/>
      <c r="D1" s="554"/>
      <c r="E1" s="554"/>
      <c r="F1" s="554"/>
      <c r="G1" s="554"/>
      <c r="H1" s="554"/>
      <c r="I1" s="554"/>
      <c r="J1" s="554"/>
      <c r="K1" s="554"/>
      <c r="L1" s="554"/>
      <c r="M1" s="554"/>
      <c r="N1" s="554"/>
      <c r="O1" s="248"/>
    </row>
    <row r="2" spans="1:39" ht="60.75" customHeight="1">
      <c r="A2" s="555" t="s">
        <v>1449</v>
      </c>
      <c r="B2" s="555"/>
      <c r="C2" s="555"/>
      <c r="D2" s="555"/>
      <c r="E2" s="555"/>
      <c r="F2" s="555"/>
      <c r="G2" s="555"/>
      <c r="H2" s="555"/>
      <c r="I2" s="555"/>
      <c r="J2" s="555"/>
      <c r="K2" s="555"/>
      <c r="L2" s="555"/>
      <c r="M2" s="555"/>
      <c r="N2" s="555"/>
      <c r="O2" s="348"/>
    </row>
    <row r="3" spans="1:39" ht="50.1" customHeight="1">
      <c r="A3" s="556" t="str">
        <f>'18. Muon ĐPTTH'!A3:N3</f>
        <v>(Ban hành kèm theo Quyết định số: 2571/QĐ-UBND ngày 12/12/2024 của Ủy ban nhân dân tỉnh)</v>
      </c>
      <c r="B3" s="556"/>
      <c r="C3" s="556"/>
      <c r="D3" s="556"/>
      <c r="E3" s="556"/>
      <c r="F3" s="556"/>
      <c r="G3" s="556"/>
      <c r="H3" s="556"/>
      <c r="I3" s="556"/>
      <c r="J3" s="556"/>
      <c r="K3" s="556"/>
      <c r="L3" s="556"/>
      <c r="M3" s="556"/>
      <c r="N3" s="556"/>
      <c r="O3" s="250"/>
    </row>
    <row r="4" spans="1:39" ht="20.25" customHeight="1">
      <c r="J4" s="12"/>
      <c r="K4" s="12"/>
      <c r="L4" s="12"/>
      <c r="M4" s="12"/>
      <c r="N4" s="12" t="s">
        <v>0</v>
      </c>
      <c r="O4" s="128"/>
    </row>
    <row r="5" spans="1:39" ht="40.5" customHeight="1">
      <c r="A5" s="559" t="s">
        <v>1</v>
      </c>
      <c r="B5" s="559" t="s">
        <v>1091</v>
      </c>
      <c r="C5" s="559" t="s">
        <v>2</v>
      </c>
      <c r="D5" s="559" t="s">
        <v>3</v>
      </c>
      <c r="E5" s="562" t="s">
        <v>4</v>
      </c>
      <c r="F5" s="562" t="s">
        <v>5</v>
      </c>
      <c r="G5" s="562" t="s">
        <v>1103</v>
      </c>
      <c r="H5" s="562"/>
      <c r="I5" s="562"/>
      <c r="J5" s="557" t="s">
        <v>1093</v>
      </c>
      <c r="K5" s="557" t="s">
        <v>1072</v>
      </c>
      <c r="L5" s="557" t="s">
        <v>1073</v>
      </c>
      <c r="M5" s="557" t="s">
        <v>1215</v>
      </c>
      <c r="N5" s="559" t="s">
        <v>6</v>
      </c>
      <c r="O5" s="55"/>
      <c r="P5" s="14"/>
    </row>
    <row r="6" spans="1:39" ht="41.25" customHeight="1">
      <c r="A6" s="560"/>
      <c r="B6" s="560"/>
      <c r="C6" s="560"/>
      <c r="D6" s="560"/>
      <c r="E6" s="562"/>
      <c r="F6" s="562"/>
      <c r="G6" s="562" t="s">
        <v>7</v>
      </c>
      <c r="H6" s="562" t="s">
        <v>8</v>
      </c>
      <c r="I6" s="562"/>
      <c r="J6" s="569"/>
      <c r="K6" s="569"/>
      <c r="L6" s="569"/>
      <c r="M6" s="569"/>
      <c r="N6" s="560"/>
      <c r="O6" s="55"/>
      <c r="P6" s="14"/>
      <c r="Q6" s="56" t="s">
        <v>452</v>
      </c>
      <c r="R6" s="56" t="s">
        <v>453</v>
      </c>
      <c r="S6" s="57" t="s">
        <v>454</v>
      </c>
      <c r="T6" s="57" t="s">
        <v>627</v>
      </c>
      <c r="U6" s="57" t="s">
        <v>629</v>
      </c>
      <c r="V6" s="57" t="s">
        <v>628</v>
      </c>
      <c r="W6" s="57"/>
      <c r="X6" s="57" t="s">
        <v>455</v>
      </c>
      <c r="Y6" s="56" t="s">
        <v>456</v>
      </c>
      <c r="Z6" s="56" t="s">
        <v>457</v>
      </c>
      <c r="AA6" s="56" t="s">
        <v>458</v>
      </c>
      <c r="AB6" s="56" t="s">
        <v>459</v>
      </c>
      <c r="AC6" s="56" t="s">
        <v>460</v>
      </c>
      <c r="AD6" s="56" t="s">
        <v>461</v>
      </c>
      <c r="AE6" s="56" t="s">
        <v>462</v>
      </c>
      <c r="AF6" s="56" t="s">
        <v>463</v>
      </c>
      <c r="AG6" s="56" t="s">
        <v>464</v>
      </c>
      <c r="AH6" s="56" t="s">
        <v>465</v>
      </c>
      <c r="AI6" s="56" t="s">
        <v>466</v>
      </c>
      <c r="AJ6" s="56" t="s">
        <v>467</v>
      </c>
      <c r="AK6" s="56" t="s">
        <v>468</v>
      </c>
      <c r="AL6" s="56" t="s">
        <v>469</v>
      </c>
      <c r="AM6" s="57"/>
    </row>
    <row r="7" spans="1:39" ht="60" customHeight="1">
      <c r="A7" s="560"/>
      <c r="B7" s="560"/>
      <c r="C7" s="560"/>
      <c r="D7" s="563"/>
      <c r="E7" s="562"/>
      <c r="F7" s="562"/>
      <c r="G7" s="562"/>
      <c r="H7" s="13" t="s">
        <v>66</v>
      </c>
      <c r="I7" s="13" t="s">
        <v>1220</v>
      </c>
      <c r="J7" s="558"/>
      <c r="K7" s="558"/>
      <c r="L7" s="558"/>
      <c r="M7" s="558"/>
      <c r="N7" s="560"/>
      <c r="O7" s="55"/>
      <c r="P7" s="6"/>
      <c r="Q7" s="56"/>
      <c r="R7" s="56"/>
      <c r="S7" s="57"/>
      <c r="T7" s="57">
        <f>SUMIF($T$8:$T$744,T6,$S$8:$S$744)</f>
        <v>0</v>
      </c>
      <c r="U7" s="57">
        <f>SUMIF($T$8:$T$744,U6,$S$8:$S$744)</f>
        <v>0</v>
      </c>
      <c r="V7" s="57">
        <f>SUMIF($T$8:$T$744,V6,$S$8:$S$744)</f>
        <v>0</v>
      </c>
      <c r="W7" s="58" t="s">
        <v>470</v>
      </c>
      <c r="X7" s="57">
        <f>COUNTIF(Q9:Q794,"CT")</f>
        <v>0</v>
      </c>
      <c r="Y7" s="82">
        <f>SUMIF(Q9:Q794,"CT",S9:S794)</f>
        <v>0</v>
      </c>
      <c r="Z7" s="82">
        <f>SUMIFS($S$8:$S$895,$Q$8:$Q$895,"CT",$R$8:$R$895,"GT")</f>
        <v>0</v>
      </c>
      <c r="AA7" s="82">
        <f>SUMIFS($S$8:$S$895,$Q$8:$Q$895,"CT",$R$8:$R$895,"NN-TL")</f>
        <v>0</v>
      </c>
      <c r="AB7" s="82">
        <f>SUMIFS($S$8:$S$895,$Q$8:$Q$895,"CT",$R$8:$R$895,"GDĐT")</f>
        <v>0</v>
      </c>
      <c r="AC7" s="82">
        <f>SUMIFS($S$8:$S$895,$Q$8:$Q$895,"CT",$R$8:$R$895,"YT")</f>
        <v>0</v>
      </c>
      <c r="AD7" s="82">
        <f>SUMIFS($S$8:$S$895,$Q$8:$Q$895,"CT",$R$8:$R$895,"VH")</f>
        <v>0</v>
      </c>
      <c r="AE7" s="82">
        <f>SUMIFS($S$8:$S$895,$Q$8:$Q$895,"CT",$R$8:$R$895,"TTTT")</f>
        <v>0</v>
      </c>
      <c r="AF7" s="82">
        <f>SUMIFS($S$8:$S$895,$Q$8:$Q$895,"CT",$R$8:$R$895,"XH-CC")</f>
        <v>0</v>
      </c>
      <c r="AG7" s="82">
        <f>SUMIFS($S$8:$S$895,$Q$8:$Q$895,"CT",$R$8:$R$895,"NS")</f>
        <v>0</v>
      </c>
      <c r="AH7" s="82">
        <f>SUMIFS($S$8:$S$895,$Q$8:$Q$895,"CT",$R$8:$R$895,"TNMT")</f>
        <v>0</v>
      </c>
      <c r="AI7" s="82">
        <f>SUMIFS($S$8:$S$895,$Q$8:$Q$895,"CT",$R$8:$R$895,"QLNN")</f>
        <v>0</v>
      </c>
      <c r="AJ7" s="82">
        <f>SUMIFS($S$8:$S$895,$Q$8:$Q$895,"CT",$R$8:$R$895,"QPAN")</f>
        <v>0</v>
      </c>
      <c r="AK7" s="82">
        <f>SUMIFS($S$8:$S$895,$Q$8:$Q$895,"CT",$R$8:$R$895,"PTĐT")</f>
        <v>0</v>
      </c>
      <c r="AL7" s="82">
        <f>SUMIFS($S$8:$S$895,$Q$8:$Q$895,"CT",$R$8:$R$895,"TMDV")</f>
        <v>0</v>
      </c>
      <c r="AM7" s="58">
        <f>SUM(Z7:AL7)</f>
        <v>0</v>
      </c>
    </row>
    <row r="8" spans="1:39" s="2" customFormat="1" ht="39.9" customHeight="1">
      <c r="A8" s="21"/>
      <c r="B8" s="24" t="s">
        <v>280</v>
      </c>
      <c r="C8" s="21"/>
      <c r="D8" s="21"/>
      <c r="E8" s="21"/>
      <c r="F8" s="21"/>
      <c r="G8" s="21"/>
      <c r="H8" s="7">
        <f t="shared" ref="H8:M8" si="0">SUM(H9)</f>
        <v>1303</v>
      </c>
      <c r="I8" s="7">
        <f t="shared" si="0"/>
        <v>1303</v>
      </c>
      <c r="J8" s="7">
        <f t="shared" si="0"/>
        <v>1300</v>
      </c>
      <c r="K8" s="7">
        <f t="shared" si="0"/>
        <v>0</v>
      </c>
      <c r="L8" s="7">
        <f t="shared" si="0"/>
        <v>0</v>
      </c>
      <c r="M8" s="7">
        <f t="shared" si="0"/>
        <v>1300</v>
      </c>
      <c r="N8" s="25"/>
      <c r="O8" s="344" t="e">
        <f>#REF!-#REF!</f>
        <v>#REF!</v>
      </c>
      <c r="P8" s="38" t="e">
        <f>7809800-444934-#REF!</f>
        <v>#REF!</v>
      </c>
      <c r="Q8" s="93"/>
      <c r="R8" s="93"/>
      <c r="S8" s="42"/>
      <c r="T8" s="42"/>
      <c r="U8" s="42"/>
      <c r="V8" s="42"/>
      <c r="W8" s="42" t="s">
        <v>471</v>
      </c>
      <c r="X8" s="42">
        <f>COUNTIF(Q9:Q793,"KCM")</f>
        <v>0</v>
      </c>
      <c r="Y8" s="43">
        <f>SUMIF(Q9:Q794,"KCM",S9:S794)</f>
        <v>0</v>
      </c>
      <c r="Z8" s="43">
        <f>SUMIFS($S$8:$S$895,$Q$8:$Q$895,"KCM",$R$8:$R$895,"GT")</f>
        <v>0</v>
      </c>
      <c r="AA8" s="43">
        <f>SUMIFS($S$8:$S$895,$Q$8:$Q$895,"KCM",$R$8:$R$895,"NN-TL")</f>
        <v>0</v>
      </c>
      <c r="AB8" s="43">
        <f>SUMIFS($S$8:$S$895,$Q$8:$Q$895,"KCM",$R$8:$R$895,"GDĐT")</f>
        <v>0</v>
      </c>
      <c r="AC8" s="43">
        <f>SUMIFS($S$8:$S$895,$Q$8:$Q$895,"KCM",$R$8:$R$895,"YT")</f>
        <v>0</v>
      </c>
      <c r="AD8" s="43">
        <f>SUMIFS($S$8:$S$895,$Q$8:$Q$895,"KCM",$R$8:$R$895,"VH")</f>
        <v>0</v>
      </c>
      <c r="AE8" s="43">
        <f>SUMIFS($S$8:$S$895,$Q$8:$Q$895,"KCM",$R$8:$R$895,"TTTT")</f>
        <v>0</v>
      </c>
      <c r="AF8" s="43">
        <f>SUMIFS($S$8:$S$895,$Q$8:$Q$895,"KCM",$R$8:$R$895,"XH-CC")</f>
        <v>0</v>
      </c>
      <c r="AG8" s="43">
        <f>SUMIFS($S$8:$S$895,$Q$8:$Q$895,"KCM",$R$8:$R$895,"NS")</f>
        <v>0</v>
      </c>
      <c r="AH8" s="43">
        <f>SUMIFS($S$8:$S$895,$Q$8:$Q$895,"KCM",$R$8:$R$895,"TNMT")</f>
        <v>0</v>
      </c>
      <c r="AI8" s="43">
        <f>SUMIFS($S$8:$S$895,$Q$8:$Q$895,"KCM",$R$8:$R$895,"QLNN")</f>
        <v>0</v>
      </c>
      <c r="AJ8" s="43">
        <f>SUMIFS($S$8:$S$895,$Q$8:$Q$895,"KCM",$R$8:$R$895,"QPAN")</f>
        <v>0</v>
      </c>
      <c r="AK8" s="43">
        <f>SUMIFS($S$8:$S$895,$Q$8:$Q$895,"KCM",$R$8:$R$895,"PTĐT")</f>
        <v>0</v>
      </c>
      <c r="AL8" s="43">
        <f>SUMIFS($S$8:$S$895,$Q$8:$Q$895,"KCM",$R$8:$R$895,"TMDV")</f>
        <v>0</v>
      </c>
      <c r="AM8" s="230">
        <f>SUM(Z8:AL8)</f>
        <v>0</v>
      </c>
    </row>
    <row r="9" spans="1:39" s="20" customFormat="1" ht="36" customHeight="1">
      <c r="A9" s="15"/>
      <c r="B9" s="16" t="s">
        <v>71</v>
      </c>
      <c r="C9" s="16"/>
      <c r="D9" s="15"/>
      <c r="E9" s="16"/>
      <c r="F9" s="16"/>
      <c r="G9" s="16"/>
      <c r="H9" s="29">
        <f t="shared" ref="H9:M9" si="1">SUM(H10:H11)</f>
        <v>1303</v>
      </c>
      <c r="I9" s="29">
        <f t="shared" si="1"/>
        <v>1303</v>
      </c>
      <c r="J9" s="29">
        <f t="shared" si="1"/>
        <v>1300</v>
      </c>
      <c r="K9" s="29">
        <f t="shared" si="1"/>
        <v>0</v>
      </c>
      <c r="L9" s="29">
        <f t="shared" si="1"/>
        <v>0</v>
      </c>
      <c r="M9" s="29">
        <f t="shared" si="1"/>
        <v>1300</v>
      </c>
      <c r="N9" s="19"/>
      <c r="O9" s="344"/>
      <c r="Q9" s="113"/>
      <c r="R9" s="113"/>
    </row>
    <row r="10" spans="1:39" ht="96.75" customHeight="1">
      <c r="A10" s="10">
        <v>1</v>
      </c>
      <c r="B10" s="115" t="s">
        <v>1104</v>
      </c>
      <c r="C10" s="272" t="s">
        <v>1105</v>
      </c>
      <c r="D10" s="272"/>
      <c r="E10" s="273"/>
      <c r="F10" s="273" t="s">
        <v>1106</v>
      </c>
      <c r="G10" s="273" t="s">
        <v>1107</v>
      </c>
      <c r="H10" s="274">
        <v>880</v>
      </c>
      <c r="I10" s="274">
        <v>880</v>
      </c>
      <c r="J10" s="274">
        <v>880</v>
      </c>
      <c r="K10" s="274"/>
      <c r="L10" s="274"/>
      <c r="M10" s="274">
        <f>SUM(J10:L10)</f>
        <v>880</v>
      </c>
      <c r="N10" s="623" t="s">
        <v>1108</v>
      </c>
      <c r="O10" s="344"/>
    </row>
    <row r="11" spans="1:39" ht="96.75" customHeight="1">
      <c r="A11" s="10">
        <v>2</v>
      </c>
      <c r="B11" s="115" t="s">
        <v>1109</v>
      </c>
      <c r="C11" s="272" t="s">
        <v>1110</v>
      </c>
      <c r="D11" s="272"/>
      <c r="E11" s="273"/>
      <c r="F11" s="273" t="s">
        <v>1106</v>
      </c>
      <c r="G11" s="273" t="s">
        <v>1111</v>
      </c>
      <c r="H11" s="274">
        <v>423</v>
      </c>
      <c r="I11" s="274">
        <v>423</v>
      </c>
      <c r="J11" s="274">
        <v>420</v>
      </c>
      <c r="K11" s="274"/>
      <c r="L11" s="274"/>
      <c r="M11" s="274">
        <f>SUM(J11:L11)</f>
        <v>420</v>
      </c>
      <c r="N11" s="624"/>
      <c r="O11" s="344"/>
    </row>
  </sheetData>
  <mergeCells count="18">
    <mergeCell ref="N10:N11"/>
    <mergeCell ref="A1:N1"/>
    <mergeCell ref="A2:N2"/>
    <mergeCell ref="A3:N3"/>
    <mergeCell ref="A5:A7"/>
    <mergeCell ref="B5:B7"/>
    <mergeCell ref="C5:C7"/>
    <mergeCell ref="D5:D7"/>
    <mergeCell ref="E5:E7"/>
    <mergeCell ref="F5:F7"/>
    <mergeCell ref="G5:I5"/>
    <mergeCell ref="K5:K7"/>
    <mergeCell ref="L5:L7"/>
    <mergeCell ref="M5:M7"/>
    <mergeCell ref="J5:J7"/>
    <mergeCell ref="N5:N7"/>
    <mergeCell ref="G6:G7"/>
    <mergeCell ref="H6:I6"/>
  </mergeCells>
  <printOptions horizontalCentered="1"/>
  <pageMargins left="0.39370078740157499" right="0.39370078740157499" top="0.39370078740157499" bottom="0.39370078740157499" header="0.196850393700787" footer="0.196850393700787"/>
  <pageSetup paperSize="9" scale="51" fitToHeight="0" orientation="landscape" r:id="rId1"/>
  <headerFooter alignWithMargins="0">
    <oddFooter>&amp;C&amp;"Times New Roman,thường"&amp;11&amp;P/&amp;N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view="pageBreakPreview" zoomScale="60" zoomScaleNormal="70" workbookViewId="0">
      <selection activeCell="A2" sqref="A2:N2"/>
    </sheetView>
  </sheetViews>
  <sheetFormatPr defaultColWidth="9.109375" defaultRowHeight="16.8"/>
  <cols>
    <col min="1" max="1" width="8.6640625" style="11" customWidth="1"/>
    <col min="2" max="2" width="50.6640625" style="11" customWidth="1"/>
    <col min="3" max="3" width="15.6640625" style="11" customWidth="1"/>
    <col min="4" max="4" width="15.6640625" style="22" customWidth="1"/>
    <col min="5" max="6" width="15.6640625" style="11" customWidth="1"/>
    <col min="7" max="7" width="22.6640625" style="11" customWidth="1"/>
    <col min="8" max="13" width="15.6640625" style="11" customWidth="1"/>
    <col min="14" max="14" width="30.6640625" style="11" customWidth="1"/>
    <col min="15" max="16384" width="9.109375" style="11"/>
  </cols>
  <sheetData>
    <row r="1" spans="1:14" ht="30.75" customHeight="1">
      <c r="A1" s="554" t="s">
        <v>1122</v>
      </c>
      <c r="B1" s="554"/>
      <c r="C1" s="554"/>
      <c r="D1" s="554"/>
      <c r="E1" s="554"/>
      <c r="F1" s="554"/>
      <c r="G1" s="554"/>
      <c r="H1" s="554"/>
      <c r="I1" s="554"/>
      <c r="J1" s="554"/>
      <c r="K1" s="554"/>
      <c r="L1" s="554"/>
      <c r="M1" s="554"/>
      <c r="N1" s="554"/>
    </row>
    <row r="2" spans="1:14" ht="69.900000000000006" customHeight="1">
      <c r="A2" s="555" t="s">
        <v>1450</v>
      </c>
      <c r="B2" s="555"/>
      <c r="C2" s="555"/>
      <c r="D2" s="555"/>
      <c r="E2" s="555"/>
      <c r="F2" s="555"/>
      <c r="G2" s="555"/>
      <c r="H2" s="555"/>
      <c r="I2" s="555"/>
      <c r="J2" s="555"/>
      <c r="K2" s="555"/>
      <c r="L2" s="555"/>
      <c r="M2" s="555"/>
      <c r="N2" s="555"/>
    </row>
    <row r="3" spans="1:14" s="125" customFormat="1" ht="51" customHeight="1">
      <c r="A3" s="606" t="str">
        <f>'19. DP NST 2024'!A3:N3</f>
        <v>(Ban hành kèm theo Quyết định số: 2571/QĐ-UBND ngày 12/12/2024 của Ủy ban nhân dân tỉnh)</v>
      </c>
      <c r="B3" s="606"/>
      <c r="C3" s="606"/>
      <c r="D3" s="606"/>
      <c r="E3" s="606"/>
      <c r="F3" s="606"/>
      <c r="G3" s="606"/>
      <c r="H3" s="606"/>
      <c r="I3" s="606"/>
      <c r="J3" s="606"/>
      <c r="K3" s="606"/>
      <c r="L3" s="606"/>
      <c r="M3" s="606"/>
      <c r="N3" s="606"/>
    </row>
    <row r="4" spans="1:14" ht="33.75" customHeight="1">
      <c r="J4" s="12"/>
      <c r="K4" s="12"/>
      <c r="L4" s="12"/>
      <c r="M4" s="12"/>
      <c r="N4" s="12" t="s">
        <v>0</v>
      </c>
    </row>
    <row r="5" spans="1:14" ht="39" customHeight="1">
      <c r="A5" s="562" t="s">
        <v>1</v>
      </c>
      <c r="B5" s="562" t="s">
        <v>1091</v>
      </c>
      <c r="C5" s="562" t="s">
        <v>2</v>
      </c>
      <c r="D5" s="562" t="s">
        <v>3</v>
      </c>
      <c r="E5" s="562" t="s">
        <v>4</v>
      </c>
      <c r="F5" s="562" t="s">
        <v>5</v>
      </c>
      <c r="G5" s="562" t="s">
        <v>1100</v>
      </c>
      <c r="H5" s="562"/>
      <c r="I5" s="562"/>
      <c r="J5" s="565" t="s">
        <v>1093</v>
      </c>
      <c r="K5" s="557" t="s">
        <v>1072</v>
      </c>
      <c r="L5" s="557" t="s">
        <v>1073</v>
      </c>
      <c r="M5" s="557" t="s">
        <v>1215</v>
      </c>
      <c r="N5" s="562" t="s">
        <v>6</v>
      </c>
    </row>
    <row r="6" spans="1:14" ht="30" customHeight="1">
      <c r="A6" s="562"/>
      <c r="B6" s="562"/>
      <c r="C6" s="562"/>
      <c r="D6" s="562"/>
      <c r="E6" s="562"/>
      <c r="F6" s="562"/>
      <c r="G6" s="562" t="s">
        <v>7</v>
      </c>
      <c r="H6" s="562" t="s">
        <v>8</v>
      </c>
      <c r="I6" s="562"/>
      <c r="J6" s="565"/>
      <c r="K6" s="569"/>
      <c r="L6" s="569"/>
      <c r="M6" s="569"/>
      <c r="N6" s="562"/>
    </row>
    <row r="7" spans="1:14" ht="52.5" customHeight="1">
      <c r="A7" s="562"/>
      <c r="B7" s="562"/>
      <c r="C7" s="562"/>
      <c r="D7" s="562"/>
      <c r="E7" s="562"/>
      <c r="F7" s="562"/>
      <c r="G7" s="562"/>
      <c r="H7" s="13" t="s">
        <v>66</v>
      </c>
      <c r="I7" s="13" t="s">
        <v>1112</v>
      </c>
      <c r="J7" s="565"/>
      <c r="K7" s="558"/>
      <c r="L7" s="558"/>
      <c r="M7" s="558"/>
      <c r="N7" s="562"/>
    </row>
    <row r="8" spans="1:14" s="2" customFormat="1" ht="50.1" customHeight="1">
      <c r="A8" s="21"/>
      <c r="B8" s="24" t="s">
        <v>280</v>
      </c>
      <c r="C8" s="21"/>
      <c r="D8" s="21"/>
      <c r="E8" s="21"/>
      <c r="F8" s="21"/>
      <c r="G8" s="21"/>
      <c r="H8" s="7">
        <f t="shared" ref="H8:M8" si="0">SUM(H9)</f>
        <v>7762</v>
      </c>
      <c r="I8" s="7">
        <f t="shared" si="0"/>
        <v>4000</v>
      </c>
      <c r="J8" s="7">
        <f t="shared" si="0"/>
        <v>3000</v>
      </c>
      <c r="K8" s="7">
        <f t="shared" si="0"/>
        <v>0</v>
      </c>
      <c r="L8" s="7">
        <f t="shared" si="0"/>
        <v>0</v>
      </c>
      <c r="M8" s="7">
        <f t="shared" si="0"/>
        <v>3000</v>
      </c>
      <c r="N8" s="83"/>
    </row>
    <row r="9" spans="1:14" s="351" customFormat="1" ht="39.9" customHeight="1">
      <c r="A9" s="107"/>
      <c r="B9" s="26" t="s">
        <v>659</v>
      </c>
      <c r="C9" s="349"/>
      <c r="D9" s="107"/>
      <c r="E9" s="349"/>
      <c r="F9" s="349"/>
      <c r="G9" s="349"/>
      <c r="H9" s="68">
        <f>SUM(H10:H10)</f>
        <v>7762</v>
      </c>
      <c r="I9" s="68">
        <f t="shared" ref="I9:M10" si="1">SUM(I10:I10)</f>
        <v>4000</v>
      </c>
      <c r="J9" s="68">
        <f t="shared" si="1"/>
        <v>3000</v>
      </c>
      <c r="K9" s="68">
        <f t="shared" si="1"/>
        <v>0</v>
      </c>
      <c r="L9" s="68">
        <f t="shared" si="1"/>
        <v>0</v>
      </c>
      <c r="M9" s="68">
        <f t="shared" si="1"/>
        <v>3000</v>
      </c>
      <c r="N9" s="350"/>
    </row>
    <row r="10" spans="1:14" s="20" customFormat="1" ht="39.9" customHeight="1">
      <c r="A10" s="15"/>
      <c r="B10" s="16" t="s">
        <v>65</v>
      </c>
      <c r="C10" s="16"/>
      <c r="D10" s="15"/>
      <c r="E10" s="16"/>
      <c r="F10" s="16"/>
      <c r="G10" s="16"/>
      <c r="H10" s="29">
        <f>SUM(H11:H11)</f>
        <v>7762</v>
      </c>
      <c r="I10" s="29">
        <f>SUM(I11:I11)</f>
        <v>4000</v>
      </c>
      <c r="J10" s="29">
        <f>SUM(J11:J11)</f>
        <v>3000</v>
      </c>
      <c r="K10" s="29">
        <f t="shared" si="1"/>
        <v>0</v>
      </c>
      <c r="L10" s="29">
        <f t="shared" si="1"/>
        <v>0</v>
      </c>
      <c r="M10" s="29">
        <f t="shared" si="1"/>
        <v>3000</v>
      </c>
      <c r="N10" s="19"/>
    </row>
    <row r="11" spans="1:14" ht="126" customHeight="1">
      <c r="A11" s="10">
        <v>1</v>
      </c>
      <c r="B11" s="4" t="s">
        <v>1113</v>
      </c>
      <c r="C11" s="10" t="s">
        <v>1114</v>
      </c>
      <c r="D11" s="150" t="s">
        <v>19</v>
      </c>
      <c r="E11" s="10" t="s">
        <v>1115</v>
      </c>
      <c r="F11" s="163" t="s">
        <v>391</v>
      </c>
      <c r="G11" s="10" t="s">
        <v>1116</v>
      </c>
      <c r="H11" s="49">
        <v>7762</v>
      </c>
      <c r="I11" s="49">
        <v>4000</v>
      </c>
      <c r="J11" s="49">
        <v>3000</v>
      </c>
      <c r="K11" s="49"/>
      <c r="L11" s="49"/>
      <c r="M11" s="49">
        <f>SUM(J11:L11)</f>
        <v>3000</v>
      </c>
      <c r="N11" s="352" t="s">
        <v>1117</v>
      </c>
    </row>
    <row r="12" spans="1:14" ht="12.75" customHeight="1"/>
  </sheetData>
  <mergeCells count="17">
    <mergeCell ref="G6:G7"/>
    <mergeCell ref="H6:I6"/>
    <mergeCell ref="A1:N1"/>
    <mergeCell ref="A2:N2"/>
    <mergeCell ref="A3:N3"/>
    <mergeCell ref="A5:A7"/>
    <mergeCell ref="B5:B7"/>
    <mergeCell ref="C5:C7"/>
    <mergeCell ref="D5:D7"/>
    <mergeCell ref="E5:E7"/>
    <mergeCell ref="F5:F7"/>
    <mergeCell ref="G5:I5"/>
    <mergeCell ref="K5:K7"/>
    <mergeCell ref="L5:L7"/>
    <mergeCell ref="M5:M7"/>
    <mergeCell ref="J5:J7"/>
    <mergeCell ref="N5:N7"/>
  </mergeCells>
  <printOptions horizontalCentered="1"/>
  <pageMargins left="0.39370078740157499" right="0.39370078740157499" top="0.39370078740157499" bottom="0.39370078740157499" header="0.196850393700787" footer="0.196850393700787"/>
  <pageSetup paperSize="9" scale="52" fitToHeight="0" orientation="landscape" r:id="rId1"/>
  <headerFooter alignWithMargins="0">
    <oddFooter>&amp;C&amp;"Times New Roman,thường"&amp;11&amp;P/&amp;N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view="pageBreakPreview" zoomScale="60" zoomScaleNormal="70" workbookViewId="0">
      <selection activeCell="F25" sqref="F25"/>
    </sheetView>
  </sheetViews>
  <sheetFormatPr defaultColWidth="9.109375" defaultRowHeight="16.8"/>
  <cols>
    <col min="1" max="1" width="8.6640625" style="11" customWidth="1"/>
    <col min="2" max="2" width="50.6640625" style="11" customWidth="1"/>
    <col min="3" max="3" width="15.6640625" style="11" customWidth="1"/>
    <col min="4" max="4" width="15.6640625" style="22" customWidth="1"/>
    <col min="5" max="6" width="15.6640625" style="11" customWidth="1"/>
    <col min="7" max="7" width="22.6640625" style="11" customWidth="1"/>
    <col min="8" max="13" width="15.6640625" style="11" customWidth="1"/>
    <col min="14" max="14" width="30.6640625" style="11" customWidth="1"/>
    <col min="15" max="16384" width="9.109375" style="11"/>
  </cols>
  <sheetData>
    <row r="1" spans="1:14" ht="30.75" customHeight="1">
      <c r="A1" s="554" t="s">
        <v>1121</v>
      </c>
      <c r="B1" s="554"/>
      <c r="C1" s="554"/>
      <c r="D1" s="554"/>
      <c r="E1" s="554"/>
      <c r="F1" s="554"/>
      <c r="G1" s="554"/>
      <c r="H1" s="554"/>
      <c r="I1" s="554"/>
      <c r="J1" s="554"/>
      <c r="K1" s="554"/>
      <c r="L1" s="554"/>
      <c r="M1" s="554"/>
      <c r="N1" s="554"/>
    </row>
    <row r="2" spans="1:14" ht="69.900000000000006" customHeight="1">
      <c r="A2" s="555" t="s">
        <v>1451</v>
      </c>
      <c r="B2" s="555"/>
      <c r="C2" s="555"/>
      <c r="D2" s="555"/>
      <c r="E2" s="555"/>
      <c r="F2" s="555"/>
      <c r="G2" s="555"/>
      <c r="H2" s="555"/>
      <c r="I2" s="555"/>
      <c r="J2" s="555"/>
      <c r="K2" s="555"/>
      <c r="L2" s="555"/>
      <c r="M2" s="555"/>
      <c r="N2" s="555"/>
    </row>
    <row r="3" spans="1:14" s="125" customFormat="1" ht="51" customHeight="1">
      <c r="A3" s="606" t="str">
        <f>'20. Tỉnh Trà Vinh hỗ trợ'!A3:N3</f>
        <v>(Ban hành kèm theo Quyết định số: 2571/QĐ-UBND ngày 12/12/2024 của Ủy ban nhân dân tỉnh)</v>
      </c>
      <c r="B3" s="606"/>
      <c r="C3" s="606"/>
      <c r="D3" s="606"/>
      <c r="E3" s="606"/>
      <c r="F3" s="606"/>
      <c r="G3" s="606"/>
      <c r="H3" s="606"/>
      <c r="I3" s="606"/>
      <c r="J3" s="606"/>
      <c r="K3" s="606"/>
      <c r="L3" s="606"/>
      <c r="M3" s="606"/>
      <c r="N3" s="606"/>
    </row>
    <row r="4" spans="1:14" ht="33.75" customHeight="1">
      <c r="J4" s="12"/>
      <c r="K4" s="12"/>
      <c r="L4" s="12"/>
      <c r="M4" s="12"/>
      <c r="N4" s="12" t="s">
        <v>0</v>
      </c>
    </row>
    <row r="5" spans="1:14" ht="39" customHeight="1">
      <c r="A5" s="562" t="s">
        <v>1</v>
      </c>
      <c r="B5" s="562" t="s">
        <v>1091</v>
      </c>
      <c r="C5" s="562" t="s">
        <v>2</v>
      </c>
      <c r="D5" s="562" t="s">
        <v>3</v>
      </c>
      <c r="E5" s="562" t="s">
        <v>4</v>
      </c>
      <c r="F5" s="562" t="s">
        <v>5</v>
      </c>
      <c r="G5" s="562" t="s">
        <v>1100</v>
      </c>
      <c r="H5" s="562"/>
      <c r="I5" s="562"/>
      <c r="J5" s="565" t="s">
        <v>1093</v>
      </c>
      <c r="K5" s="557" t="s">
        <v>1072</v>
      </c>
      <c r="L5" s="557" t="s">
        <v>1073</v>
      </c>
      <c r="M5" s="557" t="s">
        <v>1215</v>
      </c>
      <c r="N5" s="562" t="s">
        <v>6</v>
      </c>
    </row>
    <row r="6" spans="1:14" ht="30" customHeight="1">
      <c r="A6" s="562"/>
      <c r="B6" s="562"/>
      <c r="C6" s="562"/>
      <c r="D6" s="562"/>
      <c r="E6" s="562"/>
      <c r="F6" s="562"/>
      <c r="G6" s="562" t="s">
        <v>7</v>
      </c>
      <c r="H6" s="562" t="s">
        <v>8</v>
      </c>
      <c r="I6" s="562"/>
      <c r="J6" s="565"/>
      <c r="K6" s="569"/>
      <c r="L6" s="569"/>
      <c r="M6" s="569"/>
      <c r="N6" s="562"/>
    </row>
    <row r="7" spans="1:14" ht="52.5" customHeight="1">
      <c r="A7" s="562"/>
      <c r="B7" s="562"/>
      <c r="C7" s="562"/>
      <c r="D7" s="562"/>
      <c r="E7" s="562"/>
      <c r="F7" s="562"/>
      <c r="G7" s="562"/>
      <c r="H7" s="13" t="s">
        <v>66</v>
      </c>
      <c r="I7" s="13" t="s">
        <v>1112</v>
      </c>
      <c r="J7" s="565"/>
      <c r="K7" s="558"/>
      <c r="L7" s="558"/>
      <c r="M7" s="558"/>
      <c r="N7" s="562"/>
    </row>
    <row r="8" spans="1:14" s="2" customFormat="1" ht="50.1" customHeight="1">
      <c r="A8" s="21"/>
      <c r="B8" s="24" t="s">
        <v>280</v>
      </c>
      <c r="C8" s="21"/>
      <c r="D8" s="21"/>
      <c r="E8" s="21"/>
      <c r="F8" s="21"/>
      <c r="G8" s="21"/>
      <c r="H8" s="7">
        <f t="shared" ref="H8:M8" si="0">SUM(H9)</f>
        <v>9292</v>
      </c>
      <c r="I8" s="7">
        <f t="shared" si="0"/>
        <v>8292</v>
      </c>
      <c r="J8" s="7">
        <f t="shared" si="0"/>
        <v>1000</v>
      </c>
      <c r="K8" s="7">
        <f t="shared" si="0"/>
        <v>0</v>
      </c>
      <c r="L8" s="7">
        <f t="shared" si="0"/>
        <v>0</v>
      </c>
      <c r="M8" s="7">
        <f t="shared" si="0"/>
        <v>1000</v>
      </c>
      <c r="N8" s="83"/>
    </row>
    <row r="9" spans="1:14" s="351" customFormat="1" ht="39.9" customHeight="1">
      <c r="A9" s="107"/>
      <c r="B9" s="26" t="s">
        <v>659</v>
      </c>
      <c r="C9" s="349"/>
      <c r="D9" s="107"/>
      <c r="E9" s="349"/>
      <c r="F9" s="349"/>
      <c r="G9" s="349"/>
      <c r="H9" s="68">
        <f>SUM(H10:H10)</f>
        <v>9292</v>
      </c>
      <c r="I9" s="68">
        <f t="shared" ref="I9:M10" si="1">SUM(I10:I10)</f>
        <v>8292</v>
      </c>
      <c r="J9" s="68">
        <f t="shared" si="1"/>
        <v>1000</v>
      </c>
      <c r="K9" s="68">
        <f t="shared" si="1"/>
        <v>0</v>
      </c>
      <c r="L9" s="68">
        <f t="shared" si="1"/>
        <v>0</v>
      </c>
      <c r="M9" s="68">
        <f t="shared" si="1"/>
        <v>1000</v>
      </c>
      <c r="N9" s="350"/>
    </row>
    <row r="10" spans="1:14" s="20" customFormat="1" ht="39.9" customHeight="1">
      <c r="A10" s="15"/>
      <c r="B10" s="16" t="s">
        <v>65</v>
      </c>
      <c r="C10" s="16"/>
      <c r="D10" s="15"/>
      <c r="E10" s="16"/>
      <c r="F10" s="16"/>
      <c r="G10" s="16"/>
      <c r="H10" s="29">
        <f>SUM(H11:H11)</f>
        <v>9292</v>
      </c>
      <c r="I10" s="29">
        <f>SUM(I11:I11)</f>
        <v>8292</v>
      </c>
      <c r="J10" s="29">
        <f>SUM(J11:J11)</f>
        <v>1000</v>
      </c>
      <c r="K10" s="29">
        <f t="shared" si="1"/>
        <v>0</v>
      </c>
      <c r="L10" s="29">
        <f t="shared" si="1"/>
        <v>0</v>
      </c>
      <c r="M10" s="29">
        <f t="shared" si="1"/>
        <v>1000</v>
      </c>
      <c r="N10" s="19"/>
    </row>
    <row r="11" spans="1:14" ht="86.25" customHeight="1">
      <c r="A11" s="10">
        <v>1</v>
      </c>
      <c r="B11" s="4" t="s">
        <v>1118</v>
      </c>
      <c r="C11" s="10" t="s">
        <v>117</v>
      </c>
      <c r="D11" s="150" t="s">
        <v>19</v>
      </c>
      <c r="E11" s="10" t="s">
        <v>492</v>
      </c>
      <c r="F11" s="163" t="s">
        <v>391</v>
      </c>
      <c r="G11" s="10" t="s">
        <v>1119</v>
      </c>
      <c r="H11" s="49">
        <v>9292</v>
      </c>
      <c r="I11" s="49">
        <v>8292</v>
      </c>
      <c r="J11" s="49">
        <v>1000</v>
      </c>
      <c r="K11" s="49"/>
      <c r="L11" s="49"/>
      <c r="M11" s="49">
        <f>SUM(J11:L11)</f>
        <v>1000</v>
      </c>
      <c r="N11" s="352" t="s">
        <v>1120</v>
      </c>
    </row>
    <row r="12" spans="1:14" ht="12.75" customHeight="1"/>
  </sheetData>
  <mergeCells count="17">
    <mergeCell ref="G6:G7"/>
    <mergeCell ref="H6:I6"/>
    <mergeCell ref="A1:N1"/>
    <mergeCell ref="A2:N2"/>
    <mergeCell ref="A3:N3"/>
    <mergeCell ref="A5:A7"/>
    <mergeCell ref="B5:B7"/>
    <mergeCell ref="C5:C7"/>
    <mergeCell ref="D5:D7"/>
    <mergeCell ref="E5:E7"/>
    <mergeCell ref="F5:F7"/>
    <mergeCell ref="G5:I5"/>
    <mergeCell ref="K5:K7"/>
    <mergeCell ref="L5:L7"/>
    <mergeCell ref="M5:M7"/>
    <mergeCell ref="J5:J7"/>
    <mergeCell ref="N5:N7"/>
  </mergeCells>
  <printOptions horizontalCentered="1"/>
  <pageMargins left="0.39370078740157499" right="0.39370078740157499" top="0.39370078740157499" bottom="0.39370078740157499" header="0.196850393700787" footer="0.196850393700787"/>
  <pageSetup paperSize="9" scale="52" fitToHeight="0" orientation="landscape" r:id="rId1"/>
  <headerFooter alignWithMargins="0">
    <oddFooter>&amp;C&amp;"Times New Roman,thường"&amp;11&amp;P/&amp;N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
  <sheetViews>
    <sheetView view="pageBreakPreview" zoomScale="60" zoomScaleNormal="60" workbookViewId="0">
      <selection activeCell="B9" sqref="B9"/>
    </sheetView>
  </sheetViews>
  <sheetFormatPr defaultColWidth="8.33203125" defaultRowHeight="16.8"/>
  <cols>
    <col min="1" max="1" width="8.88671875" style="11" customWidth="1"/>
    <col min="2" max="2" width="50.88671875" style="11" customWidth="1"/>
    <col min="3" max="3" width="18.88671875" style="11" customWidth="1"/>
    <col min="4" max="4" width="18.88671875" style="22" customWidth="1"/>
    <col min="5" max="6" width="18.88671875" style="11" customWidth="1"/>
    <col min="7" max="7" width="20.44140625" style="11" customWidth="1"/>
    <col min="8" max="9" width="18.88671875" style="11" customWidth="1"/>
    <col min="10" max="10" width="18.88671875" style="11" hidden="1" customWidth="1"/>
    <col min="11" max="14" width="18.88671875" style="11" customWidth="1"/>
    <col min="15" max="15" width="27.88671875" style="11" customWidth="1"/>
    <col min="16" max="16" width="17.33203125" style="11" customWidth="1"/>
    <col min="17" max="17" width="13.44140625" style="22" customWidth="1"/>
    <col min="18" max="18" width="12.109375" style="22" customWidth="1"/>
    <col min="19" max="19" width="16.109375" style="11" customWidth="1"/>
    <col min="20" max="20" width="17.44140625" style="11" customWidth="1"/>
    <col min="21" max="21" width="15.6640625" style="11" customWidth="1"/>
    <col min="22" max="36" width="13.88671875" style="11" customWidth="1"/>
    <col min="37" max="16384" width="8.33203125" style="11"/>
  </cols>
  <sheetData>
    <row r="1" spans="1:36" ht="39.9" customHeight="1">
      <c r="A1" s="554" t="s">
        <v>1143</v>
      </c>
      <c r="B1" s="554"/>
      <c r="C1" s="554"/>
      <c r="D1" s="554"/>
      <c r="E1" s="554"/>
      <c r="F1" s="554"/>
      <c r="G1" s="554"/>
      <c r="H1" s="554"/>
      <c r="I1" s="554"/>
      <c r="J1" s="554"/>
      <c r="K1" s="554"/>
      <c r="L1" s="554"/>
      <c r="M1" s="554"/>
      <c r="N1" s="554"/>
      <c r="O1" s="554"/>
    </row>
    <row r="2" spans="1:36" s="157" customFormat="1" ht="69.900000000000006" customHeight="1">
      <c r="A2" s="555" t="s">
        <v>1452</v>
      </c>
      <c r="B2" s="555"/>
      <c r="C2" s="555"/>
      <c r="D2" s="555"/>
      <c r="E2" s="555"/>
      <c r="F2" s="555"/>
      <c r="G2" s="555"/>
      <c r="H2" s="555"/>
      <c r="I2" s="555"/>
      <c r="J2" s="555"/>
      <c r="K2" s="555"/>
      <c r="L2" s="555"/>
      <c r="M2" s="555"/>
      <c r="N2" s="555"/>
      <c r="O2" s="555"/>
      <c r="Q2" s="158"/>
      <c r="R2" s="158"/>
    </row>
    <row r="3" spans="1:36" ht="39.9" customHeight="1">
      <c r="A3" s="556" t="str">
        <f>'21. BQP hỗ trợ'!A3:N3</f>
        <v>(Ban hành kèm theo Quyết định số: 2571/QĐ-UBND ngày 12/12/2024 của Ủy ban nhân dân tỉnh)</v>
      </c>
      <c r="B3" s="556"/>
      <c r="C3" s="556"/>
      <c r="D3" s="556"/>
      <c r="E3" s="556"/>
      <c r="F3" s="556"/>
      <c r="G3" s="556"/>
      <c r="H3" s="556"/>
      <c r="I3" s="556"/>
      <c r="J3" s="556"/>
      <c r="K3" s="556"/>
      <c r="L3" s="556"/>
      <c r="M3" s="556"/>
      <c r="N3" s="556"/>
      <c r="O3" s="556"/>
    </row>
    <row r="4" spans="1:36" ht="33.75" customHeight="1">
      <c r="J4" s="12"/>
      <c r="K4" s="12"/>
      <c r="L4" s="12"/>
      <c r="M4" s="12"/>
      <c r="N4" s="12"/>
      <c r="O4" s="12" t="s">
        <v>0</v>
      </c>
    </row>
    <row r="5" spans="1:36" s="141" customFormat="1" ht="50.1" customHeight="1">
      <c r="A5" s="598" t="s">
        <v>1</v>
      </c>
      <c r="B5" s="625" t="s">
        <v>513</v>
      </c>
      <c r="C5" s="598" t="s">
        <v>2</v>
      </c>
      <c r="D5" s="598" t="s">
        <v>514</v>
      </c>
      <c r="E5" s="585" t="s">
        <v>4</v>
      </c>
      <c r="F5" s="585" t="s">
        <v>5</v>
      </c>
      <c r="G5" s="585" t="s">
        <v>148</v>
      </c>
      <c r="H5" s="585"/>
      <c r="I5" s="585"/>
      <c r="J5" s="593" t="s">
        <v>696</v>
      </c>
      <c r="K5" s="600" t="s">
        <v>690</v>
      </c>
      <c r="L5" s="557" t="s">
        <v>1072</v>
      </c>
      <c r="M5" s="557" t="s">
        <v>1073</v>
      </c>
      <c r="N5" s="557" t="s">
        <v>1215</v>
      </c>
      <c r="O5" s="598" t="s">
        <v>6</v>
      </c>
      <c r="P5" s="63"/>
      <c r="Q5" s="140"/>
      <c r="R5" s="140"/>
    </row>
    <row r="6" spans="1:36" s="141" customFormat="1" ht="50.1" customHeight="1">
      <c r="A6" s="599"/>
      <c r="B6" s="625"/>
      <c r="C6" s="599"/>
      <c r="D6" s="599"/>
      <c r="E6" s="585"/>
      <c r="F6" s="585"/>
      <c r="G6" s="585" t="s">
        <v>7</v>
      </c>
      <c r="H6" s="585" t="s">
        <v>8</v>
      </c>
      <c r="I6" s="585"/>
      <c r="J6" s="594"/>
      <c r="K6" s="601"/>
      <c r="L6" s="569"/>
      <c r="M6" s="569"/>
      <c r="N6" s="569"/>
      <c r="O6" s="599"/>
      <c r="P6" s="63"/>
      <c r="Q6" s="142" t="s">
        <v>452</v>
      </c>
      <c r="R6" s="142" t="s">
        <v>453</v>
      </c>
      <c r="S6" s="143" t="s">
        <v>454</v>
      </c>
      <c r="T6" s="353"/>
      <c r="U6" s="353" t="s">
        <v>455</v>
      </c>
      <c r="V6" s="354" t="s">
        <v>456</v>
      </c>
      <c r="W6" s="354" t="s">
        <v>474</v>
      </c>
      <c r="X6" s="354" t="s">
        <v>629</v>
      </c>
      <c r="Y6" s="354" t="s">
        <v>459</v>
      </c>
      <c r="Z6" s="354" t="s">
        <v>460</v>
      </c>
      <c r="AA6" s="354" t="s">
        <v>461</v>
      </c>
      <c r="AB6" s="354" t="s">
        <v>462</v>
      </c>
      <c r="AC6" s="354" t="s">
        <v>463</v>
      </c>
      <c r="AD6" s="354" t="s">
        <v>464</v>
      </c>
      <c r="AE6" s="354" t="s">
        <v>465</v>
      </c>
      <c r="AF6" s="354" t="s">
        <v>466</v>
      </c>
      <c r="AG6" s="354" t="s">
        <v>467</v>
      </c>
      <c r="AH6" s="354" t="s">
        <v>468</v>
      </c>
      <c r="AI6" s="354" t="s">
        <v>469</v>
      </c>
      <c r="AJ6" s="353"/>
    </row>
    <row r="7" spans="1:36" s="141" customFormat="1" ht="78" customHeight="1">
      <c r="A7" s="599"/>
      <c r="B7" s="625"/>
      <c r="C7" s="599"/>
      <c r="D7" s="603"/>
      <c r="E7" s="585"/>
      <c r="F7" s="585"/>
      <c r="G7" s="585"/>
      <c r="H7" s="144" t="s">
        <v>66</v>
      </c>
      <c r="I7" s="144" t="s">
        <v>1133</v>
      </c>
      <c r="J7" s="595"/>
      <c r="K7" s="602"/>
      <c r="L7" s="558"/>
      <c r="M7" s="558"/>
      <c r="N7" s="558"/>
      <c r="O7" s="599"/>
      <c r="P7" s="145"/>
      <c r="Q7" s="142"/>
      <c r="R7" s="142"/>
      <c r="S7" s="143"/>
      <c r="T7" s="355" t="s">
        <v>470</v>
      </c>
      <c r="U7" s="353">
        <f>COUNTIF(Q8:Q920,"CT")</f>
        <v>1</v>
      </c>
      <c r="V7" s="82">
        <f>SUMIF(Q8:Q920,"CT",S8:S920)</f>
        <v>10687</v>
      </c>
      <c r="W7" s="82">
        <f>SUMIFS($S$8:$S$1022,$Q$8:$Q$1022,"CT",$R$8:$R$1022,W6)</f>
        <v>10687</v>
      </c>
      <c r="X7" s="82">
        <f t="shared" ref="X7:AI7" si="0">SUMIFS($S$8:$S$1022,$Q$8:$Q$1022,"CT",$R$8:$R$1022,X6)</f>
        <v>0</v>
      </c>
      <c r="Y7" s="82">
        <f t="shared" si="0"/>
        <v>0</v>
      </c>
      <c r="Z7" s="82">
        <f t="shared" si="0"/>
        <v>0</v>
      </c>
      <c r="AA7" s="82">
        <f t="shared" si="0"/>
        <v>0</v>
      </c>
      <c r="AB7" s="82">
        <f t="shared" si="0"/>
        <v>0</v>
      </c>
      <c r="AC7" s="82">
        <f t="shared" si="0"/>
        <v>0</v>
      </c>
      <c r="AD7" s="82">
        <f t="shared" si="0"/>
        <v>0</v>
      </c>
      <c r="AE7" s="82">
        <f t="shared" si="0"/>
        <v>0</v>
      </c>
      <c r="AF7" s="82">
        <f t="shared" si="0"/>
        <v>0</v>
      </c>
      <c r="AG7" s="82">
        <f t="shared" si="0"/>
        <v>0</v>
      </c>
      <c r="AH7" s="82">
        <f t="shared" si="0"/>
        <v>0</v>
      </c>
      <c r="AI7" s="82">
        <f t="shared" si="0"/>
        <v>0</v>
      </c>
      <c r="AJ7" s="355">
        <f>SUM(W7:AI7)</f>
        <v>10687</v>
      </c>
    </row>
    <row r="8" spans="1:36" s="362" customFormat="1" ht="50.1" customHeight="1">
      <c r="A8" s="144"/>
      <c r="B8" s="356" t="s">
        <v>280</v>
      </c>
      <c r="C8" s="144"/>
      <c r="D8" s="144"/>
      <c r="E8" s="144"/>
      <c r="F8" s="144"/>
      <c r="G8" s="144"/>
      <c r="H8" s="357">
        <f>SUM(H9)</f>
        <v>11998</v>
      </c>
      <c r="I8" s="357">
        <f t="shared" ref="I8:N9" si="1">SUM(I9)</f>
        <v>11998</v>
      </c>
      <c r="J8" s="357">
        <f t="shared" si="1"/>
        <v>10687</v>
      </c>
      <c r="K8" s="357">
        <f t="shared" si="1"/>
        <v>3000</v>
      </c>
      <c r="L8" s="357">
        <f t="shared" si="1"/>
        <v>0</v>
      </c>
      <c r="M8" s="357">
        <f t="shared" si="1"/>
        <v>0</v>
      </c>
      <c r="N8" s="357">
        <f t="shared" si="1"/>
        <v>3000</v>
      </c>
      <c r="O8" s="358"/>
      <c r="P8" s="359"/>
      <c r="Q8" s="142"/>
      <c r="R8" s="142"/>
      <c r="S8" s="143"/>
      <c r="T8" s="143" t="s">
        <v>471</v>
      </c>
      <c r="U8" s="143">
        <f>COUNTIF(Q8:Q919,"KCM")</f>
        <v>0</v>
      </c>
      <c r="V8" s="360">
        <f>SUMIF(Q8:Q919,"KCM",S8:S919)</f>
        <v>0</v>
      </c>
      <c r="W8" s="360">
        <f>SUMIFS($S$8:$S$1022,$Q$8:$Q$1022,"KCM",$R$8:$R$1022,W6)</f>
        <v>0</v>
      </c>
      <c r="X8" s="360">
        <f t="shared" ref="X8:AI8" si="2">SUMIFS($S$8:$S$1022,$Q$8:$Q$1022,"KCM",$R$8:$R$1022,X6)</f>
        <v>0</v>
      </c>
      <c r="Y8" s="360">
        <f t="shared" si="2"/>
        <v>0</v>
      </c>
      <c r="Z8" s="360">
        <f t="shared" si="2"/>
        <v>0</v>
      </c>
      <c r="AA8" s="360">
        <f t="shared" si="2"/>
        <v>0</v>
      </c>
      <c r="AB8" s="360">
        <f t="shared" si="2"/>
        <v>0</v>
      </c>
      <c r="AC8" s="360">
        <f t="shared" si="2"/>
        <v>0</v>
      </c>
      <c r="AD8" s="360">
        <f t="shared" si="2"/>
        <v>0</v>
      </c>
      <c r="AE8" s="360">
        <f t="shared" si="2"/>
        <v>0</v>
      </c>
      <c r="AF8" s="360">
        <f t="shared" si="2"/>
        <v>0</v>
      </c>
      <c r="AG8" s="360">
        <f t="shared" si="2"/>
        <v>0</v>
      </c>
      <c r="AH8" s="360">
        <f t="shared" si="2"/>
        <v>0</v>
      </c>
      <c r="AI8" s="360">
        <f t="shared" si="2"/>
        <v>0</v>
      </c>
      <c r="AJ8" s="361">
        <f>SUM(W8:AI8)</f>
        <v>0</v>
      </c>
    </row>
    <row r="9" spans="1:36" s="18" customFormat="1" ht="44.25" customHeight="1">
      <c r="A9" s="13"/>
      <c r="B9" s="26" t="s">
        <v>74</v>
      </c>
      <c r="C9" s="13"/>
      <c r="D9" s="13"/>
      <c r="E9" s="13"/>
      <c r="F9" s="13"/>
      <c r="G9" s="13"/>
      <c r="H9" s="8">
        <f>SUM(H10)</f>
        <v>11998</v>
      </c>
      <c r="I9" s="8">
        <f t="shared" si="1"/>
        <v>11998</v>
      </c>
      <c r="J9" s="8">
        <f t="shared" si="1"/>
        <v>10687</v>
      </c>
      <c r="K9" s="8">
        <f t="shared" si="1"/>
        <v>3000</v>
      </c>
      <c r="L9" s="8">
        <f t="shared" si="1"/>
        <v>0</v>
      </c>
      <c r="M9" s="8">
        <f t="shared" si="1"/>
        <v>0</v>
      </c>
      <c r="N9" s="8">
        <f t="shared" si="1"/>
        <v>3000</v>
      </c>
      <c r="O9" s="1"/>
      <c r="Q9" s="55"/>
      <c r="R9" s="55"/>
      <c r="T9" s="363" t="s">
        <v>470</v>
      </c>
      <c r="U9" s="159">
        <f>SUM(W9:AI9)</f>
        <v>1</v>
      </c>
      <c r="V9" s="159"/>
      <c r="W9" s="159">
        <f>COUNTIFS($Q$8:$Q$920,"CT",$R$8:$R$920,W6)</f>
        <v>1</v>
      </c>
      <c r="X9" s="159">
        <f t="shared" ref="X9:AI9" si="3">COUNTIFS($Q$8:$Q$920,"CT",$R$8:$R$920,X6)</f>
        <v>0</v>
      </c>
      <c r="Y9" s="159">
        <f t="shared" si="3"/>
        <v>0</v>
      </c>
      <c r="Z9" s="159">
        <f t="shared" si="3"/>
        <v>0</v>
      </c>
      <c r="AA9" s="159">
        <f t="shared" si="3"/>
        <v>0</v>
      </c>
      <c r="AB9" s="159">
        <f t="shared" si="3"/>
        <v>0</v>
      </c>
      <c r="AC9" s="159">
        <f t="shared" si="3"/>
        <v>0</v>
      </c>
      <c r="AD9" s="159">
        <f t="shared" si="3"/>
        <v>0</v>
      </c>
      <c r="AE9" s="159">
        <f t="shared" si="3"/>
        <v>0</v>
      </c>
      <c r="AF9" s="159">
        <f t="shared" si="3"/>
        <v>0</v>
      </c>
      <c r="AG9" s="159">
        <f t="shared" si="3"/>
        <v>0</v>
      </c>
      <c r="AH9" s="159">
        <f t="shared" si="3"/>
        <v>0</v>
      </c>
      <c r="AI9" s="159">
        <f t="shared" si="3"/>
        <v>0</v>
      </c>
      <c r="AJ9" s="364"/>
    </row>
    <row r="10" spans="1:36" s="146" customFormat="1" ht="44.25" customHeight="1">
      <c r="A10" s="15"/>
      <c r="B10" s="16" t="s">
        <v>65</v>
      </c>
      <c r="C10" s="16"/>
      <c r="D10" s="15"/>
      <c r="E10" s="16"/>
      <c r="F10" s="16"/>
      <c r="G10" s="16"/>
      <c r="H10" s="29">
        <f t="shared" ref="H10:N10" si="4">SUM(H11:H11)</f>
        <v>11998</v>
      </c>
      <c r="I10" s="29">
        <f t="shared" si="4"/>
        <v>11998</v>
      </c>
      <c r="J10" s="29">
        <f t="shared" si="4"/>
        <v>10687</v>
      </c>
      <c r="K10" s="29">
        <f t="shared" si="4"/>
        <v>3000</v>
      </c>
      <c r="L10" s="29">
        <f t="shared" si="4"/>
        <v>0</v>
      </c>
      <c r="M10" s="29">
        <f t="shared" si="4"/>
        <v>0</v>
      </c>
      <c r="N10" s="29">
        <f t="shared" si="4"/>
        <v>3000</v>
      </c>
      <c r="O10" s="19"/>
      <c r="Q10" s="147"/>
      <c r="R10" s="147"/>
      <c r="T10" s="214" t="s">
        <v>471</v>
      </c>
      <c r="U10" s="159">
        <f>SUM(W10:AI10)</f>
        <v>0</v>
      </c>
      <c r="V10" s="159"/>
      <c r="W10" s="159">
        <f>COUNTIFS($Q$8:$Q$920,"KCM",$R$8:$R$920,W6)</f>
        <v>0</v>
      </c>
      <c r="X10" s="159">
        <f t="shared" ref="X10:AI10" si="5">COUNTIFS($Q$8:$Q$920,"KCM",$R$8:$R$920,X6)</f>
        <v>0</v>
      </c>
      <c r="Y10" s="159">
        <f t="shared" si="5"/>
        <v>0</v>
      </c>
      <c r="Z10" s="159">
        <f t="shared" si="5"/>
        <v>0</v>
      </c>
      <c r="AA10" s="159">
        <f t="shared" si="5"/>
        <v>0</v>
      </c>
      <c r="AB10" s="159">
        <f t="shared" si="5"/>
        <v>0</v>
      </c>
      <c r="AC10" s="159">
        <f t="shared" si="5"/>
        <v>0</v>
      </c>
      <c r="AD10" s="159">
        <f t="shared" si="5"/>
        <v>0</v>
      </c>
      <c r="AE10" s="159">
        <f t="shared" si="5"/>
        <v>0</v>
      </c>
      <c r="AF10" s="159">
        <f t="shared" si="5"/>
        <v>0</v>
      </c>
      <c r="AG10" s="159">
        <f t="shared" si="5"/>
        <v>0</v>
      </c>
      <c r="AH10" s="159">
        <f t="shared" si="5"/>
        <v>0</v>
      </c>
      <c r="AI10" s="159">
        <f t="shared" si="5"/>
        <v>0</v>
      </c>
      <c r="AJ10" s="159"/>
    </row>
    <row r="11" spans="1:36" ht="90" customHeight="1">
      <c r="A11" s="10">
        <v>1</v>
      </c>
      <c r="B11" s="148" t="s">
        <v>1134</v>
      </c>
      <c r="C11" s="149" t="s">
        <v>41</v>
      </c>
      <c r="D11" s="150" t="s">
        <v>19</v>
      </c>
      <c r="E11" s="28" t="s">
        <v>1135</v>
      </c>
      <c r="F11" s="28" t="s">
        <v>1106</v>
      </c>
      <c r="G11" s="394" t="s">
        <v>1408</v>
      </c>
      <c r="H11" s="395">
        <v>11998</v>
      </c>
      <c r="I11" s="395">
        <v>11998</v>
      </c>
      <c r="J11" s="37">
        <v>10687</v>
      </c>
      <c r="K11" s="395">
        <v>3000</v>
      </c>
      <c r="L11" s="395"/>
      <c r="M11" s="395"/>
      <c r="N11" s="395">
        <f>SUM(K11:M11)</f>
        <v>3000</v>
      </c>
      <c r="O11" s="395"/>
      <c r="Q11" s="152" t="s">
        <v>472</v>
      </c>
      <c r="R11" s="152" t="s">
        <v>474</v>
      </c>
      <c r="S11" s="153">
        <f>J11</f>
        <v>10687</v>
      </c>
    </row>
  </sheetData>
  <mergeCells count="18">
    <mergeCell ref="G6:G7"/>
    <mergeCell ref="H6:I6"/>
    <mergeCell ref="A1:O1"/>
    <mergeCell ref="A2:O2"/>
    <mergeCell ref="A3:O3"/>
    <mergeCell ref="A5:A7"/>
    <mergeCell ref="B5:B7"/>
    <mergeCell ref="C5:C7"/>
    <mergeCell ref="D5:D7"/>
    <mergeCell ref="E5:E7"/>
    <mergeCell ref="F5:F7"/>
    <mergeCell ref="G5:I5"/>
    <mergeCell ref="J5:J7"/>
    <mergeCell ref="K5:K7"/>
    <mergeCell ref="L5:L7"/>
    <mergeCell ref="M5:M7"/>
    <mergeCell ref="N5:N7"/>
    <mergeCell ref="O5:O7"/>
  </mergeCells>
  <printOptions horizontalCentered="1"/>
  <pageMargins left="0.39370078740157499" right="0.39370078740157499" top="0.39370078740157499" bottom="0.39370078740157499" header="0.196850393700787" footer="0.196850393700787"/>
  <pageSetup paperSize="9" scale="47" fitToHeight="0" orientation="landscape" r:id="rId1"/>
  <headerFooter alignWithMargins="0">
    <oddFooter>&amp;C&amp;"Times New Roman,thường"&amp;11&amp;P/&amp;N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2"/>
  <sheetViews>
    <sheetView view="pageBreakPreview" zoomScale="60" zoomScaleNormal="60" workbookViewId="0">
      <selection activeCell="B9" sqref="B9"/>
    </sheetView>
  </sheetViews>
  <sheetFormatPr defaultColWidth="8.33203125" defaultRowHeight="16.8"/>
  <cols>
    <col min="1" max="1" width="8.88671875" style="11" customWidth="1"/>
    <col min="2" max="2" width="50.88671875" style="11" customWidth="1"/>
    <col min="3" max="3" width="18.88671875" style="11" customWidth="1"/>
    <col min="4" max="4" width="18.88671875" style="22" customWidth="1"/>
    <col min="5" max="6" width="18.88671875" style="11" customWidth="1"/>
    <col min="7" max="7" width="20.44140625" style="11" customWidth="1"/>
    <col min="8" max="9" width="18.88671875" style="11" customWidth="1"/>
    <col min="10" max="10" width="18.88671875" style="11" hidden="1" customWidth="1"/>
    <col min="11" max="14" width="18.88671875" style="11" customWidth="1"/>
    <col min="15" max="15" width="27.88671875" style="11" customWidth="1"/>
    <col min="16" max="16" width="17.33203125" style="11" customWidth="1"/>
    <col min="17" max="17" width="13.44140625" style="22" customWidth="1"/>
    <col min="18" max="18" width="12.109375" style="22" customWidth="1"/>
    <col min="19" max="19" width="16.109375" style="11" customWidth="1"/>
    <col min="20" max="20" width="17.44140625" style="11" customWidth="1"/>
    <col min="21" max="21" width="15.6640625" style="11" customWidth="1"/>
    <col min="22" max="36" width="13.88671875" style="11" customWidth="1"/>
    <col min="37" max="16384" width="8.33203125" style="11"/>
  </cols>
  <sheetData>
    <row r="1" spans="1:36" ht="39.9" customHeight="1">
      <c r="A1" s="554" t="s">
        <v>1142</v>
      </c>
      <c r="B1" s="554"/>
      <c r="C1" s="554"/>
      <c r="D1" s="554"/>
      <c r="E1" s="554"/>
      <c r="F1" s="554"/>
      <c r="G1" s="554"/>
      <c r="H1" s="554"/>
      <c r="I1" s="554"/>
      <c r="J1" s="554"/>
      <c r="K1" s="554"/>
      <c r="L1" s="554"/>
      <c r="M1" s="554"/>
      <c r="N1" s="554"/>
      <c r="O1" s="554"/>
    </row>
    <row r="2" spans="1:36" s="157" customFormat="1" ht="72.900000000000006" customHeight="1">
      <c r="A2" s="555" t="s">
        <v>1453</v>
      </c>
      <c r="B2" s="555"/>
      <c r="C2" s="555"/>
      <c r="D2" s="555"/>
      <c r="E2" s="555"/>
      <c r="F2" s="555"/>
      <c r="G2" s="555"/>
      <c r="H2" s="555"/>
      <c r="I2" s="555"/>
      <c r="J2" s="555"/>
      <c r="K2" s="555"/>
      <c r="L2" s="555"/>
      <c r="M2" s="555"/>
      <c r="N2" s="555"/>
      <c r="O2" s="555"/>
      <c r="Q2" s="158"/>
      <c r="R2" s="158"/>
    </row>
    <row r="3" spans="1:36" ht="39.9" customHeight="1">
      <c r="A3" s="556" t="str">
        <f>'22. NHNN'!A3:O3</f>
        <v>(Ban hành kèm theo Quyết định số: 2571/QĐ-UBND ngày 12/12/2024 của Ủy ban nhân dân tỉnh)</v>
      </c>
      <c r="B3" s="556"/>
      <c r="C3" s="556"/>
      <c r="D3" s="556"/>
      <c r="E3" s="556"/>
      <c r="F3" s="556"/>
      <c r="G3" s="556"/>
      <c r="H3" s="556"/>
      <c r="I3" s="556"/>
      <c r="J3" s="556"/>
      <c r="K3" s="556"/>
      <c r="L3" s="556"/>
      <c r="M3" s="556"/>
      <c r="N3" s="556"/>
      <c r="O3" s="556"/>
    </row>
    <row r="4" spans="1:36" ht="33.75" customHeight="1">
      <c r="J4" s="12"/>
      <c r="K4" s="12"/>
      <c r="L4" s="12"/>
      <c r="M4" s="12"/>
      <c r="N4" s="12"/>
      <c r="O4" s="12" t="s">
        <v>0</v>
      </c>
    </row>
    <row r="5" spans="1:36" s="141" customFormat="1" ht="50.1" customHeight="1">
      <c r="A5" s="598" t="s">
        <v>1</v>
      </c>
      <c r="B5" s="625" t="s">
        <v>513</v>
      </c>
      <c r="C5" s="598" t="s">
        <v>2</v>
      </c>
      <c r="D5" s="598" t="s">
        <v>514</v>
      </c>
      <c r="E5" s="585" t="s">
        <v>4</v>
      </c>
      <c r="F5" s="585" t="s">
        <v>5</v>
      </c>
      <c r="G5" s="585" t="s">
        <v>148</v>
      </c>
      <c r="H5" s="585"/>
      <c r="I5" s="585"/>
      <c r="J5" s="593" t="s">
        <v>696</v>
      </c>
      <c r="K5" s="600" t="s">
        <v>690</v>
      </c>
      <c r="L5" s="557" t="s">
        <v>1072</v>
      </c>
      <c r="M5" s="557" t="s">
        <v>1073</v>
      </c>
      <c r="N5" s="557" t="s">
        <v>1215</v>
      </c>
      <c r="O5" s="598" t="s">
        <v>6</v>
      </c>
      <c r="P5" s="63"/>
      <c r="Q5" s="140"/>
      <c r="R5" s="140"/>
    </row>
    <row r="6" spans="1:36" s="141" customFormat="1" ht="50.1" customHeight="1">
      <c r="A6" s="599"/>
      <c r="B6" s="625"/>
      <c r="C6" s="599"/>
      <c r="D6" s="599"/>
      <c r="E6" s="585"/>
      <c r="F6" s="585"/>
      <c r="G6" s="585" t="s">
        <v>7</v>
      </c>
      <c r="H6" s="585" t="s">
        <v>8</v>
      </c>
      <c r="I6" s="585"/>
      <c r="J6" s="594"/>
      <c r="K6" s="601"/>
      <c r="L6" s="569"/>
      <c r="M6" s="569"/>
      <c r="N6" s="569"/>
      <c r="O6" s="599"/>
      <c r="P6" s="63"/>
      <c r="Q6" s="142" t="s">
        <v>452</v>
      </c>
      <c r="R6" s="142" t="s">
        <v>453</v>
      </c>
      <c r="S6" s="143" t="s">
        <v>454</v>
      </c>
      <c r="T6" s="353"/>
      <c r="U6" s="353" t="s">
        <v>455</v>
      </c>
      <c r="V6" s="354" t="s">
        <v>456</v>
      </c>
      <c r="W6" s="354" t="s">
        <v>474</v>
      </c>
      <c r="X6" s="354" t="s">
        <v>629</v>
      </c>
      <c r="Y6" s="354" t="s">
        <v>459</v>
      </c>
      <c r="Z6" s="354" t="s">
        <v>460</v>
      </c>
      <c r="AA6" s="354" t="s">
        <v>461</v>
      </c>
      <c r="AB6" s="354" t="s">
        <v>462</v>
      </c>
      <c r="AC6" s="354" t="s">
        <v>463</v>
      </c>
      <c r="AD6" s="354" t="s">
        <v>464</v>
      </c>
      <c r="AE6" s="354" t="s">
        <v>465</v>
      </c>
      <c r="AF6" s="354" t="s">
        <v>466</v>
      </c>
      <c r="AG6" s="354" t="s">
        <v>467</v>
      </c>
      <c r="AH6" s="354" t="s">
        <v>468</v>
      </c>
      <c r="AI6" s="354" t="s">
        <v>469</v>
      </c>
      <c r="AJ6" s="353"/>
    </row>
    <row r="7" spans="1:36" s="141" customFormat="1" ht="78" customHeight="1">
      <c r="A7" s="599"/>
      <c r="B7" s="625"/>
      <c r="C7" s="599"/>
      <c r="D7" s="603"/>
      <c r="E7" s="585"/>
      <c r="F7" s="585"/>
      <c r="G7" s="585"/>
      <c r="H7" s="144" t="s">
        <v>66</v>
      </c>
      <c r="I7" s="144" t="s">
        <v>1136</v>
      </c>
      <c r="J7" s="595"/>
      <c r="K7" s="602"/>
      <c r="L7" s="558"/>
      <c r="M7" s="558"/>
      <c r="N7" s="558"/>
      <c r="O7" s="599"/>
      <c r="P7" s="145"/>
      <c r="Q7" s="142"/>
      <c r="R7" s="142"/>
      <c r="S7" s="143"/>
      <c r="T7" s="355" t="s">
        <v>470</v>
      </c>
      <c r="U7" s="353">
        <f>COUNTIF(Q8:Q921,"CT")</f>
        <v>1</v>
      </c>
      <c r="V7" s="82">
        <f>SUMIF(Q8:Q921,"CT",S8:S921)</f>
        <v>10687</v>
      </c>
      <c r="W7" s="82">
        <f t="shared" ref="W7:AI7" si="0">SUMIFS($S$8:$S$1023,$Q$8:$Q$1023,"CT",$R$8:$R$1023,W6)</f>
        <v>10687</v>
      </c>
      <c r="X7" s="82">
        <f t="shared" si="0"/>
        <v>0</v>
      </c>
      <c r="Y7" s="82">
        <f t="shared" si="0"/>
        <v>0</v>
      </c>
      <c r="Z7" s="82">
        <f t="shared" si="0"/>
        <v>0</v>
      </c>
      <c r="AA7" s="82">
        <f t="shared" si="0"/>
        <v>0</v>
      </c>
      <c r="AB7" s="82">
        <f t="shared" si="0"/>
        <v>0</v>
      </c>
      <c r="AC7" s="82">
        <f t="shared" si="0"/>
        <v>0</v>
      </c>
      <c r="AD7" s="82">
        <f t="shared" si="0"/>
        <v>0</v>
      </c>
      <c r="AE7" s="82">
        <f t="shared" si="0"/>
        <v>0</v>
      </c>
      <c r="AF7" s="82">
        <f t="shared" si="0"/>
        <v>0</v>
      </c>
      <c r="AG7" s="82">
        <f t="shared" si="0"/>
        <v>0</v>
      </c>
      <c r="AH7" s="82">
        <f t="shared" si="0"/>
        <v>0</v>
      </c>
      <c r="AI7" s="82">
        <f t="shared" si="0"/>
        <v>0</v>
      </c>
      <c r="AJ7" s="355">
        <f>SUM(W7:AI7)</f>
        <v>10687</v>
      </c>
    </row>
    <row r="8" spans="1:36" s="362" customFormat="1" ht="50.1" customHeight="1">
      <c r="A8" s="144"/>
      <c r="B8" s="356" t="s">
        <v>280</v>
      </c>
      <c r="C8" s="144"/>
      <c r="D8" s="144"/>
      <c r="E8" s="144"/>
      <c r="F8" s="144"/>
      <c r="G8" s="144"/>
      <c r="H8" s="357">
        <f>SUM(H9)</f>
        <v>7020</v>
      </c>
      <c r="I8" s="357">
        <f t="shared" ref="I8:N9" si="1">SUM(I9)</f>
        <v>5040</v>
      </c>
      <c r="J8" s="357">
        <f t="shared" si="1"/>
        <v>10687</v>
      </c>
      <c r="K8" s="357">
        <f t="shared" si="1"/>
        <v>5040</v>
      </c>
      <c r="L8" s="357">
        <f t="shared" si="1"/>
        <v>0</v>
      </c>
      <c r="M8" s="357">
        <f t="shared" si="1"/>
        <v>0</v>
      </c>
      <c r="N8" s="357">
        <f t="shared" si="1"/>
        <v>5040</v>
      </c>
      <c r="O8" s="358"/>
      <c r="P8" s="359"/>
      <c r="Q8" s="142"/>
      <c r="R8" s="142"/>
      <c r="S8" s="143"/>
      <c r="T8" s="143" t="s">
        <v>471</v>
      </c>
      <c r="U8" s="143">
        <f>COUNTIF(Q8:Q920,"KCM")</f>
        <v>0</v>
      </c>
      <c r="V8" s="360">
        <f>SUMIF(Q8:Q920,"KCM",S8:S920)</f>
        <v>0</v>
      </c>
      <c r="W8" s="360">
        <f t="shared" ref="W8:AI8" si="2">SUMIFS($S$8:$S$1023,$Q$8:$Q$1023,"KCM",$R$8:$R$1023,W6)</f>
        <v>0</v>
      </c>
      <c r="X8" s="360">
        <f t="shared" si="2"/>
        <v>0</v>
      </c>
      <c r="Y8" s="360">
        <f t="shared" si="2"/>
        <v>0</v>
      </c>
      <c r="Z8" s="360">
        <f t="shared" si="2"/>
        <v>0</v>
      </c>
      <c r="AA8" s="360">
        <f t="shared" si="2"/>
        <v>0</v>
      </c>
      <c r="AB8" s="360">
        <f t="shared" si="2"/>
        <v>0</v>
      </c>
      <c r="AC8" s="360">
        <f t="shared" si="2"/>
        <v>0</v>
      </c>
      <c r="AD8" s="360">
        <f t="shared" si="2"/>
        <v>0</v>
      </c>
      <c r="AE8" s="360">
        <f t="shared" si="2"/>
        <v>0</v>
      </c>
      <c r="AF8" s="360">
        <f t="shared" si="2"/>
        <v>0</v>
      </c>
      <c r="AG8" s="360">
        <f t="shared" si="2"/>
        <v>0</v>
      </c>
      <c r="AH8" s="360">
        <f t="shared" si="2"/>
        <v>0</v>
      </c>
      <c r="AI8" s="360">
        <f t="shared" si="2"/>
        <v>0</v>
      </c>
      <c r="AJ8" s="361">
        <f>SUM(W8:AI8)</f>
        <v>0</v>
      </c>
    </row>
    <row r="9" spans="1:36" s="18" customFormat="1" ht="50.1" customHeight="1">
      <c r="A9" s="13"/>
      <c r="B9" s="26" t="s">
        <v>1137</v>
      </c>
      <c r="C9" s="13"/>
      <c r="D9" s="13"/>
      <c r="E9" s="13"/>
      <c r="F9" s="13"/>
      <c r="G9" s="13"/>
      <c r="H9" s="8">
        <f>SUM(H10)</f>
        <v>7020</v>
      </c>
      <c r="I9" s="8">
        <f t="shared" si="1"/>
        <v>5040</v>
      </c>
      <c r="J9" s="8">
        <f t="shared" si="1"/>
        <v>10687</v>
      </c>
      <c r="K9" s="8">
        <f t="shared" si="1"/>
        <v>5040</v>
      </c>
      <c r="L9" s="8">
        <f t="shared" si="1"/>
        <v>0</v>
      </c>
      <c r="M9" s="8">
        <f t="shared" si="1"/>
        <v>0</v>
      </c>
      <c r="N9" s="8">
        <f t="shared" si="1"/>
        <v>5040</v>
      </c>
      <c r="O9" s="27"/>
      <c r="Q9" s="55"/>
      <c r="R9" s="55"/>
      <c r="T9" s="363" t="s">
        <v>470</v>
      </c>
      <c r="U9" s="159">
        <f>SUM(W9:AI9)</f>
        <v>1</v>
      </c>
      <c r="V9" s="159"/>
      <c r="W9" s="159">
        <f t="shared" ref="W9:AI9" si="3">COUNTIFS($Q$8:$Q$921,"CT",$R$8:$R$921,W6)</f>
        <v>1</v>
      </c>
      <c r="X9" s="159">
        <f t="shared" si="3"/>
        <v>0</v>
      </c>
      <c r="Y9" s="159">
        <f t="shared" si="3"/>
        <v>0</v>
      </c>
      <c r="Z9" s="159">
        <f t="shared" si="3"/>
        <v>0</v>
      </c>
      <c r="AA9" s="159">
        <f t="shared" si="3"/>
        <v>0</v>
      </c>
      <c r="AB9" s="159">
        <f t="shared" si="3"/>
        <v>0</v>
      </c>
      <c r="AC9" s="159">
        <f t="shared" si="3"/>
        <v>0</v>
      </c>
      <c r="AD9" s="159">
        <f t="shared" si="3"/>
        <v>0</v>
      </c>
      <c r="AE9" s="159">
        <f t="shared" si="3"/>
        <v>0</v>
      </c>
      <c r="AF9" s="159">
        <f t="shared" si="3"/>
        <v>0</v>
      </c>
      <c r="AG9" s="159">
        <f t="shared" si="3"/>
        <v>0</v>
      </c>
      <c r="AH9" s="159">
        <f t="shared" si="3"/>
        <v>0</v>
      </c>
      <c r="AI9" s="159">
        <f t="shared" si="3"/>
        <v>0</v>
      </c>
      <c r="AJ9" s="364"/>
    </row>
    <row r="10" spans="1:36" s="18" customFormat="1" ht="50.1" customHeight="1">
      <c r="A10" s="13"/>
      <c r="B10" s="26" t="s">
        <v>74</v>
      </c>
      <c r="C10" s="13"/>
      <c r="D10" s="13"/>
      <c r="E10" s="13"/>
      <c r="F10" s="13"/>
      <c r="G10" s="13"/>
      <c r="H10" s="8">
        <f>SUM(H11)</f>
        <v>7020</v>
      </c>
      <c r="I10" s="8">
        <f t="shared" ref="I10:N10" si="4">SUM(I11)</f>
        <v>5040</v>
      </c>
      <c r="J10" s="8">
        <f t="shared" si="4"/>
        <v>10687</v>
      </c>
      <c r="K10" s="8">
        <f t="shared" si="4"/>
        <v>5040</v>
      </c>
      <c r="L10" s="8">
        <f t="shared" si="4"/>
        <v>0</v>
      </c>
      <c r="M10" s="8">
        <f t="shared" si="4"/>
        <v>0</v>
      </c>
      <c r="N10" s="8">
        <f t="shared" si="4"/>
        <v>5040</v>
      </c>
      <c r="O10" s="27"/>
      <c r="Q10" s="55"/>
      <c r="R10" s="55"/>
      <c r="T10" s="363"/>
      <c r="U10" s="159"/>
      <c r="V10" s="159"/>
      <c r="W10" s="159"/>
      <c r="X10" s="159"/>
      <c r="Y10" s="159"/>
      <c r="Z10" s="159"/>
      <c r="AA10" s="159"/>
      <c r="AB10" s="159"/>
      <c r="AC10" s="159"/>
      <c r="AD10" s="159"/>
      <c r="AE10" s="159"/>
      <c r="AF10" s="159"/>
      <c r="AG10" s="159"/>
      <c r="AH10" s="159"/>
      <c r="AI10" s="159"/>
      <c r="AJ10" s="364"/>
    </row>
    <row r="11" spans="1:36" s="146" customFormat="1" ht="44.25" customHeight="1">
      <c r="A11" s="15"/>
      <c r="B11" s="16" t="s">
        <v>278</v>
      </c>
      <c r="C11" s="16"/>
      <c r="D11" s="15"/>
      <c r="E11" s="16"/>
      <c r="F11" s="16"/>
      <c r="G11" s="16"/>
      <c r="H11" s="29">
        <f t="shared" ref="H11:N11" si="5">SUM(H12:H12)</f>
        <v>7020</v>
      </c>
      <c r="I11" s="29">
        <f t="shared" si="5"/>
        <v>5040</v>
      </c>
      <c r="J11" s="29">
        <f t="shared" si="5"/>
        <v>10687</v>
      </c>
      <c r="K11" s="29">
        <f t="shared" si="5"/>
        <v>5040</v>
      </c>
      <c r="L11" s="29">
        <f t="shared" si="5"/>
        <v>0</v>
      </c>
      <c r="M11" s="29">
        <f t="shared" si="5"/>
        <v>0</v>
      </c>
      <c r="N11" s="29">
        <f t="shared" si="5"/>
        <v>5040</v>
      </c>
      <c r="O11" s="19"/>
      <c r="Q11" s="147"/>
      <c r="R11" s="147"/>
      <c r="T11" s="214" t="s">
        <v>471</v>
      </c>
      <c r="U11" s="159">
        <f>SUM(W11:AI11)</f>
        <v>0</v>
      </c>
      <c r="V11" s="159"/>
      <c r="W11" s="159">
        <f t="shared" ref="W11:AI11" si="6">COUNTIFS($Q$8:$Q$921,"KCM",$R$8:$R$921,W6)</f>
        <v>0</v>
      </c>
      <c r="X11" s="159">
        <f t="shared" si="6"/>
        <v>0</v>
      </c>
      <c r="Y11" s="159">
        <f t="shared" si="6"/>
        <v>0</v>
      </c>
      <c r="Z11" s="159">
        <f t="shared" si="6"/>
        <v>0</v>
      </c>
      <c r="AA11" s="159">
        <f t="shared" si="6"/>
        <v>0</v>
      </c>
      <c r="AB11" s="159">
        <f t="shared" si="6"/>
        <v>0</v>
      </c>
      <c r="AC11" s="159">
        <f t="shared" si="6"/>
        <v>0</v>
      </c>
      <c r="AD11" s="159">
        <f t="shared" si="6"/>
        <v>0</v>
      </c>
      <c r="AE11" s="159">
        <f t="shared" si="6"/>
        <v>0</v>
      </c>
      <c r="AF11" s="159">
        <f t="shared" si="6"/>
        <v>0</v>
      </c>
      <c r="AG11" s="159">
        <f t="shared" si="6"/>
        <v>0</v>
      </c>
      <c r="AH11" s="159">
        <f t="shared" si="6"/>
        <v>0</v>
      </c>
      <c r="AI11" s="159">
        <f t="shared" si="6"/>
        <v>0</v>
      </c>
      <c r="AJ11" s="159"/>
    </row>
    <row r="12" spans="1:36" ht="90" customHeight="1">
      <c r="A12" s="10">
        <v>1</v>
      </c>
      <c r="B12" s="148" t="s">
        <v>1138</v>
      </c>
      <c r="C12" s="149" t="s">
        <v>1139</v>
      </c>
      <c r="D12" s="150" t="s">
        <v>19</v>
      </c>
      <c r="E12" s="28" t="s">
        <v>1140</v>
      </c>
      <c r="F12" s="28" t="s">
        <v>1106</v>
      </c>
      <c r="G12" s="23" t="s">
        <v>1141</v>
      </c>
      <c r="H12" s="37">
        <v>7020</v>
      </c>
      <c r="I12" s="37">
        <v>5040</v>
      </c>
      <c r="J12" s="37">
        <v>10687</v>
      </c>
      <c r="K12" s="37">
        <v>5040</v>
      </c>
      <c r="L12" s="37"/>
      <c r="M12" s="37"/>
      <c r="N12" s="37">
        <f>SUM(K12:M12)</f>
        <v>5040</v>
      </c>
      <c r="O12" s="151"/>
      <c r="Q12" s="152" t="s">
        <v>472</v>
      </c>
      <c r="R12" s="152" t="s">
        <v>474</v>
      </c>
      <c r="S12" s="153">
        <f>J12</f>
        <v>10687</v>
      </c>
    </row>
  </sheetData>
  <mergeCells count="18">
    <mergeCell ref="H6:I6"/>
    <mergeCell ref="L5:L7"/>
    <mergeCell ref="M5:M7"/>
    <mergeCell ref="N5:N7"/>
    <mergeCell ref="A1:O1"/>
    <mergeCell ref="A2:O2"/>
    <mergeCell ref="A3:O3"/>
    <mergeCell ref="A5:A7"/>
    <mergeCell ref="B5:B7"/>
    <mergeCell ref="C5:C7"/>
    <mergeCell ref="D5:D7"/>
    <mergeCell ref="E5:E7"/>
    <mergeCell ref="F5:F7"/>
    <mergeCell ref="G5:I5"/>
    <mergeCell ref="J5:J7"/>
    <mergeCell ref="K5:K7"/>
    <mergeCell ref="O5:O7"/>
    <mergeCell ref="G6:G7"/>
  </mergeCells>
  <printOptions horizontalCentered="1"/>
  <pageMargins left="0.39370078740157499" right="0.39370078740157499" top="0.39370078740157499" bottom="0.39370078740157499" header="0.196850393700787" footer="0.196850393700787"/>
  <pageSetup paperSize="9" scale="47" fitToHeight="0" orientation="landscape" r:id="rId1"/>
  <headerFooter alignWithMargins="0">
    <oddFooter>&amp;C&amp;"Times New Roman,thường"&amp;11&amp;P/&amp;N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48"/>
  <sheetViews>
    <sheetView view="pageBreakPreview" topLeftCell="A4" zoomScale="60" zoomScaleNormal="70" workbookViewId="0">
      <pane xSplit="2" ySplit="4" topLeftCell="C137" activePane="bottomRight" state="frozen"/>
      <selection activeCell="A4" sqref="A4"/>
      <selection pane="topRight" activeCell="C4" sqref="C4"/>
      <selection pane="bottomLeft" activeCell="A8" sqref="A8"/>
      <selection pane="bottomRight" activeCell="W9" sqref="W9"/>
    </sheetView>
  </sheetViews>
  <sheetFormatPr defaultColWidth="9.109375" defaultRowHeight="16.8"/>
  <cols>
    <col min="1" max="1" width="8.6640625" style="11" customWidth="1"/>
    <col min="2" max="2" width="50.6640625" style="11" customWidth="1"/>
    <col min="3" max="3" width="20.6640625" style="11" customWidth="1"/>
    <col min="4" max="4" width="20.6640625" style="22" customWidth="1"/>
    <col min="5" max="6" width="20.6640625" style="11" customWidth="1"/>
    <col min="7" max="22" width="20.6640625" style="11" hidden="1" customWidth="1"/>
    <col min="23" max="23" width="20.6640625" style="11" customWidth="1"/>
    <col min="24" max="24" width="40.6640625" style="11" customWidth="1"/>
    <col min="25" max="25" width="12.44140625" style="11" customWidth="1"/>
    <col min="26" max="26" width="14.88671875" style="22" customWidth="1"/>
    <col min="27" max="27" width="13.44140625" style="22" customWidth="1"/>
    <col min="28" max="31" width="17.88671875" style="11" customWidth="1"/>
    <col min="32" max="32" width="19.33203125" style="11" customWidth="1"/>
    <col min="33" max="33" width="17.33203125" style="11" customWidth="1"/>
    <col min="34" max="34" width="15.33203125" style="11" customWidth="1"/>
    <col min="35" max="35" width="14.6640625" style="11" bestFit="1" customWidth="1"/>
    <col min="36" max="36" width="12.6640625" style="11" bestFit="1" customWidth="1"/>
    <col min="37" max="38" width="9.109375" style="11"/>
    <col min="39" max="39" width="11.33203125" style="11" bestFit="1" customWidth="1"/>
    <col min="40" max="40" width="9.109375" style="11"/>
    <col min="41" max="41" width="12.6640625" style="11" bestFit="1" customWidth="1"/>
    <col min="42" max="42" width="9.109375" style="11"/>
    <col min="43" max="43" width="12.44140625" style="11" customWidth="1"/>
    <col min="44" max="44" width="15.33203125" style="11" customWidth="1"/>
    <col min="45" max="45" width="15" style="11" customWidth="1"/>
    <col min="46" max="46" width="9.109375" style="11"/>
    <col min="47" max="47" width="11.33203125" style="11" bestFit="1" customWidth="1"/>
    <col min="48" max="48" width="14.88671875" style="11" customWidth="1"/>
    <col min="49" max="16384" width="9.109375" style="11"/>
  </cols>
  <sheetData>
    <row r="1" spans="1:49" ht="39.9" customHeight="1">
      <c r="A1" s="554" t="s">
        <v>925</v>
      </c>
      <c r="B1" s="554"/>
      <c r="C1" s="554"/>
      <c r="D1" s="554"/>
      <c r="E1" s="554"/>
      <c r="F1" s="554"/>
      <c r="G1" s="554"/>
      <c r="H1" s="554"/>
      <c r="I1" s="554"/>
      <c r="J1" s="554"/>
      <c r="K1" s="554"/>
      <c r="L1" s="554"/>
      <c r="M1" s="554"/>
      <c r="N1" s="554"/>
      <c r="O1" s="554"/>
      <c r="P1" s="554"/>
      <c r="Q1" s="554"/>
      <c r="R1" s="554"/>
      <c r="S1" s="554"/>
      <c r="T1" s="554"/>
      <c r="U1" s="554"/>
      <c r="V1" s="554"/>
      <c r="W1" s="554"/>
      <c r="X1" s="554"/>
      <c r="Y1" s="248"/>
    </row>
    <row r="2" spans="1:49" s="157" customFormat="1" ht="69.900000000000006" customHeight="1">
      <c r="A2" s="555" t="s">
        <v>980</v>
      </c>
      <c r="B2" s="555"/>
      <c r="C2" s="555"/>
      <c r="D2" s="555"/>
      <c r="E2" s="555"/>
      <c r="F2" s="555"/>
      <c r="G2" s="555"/>
      <c r="H2" s="555"/>
      <c r="I2" s="555"/>
      <c r="J2" s="555"/>
      <c r="K2" s="555"/>
      <c r="L2" s="555"/>
      <c r="M2" s="555"/>
      <c r="N2" s="555"/>
      <c r="O2" s="555"/>
      <c r="P2" s="555"/>
      <c r="Q2" s="555"/>
      <c r="R2" s="555"/>
      <c r="S2" s="555"/>
      <c r="T2" s="555"/>
      <c r="U2" s="555"/>
      <c r="V2" s="555"/>
      <c r="W2" s="555"/>
      <c r="X2" s="555"/>
      <c r="Y2" s="249"/>
      <c r="Z2" s="158"/>
      <c r="AA2" s="158"/>
    </row>
    <row r="3" spans="1:49" ht="39.9" customHeight="1">
      <c r="A3" s="556" t="str">
        <f>TH!A2:I2</f>
        <v>(Ban hành kèm theo Quyết định số: 2571/QĐ-UBND ngày 12/12/2024 của Ủy ban nhân dân tỉnh)</v>
      </c>
      <c r="B3" s="556"/>
      <c r="C3" s="556"/>
      <c r="D3" s="556"/>
      <c r="E3" s="556"/>
      <c r="F3" s="556"/>
      <c r="G3" s="556"/>
      <c r="H3" s="556"/>
      <c r="I3" s="556"/>
      <c r="J3" s="556"/>
      <c r="K3" s="556"/>
      <c r="L3" s="556"/>
      <c r="M3" s="556"/>
      <c r="N3" s="556"/>
      <c r="O3" s="556"/>
      <c r="P3" s="556"/>
      <c r="Q3" s="556"/>
      <c r="R3" s="556"/>
      <c r="S3" s="556"/>
      <c r="T3" s="556"/>
      <c r="U3" s="556"/>
      <c r="V3" s="556"/>
      <c r="W3" s="556"/>
      <c r="X3" s="556"/>
      <c r="Y3" s="250"/>
    </row>
    <row r="4" spans="1:49" ht="33.75" customHeight="1">
      <c r="H4" s="12"/>
      <c r="I4" s="12"/>
      <c r="J4" s="12"/>
      <c r="K4" s="12"/>
      <c r="L4" s="12"/>
      <c r="M4" s="12"/>
      <c r="N4" s="12"/>
      <c r="O4" s="12"/>
      <c r="P4" s="12"/>
      <c r="Q4" s="12"/>
      <c r="R4" s="12"/>
      <c r="S4" s="12"/>
      <c r="T4" s="12"/>
      <c r="U4" s="12"/>
      <c r="V4" s="12"/>
      <c r="W4" s="12"/>
      <c r="X4" s="12" t="s">
        <v>0</v>
      </c>
      <c r="Y4" s="128"/>
    </row>
    <row r="5" spans="1:49" ht="60" customHeight="1">
      <c r="A5" s="562" t="s">
        <v>1</v>
      </c>
      <c r="B5" s="561" t="s">
        <v>513</v>
      </c>
      <c r="C5" s="562" t="s">
        <v>2</v>
      </c>
      <c r="D5" s="562" t="s">
        <v>3</v>
      </c>
      <c r="E5" s="562" t="s">
        <v>4</v>
      </c>
      <c r="F5" s="562" t="s">
        <v>5</v>
      </c>
      <c r="G5" s="13"/>
      <c r="H5" s="565" t="s">
        <v>696</v>
      </c>
      <c r="I5" s="565" t="s">
        <v>512</v>
      </c>
      <c r="J5" s="565"/>
      <c r="K5" s="565"/>
      <c r="L5" s="565"/>
      <c r="M5" s="565"/>
      <c r="N5" s="565"/>
      <c r="O5" s="565"/>
      <c r="P5" s="565"/>
      <c r="Q5" s="565"/>
      <c r="R5" s="565" t="s">
        <v>808</v>
      </c>
      <c r="S5" s="565"/>
      <c r="T5" s="565"/>
      <c r="U5" s="565"/>
      <c r="V5" s="565" t="s">
        <v>689</v>
      </c>
      <c r="W5" s="565" t="s">
        <v>924</v>
      </c>
      <c r="X5" s="562" t="s">
        <v>6</v>
      </c>
      <c r="Y5" s="55"/>
      <c r="Z5" s="56" t="s">
        <v>452</v>
      </c>
      <c r="AA5" s="56" t="s">
        <v>453</v>
      </c>
      <c r="AB5" s="57" t="s">
        <v>454</v>
      </c>
      <c r="AC5" s="57" t="s">
        <v>627</v>
      </c>
      <c r="AD5" s="57" t="s">
        <v>629</v>
      </c>
      <c r="AE5" s="57" t="s">
        <v>628</v>
      </c>
      <c r="AF5" s="57"/>
      <c r="AG5" s="57" t="s">
        <v>455</v>
      </c>
      <c r="AH5" s="56" t="s">
        <v>456</v>
      </c>
      <c r="AI5" s="56" t="s">
        <v>457</v>
      </c>
      <c r="AJ5" s="56" t="s">
        <v>458</v>
      </c>
      <c r="AK5" s="56" t="s">
        <v>459</v>
      </c>
      <c r="AL5" s="56" t="s">
        <v>460</v>
      </c>
      <c r="AM5" s="56" t="s">
        <v>461</v>
      </c>
      <c r="AN5" s="56" t="s">
        <v>462</v>
      </c>
      <c r="AO5" s="56" t="s">
        <v>463</v>
      </c>
      <c r="AP5" s="56" t="s">
        <v>464</v>
      </c>
      <c r="AQ5" s="56" t="s">
        <v>465</v>
      </c>
      <c r="AR5" s="56" t="s">
        <v>466</v>
      </c>
      <c r="AS5" s="56" t="s">
        <v>467</v>
      </c>
      <c r="AT5" s="56" t="s">
        <v>468</v>
      </c>
      <c r="AU5" s="56" t="s">
        <v>469</v>
      </c>
      <c r="AV5" s="57"/>
      <c r="AW5" s="57"/>
    </row>
    <row r="6" spans="1:49" ht="60" customHeight="1">
      <c r="A6" s="562"/>
      <c r="B6" s="561"/>
      <c r="C6" s="562"/>
      <c r="D6" s="562"/>
      <c r="E6" s="562"/>
      <c r="F6" s="562"/>
      <c r="G6" s="13"/>
      <c r="H6" s="565"/>
      <c r="I6" s="565" t="s">
        <v>558</v>
      </c>
      <c r="J6" s="565" t="s">
        <v>559</v>
      </c>
      <c r="K6" s="565"/>
      <c r="L6" s="565"/>
      <c r="M6" s="565"/>
      <c r="N6" s="565"/>
      <c r="O6" s="565"/>
      <c r="P6" s="565"/>
      <c r="Q6" s="565"/>
      <c r="R6" s="565" t="s">
        <v>9</v>
      </c>
      <c r="S6" s="565" t="s">
        <v>10</v>
      </c>
      <c r="T6" s="565"/>
      <c r="U6" s="565"/>
      <c r="V6" s="565"/>
      <c r="W6" s="565"/>
      <c r="X6" s="562"/>
      <c r="Y6" s="55"/>
      <c r="Z6" s="56"/>
      <c r="AA6" s="56"/>
      <c r="AB6" s="57"/>
      <c r="AC6" s="57"/>
      <c r="AD6" s="57"/>
      <c r="AE6" s="57"/>
      <c r="AF6" s="58" t="s">
        <v>470</v>
      </c>
      <c r="AG6" s="57">
        <f>COUNTIF(Z148:Z952,"CT")</f>
        <v>0</v>
      </c>
      <c r="AH6" s="82">
        <f>SUMIF(Z148:Z952,"CT",AB148:AB952)</f>
        <v>0</v>
      </c>
      <c r="AI6" s="82">
        <f>SUMIFS($AB$148:$AB$1054,$Z$148:$Z$1054,"CT",$AA$148:$AA$1054,"GT")</f>
        <v>0</v>
      </c>
      <c r="AJ6" s="82">
        <f>SUMIFS($AB$148:$AB$1054,$Z$148:$Z$1054,"CT",$AA$148:$AA$1054,"NN-TL")</f>
        <v>0</v>
      </c>
      <c r="AK6" s="82">
        <f>SUMIFS($AB$148:$AB$1054,$Z$148:$Z$1054,"CT",$AA$148:$AA$1054,"GDĐT")</f>
        <v>0</v>
      </c>
      <c r="AL6" s="82">
        <f>SUMIFS($AB$148:$AB$1054,$Z$148:$Z$1054,"CT",$AA$148:$AA$1054,"YT")</f>
        <v>0</v>
      </c>
      <c r="AM6" s="82">
        <f>SUMIFS($AB$148:$AB$1054,$Z$148:$Z$1054,"CT",$AA$148:$AA$1054,"VH")</f>
        <v>0</v>
      </c>
      <c r="AN6" s="82">
        <f>SUMIFS($AB$148:$AB$1054,$Z$148:$Z$1054,"CT",$AA$148:$AA$1054,"TTTT")</f>
        <v>0</v>
      </c>
      <c r="AO6" s="82">
        <f>SUMIFS($AB$148:$AB$1054,$Z$148:$Z$1054,"CT",$AA$148:$AA$1054,"XH-CC")</f>
        <v>0</v>
      </c>
      <c r="AP6" s="82">
        <f>SUMIFS($AB$148:$AB$1054,$Z$148:$Z$1054,"CT",$AA$148:$AA$1054,"NS")</f>
        <v>0</v>
      </c>
      <c r="AQ6" s="82">
        <f>SUMIFS($AB$148:$AB$1054,$Z$148:$Z$1054,"CT",$AA$148:$AA$1054,"TNMT")</f>
        <v>0</v>
      </c>
      <c r="AR6" s="82">
        <f>SUMIFS($AB$148:$AB$1054,$Z$148:$Z$1054,"CT",$AA$148:$AA$1054,"QLNN")</f>
        <v>0</v>
      </c>
      <c r="AS6" s="82">
        <f>SUMIFS($AB$148:$AB$1054,$Z$148:$Z$1054,"CT",$AA$148:$AA$1054,"QPAN")</f>
        <v>0</v>
      </c>
      <c r="AT6" s="82">
        <f>SUMIFS($AB$148:$AB$1054,$Z$148:$Z$1054,"CT",$AA$148:$AA$1054,"PTĐT")</f>
        <v>0</v>
      </c>
      <c r="AU6" s="82">
        <f>SUMIFS($AB$148:$AB$1054,$Z$148:$Z$1054,"CT",$AA$148:$AA$1054,"TMDV")</f>
        <v>0</v>
      </c>
      <c r="AV6" s="58">
        <f>SUM(AI6:AU6)</f>
        <v>0</v>
      </c>
      <c r="AW6" s="57"/>
    </row>
    <row r="7" spans="1:49" ht="60" customHeight="1">
      <c r="A7" s="562"/>
      <c r="B7" s="561"/>
      <c r="C7" s="562"/>
      <c r="D7" s="562"/>
      <c r="E7" s="562"/>
      <c r="F7" s="562"/>
      <c r="G7" s="13"/>
      <c r="H7" s="565"/>
      <c r="I7" s="565"/>
      <c r="J7" s="85" t="s">
        <v>560</v>
      </c>
      <c r="K7" s="85" t="s">
        <v>562</v>
      </c>
      <c r="L7" s="85" t="s">
        <v>565</v>
      </c>
      <c r="M7" s="85" t="s">
        <v>573</v>
      </c>
      <c r="N7" s="85" t="s">
        <v>586</v>
      </c>
      <c r="O7" s="85" t="s">
        <v>589</v>
      </c>
      <c r="P7" s="85" t="s">
        <v>648</v>
      </c>
      <c r="Q7" s="85" t="s">
        <v>686</v>
      </c>
      <c r="R7" s="565"/>
      <c r="S7" s="85" t="s">
        <v>13</v>
      </c>
      <c r="T7" s="85" t="s">
        <v>564</v>
      </c>
      <c r="U7" s="85" t="s">
        <v>753</v>
      </c>
      <c r="V7" s="565"/>
      <c r="W7" s="565"/>
      <c r="X7" s="562"/>
      <c r="Y7" s="55"/>
      <c r="Z7" s="56"/>
      <c r="AA7" s="56"/>
      <c r="AB7" s="57"/>
      <c r="AC7" s="57">
        <f>SUMIF($AC$148:$AC$950,AC5,$AB$148:$AB$950)</f>
        <v>0</v>
      </c>
      <c r="AD7" s="57">
        <f>SUMIF($AC$148:$AC$950,AD5,$AB$148:$AB$950)</f>
        <v>0</v>
      </c>
      <c r="AE7" s="57">
        <f>SUMIF($AC$148:$AC$950,AE5,$AB$148:$AB$950)</f>
        <v>0</v>
      </c>
      <c r="AF7" s="57" t="s">
        <v>471</v>
      </c>
      <c r="AG7" s="57">
        <f>COUNTIF(Z148:Z951,"KCM")</f>
        <v>0</v>
      </c>
      <c r="AH7" s="82">
        <f>SUMIF(Z148:Z952,"KCM",AB148:AB952)</f>
        <v>0</v>
      </c>
      <c r="AI7" s="82">
        <f>SUMIFS($AB$148:$AB$1054,$Z$148:$Z$1054,"KCM",$AA$148:$AA$1054,"GT")</f>
        <v>0</v>
      </c>
      <c r="AJ7" s="82">
        <f>SUMIFS($AB$148:$AB$1054,$Z$148:$Z$1054,"KCM",$AA$148:$AA$1054,"NN-TL")</f>
        <v>0</v>
      </c>
      <c r="AK7" s="82">
        <f>SUMIFS($AB$148:$AB$1054,$Z$148:$Z$1054,"KCM",$AA$148:$AA$1054,"GDĐT")</f>
        <v>0</v>
      </c>
      <c r="AL7" s="82">
        <f>SUMIFS($AB$148:$AB$1054,$Z$148:$Z$1054,"KCM",$AA$148:$AA$1054,"YT")</f>
        <v>0</v>
      </c>
      <c r="AM7" s="82">
        <f>SUMIFS($AB$148:$AB$1054,$Z$148:$Z$1054,"KCM",$AA$148:$AA$1054,"VH")</f>
        <v>0</v>
      </c>
      <c r="AN7" s="82">
        <f>SUMIFS($AB$148:$AB$1054,$Z$148:$Z$1054,"KCM",$AA$148:$AA$1054,"TTTT")</f>
        <v>0</v>
      </c>
      <c r="AO7" s="82">
        <f>SUMIFS($AB$148:$AB$1054,$Z$148:$Z$1054,"KCM",$AA$148:$AA$1054,"XH-CC")</f>
        <v>0</v>
      </c>
      <c r="AP7" s="82">
        <f>SUMIFS($AB$148:$AB$1054,$Z$148:$Z$1054,"KCM",$AA$148:$AA$1054,"NS")</f>
        <v>0</v>
      </c>
      <c r="AQ7" s="82">
        <f>SUMIFS($AB$148:$AB$1054,$Z$148:$Z$1054,"KCM",$AA$148:$AA$1054,"TNMT")</f>
        <v>0</v>
      </c>
      <c r="AR7" s="82">
        <f>SUMIFS($AB$148:$AB$1054,$Z$148:$Z$1054,"KCM",$AA$148:$AA$1054,"QLNN")</f>
        <v>0</v>
      </c>
      <c r="AS7" s="82">
        <f>SUMIFS($AB$148:$AB$1054,$Z$148:$Z$1054,"KCM",$AA$148:$AA$1054,"QPAN")</f>
        <v>0</v>
      </c>
      <c r="AT7" s="82">
        <f>SUMIFS($AB$148:$AB$1054,$Z$148:$Z$1054,"KCM",$AA$148:$AA$1054,"PTĐT")</f>
        <v>0</v>
      </c>
      <c r="AU7" s="82">
        <f>SUMIFS($AB$148:$AB$1054,$Z$148:$Z$1054,"KCM",$AA$148:$AA$1054,"TMDV")</f>
        <v>0</v>
      </c>
      <c r="AV7" s="58">
        <f>SUM(AI7:AU7)</f>
        <v>0</v>
      </c>
      <c r="AW7" s="57"/>
    </row>
    <row r="8" spans="1:49" ht="88.5" customHeight="1">
      <c r="A8" s="13"/>
      <c r="B8" s="13" t="s">
        <v>280</v>
      </c>
      <c r="C8" s="13"/>
      <c r="D8" s="13"/>
      <c r="E8" s="13"/>
      <c r="F8" s="13"/>
      <c r="G8" s="13"/>
      <c r="H8" s="85"/>
      <c r="I8" s="85"/>
      <c r="J8" s="85"/>
      <c r="K8" s="85"/>
      <c r="L8" s="85"/>
      <c r="M8" s="85"/>
      <c r="N8" s="85"/>
      <c r="O8" s="85"/>
      <c r="P8" s="85"/>
      <c r="Q8" s="85"/>
      <c r="R8" s="85"/>
      <c r="S8" s="85"/>
      <c r="T8" s="85"/>
      <c r="U8" s="85"/>
      <c r="V8" s="85"/>
      <c r="W8" s="85">
        <f>SUM(W9,W14,W17,W27,W44,W55,W58,W62,W65,W68,W72,W83,W87,W91,W94,W97,W100,W103,W106,W109,W112,W115,W118,W121,W124,W127,W130,W136,W140,W143)</f>
        <v>566300</v>
      </c>
      <c r="X8" s="338" t="s">
        <v>981</v>
      </c>
      <c r="Y8" s="55"/>
      <c r="Z8" s="56"/>
      <c r="AA8" s="56"/>
      <c r="AB8" s="57"/>
      <c r="AC8" s="57"/>
      <c r="AD8" s="57"/>
      <c r="AE8" s="57"/>
      <c r="AF8" s="57"/>
      <c r="AG8" s="57"/>
      <c r="AH8" s="14"/>
      <c r="AI8" s="14"/>
      <c r="AJ8" s="14"/>
      <c r="AK8" s="14"/>
      <c r="AL8" s="14"/>
      <c r="AM8" s="14"/>
      <c r="AN8" s="14"/>
      <c r="AO8" s="14"/>
      <c r="AP8" s="14"/>
      <c r="AQ8" s="14"/>
      <c r="AR8" s="14"/>
      <c r="AS8" s="14"/>
      <c r="AT8" s="14"/>
      <c r="AU8" s="14"/>
      <c r="AV8" s="58"/>
      <c r="AW8" s="57"/>
    </row>
    <row r="9" spans="1:49" s="18" customFormat="1" ht="60" customHeight="1">
      <c r="A9" s="13" t="s">
        <v>15</v>
      </c>
      <c r="B9" s="26" t="s">
        <v>1004</v>
      </c>
      <c r="C9" s="13"/>
      <c r="D9" s="13"/>
      <c r="E9" s="13"/>
      <c r="F9" s="13"/>
      <c r="G9" s="13"/>
      <c r="H9" s="8" t="e">
        <f>SUM(#REF!,#REF!,#REF!)</f>
        <v>#REF!</v>
      </c>
      <c r="I9" s="8" t="e">
        <f>SUM(#REF!,#REF!,#REF!)</f>
        <v>#REF!</v>
      </c>
      <c r="J9" s="8" t="e">
        <f>SUM(#REF!,#REF!,#REF!)</f>
        <v>#REF!</v>
      </c>
      <c r="K9" s="8" t="e">
        <f>SUM(#REF!,#REF!,#REF!)</f>
        <v>#REF!</v>
      </c>
      <c r="L9" s="8" t="e">
        <f>SUM(#REF!,#REF!,#REF!)</f>
        <v>#REF!</v>
      </c>
      <c r="M9" s="8" t="e">
        <f>SUM(#REF!,#REF!,#REF!)</f>
        <v>#REF!</v>
      </c>
      <c r="N9" s="8" t="e">
        <f>SUM(#REF!,#REF!,#REF!)</f>
        <v>#REF!</v>
      </c>
      <c r="O9" s="8" t="e">
        <f>SUM(#REF!,#REF!,#REF!)</f>
        <v>#REF!</v>
      </c>
      <c r="P9" s="8" t="e">
        <f>SUM(#REF!,#REF!,#REF!)</f>
        <v>#REF!</v>
      </c>
      <c r="Q9" s="8" t="e">
        <f>SUM(#REF!,#REF!,#REF!)</f>
        <v>#REF!</v>
      </c>
      <c r="R9" s="8" t="e">
        <f>SUM(#REF!,#REF!,#REF!)</f>
        <v>#REF!</v>
      </c>
      <c r="S9" s="8" t="e">
        <f>SUM(#REF!,#REF!,#REF!)</f>
        <v>#REF!</v>
      </c>
      <c r="T9" s="8" t="e">
        <f>SUM(#REF!,#REF!,#REF!)</f>
        <v>#REF!</v>
      </c>
      <c r="U9" s="8" t="e">
        <f>SUM(#REF!,#REF!,#REF!)</f>
        <v>#REF!</v>
      </c>
      <c r="V9" s="8" t="e">
        <f>SUM(#REF!,#REF!,#REF!)</f>
        <v>#REF!</v>
      </c>
      <c r="W9" s="8">
        <f>SUM(W10,W12)</f>
        <v>16500</v>
      </c>
      <c r="X9" s="334"/>
      <c r="Y9" s="211"/>
      <c r="Z9" s="189"/>
      <c r="AA9" s="189"/>
      <c r="AB9" s="179"/>
      <c r="AC9" s="179"/>
      <c r="AD9" s="179"/>
      <c r="AE9" s="179"/>
      <c r="AF9" s="179"/>
      <c r="AG9" s="179"/>
      <c r="AH9" s="179"/>
      <c r="AI9" s="179"/>
      <c r="AJ9" s="179"/>
      <c r="AK9" s="179"/>
      <c r="AL9" s="179"/>
      <c r="AM9" s="179"/>
      <c r="AN9" s="179"/>
      <c r="AO9" s="179"/>
      <c r="AP9" s="179"/>
      <c r="AQ9" s="179"/>
      <c r="AR9" s="179"/>
      <c r="AS9" s="179"/>
      <c r="AT9" s="179"/>
      <c r="AU9" s="179"/>
      <c r="AV9" s="179"/>
      <c r="AW9" s="179"/>
    </row>
    <row r="10" spans="1:49" s="20" customFormat="1" ht="44.25" customHeight="1">
      <c r="A10" s="109" t="s">
        <v>17</v>
      </c>
      <c r="B10" s="110" t="s">
        <v>358</v>
      </c>
      <c r="C10" s="110"/>
      <c r="D10" s="109"/>
      <c r="E10" s="110"/>
      <c r="F10" s="110"/>
      <c r="G10" s="110"/>
      <c r="H10" s="111"/>
      <c r="I10" s="111"/>
      <c r="J10" s="111"/>
      <c r="K10" s="111"/>
      <c r="L10" s="111"/>
      <c r="M10" s="111"/>
      <c r="N10" s="111"/>
      <c r="O10" s="111"/>
      <c r="P10" s="111"/>
      <c r="Q10" s="111"/>
      <c r="R10" s="111"/>
      <c r="S10" s="111"/>
      <c r="T10" s="111"/>
      <c r="U10" s="111"/>
      <c r="V10" s="111"/>
      <c r="W10" s="111">
        <f>SUM(W11)</f>
        <v>12000</v>
      </c>
      <c r="X10" s="335"/>
      <c r="Y10" s="130"/>
      <c r="Z10" s="113"/>
      <c r="AA10" s="113"/>
    </row>
    <row r="11" spans="1:49" ht="60.9" customHeight="1">
      <c r="A11" s="114">
        <v>1</v>
      </c>
      <c r="B11" s="36" t="s">
        <v>388</v>
      </c>
      <c r="C11" s="23" t="s">
        <v>389</v>
      </c>
      <c r="D11" s="34" t="s">
        <v>19</v>
      </c>
      <c r="E11" s="23" t="s">
        <v>421</v>
      </c>
      <c r="F11" s="23" t="s">
        <v>391</v>
      </c>
      <c r="G11" s="86" t="s">
        <v>393</v>
      </c>
      <c r="H11" s="62"/>
      <c r="I11" s="32"/>
      <c r="J11" s="37"/>
      <c r="K11" s="37"/>
      <c r="L11" s="37"/>
      <c r="M11" s="37"/>
      <c r="N11" s="37"/>
      <c r="O11" s="37"/>
      <c r="P11" s="37"/>
      <c r="Q11" s="37"/>
      <c r="R11" s="32"/>
      <c r="S11" s="32"/>
      <c r="T11" s="37"/>
      <c r="U11" s="37"/>
      <c r="V11" s="80"/>
      <c r="W11" s="37">
        <v>12000</v>
      </c>
      <c r="X11" s="335"/>
      <c r="Y11" s="131" t="s">
        <v>985</v>
      </c>
      <c r="AB11" s="6">
        <f>W11</f>
        <v>12000</v>
      </c>
      <c r="AC11" s="6"/>
      <c r="AD11" s="6"/>
      <c r="AE11" s="6"/>
    </row>
    <row r="12" spans="1:49" s="20" customFormat="1" ht="44.25" customHeight="1">
      <c r="A12" s="109" t="s">
        <v>25</v>
      </c>
      <c r="B12" s="110" t="s">
        <v>355</v>
      </c>
      <c r="C12" s="110"/>
      <c r="D12" s="109"/>
      <c r="E12" s="110"/>
      <c r="F12" s="110"/>
      <c r="G12" s="110"/>
      <c r="H12" s="111"/>
      <c r="I12" s="111"/>
      <c r="J12" s="111"/>
      <c r="K12" s="111"/>
      <c r="L12" s="111"/>
      <c r="M12" s="111"/>
      <c r="N12" s="111"/>
      <c r="O12" s="111"/>
      <c r="P12" s="111"/>
      <c r="Q12" s="111"/>
      <c r="R12" s="111"/>
      <c r="S12" s="111"/>
      <c r="T12" s="111"/>
      <c r="U12" s="111"/>
      <c r="V12" s="111"/>
      <c r="W12" s="111">
        <f>SUM(W13)</f>
        <v>4500</v>
      </c>
      <c r="X12" s="112"/>
      <c r="Y12" s="130"/>
      <c r="Z12" s="113"/>
      <c r="AA12" s="113"/>
    </row>
    <row r="13" spans="1:49" ht="72" customHeight="1">
      <c r="A13" s="10">
        <v>1</v>
      </c>
      <c r="B13" s="115" t="s">
        <v>687</v>
      </c>
      <c r="C13" s="10" t="s">
        <v>131</v>
      </c>
      <c r="D13" s="185" t="s">
        <v>19</v>
      </c>
      <c r="E13" s="10" t="s">
        <v>688</v>
      </c>
      <c r="F13" s="10" t="s">
        <v>391</v>
      </c>
      <c r="G13" s="17"/>
      <c r="H13" s="17"/>
      <c r="I13" s="17"/>
      <c r="J13" s="17"/>
      <c r="K13" s="17"/>
      <c r="L13" s="17"/>
      <c r="M13" s="17"/>
      <c r="N13" s="17"/>
      <c r="O13" s="17"/>
      <c r="P13" s="17"/>
      <c r="Q13" s="17"/>
      <c r="R13" s="17"/>
      <c r="S13" s="17"/>
      <c r="T13" s="17"/>
      <c r="U13" s="17"/>
      <c r="V13" s="17"/>
      <c r="W13" s="70">
        <v>4500</v>
      </c>
      <c r="X13" s="17"/>
      <c r="Y13" s="11" t="s">
        <v>985</v>
      </c>
      <c r="AB13" s="6">
        <f>W13</f>
        <v>4500</v>
      </c>
    </row>
    <row r="14" spans="1:49" s="18" customFormat="1" ht="60" customHeight="1">
      <c r="A14" s="13" t="s">
        <v>31</v>
      </c>
      <c r="B14" s="26" t="s">
        <v>1005</v>
      </c>
      <c r="C14" s="13"/>
      <c r="D14" s="13"/>
      <c r="E14" s="13"/>
      <c r="F14" s="13"/>
      <c r="G14" s="13"/>
      <c r="H14" s="8" t="e">
        <f>SUM(#REF!,#REF!,#REF!)</f>
        <v>#REF!</v>
      </c>
      <c r="I14" s="8" t="e">
        <f>SUM(#REF!,#REF!,#REF!)</f>
        <v>#REF!</v>
      </c>
      <c r="J14" s="8" t="e">
        <f>SUM(#REF!,#REF!,#REF!)</f>
        <v>#REF!</v>
      </c>
      <c r="K14" s="8" t="e">
        <f>SUM(#REF!,#REF!,#REF!)</f>
        <v>#REF!</v>
      </c>
      <c r="L14" s="8" t="e">
        <f>SUM(#REF!,#REF!,#REF!)</f>
        <v>#REF!</v>
      </c>
      <c r="M14" s="8" t="e">
        <f>SUM(#REF!,#REF!,#REF!)</f>
        <v>#REF!</v>
      </c>
      <c r="N14" s="8" t="e">
        <f>SUM(#REF!,#REF!,#REF!)</f>
        <v>#REF!</v>
      </c>
      <c r="O14" s="8" t="e">
        <f>SUM(#REF!,#REF!,#REF!)</f>
        <v>#REF!</v>
      </c>
      <c r="P14" s="8" t="e">
        <f>SUM(#REF!,#REF!,#REF!)</f>
        <v>#REF!</v>
      </c>
      <c r="Q14" s="8" t="e">
        <f>SUM(#REF!,#REF!,#REF!)</f>
        <v>#REF!</v>
      </c>
      <c r="R14" s="8" t="e">
        <f>SUM(#REF!,#REF!,#REF!)</f>
        <v>#REF!</v>
      </c>
      <c r="S14" s="8" t="e">
        <f>SUM(#REF!,#REF!,#REF!)</f>
        <v>#REF!</v>
      </c>
      <c r="T14" s="8" t="e">
        <f>SUM(#REF!,#REF!,#REF!)</f>
        <v>#REF!</v>
      </c>
      <c r="U14" s="8" t="e">
        <f>SUM(#REF!,#REF!,#REF!)</f>
        <v>#REF!</v>
      </c>
      <c r="V14" s="8" t="e">
        <f>SUM(#REF!,#REF!,#REF!)</f>
        <v>#REF!</v>
      </c>
      <c r="W14" s="111">
        <f>SUM(W15)</f>
        <v>10000</v>
      </c>
      <c r="X14" s="334"/>
      <c r="Y14" s="211"/>
      <c r="Z14" s="189"/>
      <c r="AA14" s="18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row>
    <row r="15" spans="1:49" s="20" customFormat="1" ht="44.25" customHeight="1">
      <c r="A15" s="109" t="s">
        <v>17</v>
      </c>
      <c r="B15" s="110" t="s">
        <v>358</v>
      </c>
      <c r="C15" s="110"/>
      <c r="D15" s="109"/>
      <c r="E15" s="110"/>
      <c r="F15" s="110"/>
      <c r="G15" s="110"/>
      <c r="H15" s="111"/>
      <c r="I15" s="111"/>
      <c r="J15" s="111"/>
      <c r="K15" s="111"/>
      <c r="L15" s="111"/>
      <c r="M15" s="111"/>
      <c r="N15" s="111"/>
      <c r="O15" s="111"/>
      <c r="P15" s="111"/>
      <c r="Q15" s="111"/>
      <c r="R15" s="111"/>
      <c r="S15" s="111"/>
      <c r="T15" s="111"/>
      <c r="U15" s="111"/>
      <c r="V15" s="111"/>
      <c r="W15" s="111">
        <f>SUM(W16)</f>
        <v>10000</v>
      </c>
      <c r="X15" s="335"/>
      <c r="Y15" s="130"/>
      <c r="Z15" s="113"/>
      <c r="AA15" s="113"/>
    </row>
    <row r="16" spans="1:49" ht="60.9" customHeight="1">
      <c r="A16" s="114">
        <v>1</v>
      </c>
      <c r="B16" s="36" t="s">
        <v>395</v>
      </c>
      <c r="C16" s="23" t="s">
        <v>392</v>
      </c>
      <c r="D16" s="34" t="s">
        <v>19</v>
      </c>
      <c r="E16" s="23" t="s">
        <v>421</v>
      </c>
      <c r="F16" s="23" t="s">
        <v>391</v>
      </c>
      <c r="G16" s="86" t="s">
        <v>396</v>
      </c>
      <c r="H16" s="62"/>
      <c r="I16" s="32"/>
      <c r="J16" s="37"/>
      <c r="K16" s="37"/>
      <c r="L16" s="37"/>
      <c r="M16" s="37"/>
      <c r="N16" s="37"/>
      <c r="O16" s="37"/>
      <c r="P16" s="37"/>
      <c r="Q16" s="37"/>
      <c r="R16" s="32"/>
      <c r="S16" s="32"/>
      <c r="T16" s="37"/>
      <c r="U16" s="37"/>
      <c r="V16" s="80"/>
      <c r="W16" s="37">
        <v>10000</v>
      </c>
      <c r="X16" s="335"/>
      <c r="Y16" s="131" t="s">
        <v>986</v>
      </c>
      <c r="AB16" s="6">
        <f>W16</f>
        <v>10000</v>
      </c>
      <c r="AC16" s="6"/>
      <c r="AD16" s="6"/>
      <c r="AE16" s="6"/>
    </row>
    <row r="17" spans="1:49" s="18" customFormat="1" ht="60" customHeight="1">
      <c r="A17" s="13" t="s">
        <v>90</v>
      </c>
      <c r="B17" s="26" t="s">
        <v>1026</v>
      </c>
      <c r="C17" s="13"/>
      <c r="D17" s="13"/>
      <c r="E17" s="13"/>
      <c r="F17" s="13"/>
      <c r="G17" s="13"/>
      <c r="H17" s="8" t="e">
        <f>SUM(#REF!,#REF!,#REF!)</f>
        <v>#REF!</v>
      </c>
      <c r="I17" s="8" t="e">
        <f>SUM(#REF!,#REF!,#REF!)</f>
        <v>#REF!</v>
      </c>
      <c r="J17" s="8" t="e">
        <f>SUM(#REF!,#REF!,#REF!)</f>
        <v>#REF!</v>
      </c>
      <c r="K17" s="8" t="e">
        <f>SUM(#REF!,#REF!,#REF!)</f>
        <v>#REF!</v>
      </c>
      <c r="L17" s="8" t="e">
        <f>SUM(#REF!,#REF!,#REF!)</f>
        <v>#REF!</v>
      </c>
      <c r="M17" s="8" t="e">
        <f>SUM(#REF!,#REF!,#REF!)</f>
        <v>#REF!</v>
      </c>
      <c r="N17" s="8" t="e">
        <f>SUM(#REF!,#REF!,#REF!)</f>
        <v>#REF!</v>
      </c>
      <c r="O17" s="8" t="e">
        <f>SUM(#REF!,#REF!,#REF!)</f>
        <v>#REF!</v>
      </c>
      <c r="P17" s="8" t="e">
        <f>SUM(#REF!,#REF!,#REF!)</f>
        <v>#REF!</v>
      </c>
      <c r="Q17" s="8" t="e">
        <f>SUM(#REF!,#REF!,#REF!)</f>
        <v>#REF!</v>
      </c>
      <c r="R17" s="8" t="e">
        <f>SUM(#REF!,#REF!,#REF!)</f>
        <v>#REF!</v>
      </c>
      <c r="S17" s="8" t="e">
        <f>SUM(#REF!,#REF!,#REF!)</f>
        <v>#REF!</v>
      </c>
      <c r="T17" s="8" t="e">
        <f>SUM(#REF!,#REF!,#REF!)</f>
        <v>#REF!</v>
      </c>
      <c r="U17" s="8" t="e">
        <f>SUM(#REF!,#REF!,#REF!)</f>
        <v>#REF!</v>
      </c>
      <c r="V17" s="8" t="e">
        <f>SUM(#REF!,#REF!,#REF!)</f>
        <v>#REF!</v>
      </c>
      <c r="W17" s="8">
        <f>SUM(W18,W21,W25)</f>
        <v>49700</v>
      </c>
      <c r="X17" s="334"/>
      <c r="Y17" s="211"/>
      <c r="Z17" s="189"/>
      <c r="AA17" s="18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row>
    <row r="18" spans="1:49" s="20" customFormat="1" ht="44.25" customHeight="1">
      <c r="A18" s="109" t="s">
        <v>17</v>
      </c>
      <c r="B18" s="110" t="s">
        <v>64</v>
      </c>
      <c r="C18" s="110"/>
      <c r="D18" s="109"/>
      <c r="E18" s="110"/>
      <c r="F18" s="110"/>
      <c r="G18" s="110"/>
      <c r="H18" s="111"/>
      <c r="I18" s="111"/>
      <c r="J18" s="111"/>
      <c r="K18" s="111"/>
      <c r="L18" s="111"/>
      <c r="M18" s="111"/>
      <c r="N18" s="111"/>
      <c r="O18" s="111"/>
      <c r="P18" s="111"/>
      <c r="Q18" s="111"/>
      <c r="R18" s="111"/>
      <c r="S18" s="111"/>
      <c r="T18" s="111"/>
      <c r="U18" s="111"/>
      <c r="V18" s="111"/>
      <c r="W18" s="111">
        <f>SUM(W19:W20)</f>
        <v>15900</v>
      </c>
      <c r="X18" s="335"/>
      <c r="Y18" s="130"/>
      <c r="Z18" s="113"/>
      <c r="AA18" s="113"/>
    </row>
    <row r="19" spans="1:49" ht="60.9" customHeight="1">
      <c r="A19" s="114">
        <v>1</v>
      </c>
      <c r="B19" s="183" t="s">
        <v>159</v>
      </c>
      <c r="C19" s="28" t="s">
        <v>158</v>
      </c>
      <c r="D19" s="28" t="s">
        <v>19</v>
      </c>
      <c r="E19" s="28" t="s">
        <v>160</v>
      </c>
      <c r="F19" s="28" t="s">
        <v>36</v>
      </c>
      <c r="G19" s="13"/>
      <c r="H19" s="8"/>
      <c r="I19" s="8"/>
      <c r="J19" s="8"/>
      <c r="K19" s="8"/>
      <c r="L19" s="8"/>
      <c r="M19" s="8"/>
      <c r="N19" s="8"/>
      <c r="O19" s="8"/>
      <c r="P19" s="8"/>
      <c r="Q19" s="8"/>
      <c r="R19" s="8"/>
      <c r="S19" s="8"/>
      <c r="T19" s="8"/>
      <c r="U19" s="8"/>
      <c r="V19" s="8"/>
      <c r="W19" s="32">
        <v>9300</v>
      </c>
      <c r="X19" s="335"/>
      <c r="Y19" s="131"/>
      <c r="AB19" s="6">
        <f>W19</f>
        <v>9300</v>
      </c>
      <c r="AC19" s="6"/>
      <c r="AD19" s="6"/>
      <c r="AE19" s="6"/>
    </row>
    <row r="20" spans="1:49" ht="60.9" customHeight="1">
      <c r="A20" s="114">
        <v>2</v>
      </c>
      <c r="B20" s="183" t="s">
        <v>162</v>
      </c>
      <c r="C20" s="28" t="s">
        <v>161</v>
      </c>
      <c r="D20" s="28" t="s">
        <v>19</v>
      </c>
      <c r="E20" s="28" t="s">
        <v>163</v>
      </c>
      <c r="F20" s="28" t="s">
        <v>36</v>
      </c>
      <c r="G20" s="13"/>
      <c r="H20" s="8"/>
      <c r="I20" s="8"/>
      <c r="J20" s="8"/>
      <c r="K20" s="8"/>
      <c r="L20" s="8"/>
      <c r="M20" s="8"/>
      <c r="N20" s="8"/>
      <c r="O20" s="8"/>
      <c r="P20" s="8"/>
      <c r="Q20" s="8"/>
      <c r="R20" s="8"/>
      <c r="S20" s="8"/>
      <c r="T20" s="8"/>
      <c r="U20" s="8"/>
      <c r="V20" s="8"/>
      <c r="W20" s="32">
        <v>6600</v>
      </c>
      <c r="X20" s="335"/>
      <c r="Y20" s="131"/>
      <c r="AB20" s="6">
        <f>W20</f>
        <v>6600</v>
      </c>
      <c r="AC20" s="6"/>
      <c r="AD20" s="6"/>
      <c r="AE20" s="6"/>
    </row>
    <row r="21" spans="1:49" s="20" customFormat="1" ht="44.25" customHeight="1">
      <c r="A21" s="109" t="s">
        <v>25</v>
      </c>
      <c r="B21" s="110" t="s">
        <v>358</v>
      </c>
      <c r="C21" s="110"/>
      <c r="D21" s="109"/>
      <c r="E21" s="110"/>
      <c r="F21" s="110"/>
      <c r="G21" s="110"/>
      <c r="H21" s="111"/>
      <c r="I21" s="111"/>
      <c r="J21" s="111"/>
      <c r="K21" s="111"/>
      <c r="L21" s="111"/>
      <c r="M21" s="111"/>
      <c r="N21" s="111"/>
      <c r="O21" s="111"/>
      <c r="P21" s="111"/>
      <c r="Q21" s="111"/>
      <c r="R21" s="111"/>
      <c r="S21" s="111"/>
      <c r="T21" s="111"/>
      <c r="U21" s="111"/>
      <c r="V21" s="111"/>
      <c r="W21" s="111">
        <f>SUM(W22:W24)</f>
        <v>30500</v>
      </c>
      <c r="X21" s="335"/>
      <c r="Y21" s="130"/>
      <c r="Z21" s="113"/>
      <c r="AA21" s="113"/>
    </row>
    <row r="22" spans="1:49" ht="60.9" customHeight="1">
      <c r="A22" s="114">
        <v>1</v>
      </c>
      <c r="B22" s="183" t="s">
        <v>173</v>
      </c>
      <c r="C22" s="28" t="s">
        <v>158</v>
      </c>
      <c r="D22" s="28" t="s">
        <v>19</v>
      </c>
      <c r="E22" s="28" t="s">
        <v>174</v>
      </c>
      <c r="F22" s="28" t="s">
        <v>36</v>
      </c>
      <c r="G22" s="86"/>
      <c r="H22" s="62"/>
      <c r="I22" s="32"/>
      <c r="J22" s="37"/>
      <c r="K22" s="37"/>
      <c r="L22" s="37"/>
      <c r="M22" s="37"/>
      <c r="N22" s="37"/>
      <c r="O22" s="37"/>
      <c r="P22" s="37"/>
      <c r="Q22" s="37"/>
      <c r="R22" s="32"/>
      <c r="S22" s="32"/>
      <c r="T22" s="37"/>
      <c r="U22" s="37"/>
      <c r="V22" s="80"/>
      <c r="W22" s="37">
        <v>7000</v>
      </c>
      <c r="X22" s="335"/>
      <c r="Y22" s="131" t="s">
        <v>985</v>
      </c>
      <c r="AB22" s="6">
        <f>W22</f>
        <v>7000</v>
      </c>
      <c r="AC22" s="6"/>
      <c r="AD22" s="6"/>
      <c r="AE22" s="6"/>
    </row>
    <row r="23" spans="1:49" ht="60.9" customHeight="1">
      <c r="A23" s="114">
        <v>2</v>
      </c>
      <c r="B23" s="36" t="s">
        <v>397</v>
      </c>
      <c r="C23" s="23" t="s">
        <v>398</v>
      </c>
      <c r="D23" s="34" t="s">
        <v>19</v>
      </c>
      <c r="E23" s="23" t="s">
        <v>421</v>
      </c>
      <c r="F23" s="23" t="s">
        <v>391</v>
      </c>
      <c r="G23" s="86" t="s">
        <v>399</v>
      </c>
      <c r="H23" s="62"/>
      <c r="I23" s="32"/>
      <c r="J23" s="37"/>
      <c r="K23" s="37"/>
      <c r="L23" s="37"/>
      <c r="M23" s="37"/>
      <c r="N23" s="37"/>
      <c r="O23" s="37"/>
      <c r="P23" s="37"/>
      <c r="Q23" s="37"/>
      <c r="R23" s="32"/>
      <c r="S23" s="32"/>
      <c r="T23" s="37"/>
      <c r="U23" s="37"/>
      <c r="V23" s="80"/>
      <c r="W23" s="37">
        <v>15000</v>
      </c>
      <c r="X23" s="335"/>
      <c r="Y23" s="131"/>
      <c r="AB23" s="6">
        <f>W23</f>
        <v>15000</v>
      </c>
      <c r="AC23" s="6"/>
      <c r="AD23" s="6"/>
      <c r="AE23" s="6"/>
    </row>
    <row r="24" spans="1:49" ht="60.9" customHeight="1">
      <c r="A24" s="114">
        <v>3</v>
      </c>
      <c r="B24" s="115" t="s">
        <v>673</v>
      </c>
      <c r="C24" s="10" t="s">
        <v>674</v>
      </c>
      <c r="D24" s="185" t="s">
        <v>19</v>
      </c>
      <c r="E24" s="10" t="s">
        <v>675</v>
      </c>
      <c r="F24" s="10" t="s">
        <v>36</v>
      </c>
      <c r="G24" s="17" t="s">
        <v>842</v>
      </c>
      <c r="H24" s="17"/>
      <c r="I24" s="17"/>
      <c r="J24" s="17"/>
      <c r="K24" s="17"/>
      <c r="L24" s="17"/>
      <c r="M24" s="17"/>
      <c r="N24" s="17"/>
      <c r="O24" s="17"/>
      <c r="P24" s="17"/>
      <c r="Q24" s="17"/>
      <c r="R24" s="17"/>
      <c r="S24" s="17"/>
      <c r="T24" s="17"/>
      <c r="U24" s="17"/>
      <c r="V24" s="17"/>
      <c r="W24" s="70">
        <v>8500</v>
      </c>
      <c r="X24" s="335"/>
      <c r="Y24" s="131"/>
      <c r="AB24" s="6">
        <f>W24</f>
        <v>8500</v>
      </c>
      <c r="AC24" s="6"/>
      <c r="AD24" s="6"/>
      <c r="AE24" s="6"/>
    </row>
    <row r="25" spans="1:49" s="20" customFormat="1" ht="44.25" customHeight="1">
      <c r="A25" s="109" t="s">
        <v>30</v>
      </c>
      <c r="B25" s="110" t="s">
        <v>65</v>
      </c>
      <c r="C25" s="110"/>
      <c r="D25" s="109"/>
      <c r="E25" s="110"/>
      <c r="F25" s="110"/>
      <c r="G25" s="110"/>
      <c r="H25" s="111"/>
      <c r="I25" s="111"/>
      <c r="J25" s="111"/>
      <c r="K25" s="111"/>
      <c r="L25" s="111"/>
      <c r="M25" s="111"/>
      <c r="N25" s="111"/>
      <c r="O25" s="111"/>
      <c r="P25" s="111"/>
      <c r="Q25" s="111"/>
      <c r="R25" s="111"/>
      <c r="S25" s="111"/>
      <c r="T25" s="111"/>
      <c r="U25" s="111"/>
      <c r="V25" s="111"/>
      <c r="W25" s="111">
        <f>SUM(W26)</f>
        <v>3300</v>
      </c>
      <c r="X25" s="112"/>
      <c r="Y25" s="130"/>
      <c r="Z25" s="113"/>
      <c r="AA25" s="113"/>
    </row>
    <row r="26" spans="1:49" ht="72" customHeight="1">
      <c r="A26" s="10">
        <v>1</v>
      </c>
      <c r="B26" s="36" t="s">
        <v>180</v>
      </c>
      <c r="C26" s="23" t="s">
        <v>158</v>
      </c>
      <c r="D26" s="34" t="s">
        <v>19</v>
      </c>
      <c r="E26" s="23" t="s">
        <v>277</v>
      </c>
      <c r="F26" s="23" t="s">
        <v>36</v>
      </c>
      <c r="G26" s="86"/>
      <c r="H26" s="62"/>
      <c r="I26" s="32"/>
      <c r="J26" s="37"/>
      <c r="K26" s="37"/>
      <c r="L26" s="37"/>
      <c r="M26" s="37"/>
      <c r="N26" s="37"/>
      <c r="O26" s="37"/>
      <c r="P26" s="37"/>
      <c r="Q26" s="37"/>
      <c r="R26" s="32"/>
      <c r="S26" s="32"/>
      <c r="T26" s="37"/>
      <c r="U26" s="37"/>
      <c r="V26" s="80"/>
      <c r="W26" s="37">
        <v>3300</v>
      </c>
      <c r="X26" s="17"/>
      <c r="Y26" s="11" t="s">
        <v>985</v>
      </c>
      <c r="AB26" s="6">
        <f>W26</f>
        <v>3300</v>
      </c>
    </row>
    <row r="27" spans="1:49" s="18" customFormat="1" ht="60" customHeight="1">
      <c r="A27" s="13" t="s">
        <v>284</v>
      </c>
      <c r="B27" s="26" t="s">
        <v>1025</v>
      </c>
      <c r="C27" s="13"/>
      <c r="D27" s="13"/>
      <c r="E27" s="13"/>
      <c r="F27" s="13"/>
      <c r="G27" s="13"/>
      <c r="H27" s="8" t="e">
        <f>SUM(#REF!,#REF!,#REF!)</f>
        <v>#REF!</v>
      </c>
      <c r="I27" s="8" t="e">
        <f>SUM(#REF!,#REF!,#REF!)</f>
        <v>#REF!</v>
      </c>
      <c r="J27" s="8" t="e">
        <f>SUM(#REF!,#REF!,#REF!)</f>
        <v>#REF!</v>
      </c>
      <c r="K27" s="8" t="e">
        <f>SUM(#REF!,#REF!,#REF!)</f>
        <v>#REF!</v>
      </c>
      <c r="L27" s="8" t="e">
        <f>SUM(#REF!,#REF!,#REF!)</f>
        <v>#REF!</v>
      </c>
      <c r="M27" s="8" t="e">
        <f>SUM(#REF!,#REF!,#REF!)</f>
        <v>#REF!</v>
      </c>
      <c r="N27" s="8" t="e">
        <f>SUM(#REF!,#REF!,#REF!)</f>
        <v>#REF!</v>
      </c>
      <c r="O27" s="8" t="e">
        <f>SUM(#REF!,#REF!,#REF!)</f>
        <v>#REF!</v>
      </c>
      <c r="P27" s="8" t="e">
        <f>SUM(#REF!,#REF!,#REF!)</f>
        <v>#REF!</v>
      </c>
      <c r="Q27" s="8" t="e">
        <f>SUM(#REF!,#REF!,#REF!)</f>
        <v>#REF!</v>
      </c>
      <c r="R27" s="8" t="e">
        <f>SUM(#REF!,#REF!,#REF!)</f>
        <v>#REF!</v>
      </c>
      <c r="S27" s="8" t="e">
        <f>SUM(#REF!,#REF!,#REF!)</f>
        <v>#REF!</v>
      </c>
      <c r="T27" s="8" t="e">
        <f>SUM(#REF!,#REF!,#REF!)</f>
        <v>#REF!</v>
      </c>
      <c r="U27" s="8" t="e">
        <f>SUM(#REF!,#REF!,#REF!)</f>
        <v>#REF!</v>
      </c>
      <c r="V27" s="8" t="e">
        <f>SUM(#REF!,#REF!,#REF!)</f>
        <v>#REF!</v>
      </c>
      <c r="W27" s="8">
        <f>SUM(W28,W34,W40)</f>
        <v>141700</v>
      </c>
      <c r="X27" s="334"/>
      <c r="Y27" s="211"/>
      <c r="Z27" s="189"/>
      <c r="AA27" s="18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row>
    <row r="28" spans="1:49" s="20" customFormat="1" ht="44.25" customHeight="1">
      <c r="A28" s="109" t="s">
        <v>17</v>
      </c>
      <c r="B28" s="110" t="s">
        <v>64</v>
      </c>
      <c r="C28" s="110"/>
      <c r="D28" s="109"/>
      <c r="E28" s="110"/>
      <c r="F28" s="110"/>
      <c r="G28" s="110"/>
      <c r="H28" s="111"/>
      <c r="I28" s="111"/>
      <c r="J28" s="111"/>
      <c r="K28" s="111"/>
      <c r="L28" s="111"/>
      <c r="M28" s="111"/>
      <c r="N28" s="111"/>
      <c r="O28" s="111"/>
      <c r="P28" s="111"/>
      <c r="Q28" s="111"/>
      <c r="R28" s="111"/>
      <c r="S28" s="111"/>
      <c r="T28" s="111"/>
      <c r="U28" s="111"/>
      <c r="V28" s="111"/>
      <c r="W28" s="111">
        <f>SUM(W29:W33)</f>
        <v>88400</v>
      </c>
      <c r="X28" s="335"/>
      <c r="Y28" s="130"/>
      <c r="Z28" s="113"/>
      <c r="AA28" s="113"/>
    </row>
    <row r="29" spans="1:49" ht="60.9" customHeight="1">
      <c r="A29" s="114">
        <v>1</v>
      </c>
      <c r="B29" s="115" t="s">
        <v>736</v>
      </c>
      <c r="C29" s="28" t="s">
        <v>930</v>
      </c>
      <c r="D29" s="150" t="s">
        <v>20</v>
      </c>
      <c r="E29" s="28" t="s">
        <v>931</v>
      </c>
      <c r="F29" s="28" t="s">
        <v>932</v>
      </c>
      <c r="G29" s="193"/>
      <c r="H29" s="80">
        <v>80000</v>
      </c>
      <c r="I29" s="81"/>
      <c r="J29" s="32"/>
      <c r="K29" s="32"/>
      <c r="L29" s="32"/>
      <c r="M29" s="32"/>
      <c r="N29" s="32"/>
      <c r="O29" s="32"/>
      <c r="P29" s="32"/>
      <c r="Q29" s="32"/>
      <c r="R29" s="32"/>
      <c r="S29" s="81"/>
      <c r="T29" s="32"/>
      <c r="U29" s="37"/>
      <c r="V29" s="80">
        <f>H29-R29</f>
        <v>80000</v>
      </c>
      <c r="W29" s="37">
        <v>15000</v>
      </c>
      <c r="X29" s="335"/>
      <c r="Y29" s="131"/>
      <c r="AB29" s="6">
        <f>W29</f>
        <v>15000</v>
      </c>
      <c r="AC29" s="6"/>
      <c r="AD29" s="6"/>
      <c r="AE29" s="6"/>
    </row>
    <row r="30" spans="1:49" ht="60.9" customHeight="1">
      <c r="A30" s="114">
        <v>2</v>
      </c>
      <c r="B30" s="115" t="s">
        <v>737</v>
      </c>
      <c r="C30" s="28" t="s">
        <v>930</v>
      </c>
      <c r="D30" s="150" t="s">
        <v>20</v>
      </c>
      <c r="E30" s="28" t="s">
        <v>933</v>
      </c>
      <c r="F30" s="28" t="s">
        <v>932</v>
      </c>
      <c r="G30" s="193"/>
      <c r="H30" s="80">
        <v>80000</v>
      </c>
      <c r="I30" s="81"/>
      <c r="J30" s="32"/>
      <c r="K30" s="32"/>
      <c r="L30" s="32"/>
      <c r="M30" s="32"/>
      <c r="N30" s="32"/>
      <c r="O30" s="32"/>
      <c r="P30" s="32"/>
      <c r="Q30" s="32"/>
      <c r="R30" s="32"/>
      <c r="S30" s="81"/>
      <c r="T30" s="32"/>
      <c r="U30" s="37"/>
      <c r="V30" s="80">
        <f>H30-R30</f>
        <v>80000</v>
      </c>
      <c r="W30" s="37">
        <v>50000</v>
      </c>
      <c r="X30" s="335"/>
      <c r="Y30" s="131"/>
      <c r="AB30" s="6">
        <f>W30</f>
        <v>50000</v>
      </c>
      <c r="AC30" s="6"/>
      <c r="AD30" s="6"/>
      <c r="AE30" s="6"/>
    </row>
    <row r="31" spans="1:49" ht="60.9" customHeight="1">
      <c r="A31" s="114">
        <v>3</v>
      </c>
      <c r="B31" s="183" t="s">
        <v>186</v>
      </c>
      <c r="C31" s="28" t="s">
        <v>187</v>
      </c>
      <c r="D31" s="28" t="s">
        <v>19</v>
      </c>
      <c r="E31" s="28" t="s">
        <v>184</v>
      </c>
      <c r="F31" s="28" t="s">
        <v>36</v>
      </c>
      <c r="G31" s="13"/>
      <c r="H31" s="8"/>
      <c r="I31" s="8"/>
      <c r="J31" s="8"/>
      <c r="K31" s="8"/>
      <c r="L31" s="8"/>
      <c r="M31" s="8"/>
      <c r="N31" s="8"/>
      <c r="O31" s="8"/>
      <c r="P31" s="8"/>
      <c r="Q31" s="8"/>
      <c r="R31" s="8"/>
      <c r="S31" s="8"/>
      <c r="T31" s="8"/>
      <c r="U31" s="8"/>
      <c r="V31" s="8"/>
      <c r="W31" s="32">
        <v>9600</v>
      </c>
      <c r="X31" s="335"/>
      <c r="Y31" s="131"/>
      <c r="AB31" s="6">
        <f>W31</f>
        <v>9600</v>
      </c>
      <c r="AC31" s="6"/>
      <c r="AD31" s="6"/>
      <c r="AE31" s="6"/>
    </row>
    <row r="32" spans="1:49" ht="60.9" customHeight="1">
      <c r="A32" s="114">
        <v>4</v>
      </c>
      <c r="B32" s="183" t="s">
        <v>188</v>
      </c>
      <c r="C32" s="28" t="s">
        <v>185</v>
      </c>
      <c r="D32" s="28" t="s">
        <v>19</v>
      </c>
      <c r="E32" s="28" t="s">
        <v>183</v>
      </c>
      <c r="F32" s="28" t="s">
        <v>36</v>
      </c>
      <c r="G32" s="13"/>
      <c r="H32" s="8"/>
      <c r="I32" s="8"/>
      <c r="J32" s="8"/>
      <c r="K32" s="8"/>
      <c r="L32" s="8"/>
      <c r="M32" s="8"/>
      <c r="N32" s="8"/>
      <c r="O32" s="8"/>
      <c r="P32" s="8"/>
      <c r="Q32" s="8"/>
      <c r="R32" s="8"/>
      <c r="S32" s="8"/>
      <c r="T32" s="8"/>
      <c r="U32" s="8"/>
      <c r="V32" s="8"/>
      <c r="W32" s="32">
        <v>9000</v>
      </c>
      <c r="X32" s="335"/>
      <c r="Y32" s="131"/>
      <c r="AB32" s="6">
        <f>W32</f>
        <v>9000</v>
      </c>
      <c r="AC32" s="6"/>
      <c r="AD32" s="6"/>
      <c r="AE32" s="6"/>
    </row>
    <row r="33" spans="1:49" ht="60.9" customHeight="1">
      <c r="A33" s="114">
        <v>5</v>
      </c>
      <c r="B33" s="183" t="s">
        <v>894</v>
      </c>
      <c r="C33" s="28" t="s">
        <v>190</v>
      </c>
      <c r="D33" s="28" t="s">
        <v>19</v>
      </c>
      <c r="E33" s="28" t="s">
        <v>191</v>
      </c>
      <c r="F33" s="28" t="s">
        <v>36</v>
      </c>
      <c r="G33" s="13"/>
      <c r="H33" s="8"/>
      <c r="I33" s="8"/>
      <c r="J33" s="8"/>
      <c r="K33" s="8"/>
      <c r="L33" s="8"/>
      <c r="M33" s="8"/>
      <c r="N33" s="8"/>
      <c r="O33" s="8"/>
      <c r="P33" s="8"/>
      <c r="Q33" s="8"/>
      <c r="R33" s="8"/>
      <c r="S33" s="8"/>
      <c r="T33" s="8"/>
      <c r="U33" s="8"/>
      <c r="V33" s="8"/>
      <c r="W33" s="80">
        <v>4800</v>
      </c>
      <c r="X33" s="335"/>
      <c r="Y33" s="131"/>
      <c r="AB33" s="6">
        <f>W33</f>
        <v>4800</v>
      </c>
      <c r="AC33" s="6"/>
      <c r="AD33" s="6"/>
      <c r="AE33" s="6"/>
    </row>
    <row r="34" spans="1:49" s="20" customFormat="1" ht="44.25" customHeight="1">
      <c r="A34" s="109" t="s">
        <v>25</v>
      </c>
      <c r="B34" s="110" t="s">
        <v>358</v>
      </c>
      <c r="C34" s="110"/>
      <c r="D34" s="109"/>
      <c r="E34" s="110"/>
      <c r="F34" s="110"/>
      <c r="G34" s="110"/>
      <c r="H34" s="111"/>
      <c r="I34" s="111"/>
      <c r="J34" s="111"/>
      <c r="K34" s="111"/>
      <c r="L34" s="111"/>
      <c r="M34" s="111"/>
      <c r="N34" s="111"/>
      <c r="O34" s="111"/>
      <c r="P34" s="111"/>
      <c r="Q34" s="111"/>
      <c r="R34" s="111"/>
      <c r="S34" s="111"/>
      <c r="T34" s="111"/>
      <c r="U34" s="111"/>
      <c r="V34" s="111"/>
      <c r="W34" s="111">
        <f>SUM(W35:W39)</f>
        <v>34000</v>
      </c>
      <c r="X34" s="335"/>
      <c r="Y34" s="130"/>
      <c r="Z34" s="113"/>
      <c r="AA34" s="113"/>
    </row>
    <row r="35" spans="1:49" ht="60.9" customHeight="1">
      <c r="A35" s="114">
        <v>1</v>
      </c>
      <c r="B35" s="183" t="s">
        <v>194</v>
      </c>
      <c r="C35" s="28" t="s">
        <v>185</v>
      </c>
      <c r="D35" s="28" t="s">
        <v>19</v>
      </c>
      <c r="E35" s="28" t="s">
        <v>195</v>
      </c>
      <c r="F35" s="28" t="s">
        <v>36</v>
      </c>
      <c r="G35" s="86"/>
      <c r="H35" s="62"/>
      <c r="I35" s="32"/>
      <c r="J35" s="37"/>
      <c r="K35" s="37"/>
      <c r="L35" s="37"/>
      <c r="M35" s="37"/>
      <c r="N35" s="37"/>
      <c r="O35" s="37"/>
      <c r="P35" s="37"/>
      <c r="Q35" s="37"/>
      <c r="R35" s="32"/>
      <c r="S35" s="32"/>
      <c r="T35" s="37"/>
      <c r="U35" s="37"/>
      <c r="V35" s="80"/>
      <c r="W35" s="37">
        <v>6000</v>
      </c>
      <c r="X35" s="335"/>
      <c r="Y35" s="131" t="s">
        <v>985</v>
      </c>
      <c r="AB35" s="6">
        <f>W35</f>
        <v>6000</v>
      </c>
      <c r="AC35" s="6"/>
      <c r="AD35" s="6"/>
      <c r="AE35" s="6"/>
    </row>
    <row r="36" spans="1:49" ht="60.9" customHeight="1">
      <c r="A36" s="114">
        <v>2</v>
      </c>
      <c r="B36" s="183" t="s">
        <v>196</v>
      </c>
      <c r="C36" s="28" t="s">
        <v>185</v>
      </c>
      <c r="D36" s="28" t="s">
        <v>19</v>
      </c>
      <c r="E36" s="28" t="s">
        <v>197</v>
      </c>
      <c r="F36" s="28" t="s">
        <v>36</v>
      </c>
      <c r="G36" s="86"/>
      <c r="H36" s="62"/>
      <c r="I36" s="32"/>
      <c r="J36" s="37"/>
      <c r="K36" s="37"/>
      <c r="L36" s="37"/>
      <c r="M36" s="37"/>
      <c r="N36" s="37"/>
      <c r="O36" s="37"/>
      <c r="P36" s="37"/>
      <c r="Q36" s="37"/>
      <c r="R36" s="32"/>
      <c r="S36" s="32"/>
      <c r="T36" s="37"/>
      <c r="U36" s="37"/>
      <c r="V36" s="80"/>
      <c r="W36" s="37">
        <v>6000</v>
      </c>
      <c r="X36" s="335"/>
      <c r="Y36" s="131"/>
      <c r="AB36" s="6">
        <f>W36</f>
        <v>6000</v>
      </c>
      <c r="AC36" s="6"/>
      <c r="AD36" s="6"/>
      <c r="AE36" s="6"/>
    </row>
    <row r="37" spans="1:49" ht="60.9" customHeight="1">
      <c r="A37" s="114">
        <v>3</v>
      </c>
      <c r="B37" s="183" t="s">
        <v>198</v>
      </c>
      <c r="C37" s="28" t="s">
        <v>189</v>
      </c>
      <c r="D37" s="28" t="s">
        <v>19</v>
      </c>
      <c r="E37" s="28" t="s">
        <v>199</v>
      </c>
      <c r="F37" s="28" t="s">
        <v>36</v>
      </c>
      <c r="G37" s="86"/>
      <c r="H37" s="62"/>
      <c r="I37" s="32"/>
      <c r="J37" s="37"/>
      <c r="K37" s="37"/>
      <c r="L37" s="37"/>
      <c r="M37" s="37"/>
      <c r="N37" s="37"/>
      <c r="O37" s="37"/>
      <c r="P37" s="37"/>
      <c r="Q37" s="37"/>
      <c r="R37" s="32"/>
      <c r="S37" s="32"/>
      <c r="T37" s="37"/>
      <c r="U37" s="37"/>
      <c r="V37" s="80"/>
      <c r="W37" s="37">
        <v>5000</v>
      </c>
      <c r="X37" s="335"/>
      <c r="Y37" s="131"/>
      <c r="AB37" s="6">
        <f>W37</f>
        <v>5000</v>
      </c>
      <c r="AC37" s="6"/>
      <c r="AD37" s="6"/>
      <c r="AE37" s="6"/>
    </row>
    <row r="38" spans="1:49" ht="60.9" customHeight="1">
      <c r="A38" s="114">
        <v>4</v>
      </c>
      <c r="B38" s="183" t="s">
        <v>200</v>
      </c>
      <c r="C38" s="28" t="s">
        <v>189</v>
      </c>
      <c r="D38" s="28" t="s">
        <v>19</v>
      </c>
      <c r="E38" s="28" t="s">
        <v>201</v>
      </c>
      <c r="F38" s="28" t="s">
        <v>36</v>
      </c>
      <c r="G38" s="86"/>
      <c r="H38" s="62"/>
      <c r="I38" s="32"/>
      <c r="J38" s="37"/>
      <c r="K38" s="37"/>
      <c r="L38" s="37"/>
      <c r="M38" s="37"/>
      <c r="N38" s="37"/>
      <c r="O38" s="37"/>
      <c r="P38" s="37"/>
      <c r="Q38" s="37"/>
      <c r="R38" s="32"/>
      <c r="S38" s="32"/>
      <c r="T38" s="37"/>
      <c r="U38" s="37"/>
      <c r="V38" s="80"/>
      <c r="W38" s="37">
        <v>5000</v>
      </c>
      <c r="X38" s="335"/>
      <c r="Y38" s="131"/>
      <c r="AB38" s="6">
        <f>W38</f>
        <v>5000</v>
      </c>
      <c r="AC38" s="6"/>
      <c r="AD38" s="6"/>
      <c r="AE38" s="6"/>
    </row>
    <row r="39" spans="1:49" ht="60.9" customHeight="1">
      <c r="A39" s="114">
        <v>5</v>
      </c>
      <c r="B39" s="36" t="s">
        <v>401</v>
      </c>
      <c r="C39" s="23" t="s">
        <v>487</v>
      </c>
      <c r="D39" s="34" t="s">
        <v>19</v>
      </c>
      <c r="E39" s="23" t="s">
        <v>421</v>
      </c>
      <c r="F39" s="23" t="s">
        <v>391</v>
      </c>
      <c r="G39" s="86" t="s">
        <v>402</v>
      </c>
      <c r="H39" s="62"/>
      <c r="I39" s="32"/>
      <c r="J39" s="37"/>
      <c r="K39" s="37"/>
      <c r="L39" s="37"/>
      <c r="M39" s="37"/>
      <c r="N39" s="37"/>
      <c r="O39" s="37"/>
      <c r="P39" s="37"/>
      <c r="Q39" s="37"/>
      <c r="R39" s="32"/>
      <c r="S39" s="32"/>
      <c r="T39" s="37"/>
      <c r="U39" s="37"/>
      <c r="V39" s="80"/>
      <c r="W39" s="37">
        <v>12000</v>
      </c>
      <c r="X39" s="335"/>
      <c r="Y39" s="131"/>
      <c r="AB39" s="6">
        <f>W39</f>
        <v>12000</v>
      </c>
      <c r="AC39" s="6"/>
      <c r="AD39" s="6"/>
      <c r="AE39" s="6"/>
    </row>
    <row r="40" spans="1:49" s="20" customFormat="1" ht="44.25" customHeight="1">
      <c r="A40" s="109" t="s">
        <v>30</v>
      </c>
      <c r="B40" s="110" t="s">
        <v>65</v>
      </c>
      <c r="C40" s="110"/>
      <c r="D40" s="109"/>
      <c r="E40" s="110"/>
      <c r="F40" s="110"/>
      <c r="G40" s="110"/>
      <c r="H40" s="111"/>
      <c r="I40" s="111"/>
      <c r="J40" s="111"/>
      <c r="K40" s="111"/>
      <c r="L40" s="111"/>
      <c r="M40" s="111"/>
      <c r="N40" s="111"/>
      <c r="O40" s="111"/>
      <c r="P40" s="111"/>
      <c r="Q40" s="111"/>
      <c r="R40" s="111"/>
      <c r="S40" s="111"/>
      <c r="T40" s="111"/>
      <c r="U40" s="111"/>
      <c r="V40" s="111"/>
      <c r="W40" s="111">
        <f>SUM(W41:W43)</f>
        <v>19300</v>
      </c>
      <c r="X40" s="112"/>
      <c r="Y40" s="130"/>
      <c r="Z40" s="113"/>
      <c r="AA40" s="113"/>
    </row>
    <row r="41" spans="1:49" ht="72" customHeight="1">
      <c r="A41" s="10">
        <v>1</v>
      </c>
      <c r="B41" s="36" t="s">
        <v>207</v>
      </c>
      <c r="C41" s="23" t="s">
        <v>189</v>
      </c>
      <c r="D41" s="34" t="s">
        <v>19</v>
      </c>
      <c r="E41" s="23" t="s">
        <v>208</v>
      </c>
      <c r="F41" s="23" t="s">
        <v>36</v>
      </c>
      <c r="G41" s="86"/>
      <c r="H41" s="62"/>
      <c r="I41" s="32"/>
      <c r="J41" s="37"/>
      <c r="K41" s="37"/>
      <c r="L41" s="37"/>
      <c r="M41" s="37"/>
      <c r="N41" s="37"/>
      <c r="O41" s="37"/>
      <c r="P41" s="37"/>
      <c r="Q41" s="37"/>
      <c r="R41" s="32"/>
      <c r="S41" s="32"/>
      <c r="T41" s="37"/>
      <c r="U41" s="37"/>
      <c r="V41" s="80"/>
      <c r="W41" s="37">
        <v>2800</v>
      </c>
      <c r="X41" s="17"/>
      <c r="Y41" s="11" t="s">
        <v>985</v>
      </c>
      <c r="AB41" s="6">
        <f>W41</f>
        <v>2800</v>
      </c>
    </row>
    <row r="42" spans="1:49" ht="60.9" customHeight="1">
      <c r="A42" s="114">
        <v>2</v>
      </c>
      <c r="B42" s="36" t="s">
        <v>209</v>
      </c>
      <c r="C42" s="23" t="s">
        <v>189</v>
      </c>
      <c r="D42" s="34" t="s">
        <v>19</v>
      </c>
      <c r="E42" s="23" t="s">
        <v>177</v>
      </c>
      <c r="F42" s="23" t="s">
        <v>36</v>
      </c>
      <c r="G42" s="86"/>
      <c r="H42" s="62"/>
      <c r="I42" s="32"/>
      <c r="J42" s="37"/>
      <c r="K42" s="37"/>
      <c r="L42" s="37"/>
      <c r="M42" s="37"/>
      <c r="N42" s="37"/>
      <c r="O42" s="37"/>
      <c r="P42" s="37"/>
      <c r="Q42" s="37"/>
      <c r="R42" s="32"/>
      <c r="S42" s="32"/>
      <c r="T42" s="37"/>
      <c r="U42" s="37"/>
      <c r="V42" s="80"/>
      <c r="W42" s="37">
        <v>1500</v>
      </c>
      <c r="X42" s="335"/>
      <c r="Y42" s="131"/>
      <c r="AB42" s="6">
        <f>W42</f>
        <v>1500</v>
      </c>
      <c r="AC42" s="6"/>
      <c r="AD42" s="6"/>
      <c r="AE42" s="6"/>
    </row>
    <row r="43" spans="1:49" ht="92.25" customHeight="1">
      <c r="A43" s="114">
        <v>3</v>
      </c>
      <c r="B43" s="36" t="s">
        <v>882</v>
      </c>
      <c r="C43" s="23" t="s">
        <v>748</v>
      </c>
      <c r="D43" s="34" t="s">
        <v>20</v>
      </c>
      <c r="E43" s="23" t="s">
        <v>750</v>
      </c>
      <c r="F43" s="23" t="s">
        <v>749</v>
      </c>
      <c r="G43" s="86"/>
      <c r="H43" s="62"/>
      <c r="I43" s="32"/>
      <c r="J43" s="37"/>
      <c r="K43" s="37"/>
      <c r="L43" s="37"/>
      <c r="M43" s="37"/>
      <c r="N43" s="37"/>
      <c r="O43" s="37"/>
      <c r="P43" s="37"/>
      <c r="Q43" s="37"/>
      <c r="R43" s="32"/>
      <c r="S43" s="32"/>
      <c r="T43" s="37"/>
      <c r="U43" s="37"/>
      <c r="V43" s="80"/>
      <c r="W43" s="37">
        <v>15000</v>
      </c>
      <c r="X43" s="335"/>
      <c r="Y43" s="131"/>
      <c r="AB43" s="6">
        <f>W43</f>
        <v>15000</v>
      </c>
      <c r="AC43" s="6"/>
      <c r="AD43" s="6"/>
      <c r="AE43" s="6"/>
    </row>
    <row r="44" spans="1:49" s="18" customFormat="1" ht="60" customHeight="1">
      <c r="A44" s="13" t="s">
        <v>286</v>
      </c>
      <c r="B44" s="26" t="s">
        <v>1021</v>
      </c>
      <c r="C44" s="13"/>
      <c r="D44" s="13"/>
      <c r="E44" s="13"/>
      <c r="F44" s="13"/>
      <c r="G44" s="13"/>
      <c r="H44" s="8" t="e">
        <f>SUM(#REF!,#REF!,#REF!)</f>
        <v>#REF!</v>
      </c>
      <c r="I44" s="8" t="e">
        <f>SUM(#REF!,#REF!,#REF!)</f>
        <v>#REF!</v>
      </c>
      <c r="J44" s="8" t="e">
        <f>SUM(#REF!,#REF!,#REF!)</f>
        <v>#REF!</v>
      </c>
      <c r="K44" s="8" t="e">
        <f>SUM(#REF!,#REF!,#REF!)</f>
        <v>#REF!</v>
      </c>
      <c r="L44" s="8" t="e">
        <f>SUM(#REF!,#REF!,#REF!)</f>
        <v>#REF!</v>
      </c>
      <c r="M44" s="8" t="e">
        <f>SUM(#REF!,#REF!,#REF!)</f>
        <v>#REF!</v>
      </c>
      <c r="N44" s="8" t="e">
        <f>SUM(#REF!,#REF!,#REF!)</f>
        <v>#REF!</v>
      </c>
      <c r="O44" s="8" t="e">
        <f>SUM(#REF!,#REF!,#REF!)</f>
        <v>#REF!</v>
      </c>
      <c r="P44" s="8" t="e">
        <f>SUM(#REF!,#REF!,#REF!)</f>
        <v>#REF!</v>
      </c>
      <c r="Q44" s="8" t="e">
        <f>SUM(#REF!,#REF!,#REF!)</f>
        <v>#REF!</v>
      </c>
      <c r="R44" s="8" t="e">
        <f>SUM(#REF!,#REF!,#REF!)</f>
        <v>#REF!</v>
      </c>
      <c r="S44" s="8" t="e">
        <f>SUM(#REF!,#REF!,#REF!)</f>
        <v>#REF!</v>
      </c>
      <c r="T44" s="8" t="e">
        <f>SUM(#REF!,#REF!,#REF!)</f>
        <v>#REF!</v>
      </c>
      <c r="U44" s="8" t="e">
        <f>SUM(#REF!,#REF!,#REF!)</f>
        <v>#REF!</v>
      </c>
      <c r="V44" s="8" t="e">
        <f>SUM(#REF!,#REF!,#REF!)</f>
        <v>#REF!</v>
      </c>
      <c r="W44" s="8">
        <f>SUM(W45,W47,W52)</f>
        <v>44400</v>
      </c>
      <c r="X44" s="334"/>
      <c r="Y44" s="211"/>
      <c r="Z44" s="189"/>
      <c r="AA44" s="18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row>
    <row r="45" spans="1:49" s="20" customFormat="1" ht="44.25" customHeight="1">
      <c r="A45" s="109" t="s">
        <v>17</v>
      </c>
      <c r="B45" s="110" t="s">
        <v>64</v>
      </c>
      <c r="C45" s="110"/>
      <c r="D45" s="109"/>
      <c r="E45" s="110"/>
      <c r="F45" s="110"/>
      <c r="G45" s="110"/>
      <c r="H45" s="111"/>
      <c r="I45" s="111"/>
      <c r="J45" s="111"/>
      <c r="K45" s="111"/>
      <c r="L45" s="111"/>
      <c r="M45" s="111"/>
      <c r="N45" s="111"/>
      <c r="O45" s="111"/>
      <c r="P45" s="111"/>
      <c r="Q45" s="111"/>
      <c r="R45" s="111"/>
      <c r="S45" s="111"/>
      <c r="T45" s="111"/>
      <c r="U45" s="111"/>
      <c r="V45" s="111"/>
      <c r="W45" s="111">
        <f>SUM(W46:W46)</f>
        <v>6000</v>
      </c>
      <c r="X45" s="335"/>
      <c r="Y45" s="130"/>
      <c r="Z45" s="113"/>
      <c r="AA45" s="113"/>
    </row>
    <row r="46" spans="1:49" ht="60.9" customHeight="1">
      <c r="A46" s="114">
        <v>1</v>
      </c>
      <c r="B46" s="183" t="s">
        <v>217</v>
      </c>
      <c r="C46" s="28" t="s">
        <v>216</v>
      </c>
      <c r="D46" s="28" t="s">
        <v>19</v>
      </c>
      <c r="E46" s="28" t="s">
        <v>218</v>
      </c>
      <c r="F46" s="28" t="s">
        <v>36</v>
      </c>
      <c r="G46" s="13"/>
      <c r="H46" s="8"/>
      <c r="I46" s="8"/>
      <c r="J46" s="8"/>
      <c r="K46" s="8"/>
      <c r="L46" s="8"/>
      <c r="M46" s="8"/>
      <c r="N46" s="8"/>
      <c r="O46" s="8"/>
      <c r="P46" s="8"/>
      <c r="Q46" s="8"/>
      <c r="R46" s="8"/>
      <c r="S46" s="8"/>
      <c r="T46" s="8"/>
      <c r="U46" s="8"/>
      <c r="V46" s="8"/>
      <c r="W46" s="80">
        <v>6000</v>
      </c>
      <c r="X46" s="335"/>
      <c r="Y46" s="131"/>
      <c r="AB46" s="6">
        <f>W46</f>
        <v>6000</v>
      </c>
      <c r="AC46" s="6"/>
      <c r="AD46" s="6"/>
      <c r="AE46" s="6"/>
    </row>
    <row r="47" spans="1:49" s="20" customFormat="1" ht="44.25" customHeight="1">
      <c r="A47" s="109" t="s">
        <v>25</v>
      </c>
      <c r="B47" s="110" t="s">
        <v>358</v>
      </c>
      <c r="C47" s="110"/>
      <c r="D47" s="109"/>
      <c r="E47" s="110"/>
      <c r="F47" s="110"/>
      <c r="G47" s="110"/>
      <c r="H47" s="111"/>
      <c r="I47" s="111"/>
      <c r="J47" s="111"/>
      <c r="K47" s="111"/>
      <c r="L47" s="111"/>
      <c r="M47" s="111"/>
      <c r="N47" s="111"/>
      <c r="O47" s="111"/>
      <c r="P47" s="111"/>
      <c r="Q47" s="111"/>
      <c r="R47" s="111"/>
      <c r="S47" s="111"/>
      <c r="T47" s="111"/>
      <c r="U47" s="111"/>
      <c r="V47" s="111"/>
      <c r="W47" s="111">
        <f>SUM(W48:W51)</f>
        <v>34300</v>
      </c>
      <c r="X47" s="335"/>
      <c r="Y47" s="130"/>
      <c r="Z47" s="113"/>
      <c r="AA47" s="113"/>
    </row>
    <row r="48" spans="1:49" ht="60.9" customHeight="1">
      <c r="A48" s="114">
        <v>1</v>
      </c>
      <c r="B48" s="183" t="s">
        <v>222</v>
      </c>
      <c r="C48" s="28" t="s">
        <v>211</v>
      </c>
      <c r="D48" s="28" t="s">
        <v>19</v>
      </c>
      <c r="E48" s="28" t="s">
        <v>223</v>
      </c>
      <c r="F48" s="28" t="s">
        <v>36</v>
      </c>
      <c r="G48" s="86"/>
      <c r="H48" s="62"/>
      <c r="I48" s="32"/>
      <c r="J48" s="37"/>
      <c r="K48" s="37"/>
      <c r="L48" s="37"/>
      <c r="M48" s="37"/>
      <c r="N48" s="37"/>
      <c r="O48" s="37"/>
      <c r="P48" s="37"/>
      <c r="Q48" s="37"/>
      <c r="R48" s="32"/>
      <c r="S48" s="32"/>
      <c r="T48" s="37"/>
      <c r="U48" s="37"/>
      <c r="V48" s="80"/>
      <c r="W48" s="37">
        <v>3200</v>
      </c>
      <c r="X48" s="335"/>
      <c r="Y48" s="131"/>
      <c r="AB48" s="6"/>
      <c r="AC48" s="6"/>
      <c r="AD48" s="6"/>
      <c r="AE48" s="6"/>
    </row>
    <row r="49" spans="1:49" ht="60.9" customHeight="1">
      <c r="A49" s="114">
        <v>2</v>
      </c>
      <c r="B49" s="183" t="s">
        <v>227</v>
      </c>
      <c r="C49" s="28" t="s">
        <v>216</v>
      </c>
      <c r="D49" s="28" t="s">
        <v>19</v>
      </c>
      <c r="E49" s="28" t="s">
        <v>228</v>
      </c>
      <c r="F49" s="28" t="s">
        <v>36</v>
      </c>
      <c r="G49" s="87" t="s">
        <v>229</v>
      </c>
      <c r="H49" s="62"/>
      <c r="I49" s="32"/>
      <c r="J49" s="37"/>
      <c r="K49" s="37"/>
      <c r="L49" s="37"/>
      <c r="M49" s="37"/>
      <c r="N49" s="37"/>
      <c r="O49" s="37"/>
      <c r="P49" s="37"/>
      <c r="Q49" s="37"/>
      <c r="R49" s="32"/>
      <c r="S49" s="32"/>
      <c r="T49" s="37"/>
      <c r="U49" s="37"/>
      <c r="V49" s="80"/>
      <c r="W49" s="37">
        <v>7500</v>
      </c>
      <c r="X49" s="335"/>
      <c r="Y49" s="131" t="s">
        <v>985</v>
      </c>
      <c r="AB49" s="6">
        <f t="shared" ref="AB49:AB54" si="0">W49</f>
        <v>7500</v>
      </c>
      <c r="AC49" s="6"/>
      <c r="AD49" s="6"/>
      <c r="AE49" s="6"/>
    </row>
    <row r="50" spans="1:49" ht="60.9" customHeight="1">
      <c r="A50" s="114">
        <v>3</v>
      </c>
      <c r="B50" s="183" t="s">
        <v>230</v>
      </c>
      <c r="C50" s="28" t="s">
        <v>216</v>
      </c>
      <c r="D50" s="28" t="s">
        <v>19</v>
      </c>
      <c r="E50" s="28" t="s">
        <v>231</v>
      </c>
      <c r="F50" s="28" t="s">
        <v>36</v>
      </c>
      <c r="G50" s="87" t="s">
        <v>232</v>
      </c>
      <c r="H50" s="62"/>
      <c r="I50" s="32"/>
      <c r="J50" s="37"/>
      <c r="K50" s="37"/>
      <c r="L50" s="37"/>
      <c r="M50" s="37"/>
      <c r="N50" s="37"/>
      <c r="O50" s="37"/>
      <c r="P50" s="37"/>
      <c r="Q50" s="37"/>
      <c r="R50" s="32"/>
      <c r="S50" s="32"/>
      <c r="T50" s="37"/>
      <c r="U50" s="37"/>
      <c r="V50" s="80"/>
      <c r="W50" s="37">
        <v>8600</v>
      </c>
      <c r="X50" s="335"/>
      <c r="Y50" s="131"/>
      <c r="AB50" s="6">
        <f t="shared" si="0"/>
        <v>8600</v>
      </c>
      <c r="AC50" s="6"/>
      <c r="AD50" s="6"/>
      <c r="AE50" s="6"/>
    </row>
    <row r="51" spans="1:49" ht="60.9" customHeight="1">
      <c r="A51" s="114">
        <v>4</v>
      </c>
      <c r="B51" s="36" t="s">
        <v>406</v>
      </c>
      <c r="C51" s="23" t="s">
        <v>488</v>
      </c>
      <c r="D51" s="34" t="s">
        <v>19</v>
      </c>
      <c r="E51" s="23" t="s">
        <v>421</v>
      </c>
      <c r="F51" s="23" t="s">
        <v>391</v>
      </c>
      <c r="G51" s="86" t="s">
        <v>407</v>
      </c>
      <c r="H51" s="62"/>
      <c r="I51" s="32"/>
      <c r="J51" s="37"/>
      <c r="K51" s="37"/>
      <c r="L51" s="37"/>
      <c r="M51" s="37"/>
      <c r="N51" s="37"/>
      <c r="O51" s="37"/>
      <c r="P51" s="37"/>
      <c r="Q51" s="37"/>
      <c r="R51" s="32"/>
      <c r="S51" s="32"/>
      <c r="T51" s="37"/>
      <c r="U51" s="37"/>
      <c r="V51" s="80"/>
      <c r="W51" s="37">
        <v>15000</v>
      </c>
      <c r="X51" s="335"/>
      <c r="Y51" s="131"/>
      <c r="AB51" s="6">
        <f t="shared" si="0"/>
        <v>15000</v>
      </c>
      <c r="AC51" s="6"/>
      <c r="AD51" s="6"/>
      <c r="AE51" s="6"/>
    </row>
    <row r="52" spans="1:49" s="20" customFormat="1" ht="44.25" customHeight="1">
      <c r="A52" s="109" t="s">
        <v>30</v>
      </c>
      <c r="B52" s="110" t="s">
        <v>65</v>
      </c>
      <c r="C52" s="110"/>
      <c r="D52" s="109"/>
      <c r="E52" s="110"/>
      <c r="F52" s="110"/>
      <c r="G52" s="110"/>
      <c r="H52" s="111"/>
      <c r="I52" s="111"/>
      <c r="J52" s="111"/>
      <c r="K52" s="111"/>
      <c r="L52" s="111"/>
      <c r="M52" s="111"/>
      <c r="N52" s="111"/>
      <c r="O52" s="111"/>
      <c r="P52" s="111"/>
      <c r="Q52" s="111"/>
      <c r="R52" s="111"/>
      <c r="S52" s="111"/>
      <c r="T52" s="111"/>
      <c r="U52" s="111"/>
      <c r="V52" s="111"/>
      <c r="W52" s="111">
        <f>SUM(W53:W54)</f>
        <v>4100</v>
      </c>
      <c r="X52" s="112"/>
      <c r="Y52" s="130"/>
      <c r="Z52" s="113"/>
      <c r="AA52" s="113"/>
      <c r="AB52" s="6"/>
    </row>
    <row r="53" spans="1:49" ht="72" customHeight="1">
      <c r="A53" s="10">
        <v>1</v>
      </c>
      <c r="B53" s="183" t="s">
        <v>844</v>
      </c>
      <c r="C53" s="28" t="s">
        <v>215</v>
      </c>
      <c r="D53" s="28" t="s">
        <v>19</v>
      </c>
      <c r="E53" s="28" t="s">
        <v>206</v>
      </c>
      <c r="F53" s="28" t="s">
        <v>36</v>
      </c>
      <c r="G53" s="86"/>
      <c r="H53" s="62"/>
      <c r="I53" s="32"/>
      <c r="J53" s="37"/>
      <c r="K53" s="37"/>
      <c r="L53" s="37"/>
      <c r="M53" s="37"/>
      <c r="N53" s="37"/>
      <c r="O53" s="37"/>
      <c r="P53" s="37"/>
      <c r="Q53" s="37"/>
      <c r="R53" s="32"/>
      <c r="S53" s="32"/>
      <c r="T53" s="37"/>
      <c r="U53" s="37"/>
      <c r="V53" s="80"/>
      <c r="W53" s="37">
        <v>1000</v>
      </c>
      <c r="X53" s="17"/>
      <c r="AB53" s="6">
        <f t="shared" si="0"/>
        <v>1000</v>
      </c>
    </row>
    <row r="54" spans="1:49" ht="72" customHeight="1">
      <c r="A54" s="10">
        <v>2</v>
      </c>
      <c r="B54" s="183" t="s">
        <v>235</v>
      </c>
      <c r="C54" s="28" t="s">
        <v>216</v>
      </c>
      <c r="D54" s="28" t="s">
        <v>19</v>
      </c>
      <c r="E54" s="28" t="s">
        <v>208</v>
      </c>
      <c r="F54" s="28" t="s">
        <v>36</v>
      </c>
      <c r="G54" s="86"/>
      <c r="H54" s="62"/>
      <c r="I54" s="32"/>
      <c r="J54" s="37"/>
      <c r="K54" s="37"/>
      <c r="L54" s="37"/>
      <c r="M54" s="37"/>
      <c r="N54" s="37"/>
      <c r="O54" s="37"/>
      <c r="P54" s="37"/>
      <c r="Q54" s="37"/>
      <c r="R54" s="32"/>
      <c r="S54" s="32"/>
      <c r="T54" s="37"/>
      <c r="U54" s="37"/>
      <c r="V54" s="80"/>
      <c r="W54" s="37">
        <v>3100</v>
      </c>
      <c r="X54" s="17"/>
      <c r="AB54" s="6">
        <f t="shared" si="0"/>
        <v>3100</v>
      </c>
    </row>
    <row r="55" spans="1:49" s="18" customFormat="1" ht="60" customHeight="1">
      <c r="A55" s="13" t="s">
        <v>91</v>
      </c>
      <c r="B55" s="26" t="s">
        <v>1022</v>
      </c>
      <c r="C55" s="13"/>
      <c r="D55" s="13"/>
      <c r="E55" s="13"/>
      <c r="F55" s="13"/>
      <c r="G55" s="13"/>
      <c r="H55" s="8" t="e">
        <f>SUM(#REF!,#REF!,#REF!)</f>
        <v>#REF!</v>
      </c>
      <c r="I55" s="8" t="e">
        <f>SUM(#REF!,#REF!,#REF!)</f>
        <v>#REF!</v>
      </c>
      <c r="J55" s="8" t="e">
        <f>SUM(#REF!,#REF!,#REF!)</f>
        <v>#REF!</v>
      </c>
      <c r="K55" s="8" t="e">
        <f>SUM(#REF!,#REF!,#REF!)</f>
        <v>#REF!</v>
      </c>
      <c r="L55" s="8" t="e">
        <f>SUM(#REF!,#REF!,#REF!)</f>
        <v>#REF!</v>
      </c>
      <c r="M55" s="8" t="e">
        <f>SUM(#REF!,#REF!,#REF!)</f>
        <v>#REF!</v>
      </c>
      <c r="N55" s="8" t="e">
        <f>SUM(#REF!,#REF!,#REF!)</f>
        <v>#REF!</v>
      </c>
      <c r="O55" s="8" t="e">
        <f>SUM(#REF!,#REF!,#REF!)</f>
        <v>#REF!</v>
      </c>
      <c r="P55" s="8" t="e">
        <f>SUM(#REF!,#REF!,#REF!)</f>
        <v>#REF!</v>
      </c>
      <c r="Q55" s="8" t="e">
        <f>SUM(#REF!,#REF!,#REF!)</f>
        <v>#REF!</v>
      </c>
      <c r="R55" s="8" t="e">
        <f>SUM(#REF!,#REF!,#REF!)</f>
        <v>#REF!</v>
      </c>
      <c r="S55" s="8" t="e">
        <f>SUM(#REF!,#REF!,#REF!)</f>
        <v>#REF!</v>
      </c>
      <c r="T55" s="8" t="e">
        <f>SUM(#REF!,#REF!,#REF!)</f>
        <v>#REF!</v>
      </c>
      <c r="U55" s="8" t="e">
        <f>SUM(#REF!,#REF!,#REF!)</f>
        <v>#REF!</v>
      </c>
      <c r="V55" s="8" t="e">
        <f>SUM(#REF!,#REF!,#REF!)</f>
        <v>#REF!</v>
      </c>
      <c r="W55" s="8">
        <f>SUM(W56)</f>
        <v>14000</v>
      </c>
      <c r="X55" s="334"/>
      <c r="Y55" s="211"/>
      <c r="Z55" s="189"/>
      <c r="AA55" s="189"/>
      <c r="AB55" s="179"/>
      <c r="AC55" s="179"/>
      <c r="AD55" s="179"/>
      <c r="AE55" s="179"/>
      <c r="AF55" s="179"/>
      <c r="AG55" s="179"/>
      <c r="AH55" s="179"/>
      <c r="AI55" s="179"/>
      <c r="AJ55" s="179"/>
      <c r="AK55" s="179"/>
      <c r="AL55" s="179"/>
      <c r="AM55" s="179"/>
      <c r="AN55" s="179"/>
      <c r="AO55" s="179"/>
      <c r="AP55" s="179"/>
      <c r="AQ55" s="179"/>
      <c r="AR55" s="179"/>
      <c r="AS55" s="179"/>
      <c r="AT55" s="179"/>
      <c r="AU55" s="179"/>
      <c r="AV55" s="179"/>
      <c r="AW55" s="179"/>
    </row>
    <row r="56" spans="1:49" s="20" customFormat="1" ht="44.25" customHeight="1">
      <c r="A56" s="109" t="s">
        <v>17</v>
      </c>
      <c r="B56" s="110" t="s">
        <v>358</v>
      </c>
      <c r="C56" s="110"/>
      <c r="D56" s="109"/>
      <c r="E56" s="110"/>
      <c r="F56" s="110"/>
      <c r="G56" s="110"/>
      <c r="H56" s="111"/>
      <c r="I56" s="111"/>
      <c r="J56" s="111"/>
      <c r="K56" s="111"/>
      <c r="L56" s="111"/>
      <c r="M56" s="111"/>
      <c r="N56" s="111"/>
      <c r="O56" s="111"/>
      <c r="P56" s="111"/>
      <c r="Q56" s="111"/>
      <c r="R56" s="111"/>
      <c r="S56" s="111"/>
      <c r="T56" s="111"/>
      <c r="U56" s="111"/>
      <c r="V56" s="111"/>
      <c r="W56" s="111">
        <f>SUM(W57:W57)</f>
        <v>14000</v>
      </c>
      <c r="X56" s="335"/>
      <c r="Y56" s="130"/>
      <c r="Z56" s="113"/>
      <c r="AA56" s="113"/>
    </row>
    <row r="57" spans="1:49" ht="60.9" customHeight="1">
      <c r="A57" s="114">
        <v>1</v>
      </c>
      <c r="B57" s="36" t="s">
        <v>411</v>
      </c>
      <c r="C57" s="23" t="s">
        <v>489</v>
      </c>
      <c r="D57" s="34" t="s">
        <v>19</v>
      </c>
      <c r="E57" s="23" t="s">
        <v>421</v>
      </c>
      <c r="F57" s="23" t="s">
        <v>391</v>
      </c>
      <c r="G57" s="86" t="s">
        <v>412</v>
      </c>
      <c r="H57" s="62"/>
      <c r="I57" s="32"/>
      <c r="J57" s="37"/>
      <c r="K57" s="37"/>
      <c r="L57" s="37"/>
      <c r="M57" s="37"/>
      <c r="N57" s="37"/>
      <c r="O57" s="37"/>
      <c r="P57" s="37"/>
      <c r="Q57" s="37"/>
      <c r="R57" s="32"/>
      <c r="S57" s="32"/>
      <c r="T57" s="37"/>
      <c r="U57" s="37"/>
      <c r="V57" s="80"/>
      <c r="W57" s="37">
        <v>14000</v>
      </c>
      <c r="X57" s="335"/>
      <c r="Y57" s="131" t="s">
        <v>985</v>
      </c>
      <c r="AB57" s="6">
        <f>W57</f>
        <v>14000</v>
      </c>
      <c r="AC57" s="6"/>
      <c r="AD57" s="6"/>
      <c r="AE57" s="6"/>
    </row>
    <row r="58" spans="1:49" s="18" customFormat="1" ht="60" customHeight="1">
      <c r="A58" s="13" t="s">
        <v>960</v>
      </c>
      <c r="B58" s="26" t="s">
        <v>1023</v>
      </c>
      <c r="C58" s="13"/>
      <c r="D58" s="13"/>
      <c r="E58" s="13"/>
      <c r="F58" s="13"/>
      <c r="G58" s="13"/>
      <c r="H58" s="8" t="e">
        <f>SUM(#REF!,#REF!,#REF!)</f>
        <v>#REF!</v>
      </c>
      <c r="I58" s="8" t="e">
        <f>SUM(#REF!,#REF!,#REF!)</f>
        <v>#REF!</v>
      </c>
      <c r="J58" s="8" t="e">
        <f>SUM(#REF!,#REF!,#REF!)</f>
        <v>#REF!</v>
      </c>
      <c r="K58" s="8" t="e">
        <f>SUM(#REF!,#REF!,#REF!)</f>
        <v>#REF!</v>
      </c>
      <c r="L58" s="8" t="e">
        <f>SUM(#REF!,#REF!,#REF!)</f>
        <v>#REF!</v>
      </c>
      <c r="M58" s="8" t="e">
        <f>SUM(#REF!,#REF!,#REF!)</f>
        <v>#REF!</v>
      </c>
      <c r="N58" s="8" t="e">
        <f>SUM(#REF!,#REF!,#REF!)</f>
        <v>#REF!</v>
      </c>
      <c r="O58" s="8" t="e">
        <f>SUM(#REF!,#REF!,#REF!)</f>
        <v>#REF!</v>
      </c>
      <c r="P58" s="8" t="e">
        <f>SUM(#REF!,#REF!,#REF!)</f>
        <v>#REF!</v>
      </c>
      <c r="Q58" s="8" t="e">
        <f>SUM(#REF!,#REF!,#REF!)</f>
        <v>#REF!</v>
      </c>
      <c r="R58" s="8" t="e">
        <f>SUM(#REF!,#REF!,#REF!)</f>
        <v>#REF!</v>
      </c>
      <c r="S58" s="8" t="e">
        <f>SUM(#REF!,#REF!,#REF!)</f>
        <v>#REF!</v>
      </c>
      <c r="T58" s="8" t="e">
        <f>SUM(#REF!,#REF!,#REF!)</f>
        <v>#REF!</v>
      </c>
      <c r="U58" s="8" t="e">
        <f>SUM(#REF!,#REF!,#REF!)</f>
        <v>#REF!</v>
      </c>
      <c r="V58" s="8" t="e">
        <f>SUM(#REF!,#REF!,#REF!)</f>
        <v>#REF!</v>
      </c>
      <c r="W58" s="8">
        <f>SUM(W59)</f>
        <v>25800</v>
      </c>
      <c r="X58" s="334"/>
      <c r="Y58" s="211"/>
      <c r="Z58" s="189"/>
      <c r="AA58" s="189"/>
      <c r="AB58" s="179"/>
      <c r="AC58" s="179"/>
      <c r="AD58" s="179"/>
      <c r="AE58" s="179"/>
      <c r="AF58" s="179"/>
      <c r="AG58" s="179"/>
      <c r="AH58" s="179"/>
      <c r="AI58" s="179"/>
      <c r="AJ58" s="179"/>
      <c r="AK58" s="179"/>
      <c r="AL58" s="179"/>
      <c r="AM58" s="179"/>
      <c r="AN58" s="179"/>
      <c r="AO58" s="179"/>
      <c r="AP58" s="179"/>
      <c r="AQ58" s="179"/>
      <c r="AR58" s="179"/>
      <c r="AS58" s="179"/>
      <c r="AT58" s="179"/>
      <c r="AU58" s="179"/>
      <c r="AV58" s="179"/>
      <c r="AW58" s="179"/>
    </row>
    <row r="59" spans="1:49" s="20" customFormat="1" ht="44.25" customHeight="1">
      <c r="A59" s="109" t="s">
        <v>17</v>
      </c>
      <c r="B59" s="110" t="s">
        <v>358</v>
      </c>
      <c r="C59" s="110"/>
      <c r="D59" s="109"/>
      <c r="E59" s="110"/>
      <c r="F59" s="110"/>
      <c r="G59" s="110"/>
      <c r="H59" s="111"/>
      <c r="I59" s="111"/>
      <c r="J59" s="111"/>
      <c r="K59" s="111"/>
      <c r="L59" s="111"/>
      <c r="M59" s="111"/>
      <c r="N59" s="111"/>
      <c r="O59" s="111"/>
      <c r="P59" s="111"/>
      <c r="Q59" s="111"/>
      <c r="R59" s="111"/>
      <c r="S59" s="111"/>
      <c r="T59" s="111"/>
      <c r="U59" s="111"/>
      <c r="V59" s="111"/>
      <c r="W59" s="111">
        <f>SUM(W60:W61)</f>
        <v>25800</v>
      </c>
      <c r="X59" s="335"/>
      <c r="Y59" s="130"/>
      <c r="Z59" s="113"/>
      <c r="AA59" s="113"/>
    </row>
    <row r="60" spans="1:49" ht="60.9" customHeight="1">
      <c r="A60" s="114">
        <v>1</v>
      </c>
      <c r="B60" s="183" t="s">
        <v>251</v>
      </c>
      <c r="C60" s="28" t="s">
        <v>250</v>
      </c>
      <c r="D60" s="28" t="s">
        <v>19</v>
      </c>
      <c r="E60" s="28" t="s">
        <v>252</v>
      </c>
      <c r="F60" s="28" t="s">
        <v>36</v>
      </c>
      <c r="G60" s="87"/>
      <c r="H60" s="62"/>
      <c r="I60" s="32"/>
      <c r="J60" s="37"/>
      <c r="K60" s="37"/>
      <c r="L60" s="37"/>
      <c r="M60" s="37"/>
      <c r="N60" s="37"/>
      <c r="O60" s="37"/>
      <c r="P60" s="37"/>
      <c r="Q60" s="37"/>
      <c r="R60" s="32"/>
      <c r="S60" s="32"/>
      <c r="T60" s="37"/>
      <c r="U60" s="37"/>
      <c r="V60" s="80"/>
      <c r="W60" s="37">
        <v>7800</v>
      </c>
      <c r="X60" s="335"/>
      <c r="Y60" s="131"/>
      <c r="AB60" s="6">
        <f>W60</f>
        <v>7800</v>
      </c>
      <c r="AC60" s="6"/>
      <c r="AD60" s="6"/>
      <c r="AE60" s="6"/>
    </row>
    <row r="61" spans="1:49" ht="60.9" customHeight="1">
      <c r="A61" s="114">
        <v>2</v>
      </c>
      <c r="B61" s="36" t="s">
        <v>409</v>
      </c>
      <c r="C61" s="23" t="s">
        <v>490</v>
      </c>
      <c r="D61" s="34" t="s">
        <v>19</v>
      </c>
      <c r="E61" s="23" t="s">
        <v>421</v>
      </c>
      <c r="F61" s="23" t="s">
        <v>391</v>
      </c>
      <c r="G61" s="86" t="s">
        <v>410</v>
      </c>
      <c r="H61" s="62"/>
      <c r="I61" s="32"/>
      <c r="J61" s="37"/>
      <c r="K61" s="37"/>
      <c r="L61" s="37"/>
      <c r="M61" s="37"/>
      <c r="N61" s="37"/>
      <c r="O61" s="37"/>
      <c r="P61" s="37"/>
      <c r="Q61" s="37"/>
      <c r="R61" s="32"/>
      <c r="S61" s="32"/>
      <c r="T61" s="37"/>
      <c r="U61" s="37"/>
      <c r="V61" s="80"/>
      <c r="W61" s="37">
        <v>18000</v>
      </c>
      <c r="X61" s="335"/>
      <c r="Y61" s="131" t="s">
        <v>985</v>
      </c>
      <c r="AB61" s="6">
        <f>W61</f>
        <v>18000</v>
      </c>
      <c r="AC61" s="6"/>
      <c r="AD61" s="6"/>
      <c r="AE61" s="6"/>
    </row>
    <row r="62" spans="1:49" s="18" customFormat="1" ht="60" customHeight="1">
      <c r="A62" s="13" t="s">
        <v>961</v>
      </c>
      <c r="B62" s="26" t="s">
        <v>1024</v>
      </c>
      <c r="C62" s="13"/>
      <c r="D62" s="13"/>
      <c r="E62" s="13"/>
      <c r="F62" s="13"/>
      <c r="G62" s="13"/>
      <c r="H62" s="8" t="e">
        <f>SUM(#REF!,#REF!,#REF!)</f>
        <v>#REF!</v>
      </c>
      <c r="I62" s="8" t="e">
        <f>SUM(#REF!,#REF!,#REF!)</f>
        <v>#REF!</v>
      </c>
      <c r="J62" s="8" t="e">
        <f>SUM(#REF!,#REF!,#REF!)</f>
        <v>#REF!</v>
      </c>
      <c r="K62" s="8" t="e">
        <f>SUM(#REF!,#REF!,#REF!)</f>
        <v>#REF!</v>
      </c>
      <c r="L62" s="8" t="e">
        <f>SUM(#REF!,#REF!,#REF!)</f>
        <v>#REF!</v>
      </c>
      <c r="M62" s="8" t="e">
        <f>SUM(#REF!,#REF!,#REF!)</f>
        <v>#REF!</v>
      </c>
      <c r="N62" s="8" t="e">
        <f>SUM(#REF!,#REF!,#REF!)</f>
        <v>#REF!</v>
      </c>
      <c r="O62" s="8" t="e">
        <f>SUM(#REF!,#REF!,#REF!)</f>
        <v>#REF!</v>
      </c>
      <c r="P62" s="8" t="e">
        <f>SUM(#REF!,#REF!,#REF!)</f>
        <v>#REF!</v>
      </c>
      <c r="Q62" s="8" t="e">
        <f>SUM(#REF!,#REF!,#REF!)</f>
        <v>#REF!</v>
      </c>
      <c r="R62" s="8" t="e">
        <f>SUM(#REF!,#REF!,#REF!)</f>
        <v>#REF!</v>
      </c>
      <c r="S62" s="8" t="e">
        <f>SUM(#REF!,#REF!,#REF!)</f>
        <v>#REF!</v>
      </c>
      <c r="T62" s="8" t="e">
        <f>SUM(#REF!,#REF!,#REF!)</f>
        <v>#REF!</v>
      </c>
      <c r="U62" s="8" t="e">
        <f>SUM(#REF!,#REF!,#REF!)</f>
        <v>#REF!</v>
      </c>
      <c r="V62" s="8" t="e">
        <f>SUM(#REF!,#REF!,#REF!)</f>
        <v>#REF!</v>
      </c>
      <c r="W62" s="8">
        <f>SUM(W63)</f>
        <v>12000</v>
      </c>
      <c r="X62" s="334"/>
      <c r="Y62" s="211"/>
      <c r="Z62" s="189"/>
      <c r="AA62" s="18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row>
    <row r="63" spans="1:49" s="20" customFormat="1" ht="44.25" customHeight="1">
      <c r="A63" s="109" t="s">
        <v>17</v>
      </c>
      <c r="B63" s="110" t="s">
        <v>358</v>
      </c>
      <c r="C63" s="110"/>
      <c r="D63" s="109"/>
      <c r="E63" s="110"/>
      <c r="F63" s="110"/>
      <c r="G63" s="110"/>
      <c r="H63" s="111"/>
      <c r="I63" s="111"/>
      <c r="J63" s="111"/>
      <c r="K63" s="111"/>
      <c r="L63" s="111"/>
      <c r="M63" s="111"/>
      <c r="N63" s="111"/>
      <c r="O63" s="111"/>
      <c r="P63" s="111"/>
      <c r="Q63" s="111"/>
      <c r="R63" s="111"/>
      <c r="S63" s="111"/>
      <c r="T63" s="111"/>
      <c r="U63" s="111"/>
      <c r="V63" s="111"/>
      <c r="W63" s="111">
        <f>SUM(W64:W64)</f>
        <v>12000</v>
      </c>
      <c r="X63" s="335"/>
      <c r="Y63" s="130"/>
      <c r="Z63" s="113"/>
      <c r="AA63" s="113"/>
    </row>
    <row r="64" spans="1:49" ht="60.9" customHeight="1">
      <c r="A64" s="114">
        <v>1</v>
      </c>
      <c r="B64" s="36" t="s">
        <v>413</v>
      </c>
      <c r="C64" s="23" t="s">
        <v>491</v>
      </c>
      <c r="D64" s="34" t="s">
        <v>19</v>
      </c>
      <c r="E64" s="23" t="s">
        <v>421</v>
      </c>
      <c r="F64" s="23" t="s">
        <v>391</v>
      </c>
      <c r="G64" s="86" t="s">
        <v>414</v>
      </c>
      <c r="H64" s="62"/>
      <c r="I64" s="32"/>
      <c r="J64" s="37"/>
      <c r="K64" s="37"/>
      <c r="L64" s="37"/>
      <c r="M64" s="37"/>
      <c r="N64" s="37"/>
      <c r="O64" s="37"/>
      <c r="P64" s="37"/>
      <c r="Q64" s="37"/>
      <c r="R64" s="32"/>
      <c r="S64" s="32"/>
      <c r="T64" s="37"/>
      <c r="U64" s="37"/>
      <c r="V64" s="80"/>
      <c r="W64" s="37">
        <v>12000</v>
      </c>
      <c r="X64" s="335"/>
      <c r="Y64" s="131" t="s">
        <v>985</v>
      </c>
      <c r="AB64" s="6">
        <f>W64</f>
        <v>12000</v>
      </c>
      <c r="AC64" s="6"/>
      <c r="AD64" s="6"/>
      <c r="AE64" s="6"/>
    </row>
    <row r="65" spans="1:49" s="18" customFormat="1" ht="60" customHeight="1">
      <c r="A65" s="13" t="s">
        <v>962</v>
      </c>
      <c r="B65" s="26" t="s">
        <v>1002</v>
      </c>
      <c r="C65" s="13"/>
      <c r="D65" s="13"/>
      <c r="E65" s="13"/>
      <c r="F65" s="13"/>
      <c r="G65" s="13"/>
      <c r="H65" s="8" t="e">
        <f>SUM(#REF!,#REF!,#REF!)</f>
        <v>#REF!</v>
      </c>
      <c r="I65" s="8" t="e">
        <f>SUM(#REF!,#REF!,#REF!)</f>
        <v>#REF!</v>
      </c>
      <c r="J65" s="8" t="e">
        <f>SUM(#REF!,#REF!,#REF!)</f>
        <v>#REF!</v>
      </c>
      <c r="K65" s="8" t="e">
        <f>SUM(#REF!,#REF!,#REF!)</f>
        <v>#REF!</v>
      </c>
      <c r="L65" s="8" t="e">
        <f>SUM(#REF!,#REF!,#REF!)</f>
        <v>#REF!</v>
      </c>
      <c r="M65" s="8" t="e">
        <f>SUM(#REF!,#REF!,#REF!)</f>
        <v>#REF!</v>
      </c>
      <c r="N65" s="8" t="e">
        <f>SUM(#REF!,#REF!,#REF!)</f>
        <v>#REF!</v>
      </c>
      <c r="O65" s="8" t="e">
        <f>SUM(#REF!,#REF!,#REF!)</f>
        <v>#REF!</v>
      </c>
      <c r="P65" s="8" t="e">
        <f>SUM(#REF!,#REF!,#REF!)</f>
        <v>#REF!</v>
      </c>
      <c r="Q65" s="8" t="e">
        <f>SUM(#REF!,#REF!,#REF!)</f>
        <v>#REF!</v>
      </c>
      <c r="R65" s="8" t="e">
        <f>SUM(#REF!,#REF!,#REF!)</f>
        <v>#REF!</v>
      </c>
      <c r="S65" s="8" t="e">
        <f>SUM(#REF!,#REF!,#REF!)</f>
        <v>#REF!</v>
      </c>
      <c r="T65" s="8" t="e">
        <f>SUM(#REF!,#REF!,#REF!)</f>
        <v>#REF!</v>
      </c>
      <c r="U65" s="8" t="e">
        <f>SUM(#REF!,#REF!,#REF!)</f>
        <v>#REF!</v>
      </c>
      <c r="V65" s="8" t="e">
        <f>SUM(#REF!,#REF!,#REF!)</f>
        <v>#REF!</v>
      </c>
      <c r="W65" s="8">
        <f>SUM(W66)</f>
        <v>5000</v>
      </c>
      <c r="X65" s="334"/>
      <c r="Y65" s="211"/>
      <c r="Z65" s="189"/>
      <c r="AA65" s="189"/>
      <c r="AB65" s="179"/>
      <c r="AC65" s="179"/>
      <c r="AD65" s="179"/>
      <c r="AE65" s="179"/>
      <c r="AF65" s="179"/>
      <c r="AG65" s="179"/>
      <c r="AH65" s="179"/>
      <c r="AI65" s="179"/>
      <c r="AJ65" s="179"/>
      <c r="AK65" s="179"/>
      <c r="AL65" s="179"/>
      <c r="AM65" s="179"/>
      <c r="AN65" s="179"/>
      <c r="AO65" s="179"/>
      <c r="AP65" s="179"/>
      <c r="AQ65" s="179"/>
      <c r="AR65" s="179"/>
      <c r="AS65" s="179"/>
      <c r="AT65" s="179"/>
      <c r="AU65" s="179"/>
      <c r="AV65" s="179"/>
      <c r="AW65" s="179"/>
    </row>
    <row r="66" spans="1:49" s="20" customFormat="1" ht="44.25" customHeight="1">
      <c r="A66" s="109" t="s">
        <v>17</v>
      </c>
      <c r="B66" s="110" t="s">
        <v>96</v>
      </c>
      <c r="C66" s="110"/>
      <c r="D66" s="109"/>
      <c r="E66" s="110"/>
      <c r="F66" s="110"/>
      <c r="G66" s="110"/>
      <c r="H66" s="111">
        <f t="shared" ref="H66:W66" si="1">SUM(H67:H67)</f>
        <v>6000</v>
      </c>
      <c r="I66" s="111">
        <f t="shared" si="1"/>
        <v>0</v>
      </c>
      <c r="J66" s="111">
        <f t="shared" si="1"/>
        <v>0</v>
      </c>
      <c r="K66" s="111">
        <f t="shared" si="1"/>
        <v>0</v>
      </c>
      <c r="L66" s="111">
        <f t="shared" si="1"/>
        <v>0</v>
      </c>
      <c r="M66" s="111">
        <f t="shared" si="1"/>
        <v>0</v>
      </c>
      <c r="N66" s="111">
        <f t="shared" si="1"/>
        <v>0</v>
      </c>
      <c r="O66" s="111">
        <f t="shared" si="1"/>
        <v>0</v>
      </c>
      <c r="P66" s="111">
        <f t="shared" si="1"/>
        <v>6000</v>
      </c>
      <c r="Q66" s="111">
        <f t="shared" si="1"/>
        <v>0</v>
      </c>
      <c r="R66" s="111">
        <f t="shared" si="1"/>
        <v>0</v>
      </c>
      <c r="S66" s="111">
        <f t="shared" si="1"/>
        <v>0</v>
      </c>
      <c r="T66" s="111">
        <f t="shared" si="1"/>
        <v>0</v>
      </c>
      <c r="U66" s="111">
        <f t="shared" si="1"/>
        <v>0</v>
      </c>
      <c r="V66" s="111">
        <f t="shared" si="1"/>
        <v>6000</v>
      </c>
      <c r="W66" s="111">
        <f t="shared" si="1"/>
        <v>5000</v>
      </c>
      <c r="X66" s="112"/>
      <c r="Y66" s="130"/>
      <c r="Z66" s="113"/>
      <c r="AA66" s="113"/>
    </row>
    <row r="67" spans="1:49" ht="80.25" customHeight="1">
      <c r="A67" s="114">
        <v>1</v>
      </c>
      <c r="B67" s="36" t="s">
        <v>651</v>
      </c>
      <c r="C67" s="23" t="s">
        <v>652</v>
      </c>
      <c r="D67" s="34" t="s">
        <v>19</v>
      </c>
      <c r="E67" s="23" t="s">
        <v>653</v>
      </c>
      <c r="F67" s="23" t="s">
        <v>391</v>
      </c>
      <c r="G67" s="86" t="s">
        <v>654</v>
      </c>
      <c r="H67" s="80">
        <f>SUM(I67,J67:Q67)</f>
        <v>6000</v>
      </c>
      <c r="I67" s="120"/>
      <c r="J67" s="37"/>
      <c r="K67" s="37"/>
      <c r="L67" s="37"/>
      <c r="M67" s="37"/>
      <c r="N67" s="37"/>
      <c r="O67" s="37"/>
      <c r="P67" s="37">
        <v>6000</v>
      </c>
      <c r="Q67" s="37"/>
      <c r="R67" s="32"/>
      <c r="S67" s="32"/>
      <c r="T67" s="37"/>
      <c r="U67" s="37"/>
      <c r="V67" s="80">
        <f>H67-R67</f>
        <v>6000</v>
      </c>
      <c r="W67" s="37">
        <v>5000</v>
      </c>
      <c r="X67" s="117"/>
      <c r="Y67" s="131" t="s">
        <v>982</v>
      </c>
      <c r="AB67" s="6">
        <f>W67</f>
        <v>5000</v>
      </c>
      <c r="AC67" s="6"/>
      <c r="AD67" s="6"/>
      <c r="AE67" s="6"/>
    </row>
    <row r="68" spans="1:49" s="18" customFormat="1" ht="60" customHeight="1">
      <c r="A68" s="13" t="s">
        <v>979</v>
      </c>
      <c r="B68" s="26" t="s">
        <v>1003</v>
      </c>
      <c r="C68" s="13"/>
      <c r="D68" s="13"/>
      <c r="E68" s="13"/>
      <c r="F68" s="13"/>
      <c r="G68" s="13"/>
      <c r="H68" s="8" t="e">
        <f>SUM(#REF!,#REF!,#REF!)</f>
        <v>#REF!</v>
      </c>
      <c r="I68" s="8" t="e">
        <f>SUM(#REF!,#REF!,#REF!)</f>
        <v>#REF!</v>
      </c>
      <c r="J68" s="8" t="e">
        <f>SUM(#REF!,#REF!,#REF!)</f>
        <v>#REF!</v>
      </c>
      <c r="K68" s="8" t="e">
        <f>SUM(#REF!,#REF!,#REF!)</f>
        <v>#REF!</v>
      </c>
      <c r="L68" s="8" t="e">
        <f>SUM(#REF!,#REF!,#REF!)</f>
        <v>#REF!</v>
      </c>
      <c r="M68" s="8" t="e">
        <f>SUM(#REF!,#REF!,#REF!)</f>
        <v>#REF!</v>
      </c>
      <c r="N68" s="8" t="e">
        <f>SUM(#REF!,#REF!,#REF!)</f>
        <v>#REF!</v>
      </c>
      <c r="O68" s="8" t="e">
        <f>SUM(#REF!,#REF!,#REF!)</f>
        <v>#REF!</v>
      </c>
      <c r="P68" s="8" t="e">
        <f>SUM(#REF!,#REF!,#REF!)</f>
        <v>#REF!</v>
      </c>
      <c r="Q68" s="8" t="e">
        <f>SUM(#REF!,#REF!,#REF!)</f>
        <v>#REF!</v>
      </c>
      <c r="R68" s="8" t="e">
        <f>SUM(#REF!,#REF!,#REF!)</f>
        <v>#REF!</v>
      </c>
      <c r="S68" s="8" t="e">
        <f>SUM(#REF!,#REF!,#REF!)</f>
        <v>#REF!</v>
      </c>
      <c r="T68" s="8" t="e">
        <f>SUM(#REF!,#REF!,#REF!)</f>
        <v>#REF!</v>
      </c>
      <c r="U68" s="8" t="e">
        <f>SUM(#REF!,#REF!,#REF!)</f>
        <v>#REF!</v>
      </c>
      <c r="V68" s="8" t="e">
        <f>SUM(#REF!,#REF!,#REF!)</f>
        <v>#REF!</v>
      </c>
      <c r="W68" s="8">
        <f>SUM(W69)</f>
        <v>121000</v>
      </c>
      <c r="X68" s="334"/>
      <c r="Y68" s="211"/>
      <c r="Z68" s="189"/>
      <c r="AA68" s="189"/>
      <c r="AB68" s="179"/>
      <c r="AC68" s="179"/>
      <c r="AD68" s="179"/>
      <c r="AE68" s="179"/>
      <c r="AF68" s="179"/>
      <c r="AG68" s="179"/>
      <c r="AH68" s="179"/>
      <c r="AI68" s="179"/>
      <c r="AJ68" s="179"/>
      <c r="AK68" s="179"/>
      <c r="AL68" s="179"/>
      <c r="AM68" s="179"/>
      <c r="AN68" s="179"/>
      <c r="AO68" s="179"/>
      <c r="AP68" s="179"/>
      <c r="AQ68" s="179"/>
      <c r="AR68" s="179"/>
      <c r="AS68" s="179"/>
      <c r="AT68" s="179"/>
      <c r="AU68" s="179"/>
      <c r="AV68" s="179"/>
      <c r="AW68" s="179"/>
    </row>
    <row r="69" spans="1:49" s="20" customFormat="1" ht="44.25" customHeight="1">
      <c r="A69" s="109" t="s">
        <v>17</v>
      </c>
      <c r="B69" s="110" t="s">
        <v>64</v>
      </c>
      <c r="C69" s="110"/>
      <c r="D69" s="109"/>
      <c r="E69" s="110"/>
      <c r="F69" s="110"/>
      <c r="G69" s="110"/>
      <c r="H69" s="111"/>
      <c r="I69" s="111"/>
      <c r="J69" s="111"/>
      <c r="K69" s="111"/>
      <c r="L69" s="111"/>
      <c r="M69" s="111"/>
      <c r="N69" s="111"/>
      <c r="O69" s="111"/>
      <c r="P69" s="111"/>
      <c r="Q69" s="111"/>
      <c r="R69" s="111"/>
      <c r="S69" s="111"/>
      <c r="T69" s="111"/>
      <c r="U69" s="111"/>
      <c r="V69" s="111"/>
      <c r="W69" s="111">
        <f>SUM(W70:W71)</f>
        <v>121000</v>
      </c>
      <c r="X69" s="112"/>
      <c r="Y69" s="130"/>
      <c r="Z69" s="113"/>
      <c r="AA69" s="113"/>
    </row>
    <row r="70" spans="1:49" ht="113.25" customHeight="1">
      <c r="A70" s="10">
        <v>1</v>
      </c>
      <c r="B70" s="115" t="s">
        <v>561</v>
      </c>
      <c r="C70" s="23" t="s">
        <v>344</v>
      </c>
      <c r="D70" s="89" t="s">
        <v>20</v>
      </c>
      <c r="E70" s="23" t="s">
        <v>351</v>
      </c>
      <c r="F70" s="23" t="s">
        <v>36</v>
      </c>
      <c r="G70" s="114" t="s">
        <v>352</v>
      </c>
      <c r="H70" s="114" t="s">
        <v>352</v>
      </c>
      <c r="I70" s="37">
        <v>534841</v>
      </c>
      <c r="J70" s="37">
        <f>I70-80000</f>
        <v>454841</v>
      </c>
      <c r="K70" s="17"/>
      <c r="L70" s="17"/>
      <c r="M70" s="17"/>
      <c r="N70" s="17"/>
      <c r="O70" s="17"/>
      <c r="P70" s="17"/>
      <c r="Q70" s="17"/>
      <c r="R70" s="17"/>
      <c r="S70" s="17"/>
      <c r="T70" s="17"/>
      <c r="U70" s="17"/>
      <c r="V70" s="17"/>
      <c r="W70" s="70">
        <v>1000</v>
      </c>
      <c r="X70" s="17"/>
      <c r="Z70" s="70">
        <v>1000</v>
      </c>
      <c r="AB70" s="22"/>
      <c r="AC70" s="6"/>
    </row>
    <row r="71" spans="1:49" ht="81.75" customHeight="1">
      <c r="A71" s="10">
        <v>1</v>
      </c>
      <c r="B71" s="115" t="s">
        <v>680</v>
      </c>
      <c r="C71" s="10" t="s">
        <v>681</v>
      </c>
      <c r="D71" s="185" t="s">
        <v>20</v>
      </c>
      <c r="E71" s="10" t="s">
        <v>682</v>
      </c>
      <c r="F71" s="10" t="s">
        <v>391</v>
      </c>
      <c r="G71" s="17"/>
      <c r="H71" s="17"/>
      <c r="I71" s="17"/>
      <c r="J71" s="17"/>
      <c r="K71" s="17"/>
      <c r="L71" s="17"/>
      <c r="M71" s="17"/>
      <c r="N71" s="17"/>
      <c r="O71" s="17"/>
      <c r="P71" s="17"/>
      <c r="Q71" s="17"/>
      <c r="R71" s="17"/>
      <c r="S71" s="17"/>
      <c r="T71" s="17"/>
      <c r="U71" s="17"/>
      <c r="V71" s="17"/>
      <c r="W71" s="70">
        <v>120000</v>
      </c>
      <c r="X71" s="17"/>
      <c r="Y71" s="11" t="s">
        <v>1001</v>
      </c>
      <c r="AB71" s="6">
        <f t="shared" ref="AB71:AB90" si="2">W71</f>
        <v>120000</v>
      </c>
    </row>
    <row r="72" spans="1:49" s="18" customFormat="1" ht="60" customHeight="1">
      <c r="A72" s="13" t="s">
        <v>1027</v>
      </c>
      <c r="B72" s="26" t="s">
        <v>1046</v>
      </c>
      <c r="C72" s="13"/>
      <c r="D72" s="13"/>
      <c r="E72" s="13"/>
      <c r="F72" s="13"/>
      <c r="G72" s="13"/>
      <c r="H72" s="8" t="e">
        <f>SUM(#REF!,#REF!,#REF!)</f>
        <v>#REF!</v>
      </c>
      <c r="I72" s="8" t="e">
        <f>SUM(#REF!,#REF!,#REF!)</f>
        <v>#REF!</v>
      </c>
      <c r="J72" s="8" t="e">
        <f>SUM(#REF!,#REF!,#REF!)</f>
        <v>#REF!</v>
      </c>
      <c r="K72" s="8" t="e">
        <f>SUM(#REF!,#REF!,#REF!)</f>
        <v>#REF!</v>
      </c>
      <c r="L72" s="8" t="e">
        <f>SUM(#REF!,#REF!,#REF!)</f>
        <v>#REF!</v>
      </c>
      <c r="M72" s="8" t="e">
        <f>SUM(#REF!,#REF!,#REF!)</f>
        <v>#REF!</v>
      </c>
      <c r="N72" s="8" t="e">
        <f>SUM(#REF!,#REF!,#REF!)</f>
        <v>#REF!</v>
      </c>
      <c r="O72" s="8" t="e">
        <f>SUM(#REF!,#REF!,#REF!)</f>
        <v>#REF!</v>
      </c>
      <c r="P72" s="8" t="e">
        <f>SUM(#REF!,#REF!,#REF!)</f>
        <v>#REF!</v>
      </c>
      <c r="Q72" s="8" t="e">
        <f>SUM(#REF!,#REF!,#REF!)</f>
        <v>#REF!</v>
      </c>
      <c r="R72" s="8" t="e">
        <f>SUM(#REF!,#REF!,#REF!)</f>
        <v>#REF!</v>
      </c>
      <c r="S72" s="8" t="e">
        <f>SUM(#REF!,#REF!,#REF!)</f>
        <v>#REF!</v>
      </c>
      <c r="T72" s="8" t="e">
        <f>SUM(#REF!,#REF!,#REF!)</f>
        <v>#REF!</v>
      </c>
      <c r="U72" s="8" t="e">
        <f>SUM(#REF!,#REF!,#REF!)</f>
        <v>#REF!</v>
      </c>
      <c r="V72" s="8" t="e">
        <f>SUM(#REF!,#REF!,#REF!)</f>
        <v>#REF!</v>
      </c>
      <c r="W72" s="8">
        <f>SUM(W73)</f>
        <v>10600</v>
      </c>
      <c r="X72" s="334"/>
      <c r="Y72" s="211"/>
      <c r="Z72" s="189"/>
      <c r="AA72" s="189"/>
      <c r="AB72" s="179"/>
      <c r="AC72" s="179"/>
      <c r="AD72" s="179"/>
      <c r="AE72" s="179"/>
      <c r="AF72" s="179"/>
      <c r="AG72" s="179"/>
      <c r="AH72" s="179"/>
      <c r="AI72" s="179"/>
      <c r="AJ72" s="179"/>
      <c r="AK72" s="179"/>
      <c r="AL72" s="179"/>
      <c r="AM72" s="179"/>
      <c r="AN72" s="179"/>
      <c r="AO72" s="179"/>
      <c r="AP72" s="179"/>
      <c r="AQ72" s="179"/>
      <c r="AR72" s="179"/>
      <c r="AS72" s="179"/>
      <c r="AT72" s="179"/>
      <c r="AU72" s="179"/>
      <c r="AV72" s="179"/>
      <c r="AW72" s="179"/>
    </row>
    <row r="73" spans="1:49" s="20" customFormat="1" ht="44.25" customHeight="1">
      <c r="A73" s="109" t="s">
        <v>17</v>
      </c>
      <c r="B73" s="110" t="s">
        <v>98</v>
      </c>
      <c r="C73" s="110"/>
      <c r="D73" s="109"/>
      <c r="E73" s="110"/>
      <c r="F73" s="110"/>
      <c r="G73" s="110"/>
      <c r="H73" s="111" t="e">
        <f t="shared" ref="H73:V73" si="3">SUM(H74:H129)</f>
        <v>#REF!</v>
      </c>
      <c r="I73" s="111" t="e">
        <f t="shared" si="3"/>
        <v>#REF!</v>
      </c>
      <c r="J73" s="111" t="e">
        <f t="shared" si="3"/>
        <v>#REF!</v>
      </c>
      <c r="K73" s="111" t="e">
        <f t="shared" si="3"/>
        <v>#REF!</v>
      </c>
      <c r="L73" s="111" t="e">
        <f t="shared" si="3"/>
        <v>#REF!</v>
      </c>
      <c r="M73" s="111" t="e">
        <f t="shared" si="3"/>
        <v>#REF!</v>
      </c>
      <c r="N73" s="111" t="e">
        <f t="shared" si="3"/>
        <v>#REF!</v>
      </c>
      <c r="O73" s="111" t="e">
        <f t="shared" si="3"/>
        <v>#REF!</v>
      </c>
      <c r="P73" s="111" t="e">
        <f t="shared" si="3"/>
        <v>#REF!</v>
      </c>
      <c r="Q73" s="111" t="e">
        <f t="shared" si="3"/>
        <v>#REF!</v>
      </c>
      <c r="R73" s="111" t="e">
        <f t="shared" si="3"/>
        <v>#REF!</v>
      </c>
      <c r="S73" s="111" t="e">
        <f t="shared" si="3"/>
        <v>#REF!</v>
      </c>
      <c r="T73" s="111" t="e">
        <f t="shared" si="3"/>
        <v>#REF!</v>
      </c>
      <c r="U73" s="111" t="e">
        <f t="shared" si="3"/>
        <v>#REF!</v>
      </c>
      <c r="V73" s="111" t="e">
        <f t="shared" si="3"/>
        <v>#REF!</v>
      </c>
      <c r="W73" s="111">
        <f>SUM(W74:W82)</f>
        <v>10600</v>
      </c>
      <c r="X73" s="112"/>
      <c r="Y73" s="130"/>
      <c r="Z73" s="113"/>
      <c r="AA73" s="113"/>
    </row>
    <row r="74" spans="1:49" ht="60.9" customHeight="1">
      <c r="A74" s="114">
        <v>1</v>
      </c>
      <c r="B74" s="121" t="s">
        <v>118</v>
      </c>
      <c r="C74" s="23" t="s">
        <v>126</v>
      </c>
      <c r="D74" s="89" t="s">
        <v>19</v>
      </c>
      <c r="E74" s="23" t="s">
        <v>115</v>
      </c>
      <c r="F74" s="122" t="s">
        <v>116</v>
      </c>
      <c r="G74" s="86" t="s">
        <v>546</v>
      </c>
      <c r="H74" s="80">
        <f t="shared" ref="H74:H81" si="4">SUM(I74,J74:Q74)</f>
        <v>1200</v>
      </c>
      <c r="I74" s="32">
        <v>1200</v>
      </c>
      <c r="J74" s="37"/>
      <c r="K74" s="37"/>
      <c r="L74" s="37"/>
      <c r="M74" s="37"/>
      <c r="N74" s="37"/>
      <c r="O74" s="37"/>
      <c r="P74" s="37"/>
      <c r="Q74" s="37"/>
      <c r="R74" s="32">
        <f t="shared" ref="R74:R81" si="5">SUM(S74:U74)</f>
        <v>0</v>
      </c>
      <c r="S74" s="32"/>
      <c r="T74" s="37"/>
      <c r="U74" s="37"/>
      <c r="V74" s="80">
        <f t="shared" ref="V74:V82" si="6">H74-R74</f>
        <v>1200</v>
      </c>
      <c r="W74" s="37">
        <v>1200</v>
      </c>
      <c r="X74" s="117"/>
      <c r="Y74" s="131" t="s">
        <v>983</v>
      </c>
      <c r="Z74" s="22" t="s">
        <v>473</v>
      </c>
      <c r="AA74" s="22" t="s">
        <v>467</v>
      </c>
      <c r="AB74" s="6">
        <f t="shared" si="2"/>
        <v>1200</v>
      </c>
      <c r="AC74" s="6"/>
      <c r="AD74" s="6"/>
      <c r="AE74" s="6"/>
    </row>
    <row r="75" spans="1:49" ht="60.9" customHeight="1">
      <c r="A75" s="114">
        <f>A74+1</f>
        <v>2</v>
      </c>
      <c r="B75" s="121" t="s">
        <v>119</v>
      </c>
      <c r="C75" s="23" t="s">
        <v>127</v>
      </c>
      <c r="D75" s="89" t="s">
        <v>19</v>
      </c>
      <c r="E75" s="23" t="s">
        <v>115</v>
      </c>
      <c r="F75" s="122" t="s">
        <v>116</v>
      </c>
      <c r="G75" s="86" t="s">
        <v>545</v>
      </c>
      <c r="H75" s="80">
        <f t="shared" si="4"/>
        <v>1200</v>
      </c>
      <c r="I75" s="32">
        <v>1200</v>
      </c>
      <c r="J75" s="37"/>
      <c r="K75" s="37"/>
      <c r="L75" s="37"/>
      <c r="M75" s="37"/>
      <c r="N75" s="37"/>
      <c r="O75" s="37"/>
      <c r="P75" s="37"/>
      <c r="Q75" s="37"/>
      <c r="R75" s="32">
        <f t="shared" si="5"/>
        <v>0</v>
      </c>
      <c r="S75" s="32"/>
      <c r="T75" s="37"/>
      <c r="U75" s="37"/>
      <c r="V75" s="80">
        <f t="shared" si="6"/>
        <v>1200</v>
      </c>
      <c r="W75" s="37">
        <v>1200</v>
      </c>
      <c r="X75" s="117"/>
      <c r="Y75" s="131" t="s">
        <v>983</v>
      </c>
      <c r="Z75" s="22" t="s">
        <v>473</v>
      </c>
      <c r="AA75" s="22" t="s">
        <v>467</v>
      </c>
      <c r="AB75" s="6">
        <f t="shared" si="2"/>
        <v>1200</v>
      </c>
      <c r="AC75" s="6"/>
      <c r="AD75" s="6"/>
      <c r="AE75" s="6"/>
    </row>
    <row r="76" spans="1:49" ht="60.9" customHeight="1">
      <c r="A76" s="114">
        <f t="shared" ref="A76:A82" si="7">A75+1</f>
        <v>3</v>
      </c>
      <c r="B76" s="121" t="s">
        <v>120</v>
      </c>
      <c r="C76" s="23" t="s">
        <v>112</v>
      </c>
      <c r="D76" s="89" t="s">
        <v>19</v>
      </c>
      <c r="E76" s="23" t="s">
        <v>115</v>
      </c>
      <c r="F76" s="122" t="s">
        <v>116</v>
      </c>
      <c r="G76" s="86" t="s">
        <v>544</v>
      </c>
      <c r="H76" s="80">
        <f t="shared" si="4"/>
        <v>1200</v>
      </c>
      <c r="I76" s="32">
        <v>1200</v>
      </c>
      <c r="J76" s="37"/>
      <c r="K76" s="37"/>
      <c r="L76" s="37"/>
      <c r="M76" s="37"/>
      <c r="N76" s="37"/>
      <c r="O76" s="37"/>
      <c r="P76" s="37"/>
      <c r="Q76" s="37"/>
      <c r="R76" s="32">
        <f t="shared" si="5"/>
        <v>0</v>
      </c>
      <c r="S76" s="32"/>
      <c r="T76" s="37"/>
      <c r="U76" s="37"/>
      <c r="V76" s="80">
        <f t="shared" si="6"/>
        <v>1200</v>
      </c>
      <c r="W76" s="37">
        <v>1200</v>
      </c>
      <c r="X76" s="117"/>
      <c r="Y76" s="131" t="s">
        <v>983</v>
      </c>
      <c r="Z76" s="22" t="s">
        <v>473</v>
      </c>
      <c r="AA76" s="22" t="s">
        <v>467</v>
      </c>
      <c r="AB76" s="6">
        <f t="shared" si="2"/>
        <v>1200</v>
      </c>
      <c r="AC76" s="6"/>
      <c r="AD76" s="6"/>
      <c r="AE76" s="6"/>
    </row>
    <row r="77" spans="1:49" ht="60.9" customHeight="1">
      <c r="A77" s="114">
        <f t="shared" si="7"/>
        <v>4</v>
      </c>
      <c r="B77" s="121" t="s">
        <v>121</v>
      </c>
      <c r="C77" s="23" t="s">
        <v>449</v>
      </c>
      <c r="D77" s="89" t="s">
        <v>19</v>
      </c>
      <c r="E77" s="23" t="s">
        <v>115</v>
      </c>
      <c r="F77" s="122" t="s">
        <v>116</v>
      </c>
      <c r="G77" s="86" t="s">
        <v>541</v>
      </c>
      <c r="H77" s="80">
        <f t="shared" si="4"/>
        <v>1200</v>
      </c>
      <c r="I77" s="32">
        <v>1200</v>
      </c>
      <c r="J77" s="37"/>
      <c r="K77" s="37"/>
      <c r="L77" s="37"/>
      <c r="M77" s="37"/>
      <c r="N77" s="37"/>
      <c r="O77" s="37"/>
      <c r="P77" s="37"/>
      <c r="Q77" s="37"/>
      <c r="R77" s="32">
        <f t="shared" si="5"/>
        <v>0</v>
      </c>
      <c r="S77" s="32"/>
      <c r="T77" s="37"/>
      <c r="U77" s="37"/>
      <c r="V77" s="80">
        <f t="shared" si="6"/>
        <v>1200</v>
      </c>
      <c r="W77" s="37">
        <v>1200</v>
      </c>
      <c r="X77" s="117"/>
      <c r="Y77" s="131" t="s">
        <v>983</v>
      </c>
      <c r="Z77" s="22" t="s">
        <v>473</v>
      </c>
      <c r="AA77" s="22" t="s">
        <v>467</v>
      </c>
      <c r="AB77" s="6">
        <f t="shared" si="2"/>
        <v>1200</v>
      </c>
      <c r="AC77" s="6"/>
      <c r="AD77" s="6"/>
      <c r="AE77" s="6"/>
    </row>
    <row r="78" spans="1:49" ht="60.9" customHeight="1">
      <c r="A78" s="114">
        <f t="shared" si="7"/>
        <v>5</v>
      </c>
      <c r="B78" s="121" t="s">
        <v>122</v>
      </c>
      <c r="C78" s="23" t="s">
        <v>129</v>
      </c>
      <c r="D78" s="89" t="s">
        <v>19</v>
      </c>
      <c r="E78" s="23" t="s">
        <v>115</v>
      </c>
      <c r="F78" s="122" t="s">
        <v>116</v>
      </c>
      <c r="G78" s="86" t="s">
        <v>547</v>
      </c>
      <c r="H78" s="80">
        <f t="shared" si="4"/>
        <v>1200</v>
      </c>
      <c r="I78" s="32">
        <v>1200</v>
      </c>
      <c r="J78" s="37"/>
      <c r="K78" s="37"/>
      <c r="L78" s="37"/>
      <c r="M78" s="37"/>
      <c r="N78" s="37"/>
      <c r="O78" s="37"/>
      <c r="P78" s="37"/>
      <c r="Q78" s="37"/>
      <c r="R78" s="32">
        <f t="shared" si="5"/>
        <v>0</v>
      </c>
      <c r="S78" s="32"/>
      <c r="T78" s="37"/>
      <c r="U78" s="37"/>
      <c r="V78" s="80">
        <f t="shared" si="6"/>
        <v>1200</v>
      </c>
      <c r="W78" s="37">
        <v>1200</v>
      </c>
      <c r="X78" s="117"/>
      <c r="Y78" s="131" t="s">
        <v>983</v>
      </c>
      <c r="Z78" s="22" t="s">
        <v>473</v>
      </c>
      <c r="AA78" s="22" t="s">
        <v>467</v>
      </c>
      <c r="AB78" s="6">
        <f t="shared" si="2"/>
        <v>1200</v>
      </c>
      <c r="AC78" s="6"/>
      <c r="AD78" s="6"/>
      <c r="AE78" s="6"/>
    </row>
    <row r="79" spans="1:49" ht="60.9" customHeight="1">
      <c r="A79" s="114">
        <f t="shared" si="7"/>
        <v>6</v>
      </c>
      <c r="B79" s="121" t="s">
        <v>123</v>
      </c>
      <c r="C79" s="23" t="s">
        <v>130</v>
      </c>
      <c r="D79" s="89" t="s">
        <v>19</v>
      </c>
      <c r="E79" s="23" t="s">
        <v>115</v>
      </c>
      <c r="F79" s="122" t="s">
        <v>116</v>
      </c>
      <c r="G79" s="86" t="s">
        <v>549</v>
      </c>
      <c r="H79" s="80">
        <f t="shared" si="4"/>
        <v>1200</v>
      </c>
      <c r="I79" s="32">
        <v>1200</v>
      </c>
      <c r="J79" s="37"/>
      <c r="K79" s="37"/>
      <c r="L79" s="37"/>
      <c r="M79" s="37"/>
      <c r="N79" s="37"/>
      <c r="O79" s="37"/>
      <c r="P79" s="37"/>
      <c r="Q79" s="37"/>
      <c r="R79" s="32">
        <f t="shared" si="5"/>
        <v>0</v>
      </c>
      <c r="S79" s="32"/>
      <c r="T79" s="37"/>
      <c r="U79" s="37"/>
      <c r="V79" s="80">
        <f t="shared" si="6"/>
        <v>1200</v>
      </c>
      <c r="W79" s="37">
        <v>1200</v>
      </c>
      <c r="X79" s="117"/>
      <c r="Y79" s="131" t="s">
        <v>983</v>
      </c>
      <c r="Z79" s="22" t="s">
        <v>473</v>
      </c>
      <c r="AA79" s="22" t="s">
        <v>467</v>
      </c>
      <c r="AB79" s="6">
        <f t="shared" si="2"/>
        <v>1200</v>
      </c>
      <c r="AC79" s="6"/>
      <c r="AD79" s="6"/>
      <c r="AE79" s="6"/>
    </row>
    <row r="80" spans="1:49" ht="60.9" customHeight="1">
      <c r="A80" s="114">
        <f t="shared" si="7"/>
        <v>7</v>
      </c>
      <c r="B80" s="121" t="s">
        <v>124</v>
      </c>
      <c r="C80" s="23" t="s">
        <v>131</v>
      </c>
      <c r="D80" s="89" t="s">
        <v>19</v>
      </c>
      <c r="E80" s="23" t="s">
        <v>115</v>
      </c>
      <c r="F80" s="122" t="s">
        <v>116</v>
      </c>
      <c r="G80" s="86" t="s">
        <v>542</v>
      </c>
      <c r="H80" s="80">
        <f t="shared" si="4"/>
        <v>1200</v>
      </c>
      <c r="I80" s="32">
        <v>1200</v>
      </c>
      <c r="J80" s="37"/>
      <c r="K80" s="37"/>
      <c r="L80" s="37"/>
      <c r="M80" s="37"/>
      <c r="N80" s="37"/>
      <c r="O80" s="37"/>
      <c r="P80" s="37"/>
      <c r="Q80" s="37"/>
      <c r="R80" s="32">
        <f t="shared" si="5"/>
        <v>0</v>
      </c>
      <c r="S80" s="32"/>
      <c r="T80" s="37"/>
      <c r="U80" s="37"/>
      <c r="V80" s="80">
        <f t="shared" si="6"/>
        <v>1200</v>
      </c>
      <c r="W80" s="37">
        <v>1200</v>
      </c>
      <c r="X80" s="117"/>
      <c r="Y80" s="131" t="s">
        <v>983</v>
      </c>
      <c r="Z80" s="22" t="s">
        <v>473</v>
      </c>
      <c r="AA80" s="22" t="s">
        <v>467</v>
      </c>
      <c r="AB80" s="6">
        <f t="shared" si="2"/>
        <v>1200</v>
      </c>
      <c r="AC80" s="6"/>
      <c r="AD80" s="6"/>
      <c r="AE80" s="6"/>
    </row>
    <row r="81" spans="1:49" ht="60.9" customHeight="1">
      <c r="A81" s="114">
        <f t="shared" si="7"/>
        <v>8</v>
      </c>
      <c r="B81" s="121" t="s">
        <v>125</v>
      </c>
      <c r="C81" s="23" t="s">
        <v>132</v>
      </c>
      <c r="D81" s="89" t="s">
        <v>19</v>
      </c>
      <c r="E81" s="23" t="s">
        <v>115</v>
      </c>
      <c r="F81" s="122" t="s">
        <v>116</v>
      </c>
      <c r="G81" s="86" t="s">
        <v>543</v>
      </c>
      <c r="H81" s="80">
        <f t="shared" si="4"/>
        <v>1200</v>
      </c>
      <c r="I81" s="32">
        <v>1200</v>
      </c>
      <c r="J81" s="37"/>
      <c r="K81" s="37"/>
      <c r="L81" s="37"/>
      <c r="M81" s="37"/>
      <c r="N81" s="37"/>
      <c r="O81" s="37"/>
      <c r="P81" s="37"/>
      <c r="Q81" s="37"/>
      <c r="R81" s="32">
        <f t="shared" si="5"/>
        <v>0</v>
      </c>
      <c r="S81" s="32"/>
      <c r="T81" s="37"/>
      <c r="U81" s="37"/>
      <c r="V81" s="80">
        <f t="shared" si="6"/>
        <v>1200</v>
      </c>
      <c r="W81" s="37">
        <v>1200</v>
      </c>
      <c r="X81" s="117"/>
      <c r="Y81" s="131" t="s">
        <v>983</v>
      </c>
      <c r="Z81" s="22" t="s">
        <v>473</v>
      </c>
      <c r="AA81" s="22" t="s">
        <v>467</v>
      </c>
      <c r="AB81" s="6">
        <f t="shared" si="2"/>
        <v>1200</v>
      </c>
      <c r="AC81" s="6"/>
      <c r="AD81" s="6"/>
      <c r="AE81" s="6"/>
    </row>
    <row r="82" spans="1:49" ht="77.25" customHeight="1">
      <c r="A82" s="114">
        <f t="shared" si="7"/>
        <v>9</v>
      </c>
      <c r="B82" s="36" t="s">
        <v>721</v>
      </c>
      <c r="C82" s="23" t="s">
        <v>722</v>
      </c>
      <c r="D82" s="34" t="s">
        <v>20</v>
      </c>
      <c r="E82" s="23" t="s">
        <v>415</v>
      </c>
      <c r="F82" s="23" t="s">
        <v>391</v>
      </c>
      <c r="G82" s="86" t="s">
        <v>723</v>
      </c>
      <c r="H82" s="80">
        <v>1000</v>
      </c>
      <c r="I82" s="32"/>
      <c r="J82" s="37"/>
      <c r="K82" s="37"/>
      <c r="L82" s="37"/>
      <c r="M82" s="37"/>
      <c r="N82" s="37"/>
      <c r="O82" s="37"/>
      <c r="P82" s="37"/>
      <c r="Q82" s="37"/>
      <c r="R82" s="32"/>
      <c r="S82" s="32"/>
      <c r="T82" s="37"/>
      <c r="U82" s="37"/>
      <c r="V82" s="80">
        <f t="shared" si="6"/>
        <v>1000</v>
      </c>
      <c r="W82" s="37">
        <v>1000</v>
      </c>
      <c r="X82" s="117" t="s">
        <v>720</v>
      </c>
      <c r="Y82" s="131" t="s">
        <v>983</v>
      </c>
      <c r="AB82" s="6">
        <f t="shared" si="2"/>
        <v>1000</v>
      </c>
      <c r="AC82" s="6"/>
      <c r="AD82" s="6"/>
      <c r="AE82" s="6"/>
    </row>
    <row r="83" spans="1:49" s="18" customFormat="1" ht="60" customHeight="1">
      <c r="A83" s="13" t="s">
        <v>1028</v>
      </c>
      <c r="B83" s="26" t="s">
        <v>1006</v>
      </c>
      <c r="C83" s="13"/>
      <c r="D83" s="13"/>
      <c r="E83" s="13"/>
      <c r="F83" s="13"/>
      <c r="G83" s="13"/>
      <c r="H83" s="8" t="e">
        <f>SUM(#REF!,#REF!,#REF!)</f>
        <v>#REF!</v>
      </c>
      <c r="I83" s="8" t="e">
        <f>SUM(#REF!,#REF!,#REF!)</f>
        <v>#REF!</v>
      </c>
      <c r="J83" s="8" t="e">
        <f>SUM(#REF!,#REF!,#REF!)</f>
        <v>#REF!</v>
      </c>
      <c r="K83" s="8" t="e">
        <f>SUM(#REF!,#REF!,#REF!)</f>
        <v>#REF!</v>
      </c>
      <c r="L83" s="8" t="e">
        <f>SUM(#REF!,#REF!,#REF!)</f>
        <v>#REF!</v>
      </c>
      <c r="M83" s="8" t="e">
        <f>SUM(#REF!,#REF!,#REF!)</f>
        <v>#REF!</v>
      </c>
      <c r="N83" s="8" t="e">
        <f>SUM(#REF!,#REF!,#REF!)</f>
        <v>#REF!</v>
      </c>
      <c r="O83" s="8" t="e">
        <f>SUM(#REF!,#REF!,#REF!)</f>
        <v>#REF!</v>
      </c>
      <c r="P83" s="8" t="e">
        <f>SUM(#REF!,#REF!,#REF!)</f>
        <v>#REF!</v>
      </c>
      <c r="Q83" s="8" t="e">
        <f>SUM(#REF!,#REF!,#REF!)</f>
        <v>#REF!</v>
      </c>
      <c r="R83" s="8" t="e">
        <f>SUM(#REF!,#REF!,#REF!)</f>
        <v>#REF!</v>
      </c>
      <c r="S83" s="8" t="e">
        <f>SUM(#REF!,#REF!,#REF!)</f>
        <v>#REF!</v>
      </c>
      <c r="T83" s="8" t="e">
        <f>SUM(#REF!,#REF!,#REF!)</f>
        <v>#REF!</v>
      </c>
      <c r="U83" s="8" t="e">
        <f>SUM(#REF!,#REF!,#REF!)</f>
        <v>#REF!</v>
      </c>
      <c r="V83" s="8" t="e">
        <f>SUM(#REF!,#REF!,#REF!)</f>
        <v>#REF!</v>
      </c>
      <c r="W83" s="8">
        <f>SUM(W84)</f>
        <v>6400</v>
      </c>
      <c r="X83" s="334"/>
      <c r="Y83" s="211"/>
      <c r="Z83" s="189"/>
      <c r="AA83" s="189"/>
      <c r="AB83" s="179"/>
      <c r="AC83" s="179"/>
      <c r="AD83" s="179"/>
      <c r="AE83" s="179"/>
      <c r="AF83" s="179"/>
      <c r="AG83" s="179"/>
      <c r="AH83" s="179"/>
      <c r="AI83" s="179"/>
      <c r="AJ83" s="179"/>
      <c r="AK83" s="179"/>
      <c r="AL83" s="179"/>
      <c r="AM83" s="179"/>
      <c r="AN83" s="179"/>
      <c r="AO83" s="179"/>
      <c r="AP83" s="179"/>
      <c r="AQ83" s="179"/>
      <c r="AR83" s="179"/>
      <c r="AS83" s="179"/>
      <c r="AT83" s="179"/>
      <c r="AU83" s="179"/>
      <c r="AV83" s="179"/>
      <c r="AW83" s="179"/>
    </row>
    <row r="84" spans="1:49" s="20" customFormat="1" ht="44.25" customHeight="1">
      <c r="A84" s="109" t="s">
        <v>17</v>
      </c>
      <c r="B84" s="110" t="s">
        <v>98</v>
      </c>
      <c r="C84" s="110"/>
      <c r="D84" s="109"/>
      <c r="E84" s="110"/>
      <c r="F84" s="110"/>
      <c r="G84" s="110"/>
      <c r="H84" s="111" t="e">
        <f t="shared" ref="H84:V84" si="8">SUM(H85:H129)</f>
        <v>#REF!</v>
      </c>
      <c r="I84" s="111" t="e">
        <f t="shared" si="8"/>
        <v>#REF!</v>
      </c>
      <c r="J84" s="111" t="e">
        <f t="shared" si="8"/>
        <v>#REF!</v>
      </c>
      <c r="K84" s="111" t="e">
        <f t="shared" si="8"/>
        <v>#REF!</v>
      </c>
      <c r="L84" s="111" t="e">
        <f t="shared" si="8"/>
        <v>#REF!</v>
      </c>
      <c r="M84" s="111" t="e">
        <f t="shared" si="8"/>
        <v>#REF!</v>
      </c>
      <c r="N84" s="111" t="e">
        <f t="shared" si="8"/>
        <v>#REF!</v>
      </c>
      <c r="O84" s="111" t="e">
        <f t="shared" si="8"/>
        <v>#REF!</v>
      </c>
      <c r="P84" s="111" t="e">
        <f t="shared" si="8"/>
        <v>#REF!</v>
      </c>
      <c r="Q84" s="111" t="e">
        <f t="shared" si="8"/>
        <v>#REF!</v>
      </c>
      <c r="R84" s="111" t="e">
        <f t="shared" si="8"/>
        <v>#REF!</v>
      </c>
      <c r="S84" s="111" t="e">
        <f t="shared" si="8"/>
        <v>#REF!</v>
      </c>
      <c r="T84" s="111" t="e">
        <f t="shared" si="8"/>
        <v>#REF!</v>
      </c>
      <c r="U84" s="111" t="e">
        <f t="shared" si="8"/>
        <v>#REF!</v>
      </c>
      <c r="V84" s="111" t="e">
        <f t="shared" si="8"/>
        <v>#REF!</v>
      </c>
      <c r="W84" s="111">
        <f>SUM(W85:W86)</f>
        <v>6400</v>
      </c>
      <c r="X84" s="112"/>
      <c r="Y84" s="130"/>
      <c r="Z84" s="113"/>
      <c r="AA84" s="113"/>
    </row>
    <row r="85" spans="1:49" ht="60.9" customHeight="1">
      <c r="A85" s="114">
        <v>1</v>
      </c>
      <c r="B85" s="36" t="s">
        <v>738</v>
      </c>
      <c r="C85" s="23" t="s">
        <v>740</v>
      </c>
      <c r="D85" s="34" t="s">
        <v>19</v>
      </c>
      <c r="E85" s="23" t="s">
        <v>741</v>
      </c>
      <c r="F85" s="23" t="s">
        <v>391</v>
      </c>
      <c r="G85" s="86" t="s">
        <v>739</v>
      </c>
      <c r="H85" s="62">
        <v>3100</v>
      </c>
      <c r="I85" s="32"/>
      <c r="J85" s="37"/>
      <c r="K85" s="37"/>
      <c r="L85" s="37"/>
      <c r="M85" s="37"/>
      <c r="N85" s="37"/>
      <c r="O85" s="37"/>
      <c r="P85" s="37"/>
      <c r="Q85" s="37"/>
      <c r="R85" s="32"/>
      <c r="S85" s="32"/>
      <c r="T85" s="37"/>
      <c r="U85" s="37"/>
      <c r="V85" s="80">
        <f>H85-R85</f>
        <v>3100</v>
      </c>
      <c r="W85" s="37">
        <v>3100</v>
      </c>
      <c r="X85" s="117"/>
      <c r="Y85" s="131" t="s">
        <v>984</v>
      </c>
      <c r="AB85" s="6">
        <f t="shared" si="2"/>
        <v>3100</v>
      </c>
      <c r="AC85" s="6"/>
      <c r="AD85" s="6"/>
      <c r="AE85" s="6"/>
    </row>
    <row r="86" spans="1:49" ht="60.9" customHeight="1">
      <c r="A86" s="114">
        <v>2</v>
      </c>
      <c r="B86" s="36" t="s">
        <v>742</v>
      </c>
      <c r="C86" s="23" t="s">
        <v>745</v>
      </c>
      <c r="D86" s="34" t="s">
        <v>19</v>
      </c>
      <c r="E86" s="23" t="s">
        <v>741</v>
      </c>
      <c r="F86" s="23" t="s">
        <v>391</v>
      </c>
      <c r="G86" s="86" t="s">
        <v>746</v>
      </c>
      <c r="H86" s="62">
        <v>3300</v>
      </c>
      <c r="I86" s="32"/>
      <c r="J86" s="37"/>
      <c r="K86" s="37"/>
      <c r="L86" s="37"/>
      <c r="M86" s="37"/>
      <c r="N86" s="37"/>
      <c r="O86" s="37"/>
      <c r="P86" s="37"/>
      <c r="Q86" s="37"/>
      <c r="R86" s="32"/>
      <c r="S86" s="32"/>
      <c r="T86" s="37"/>
      <c r="U86" s="37"/>
      <c r="V86" s="80">
        <f>H86-R86</f>
        <v>3300</v>
      </c>
      <c r="W86" s="37">
        <v>3300</v>
      </c>
      <c r="X86" s="117"/>
      <c r="Y86" s="131" t="s">
        <v>984</v>
      </c>
      <c r="AB86" s="6">
        <f t="shared" si="2"/>
        <v>3300</v>
      </c>
      <c r="AC86" s="6"/>
      <c r="AD86" s="6"/>
      <c r="AE86" s="6"/>
    </row>
    <row r="87" spans="1:49" s="18" customFormat="1" ht="60" customHeight="1">
      <c r="A87" s="13" t="s">
        <v>1029</v>
      </c>
      <c r="B87" s="26" t="s">
        <v>1007</v>
      </c>
      <c r="C87" s="13"/>
      <c r="D87" s="13"/>
      <c r="E87" s="13"/>
      <c r="F87" s="13"/>
      <c r="G87" s="13"/>
      <c r="H87" s="8" t="e">
        <f>SUM(#REF!,#REF!,#REF!)</f>
        <v>#REF!</v>
      </c>
      <c r="I87" s="8" t="e">
        <f>SUM(#REF!,#REF!,#REF!)</f>
        <v>#REF!</v>
      </c>
      <c r="J87" s="8" t="e">
        <f>SUM(#REF!,#REF!,#REF!)</f>
        <v>#REF!</v>
      </c>
      <c r="K87" s="8" t="e">
        <f>SUM(#REF!,#REF!,#REF!)</f>
        <v>#REF!</v>
      </c>
      <c r="L87" s="8" t="e">
        <f>SUM(#REF!,#REF!,#REF!)</f>
        <v>#REF!</v>
      </c>
      <c r="M87" s="8" t="e">
        <f>SUM(#REF!,#REF!,#REF!)</f>
        <v>#REF!</v>
      </c>
      <c r="N87" s="8" t="e">
        <f>SUM(#REF!,#REF!,#REF!)</f>
        <v>#REF!</v>
      </c>
      <c r="O87" s="8" t="e">
        <f>SUM(#REF!,#REF!,#REF!)</f>
        <v>#REF!</v>
      </c>
      <c r="P87" s="8" t="e">
        <f>SUM(#REF!,#REF!,#REF!)</f>
        <v>#REF!</v>
      </c>
      <c r="Q87" s="8" t="e">
        <f>SUM(#REF!,#REF!,#REF!)</f>
        <v>#REF!</v>
      </c>
      <c r="R87" s="8" t="e">
        <f>SUM(#REF!,#REF!,#REF!)</f>
        <v>#REF!</v>
      </c>
      <c r="S87" s="8" t="e">
        <f>SUM(#REF!,#REF!,#REF!)</f>
        <v>#REF!</v>
      </c>
      <c r="T87" s="8" t="e">
        <f>SUM(#REF!,#REF!,#REF!)</f>
        <v>#REF!</v>
      </c>
      <c r="U87" s="8" t="e">
        <f>SUM(#REF!,#REF!,#REF!)</f>
        <v>#REF!</v>
      </c>
      <c r="V87" s="8" t="e">
        <f>SUM(#REF!,#REF!,#REF!)</f>
        <v>#REF!</v>
      </c>
      <c r="W87" s="8">
        <f>SUM(W88)</f>
        <v>6300</v>
      </c>
      <c r="X87" s="334"/>
      <c r="Y87" s="211"/>
      <c r="Z87" s="189"/>
      <c r="AA87" s="189"/>
      <c r="AB87" s="179"/>
      <c r="AC87" s="179"/>
      <c r="AD87" s="179"/>
      <c r="AE87" s="179"/>
      <c r="AF87" s="179"/>
      <c r="AG87" s="179"/>
      <c r="AH87" s="179"/>
      <c r="AI87" s="179"/>
      <c r="AJ87" s="179"/>
      <c r="AK87" s="179"/>
      <c r="AL87" s="179"/>
      <c r="AM87" s="179"/>
      <c r="AN87" s="179"/>
      <c r="AO87" s="179"/>
      <c r="AP87" s="179"/>
      <c r="AQ87" s="179"/>
      <c r="AR87" s="179"/>
      <c r="AS87" s="179"/>
      <c r="AT87" s="179"/>
      <c r="AU87" s="179"/>
      <c r="AV87" s="179"/>
      <c r="AW87" s="179"/>
    </row>
    <row r="88" spans="1:49" s="20" customFormat="1" ht="44.25" customHeight="1">
      <c r="A88" s="109" t="s">
        <v>17</v>
      </c>
      <c r="B88" s="110" t="s">
        <v>358</v>
      </c>
      <c r="C88" s="110"/>
      <c r="D88" s="109"/>
      <c r="E88" s="110"/>
      <c r="F88" s="110"/>
      <c r="G88" s="110"/>
      <c r="H88" s="111"/>
      <c r="I88" s="111"/>
      <c r="J88" s="111"/>
      <c r="K88" s="111"/>
      <c r="L88" s="111"/>
      <c r="M88" s="111"/>
      <c r="N88" s="111"/>
      <c r="O88" s="111"/>
      <c r="P88" s="111"/>
      <c r="Q88" s="111"/>
      <c r="R88" s="111"/>
      <c r="S88" s="111"/>
      <c r="T88" s="111"/>
      <c r="U88" s="111"/>
      <c r="V88" s="111"/>
      <c r="W88" s="111">
        <f>SUM(W89:W90)</f>
        <v>6300</v>
      </c>
      <c r="X88" s="335"/>
      <c r="Y88" s="130"/>
      <c r="Z88" s="113"/>
      <c r="AA88" s="113"/>
    </row>
    <row r="89" spans="1:49" ht="78.75" customHeight="1">
      <c r="A89" s="114">
        <v>1</v>
      </c>
      <c r="B89" s="187" t="s">
        <v>715</v>
      </c>
      <c r="C89" s="89" t="s">
        <v>747</v>
      </c>
      <c r="D89" s="163" t="s">
        <v>19</v>
      </c>
      <c r="E89" s="186" t="s">
        <v>422</v>
      </c>
      <c r="F89" s="163" t="s">
        <v>391</v>
      </c>
      <c r="G89" s="86"/>
      <c r="H89" s="62"/>
      <c r="I89" s="32"/>
      <c r="J89" s="37"/>
      <c r="K89" s="37"/>
      <c r="L89" s="37"/>
      <c r="M89" s="37"/>
      <c r="N89" s="37"/>
      <c r="O89" s="37"/>
      <c r="P89" s="37"/>
      <c r="Q89" s="37"/>
      <c r="R89" s="32"/>
      <c r="S89" s="32"/>
      <c r="T89" s="37"/>
      <c r="U89" s="37"/>
      <c r="V89" s="80"/>
      <c r="W89" s="37">
        <v>4300</v>
      </c>
      <c r="X89" s="335"/>
      <c r="Y89" s="131" t="s">
        <v>998</v>
      </c>
      <c r="AB89" s="6">
        <f t="shared" si="2"/>
        <v>4300</v>
      </c>
      <c r="AC89" s="6"/>
      <c r="AD89" s="6"/>
      <c r="AE89" s="6"/>
    </row>
    <row r="90" spans="1:49" ht="53.25" customHeight="1">
      <c r="A90" s="10">
        <v>2</v>
      </c>
      <c r="B90" s="115" t="s">
        <v>672</v>
      </c>
      <c r="C90" s="10" t="s">
        <v>128</v>
      </c>
      <c r="D90" s="185" t="s">
        <v>19</v>
      </c>
      <c r="E90" s="10" t="s">
        <v>422</v>
      </c>
      <c r="F90" s="10" t="s">
        <v>391</v>
      </c>
      <c r="G90" s="17" t="s">
        <v>840</v>
      </c>
      <c r="H90" s="17"/>
      <c r="I90" s="17"/>
      <c r="J90" s="17"/>
      <c r="K90" s="17"/>
      <c r="L90" s="17"/>
      <c r="M90" s="17"/>
      <c r="N90" s="17"/>
      <c r="O90" s="17"/>
      <c r="P90" s="17"/>
      <c r="Q90" s="17"/>
      <c r="R90" s="17"/>
      <c r="S90" s="17"/>
      <c r="T90" s="17"/>
      <c r="U90" s="17"/>
      <c r="V90" s="17"/>
      <c r="W90" s="70">
        <v>2000</v>
      </c>
      <c r="X90" s="17"/>
      <c r="Y90" s="11" t="s">
        <v>998</v>
      </c>
      <c r="AB90" s="6">
        <f t="shared" si="2"/>
        <v>2000</v>
      </c>
    </row>
    <row r="91" spans="1:49" s="18" customFormat="1" ht="60" customHeight="1">
      <c r="A91" s="13" t="s">
        <v>1030</v>
      </c>
      <c r="B91" s="26" t="s">
        <v>1010</v>
      </c>
      <c r="C91" s="13"/>
      <c r="D91" s="13"/>
      <c r="E91" s="13"/>
      <c r="F91" s="13"/>
      <c r="G91" s="13"/>
      <c r="H91" s="8" t="e">
        <f>SUM(#REF!,#REF!,#REF!)</f>
        <v>#REF!</v>
      </c>
      <c r="I91" s="8" t="e">
        <f>SUM(#REF!,#REF!,#REF!)</f>
        <v>#REF!</v>
      </c>
      <c r="J91" s="8" t="e">
        <f>SUM(#REF!,#REF!,#REF!)</f>
        <v>#REF!</v>
      </c>
      <c r="K91" s="8" t="e">
        <f>SUM(#REF!,#REF!,#REF!)</f>
        <v>#REF!</v>
      </c>
      <c r="L91" s="8" t="e">
        <f>SUM(#REF!,#REF!,#REF!)</f>
        <v>#REF!</v>
      </c>
      <c r="M91" s="8" t="e">
        <f>SUM(#REF!,#REF!,#REF!)</f>
        <v>#REF!</v>
      </c>
      <c r="N91" s="8" t="e">
        <f>SUM(#REF!,#REF!,#REF!)</f>
        <v>#REF!</v>
      </c>
      <c r="O91" s="8" t="e">
        <f>SUM(#REF!,#REF!,#REF!)</f>
        <v>#REF!</v>
      </c>
      <c r="P91" s="8" t="e">
        <f>SUM(#REF!,#REF!,#REF!)</f>
        <v>#REF!</v>
      </c>
      <c r="Q91" s="8" t="e">
        <f>SUM(#REF!,#REF!,#REF!)</f>
        <v>#REF!</v>
      </c>
      <c r="R91" s="8" t="e">
        <f>SUM(#REF!,#REF!,#REF!)</f>
        <v>#REF!</v>
      </c>
      <c r="S91" s="8" t="e">
        <f>SUM(#REF!,#REF!,#REF!)</f>
        <v>#REF!</v>
      </c>
      <c r="T91" s="8" t="e">
        <f>SUM(#REF!,#REF!,#REF!)</f>
        <v>#REF!</v>
      </c>
      <c r="U91" s="8" t="e">
        <f>SUM(#REF!,#REF!,#REF!)</f>
        <v>#REF!</v>
      </c>
      <c r="V91" s="8" t="e">
        <f>SUM(#REF!,#REF!,#REF!)</f>
        <v>#REF!</v>
      </c>
      <c r="W91" s="8">
        <f>SUM(W92)</f>
        <v>12000</v>
      </c>
      <c r="X91" s="334"/>
      <c r="Y91" s="211"/>
      <c r="Z91" s="189"/>
      <c r="AA91" s="189"/>
      <c r="AB91" s="179"/>
      <c r="AC91" s="179"/>
      <c r="AD91" s="179"/>
      <c r="AE91" s="179"/>
      <c r="AF91" s="179"/>
      <c r="AG91" s="179"/>
      <c r="AH91" s="179"/>
      <c r="AI91" s="179"/>
      <c r="AJ91" s="179"/>
      <c r="AK91" s="179"/>
      <c r="AL91" s="179"/>
      <c r="AM91" s="179"/>
      <c r="AN91" s="179"/>
      <c r="AO91" s="179"/>
      <c r="AP91" s="179"/>
      <c r="AQ91" s="179"/>
      <c r="AR91" s="179"/>
      <c r="AS91" s="179"/>
      <c r="AT91" s="179"/>
      <c r="AU91" s="179"/>
      <c r="AV91" s="179"/>
      <c r="AW91" s="179"/>
    </row>
    <row r="92" spans="1:49" s="20" customFormat="1" ht="44.25" customHeight="1">
      <c r="A92" s="109" t="s">
        <v>17</v>
      </c>
      <c r="B92" s="110" t="s">
        <v>381</v>
      </c>
      <c r="C92" s="110"/>
      <c r="D92" s="109"/>
      <c r="E92" s="110"/>
      <c r="F92" s="110"/>
      <c r="G92" s="110"/>
      <c r="H92" s="111"/>
      <c r="I92" s="111"/>
      <c r="J92" s="111"/>
      <c r="K92" s="111"/>
      <c r="L92" s="111"/>
      <c r="M92" s="111"/>
      <c r="N92" s="111"/>
      <c r="O92" s="111"/>
      <c r="P92" s="111"/>
      <c r="Q92" s="111"/>
      <c r="R92" s="111"/>
      <c r="S92" s="111"/>
      <c r="T92" s="111"/>
      <c r="U92" s="111"/>
      <c r="V92" s="111"/>
      <c r="W92" s="111">
        <f>SUM(W93:W93)</f>
        <v>12000</v>
      </c>
      <c r="X92" s="335"/>
      <c r="Y92" s="130"/>
      <c r="Z92" s="113"/>
      <c r="AA92" s="113"/>
    </row>
    <row r="93" spans="1:49" ht="60.75" customHeight="1">
      <c r="A93" s="114">
        <v>1</v>
      </c>
      <c r="B93" s="36" t="s">
        <v>386</v>
      </c>
      <c r="C93" s="23" t="s">
        <v>382</v>
      </c>
      <c r="D93" s="34" t="s">
        <v>19</v>
      </c>
      <c r="E93" s="23" t="s">
        <v>384</v>
      </c>
      <c r="F93" s="23" t="s">
        <v>36</v>
      </c>
      <c r="G93" s="86"/>
      <c r="H93" s="62"/>
      <c r="I93" s="32"/>
      <c r="J93" s="37"/>
      <c r="K93" s="37"/>
      <c r="L93" s="37"/>
      <c r="M93" s="37"/>
      <c r="N93" s="37"/>
      <c r="O93" s="37"/>
      <c r="P93" s="37"/>
      <c r="Q93" s="37"/>
      <c r="R93" s="32"/>
      <c r="S93" s="32"/>
      <c r="T93" s="37"/>
      <c r="U93" s="37"/>
      <c r="V93" s="80"/>
      <c r="W93" s="37">
        <v>12000</v>
      </c>
      <c r="X93" s="335"/>
      <c r="Y93" s="131" t="s">
        <v>999</v>
      </c>
      <c r="AB93" s="6">
        <f>W93</f>
        <v>12000</v>
      </c>
      <c r="AC93" s="6"/>
      <c r="AD93" s="6"/>
      <c r="AE93" s="6"/>
    </row>
    <row r="94" spans="1:49" s="18" customFormat="1" ht="60" customHeight="1">
      <c r="A94" s="13" t="s">
        <v>1031</v>
      </c>
      <c r="B94" s="26" t="s">
        <v>1011</v>
      </c>
      <c r="C94" s="13"/>
      <c r="D94" s="13"/>
      <c r="E94" s="13"/>
      <c r="F94" s="13"/>
      <c r="G94" s="13"/>
      <c r="H94" s="8" t="e">
        <f>SUM(#REF!,#REF!,#REF!)</f>
        <v>#REF!</v>
      </c>
      <c r="I94" s="8" t="e">
        <f>SUM(#REF!,#REF!,#REF!)</f>
        <v>#REF!</v>
      </c>
      <c r="J94" s="8" t="e">
        <f>SUM(#REF!,#REF!,#REF!)</f>
        <v>#REF!</v>
      </c>
      <c r="K94" s="8" t="e">
        <f>SUM(#REF!,#REF!,#REF!)</f>
        <v>#REF!</v>
      </c>
      <c r="L94" s="8" t="e">
        <f>SUM(#REF!,#REF!,#REF!)</f>
        <v>#REF!</v>
      </c>
      <c r="M94" s="8" t="e">
        <f>SUM(#REF!,#REF!,#REF!)</f>
        <v>#REF!</v>
      </c>
      <c r="N94" s="8" t="e">
        <f>SUM(#REF!,#REF!,#REF!)</f>
        <v>#REF!</v>
      </c>
      <c r="O94" s="8" t="e">
        <f>SUM(#REF!,#REF!,#REF!)</f>
        <v>#REF!</v>
      </c>
      <c r="P94" s="8" t="e">
        <f>SUM(#REF!,#REF!,#REF!)</f>
        <v>#REF!</v>
      </c>
      <c r="Q94" s="8" t="e">
        <f>SUM(#REF!,#REF!,#REF!)</f>
        <v>#REF!</v>
      </c>
      <c r="R94" s="8" t="e">
        <f>SUM(#REF!,#REF!,#REF!)</f>
        <v>#REF!</v>
      </c>
      <c r="S94" s="8" t="e">
        <f>SUM(#REF!,#REF!,#REF!)</f>
        <v>#REF!</v>
      </c>
      <c r="T94" s="8" t="e">
        <f>SUM(#REF!,#REF!,#REF!)</f>
        <v>#REF!</v>
      </c>
      <c r="U94" s="8" t="e">
        <f>SUM(#REF!,#REF!,#REF!)</f>
        <v>#REF!</v>
      </c>
      <c r="V94" s="8" t="e">
        <f>SUM(#REF!,#REF!,#REF!)</f>
        <v>#REF!</v>
      </c>
      <c r="W94" s="8">
        <f>SUM(W95)</f>
        <v>3000</v>
      </c>
      <c r="X94" s="334"/>
      <c r="Y94" s="211"/>
      <c r="Z94" s="189"/>
      <c r="AA94" s="189"/>
      <c r="AB94" s="179"/>
      <c r="AC94" s="179"/>
      <c r="AD94" s="179"/>
      <c r="AE94" s="179"/>
      <c r="AF94" s="179"/>
      <c r="AG94" s="179"/>
      <c r="AH94" s="179"/>
      <c r="AI94" s="179"/>
      <c r="AJ94" s="179"/>
      <c r="AK94" s="179"/>
      <c r="AL94" s="179"/>
      <c r="AM94" s="179"/>
      <c r="AN94" s="179"/>
      <c r="AO94" s="179"/>
      <c r="AP94" s="179"/>
      <c r="AQ94" s="179"/>
      <c r="AR94" s="179"/>
      <c r="AS94" s="179"/>
      <c r="AT94" s="179"/>
      <c r="AU94" s="179"/>
      <c r="AV94" s="179"/>
      <c r="AW94" s="179"/>
    </row>
    <row r="95" spans="1:49" s="20" customFormat="1" ht="44.25" customHeight="1">
      <c r="A95" s="109" t="s">
        <v>17</v>
      </c>
      <c r="B95" s="16" t="s">
        <v>278</v>
      </c>
      <c r="C95" s="110"/>
      <c r="D95" s="109"/>
      <c r="E95" s="110"/>
      <c r="F95" s="110"/>
      <c r="G95" s="110"/>
      <c r="H95" s="111"/>
      <c r="I95" s="111"/>
      <c r="J95" s="111"/>
      <c r="K95" s="111"/>
      <c r="L95" s="111"/>
      <c r="M95" s="111"/>
      <c r="N95" s="111"/>
      <c r="O95" s="111"/>
      <c r="P95" s="111"/>
      <c r="Q95" s="111"/>
      <c r="R95" s="111"/>
      <c r="S95" s="111"/>
      <c r="T95" s="111"/>
      <c r="U95" s="111"/>
      <c r="V95" s="111"/>
      <c r="W95" s="111">
        <f>SUM(W96:W96)</f>
        <v>3000</v>
      </c>
      <c r="X95" s="335"/>
      <c r="Y95" s="130"/>
      <c r="Z95" s="113"/>
      <c r="AA95" s="113"/>
    </row>
    <row r="96" spans="1:49" ht="60.75" customHeight="1">
      <c r="A96" s="114">
        <v>1</v>
      </c>
      <c r="B96" s="36" t="s">
        <v>271</v>
      </c>
      <c r="C96" s="23" t="s">
        <v>272</v>
      </c>
      <c r="D96" s="34" t="s">
        <v>19</v>
      </c>
      <c r="E96" s="23" t="s">
        <v>273</v>
      </c>
      <c r="F96" s="23" t="s">
        <v>36</v>
      </c>
      <c r="G96" s="86"/>
      <c r="H96" s="62"/>
      <c r="I96" s="32"/>
      <c r="J96" s="37"/>
      <c r="K96" s="37"/>
      <c r="L96" s="37"/>
      <c r="M96" s="37"/>
      <c r="N96" s="37"/>
      <c r="O96" s="37"/>
      <c r="P96" s="37"/>
      <c r="Q96" s="37"/>
      <c r="R96" s="32"/>
      <c r="S96" s="32"/>
      <c r="T96" s="37"/>
      <c r="U96" s="37"/>
      <c r="V96" s="80"/>
      <c r="W96" s="37">
        <v>3000</v>
      </c>
      <c r="X96" s="335"/>
      <c r="Y96" s="131" t="s">
        <v>1000</v>
      </c>
      <c r="AB96" s="6">
        <f>W96</f>
        <v>3000</v>
      </c>
      <c r="AC96" s="6"/>
      <c r="AD96" s="6"/>
      <c r="AE96" s="6"/>
    </row>
    <row r="97" spans="1:49" s="18" customFormat="1" ht="60" customHeight="1">
      <c r="A97" s="13" t="s">
        <v>1032</v>
      </c>
      <c r="B97" s="26" t="s">
        <v>1008</v>
      </c>
      <c r="C97" s="13"/>
      <c r="D97" s="13"/>
      <c r="E97" s="13"/>
      <c r="F97" s="13"/>
      <c r="G97" s="13"/>
      <c r="H97" s="8" t="e">
        <f>SUM(#REF!,#REF!,#REF!)</f>
        <v>#REF!</v>
      </c>
      <c r="I97" s="8" t="e">
        <f>SUM(#REF!,#REF!,#REF!)</f>
        <v>#REF!</v>
      </c>
      <c r="J97" s="8" t="e">
        <f>SUM(#REF!,#REF!,#REF!)</f>
        <v>#REF!</v>
      </c>
      <c r="K97" s="8" t="e">
        <f>SUM(#REF!,#REF!,#REF!)</f>
        <v>#REF!</v>
      </c>
      <c r="L97" s="8" t="e">
        <f>SUM(#REF!,#REF!,#REF!)</f>
        <v>#REF!</v>
      </c>
      <c r="M97" s="8" t="e">
        <f>SUM(#REF!,#REF!,#REF!)</f>
        <v>#REF!</v>
      </c>
      <c r="N97" s="8" t="e">
        <f>SUM(#REF!,#REF!,#REF!)</f>
        <v>#REF!</v>
      </c>
      <c r="O97" s="8" t="e">
        <f>SUM(#REF!,#REF!,#REF!)</f>
        <v>#REF!</v>
      </c>
      <c r="P97" s="8" t="e">
        <f>SUM(#REF!,#REF!,#REF!)</f>
        <v>#REF!</v>
      </c>
      <c r="Q97" s="8" t="e">
        <f>SUM(#REF!,#REF!,#REF!)</f>
        <v>#REF!</v>
      </c>
      <c r="R97" s="8" t="e">
        <f>SUM(#REF!,#REF!,#REF!)</f>
        <v>#REF!</v>
      </c>
      <c r="S97" s="8" t="e">
        <f>SUM(#REF!,#REF!,#REF!)</f>
        <v>#REF!</v>
      </c>
      <c r="T97" s="8" t="e">
        <f>SUM(#REF!,#REF!,#REF!)</f>
        <v>#REF!</v>
      </c>
      <c r="U97" s="8" t="e">
        <f>SUM(#REF!,#REF!,#REF!)</f>
        <v>#REF!</v>
      </c>
      <c r="V97" s="8" t="e">
        <f>SUM(#REF!,#REF!,#REF!)</f>
        <v>#REF!</v>
      </c>
      <c r="W97" s="8">
        <f>SUM(W98)</f>
        <v>50000</v>
      </c>
      <c r="X97" s="334"/>
      <c r="Y97" s="211"/>
      <c r="Z97" s="189"/>
      <c r="AA97" s="189"/>
      <c r="AB97" s="179"/>
      <c r="AC97" s="179"/>
      <c r="AD97" s="179"/>
      <c r="AE97" s="179"/>
      <c r="AF97" s="179"/>
      <c r="AG97" s="179"/>
      <c r="AH97" s="179"/>
      <c r="AI97" s="179"/>
      <c r="AJ97" s="179"/>
      <c r="AK97" s="179"/>
      <c r="AL97" s="179"/>
      <c r="AM97" s="179"/>
      <c r="AN97" s="179"/>
      <c r="AO97" s="179"/>
      <c r="AP97" s="179"/>
      <c r="AQ97" s="179"/>
      <c r="AR97" s="179"/>
      <c r="AS97" s="179"/>
      <c r="AT97" s="179"/>
      <c r="AU97" s="179"/>
      <c r="AV97" s="179"/>
      <c r="AW97" s="179"/>
    </row>
    <row r="98" spans="1:49" s="20" customFormat="1" ht="44.25" customHeight="1">
      <c r="A98" s="109" t="s">
        <v>17</v>
      </c>
      <c r="B98" s="110" t="s">
        <v>355</v>
      </c>
      <c r="C98" s="110"/>
      <c r="D98" s="109"/>
      <c r="E98" s="110"/>
      <c r="F98" s="110"/>
      <c r="G98" s="110"/>
      <c r="H98" s="111"/>
      <c r="I98" s="111"/>
      <c r="J98" s="111"/>
      <c r="K98" s="111"/>
      <c r="L98" s="111"/>
      <c r="M98" s="111"/>
      <c r="N98" s="111"/>
      <c r="O98" s="111"/>
      <c r="P98" s="111"/>
      <c r="Q98" s="111"/>
      <c r="R98" s="111"/>
      <c r="S98" s="111"/>
      <c r="T98" s="111"/>
      <c r="U98" s="111"/>
      <c r="V98" s="111"/>
      <c r="W98" s="111">
        <f>SUM(W99:W99)</f>
        <v>50000</v>
      </c>
      <c r="X98" s="335"/>
      <c r="Y98" s="130"/>
      <c r="Z98" s="113"/>
      <c r="AA98" s="113"/>
    </row>
    <row r="99" spans="1:49" ht="59.25" customHeight="1">
      <c r="A99" s="10">
        <v>1</v>
      </c>
      <c r="B99" s="115" t="s">
        <v>426</v>
      </c>
      <c r="C99" s="23" t="s">
        <v>132</v>
      </c>
      <c r="D99" s="185" t="s">
        <v>20</v>
      </c>
      <c r="E99" s="23" t="s">
        <v>282</v>
      </c>
      <c r="F99" s="23" t="s">
        <v>36</v>
      </c>
      <c r="G99" s="86" t="s">
        <v>427</v>
      </c>
      <c r="W99" s="54">
        <v>50000</v>
      </c>
      <c r="X99" s="335"/>
      <c r="Y99" s="11" t="s">
        <v>997</v>
      </c>
      <c r="AB99" s="6">
        <f>W99</f>
        <v>50000</v>
      </c>
    </row>
    <row r="100" spans="1:49" s="18" customFormat="1" ht="60" customHeight="1">
      <c r="A100" s="13" t="s">
        <v>1033</v>
      </c>
      <c r="B100" s="26" t="s">
        <v>1009</v>
      </c>
      <c r="C100" s="13"/>
      <c r="D100" s="13"/>
      <c r="E100" s="13"/>
      <c r="F100" s="13"/>
      <c r="G100" s="13"/>
      <c r="H100" s="8" t="e">
        <f>SUM(#REF!,#REF!,#REF!)</f>
        <v>#REF!</v>
      </c>
      <c r="I100" s="8" t="e">
        <f>SUM(#REF!,#REF!,#REF!)</f>
        <v>#REF!</v>
      </c>
      <c r="J100" s="8" t="e">
        <f>SUM(#REF!,#REF!,#REF!)</f>
        <v>#REF!</v>
      </c>
      <c r="K100" s="8" t="e">
        <f>SUM(#REF!,#REF!,#REF!)</f>
        <v>#REF!</v>
      </c>
      <c r="L100" s="8" t="e">
        <f>SUM(#REF!,#REF!,#REF!)</f>
        <v>#REF!</v>
      </c>
      <c r="M100" s="8" t="e">
        <f>SUM(#REF!,#REF!,#REF!)</f>
        <v>#REF!</v>
      </c>
      <c r="N100" s="8" t="e">
        <f>SUM(#REF!,#REF!,#REF!)</f>
        <v>#REF!</v>
      </c>
      <c r="O100" s="8" t="e">
        <f>SUM(#REF!,#REF!,#REF!)</f>
        <v>#REF!</v>
      </c>
      <c r="P100" s="8" t="e">
        <f>SUM(#REF!,#REF!,#REF!)</f>
        <v>#REF!</v>
      </c>
      <c r="Q100" s="8" t="e">
        <f>SUM(#REF!,#REF!,#REF!)</f>
        <v>#REF!</v>
      </c>
      <c r="R100" s="8" t="e">
        <f>SUM(#REF!,#REF!,#REF!)</f>
        <v>#REF!</v>
      </c>
      <c r="S100" s="8" t="e">
        <f>SUM(#REF!,#REF!,#REF!)</f>
        <v>#REF!</v>
      </c>
      <c r="T100" s="8" t="e">
        <f>SUM(#REF!,#REF!,#REF!)</f>
        <v>#REF!</v>
      </c>
      <c r="U100" s="8" t="e">
        <f>SUM(#REF!,#REF!,#REF!)</f>
        <v>#REF!</v>
      </c>
      <c r="V100" s="8" t="e">
        <f>SUM(#REF!,#REF!,#REF!)</f>
        <v>#REF!</v>
      </c>
      <c r="W100" s="8">
        <f>SUM(W101)</f>
        <v>5000</v>
      </c>
      <c r="X100" s="334"/>
      <c r="Y100" s="211"/>
      <c r="Z100" s="189"/>
      <c r="AA100" s="189"/>
      <c r="AB100" s="179"/>
      <c r="AC100" s="179"/>
      <c r="AD100" s="179"/>
      <c r="AE100" s="179"/>
      <c r="AF100" s="179"/>
      <c r="AG100" s="179"/>
      <c r="AH100" s="179"/>
      <c r="AI100" s="179"/>
      <c r="AJ100" s="179"/>
      <c r="AK100" s="179"/>
      <c r="AL100" s="179"/>
      <c r="AM100" s="179"/>
      <c r="AN100" s="179"/>
      <c r="AO100" s="179"/>
      <c r="AP100" s="179"/>
      <c r="AQ100" s="179"/>
      <c r="AR100" s="179"/>
      <c r="AS100" s="179"/>
      <c r="AT100" s="179"/>
      <c r="AU100" s="179"/>
      <c r="AV100" s="179"/>
      <c r="AW100" s="179"/>
    </row>
    <row r="101" spans="1:49" s="20" customFormat="1" ht="44.25" customHeight="1">
      <c r="A101" s="109" t="s">
        <v>17</v>
      </c>
      <c r="B101" s="110" t="s">
        <v>358</v>
      </c>
      <c r="C101" s="110"/>
      <c r="D101" s="109"/>
      <c r="E101" s="110"/>
      <c r="F101" s="110"/>
      <c r="G101" s="110"/>
      <c r="H101" s="111"/>
      <c r="I101" s="111"/>
      <c r="J101" s="111"/>
      <c r="K101" s="111"/>
      <c r="L101" s="111"/>
      <c r="M101" s="111"/>
      <c r="N101" s="111"/>
      <c r="O101" s="111"/>
      <c r="P101" s="111"/>
      <c r="Q101" s="111"/>
      <c r="R101" s="111"/>
      <c r="S101" s="111"/>
      <c r="T101" s="111"/>
      <c r="U101" s="111"/>
      <c r="V101" s="111"/>
      <c r="W101" s="111">
        <f>SUM(W102:W102)</f>
        <v>5000</v>
      </c>
      <c r="X101" s="335"/>
      <c r="Y101" s="130"/>
      <c r="Z101" s="113"/>
      <c r="AA101" s="113"/>
    </row>
    <row r="102" spans="1:49" ht="60.75" customHeight="1">
      <c r="A102" s="114">
        <v>1</v>
      </c>
      <c r="B102" s="36" t="s">
        <v>718</v>
      </c>
      <c r="C102" s="23" t="s">
        <v>934</v>
      </c>
      <c r="D102" s="185" t="s">
        <v>19</v>
      </c>
      <c r="E102" s="23" t="s">
        <v>935</v>
      </c>
      <c r="F102" s="23" t="s">
        <v>391</v>
      </c>
      <c r="G102" s="86" t="s">
        <v>719</v>
      </c>
      <c r="H102" s="62"/>
      <c r="I102" s="32"/>
      <c r="J102" s="37"/>
      <c r="K102" s="37"/>
      <c r="L102" s="37"/>
      <c r="M102" s="37"/>
      <c r="N102" s="37"/>
      <c r="O102" s="37"/>
      <c r="P102" s="37"/>
      <c r="Q102" s="37"/>
      <c r="R102" s="32"/>
      <c r="S102" s="32"/>
      <c r="T102" s="37"/>
      <c r="U102" s="37"/>
      <c r="V102" s="80"/>
      <c r="W102" s="37">
        <v>5000</v>
      </c>
      <c r="X102" s="335"/>
      <c r="Y102" s="131" t="s">
        <v>987</v>
      </c>
      <c r="AB102" s="6">
        <f>W102</f>
        <v>5000</v>
      </c>
      <c r="AC102" s="6"/>
      <c r="AD102" s="6"/>
      <c r="AE102" s="6"/>
    </row>
    <row r="103" spans="1:49" s="18" customFormat="1" ht="60" customHeight="1">
      <c r="A103" s="13" t="s">
        <v>1033</v>
      </c>
      <c r="B103" s="26" t="s">
        <v>1012</v>
      </c>
      <c r="C103" s="13"/>
      <c r="D103" s="13"/>
      <c r="E103" s="13"/>
      <c r="F103" s="13"/>
      <c r="G103" s="13"/>
      <c r="H103" s="8" t="e">
        <f>SUM(#REF!,#REF!,#REF!)</f>
        <v>#REF!</v>
      </c>
      <c r="I103" s="8" t="e">
        <f>SUM(#REF!,#REF!,#REF!)</f>
        <v>#REF!</v>
      </c>
      <c r="J103" s="8" t="e">
        <f>SUM(#REF!,#REF!,#REF!)</f>
        <v>#REF!</v>
      </c>
      <c r="K103" s="8" t="e">
        <f>SUM(#REF!,#REF!,#REF!)</f>
        <v>#REF!</v>
      </c>
      <c r="L103" s="8" t="e">
        <f>SUM(#REF!,#REF!,#REF!)</f>
        <v>#REF!</v>
      </c>
      <c r="M103" s="8" t="e">
        <f>SUM(#REF!,#REF!,#REF!)</f>
        <v>#REF!</v>
      </c>
      <c r="N103" s="8" t="e">
        <f>SUM(#REF!,#REF!,#REF!)</f>
        <v>#REF!</v>
      </c>
      <c r="O103" s="8" t="e">
        <f>SUM(#REF!,#REF!,#REF!)</f>
        <v>#REF!</v>
      </c>
      <c r="P103" s="8" t="e">
        <f>SUM(#REF!,#REF!,#REF!)</f>
        <v>#REF!</v>
      </c>
      <c r="Q103" s="8" t="e">
        <f>SUM(#REF!,#REF!,#REF!)</f>
        <v>#REF!</v>
      </c>
      <c r="R103" s="8" t="e">
        <f>SUM(#REF!,#REF!,#REF!)</f>
        <v>#REF!</v>
      </c>
      <c r="S103" s="8" t="e">
        <f>SUM(#REF!,#REF!,#REF!)</f>
        <v>#REF!</v>
      </c>
      <c r="T103" s="8" t="e">
        <f>SUM(#REF!,#REF!,#REF!)</f>
        <v>#REF!</v>
      </c>
      <c r="U103" s="8" t="e">
        <f>SUM(#REF!,#REF!,#REF!)</f>
        <v>#REF!</v>
      </c>
      <c r="V103" s="8" t="e">
        <f>SUM(#REF!,#REF!,#REF!)</f>
        <v>#REF!</v>
      </c>
      <c r="W103" s="8">
        <f>SUM(W104)</f>
        <v>4300</v>
      </c>
      <c r="X103" s="334"/>
      <c r="Y103" s="211"/>
      <c r="Z103" s="189"/>
      <c r="AA103" s="189"/>
      <c r="AB103" s="179"/>
      <c r="AC103" s="179"/>
      <c r="AD103" s="179"/>
      <c r="AE103" s="179"/>
      <c r="AF103" s="179"/>
      <c r="AG103" s="179"/>
      <c r="AH103" s="179"/>
      <c r="AI103" s="179"/>
      <c r="AJ103" s="179"/>
      <c r="AK103" s="179"/>
      <c r="AL103" s="179"/>
      <c r="AM103" s="179"/>
      <c r="AN103" s="179"/>
      <c r="AO103" s="179"/>
      <c r="AP103" s="179"/>
      <c r="AQ103" s="179"/>
      <c r="AR103" s="179"/>
      <c r="AS103" s="179"/>
      <c r="AT103" s="179"/>
      <c r="AU103" s="179"/>
      <c r="AV103" s="179"/>
      <c r="AW103" s="179"/>
    </row>
    <row r="104" spans="1:49" s="20" customFormat="1" ht="44.25" customHeight="1">
      <c r="A104" s="109" t="s">
        <v>17</v>
      </c>
      <c r="B104" s="110" t="s">
        <v>358</v>
      </c>
      <c r="C104" s="110"/>
      <c r="D104" s="109"/>
      <c r="E104" s="110"/>
      <c r="F104" s="110"/>
      <c r="G104" s="110"/>
      <c r="H104" s="111"/>
      <c r="I104" s="111"/>
      <c r="J104" s="111"/>
      <c r="K104" s="111"/>
      <c r="L104" s="111"/>
      <c r="M104" s="111"/>
      <c r="N104" s="111"/>
      <c r="O104" s="111"/>
      <c r="P104" s="111"/>
      <c r="Q104" s="111"/>
      <c r="R104" s="111"/>
      <c r="S104" s="111"/>
      <c r="T104" s="111"/>
      <c r="U104" s="111"/>
      <c r="V104" s="111"/>
      <c r="W104" s="111">
        <f>SUM(W105:W105)</f>
        <v>4300</v>
      </c>
      <c r="X104" s="335"/>
      <c r="Y104" s="130"/>
      <c r="Z104" s="113"/>
      <c r="AA104" s="113"/>
    </row>
    <row r="105" spans="1:49" ht="60.75" customHeight="1">
      <c r="A105" s="114">
        <v>1</v>
      </c>
      <c r="B105" s="36" t="s">
        <v>576</v>
      </c>
      <c r="C105" s="23" t="s">
        <v>314</v>
      </c>
      <c r="D105" s="34" t="s">
        <v>19</v>
      </c>
      <c r="E105" s="23" t="s">
        <v>202</v>
      </c>
      <c r="F105" s="23" t="s">
        <v>36</v>
      </c>
      <c r="G105" s="86"/>
      <c r="H105" s="62"/>
      <c r="I105" s="32"/>
      <c r="J105" s="37"/>
      <c r="K105" s="37"/>
      <c r="L105" s="37"/>
      <c r="M105" s="37"/>
      <c r="N105" s="37"/>
      <c r="O105" s="37"/>
      <c r="P105" s="37"/>
      <c r="Q105" s="37"/>
      <c r="R105" s="32"/>
      <c r="S105" s="32"/>
      <c r="T105" s="37"/>
      <c r="U105" s="37"/>
      <c r="V105" s="80"/>
      <c r="W105" s="37">
        <v>4300</v>
      </c>
      <c r="X105" s="335"/>
      <c r="Y105" s="131" t="s">
        <v>988</v>
      </c>
      <c r="AB105" s="6">
        <f>W105</f>
        <v>4300</v>
      </c>
      <c r="AC105" s="6"/>
      <c r="AD105" s="6"/>
      <c r="AE105" s="6"/>
    </row>
    <row r="106" spans="1:49" s="18" customFormat="1" ht="60" customHeight="1">
      <c r="A106" s="13" t="s">
        <v>1034</v>
      </c>
      <c r="B106" s="26" t="s">
        <v>1013</v>
      </c>
      <c r="C106" s="13"/>
      <c r="D106" s="13"/>
      <c r="E106" s="13"/>
      <c r="F106" s="13"/>
      <c r="G106" s="13"/>
      <c r="H106" s="8" t="e">
        <f>SUM(#REF!,#REF!,#REF!)</f>
        <v>#REF!</v>
      </c>
      <c r="I106" s="8" t="e">
        <f>SUM(#REF!,#REF!,#REF!)</f>
        <v>#REF!</v>
      </c>
      <c r="J106" s="8" t="e">
        <f>SUM(#REF!,#REF!,#REF!)</f>
        <v>#REF!</v>
      </c>
      <c r="K106" s="8" t="e">
        <f>SUM(#REF!,#REF!,#REF!)</f>
        <v>#REF!</v>
      </c>
      <c r="L106" s="8" t="e">
        <f>SUM(#REF!,#REF!,#REF!)</f>
        <v>#REF!</v>
      </c>
      <c r="M106" s="8" t="e">
        <f>SUM(#REF!,#REF!,#REF!)</f>
        <v>#REF!</v>
      </c>
      <c r="N106" s="8" t="e">
        <f>SUM(#REF!,#REF!,#REF!)</f>
        <v>#REF!</v>
      </c>
      <c r="O106" s="8" t="e">
        <f>SUM(#REF!,#REF!,#REF!)</f>
        <v>#REF!</v>
      </c>
      <c r="P106" s="8" t="e">
        <f>SUM(#REF!,#REF!,#REF!)</f>
        <v>#REF!</v>
      </c>
      <c r="Q106" s="8" t="e">
        <f>SUM(#REF!,#REF!,#REF!)</f>
        <v>#REF!</v>
      </c>
      <c r="R106" s="8" t="e">
        <f>SUM(#REF!,#REF!,#REF!)</f>
        <v>#REF!</v>
      </c>
      <c r="S106" s="8" t="e">
        <f>SUM(#REF!,#REF!,#REF!)</f>
        <v>#REF!</v>
      </c>
      <c r="T106" s="8" t="e">
        <f>SUM(#REF!,#REF!,#REF!)</f>
        <v>#REF!</v>
      </c>
      <c r="U106" s="8" t="e">
        <f>SUM(#REF!,#REF!,#REF!)</f>
        <v>#REF!</v>
      </c>
      <c r="V106" s="8" t="e">
        <f>SUM(#REF!,#REF!,#REF!)</f>
        <v>#REF!</v>
      </c>
      <c r="W106" s="8">
        <f>SUM(W107)</f>
        <v>3600</v>
      </c>
      <c r="X106" s="334"/>
      <c r="Y106" s="211"/>
      <c r="Z106" s="189"/>
      <c r="AA106" s="189"/>
      <c r="AB106" s="179"/>
      <c r="AC106" s="179"/>
      <c r="AD106" s="179"/>
      <c r="AE106" s="179"/>
      <c r="AF106" s="179"/>
      <c r="AG106" s="179"/>
      <c r="AH106" s="179"/>
      <c r="AI106" s="179"/>
      <c r="AJ106" s="179"/>
      <c r="AK106" s="179"/>
      <c r="AL106" s="179"/>
      <c r="AM106" s="179"/>
      <c r="AN106" s="179"/>
      <c r="AO106" s="179"/>
      <c r="AP106" s="179"/>
      <c r="AQ106" s="179"/>
      <c r="AR106" s="179"/>
      <c r="AS106" s="179"/>
      <c r="AT106" s="179"/>
      <c r="AU106" s="179"/>
      <c r="AV106" s="179"/>
      <c r="AW106" s="179"/>
    </row>
    <row r="107" spans="1:49" s="20" customFormat="1" ht="44.25" customHeight="1">
      <c r="A107" s="109" t="s">
        <v>17</v>
      </c>
      <c r="B107" s="110" t="s">
        <v>358</v>
      </c>
      <c r="C107" s="110"/>
      <c r="D107" s="109"/>
      <c r="E107" s="110"/>
      <c r="F107" s="110"/>
      <c r="G107" s="110"/>
      <c r="H107" s="111"/>
      <c r="I107" s="111"/>
      <c r="J107" s="111"/>
      <c r="K107" s="111"/>
      <c r="L107" s="111"/>
      <c r="M107" s="111"/>
      <c r="N107" s="111"/>
      <c r="O107" s="111"/>
      <c r="P107" s="111"/>
      <c r="Q107" s="111"/>
      <c r="R107" s="111"/>
      <c r="S107" s="111"/>
      <c r="T107" s="111"/>
      <c r="U107" s="111"/>
      <c r="V107" s="111"/>
      <c r="W107" s="111">
        <f>SUM(W108:W108)</f>
        <v>3600</v>
      </c>
      <c r="X107" s="335"/>
      <c r="Y107" s="130"/>
      <c r="Z107" s="113"/>
      <c r="AA107" s="113"/>
    </row>
    <row r="108" spans="1:49" ht="60.75" customHeight="1">
      <c r="A108" s="114">
        <v>1</v>
      </c>
      <c r="B108" s="36" t="s">
        <v>577</v>
      </c>
      <c r="C108" s="23" t="s">
        <v>95</v>
      </c>
      <c r="D108" s="34" t="s">
        <v>19</v>
      </c>
      <c r="E108" s="23" t="s">
        <v>202</v>
      </c>
      <c r="F108" s="23" t="s">
        <v>36</v>
      </c>
      <c r="G108" s="86"/>
      <c r="H108" s="62"/>
      <c r="I108" s="32"/>
      <c r="J108" s="37"/>
      <c r="K108" s="37"/>
      <c r="L108" s="37"/>
      <c r="M108" s="37"/>
      <c r="N108" s="37"/>
      <c r="O108" s="37"/>
      <c r="P108" s="37"/>
      <c r="Q108" s="37"/>
      <c r="R108" s="32"/>
      <c r="S108" s="32"/>
      <c r="T108" s="37"/>
      <c r="U108" s="37"/>
      <c r="V108" s="80"/>
      <c r="W108" s="37">
        <v>3600</v>
      </c>
      <c r="X108" s="335"/>
      <c r="Y108" s="131" t="s">
        <v>989</v>
      </c>
      <c r="AB108" s="6">
        <f>W108</f>
        <v>3600</v>
      </c>
      <c r="AC108" s="6"/>
      <c r="AD108" s="6"/>
      <c r="AE108" s="6"/>
    </row>
    <row r="109" spans="1:49" s="18" customFormat="1" ht="60" customHeight="1">
      <c r="A109" s="13" t="s">
        <v>1035</v>
      </c>
      <c r="B109" s="26" t="s">
        <v>1014</v>
      </c>
      <c r="C109" s="13"/>
      <c r="D109" s="13"/>
      <c r="E109" s="13"/>
      <c r="F109" s="13"/>
      <c r="G109" s="13"/>
      <c r="H109" s="8" t="e">
        <f>SUM(#REF!,#REF!,#REF!)</f>
        <v>#REF!</v>
      </c>
      <c r="I109" s="8" t="e">
        <f>SUM(#REF!,#REF!,#REF!)</f>
        <v>#REF!</v>
      </c>
      <c r="J109" s="8" t="e">
        <f>SUM(#REF!,#REF!,#REF!)</f>
        <v>#REF!</v>
      </c>
      <c r="K109" s="8" t="e">
        <f>SUM(#REF!,#REF!,#REF!)</f>
        <v>#REF!</v>
      </c>
      <c r="L109" s="8" t="e">
        <f>SUM(#REF!,#REF!,#REF!)</f>
        <v>#REF!</v>
      </c>
      <c r="M109" s="8" t="e">
        <f>SUM(#REF!,#REF!,#REF!)</f>
        <v>#REF!</v>
      </c>
      <c r="N109" s="8" t="e">
        <f>SUM(#REF!,#REF!,#REF!)</f>
        <v>#REF!</v>
      </c>
      <c r="O109" s="8" t="e">
        <f>SUM(#REF!,#REF!,#REF!)</f>
        <v>#REF!</v>
      </c>
      <c r="P109" s="8" t="e">
        <f>SUM(#REF!,#REF!,#REF!)</f>
        <v>#REF!</v>
      </c>
      <c r="Q109" s="8" t="e">
        <f>SUM(#REF!,#REF!,#REF!)</f>
        <v>#REF!</v>
      </c>
      <c r="R109" s="8" t="e">
        <f>SUM(#REF!,#REF!,#REF!)</f>
        <v>#REF!</v>
      </c>
      <c r="S109" s="8" t="e">
        <f>SUM(#REF!,#REF!,#REF!)</f>
        <v>#REF!</v>
      </c>
      <c r="T109" s="8" t="e">
        <f>SUM(#REF!,#REF!,#REF!)</f>
        <v>#REF!</v>
      </c>
      <c r="U109" s="8" t="e">
        <f>SUM(#REF!,#REF!,#REF!)</f>
        <v>#REF!</v>
      </c>
      <c r="V109" s="8" t="e">
        <f>SUM(#REF!,#REF!,#REF!)</f>
        <v>#REF!</v>
      </c>
      <c r="W109" s="8">
        <f>SUM(W110)</f>
        <v>4400</v>
      </c>
      <c r="X109" s="334"/>
      <c r="Y109" s="211"/>
      <c r="Z109" s="189"/>
      <c r="AA109" s="189"/>
      <c r="AB109" s="179"/>
      <c r="AC109" s="179"/>
      <c r="AD109" s="179"/>
      <c r="AE109" s="179"/>
      <c r="AF109" s="179"/>
      <c r="AG109" s="179"/>
      <c r="AH109" s="179"/>
      <c r="AI109" s="179"/>
      <c r="AJ109" s="179"/>
      <c r="AK109" s="179"/>
      <c r="AL109" s="179"/>
      <c r="AM109" s="179"/>
      <c r="AN109" s="179"/>
      <c r="AO109" s="179"/>
      <c r="AP109" s="179"/>
      <c r="AQ109" s="179"/>
      <c r="AR109" s="179"/>
      <c r="AS109" s="179"/>
      <c r="AT109" s="179"/>
      <c r="AU109" s="179"/>
      <c r="AV109" s="179"/>
      <c r="AW109" s="179"/>
    </row>
    <row r="110" spans="1:49" s="20" customFormat="1" ht="44.25" customHeight="1">
      <c r="A110" s="109" t="s">
        <v>17</v>
      </c>
      <c r="B110" s="110" t="s">
        <v>358</v>
      </c>
      <c r="C110" s="110"/>
      <c r="D110" s="109"/>
      <c r="E110" s="110"/>
      <c r="F110" s="110"/>
      <c r="G110" s="110"/>
      <c r="H110" s="111"/>
      <c r="I110" s="111"/>
      <c r="J110" s="111"/>
      <c r="K110" s="111"/>
      <c r="L110" s="111"/>
      <c r="M110" s="111"/>
      <c r="N110" s="111"/>
      <c r="O110" s="111"/>
      <c r="P110" s="111"/>
      <c r="Q110" s="111"/>
      <c r="R110" s="111"/>
      <c r="S110" s="111"/>
      <c r="T110" s="111"/>
      <c r="U110" s="111"/>
      <c r="V110" s="111"/>
      <c r="W110" s="111">
        <f>SUM(W111:W111)</f>
        <v>4400</v>
      </c>
      <c r="X110" s="335"/>
      <c r="Y110" s="130"/>
      <c r="Z110" s="113"/>
      <c r="AA110" s="113"/>
    </row>
    <row r="111" spans="1:49" ht="60.75" customHeight="1">
      <c r="A111" s="114">
        <v>1</v>
      </c>
      <c r="B111" s="36" t="s">
        <v>578</v>
      </c>
      <c r="C111" s="23" t="s">
        <v>73</v>
      </c>
      <c r="D111" s="34" t="s">
        <v>19</v>
      </c>
      <c r="E111" s="23" t="s">
        <v>202</v>
      </c>
      <c r="F111" s="23" t="s">
        <v>36</v>
      </c>
      <c r="G111" s="86"/>
      <c r="H111" s="62"/>
      <c r="I111" s="32"/>
      <c r="J111" s="37"/>
      <c r="K111" s="37"/>
      <c r="L111" s="37"/>
      <c r="M111" s="37"/>
      <c r="N111" s="37"/>
      <c r="O111" s="37"/>
      <c r="P111" s="37"/>
      <c r="Q111" s="37"/>
      <c r="R111" s="32"/>
      <c r="S111" s="32"/>
      <c r="T111" s="37"/>
      <c r="U111" s="37"/>
      <c r="V111" s="80"/>
      <c r="W111" s="37">
        <v>4400</v>
      </c>
      <c r="X111" s="335"/>
      <c r="Y111" s="131" t="s">
        <v>990</v>
      </c>
      <c r="AB111" s="6">
        <f>W111</f>
        <v>4400</v>
      </c>
      <c r="AC111" s="6"/>
      <c r="AD111" s="6"/>
      <c r="AE111" s="6"/>
    </row>
    <row r="112" spans="1:49" s="18" customFormat="1" ht="60" customHeight="1">
      <c r="A112" s="13" t="s">
        <v>1036</v>
      </c>
      <c r="B112" s="26" t="s">
        <v>1015</v>
      </c>
      <c r="C112" s="13"/>
      <c r="D112" s="13"/>
      <c r="E112" s="13"/>
      <c r="F112" s="13"/>
      <c r="G112" s="13"/>
      <c r="H112" s="8" t="e">
        <f>SUM(#REF!,#REF!,#REF!)</f>
        <v>#REF!</v>
      </c>
      <c r="I112" s="8" t="e">
        <f>SUM(#REF!,#REF!,#REF!)</f>
        <v>#REF!</v>
      </c>
      <c r="J112" s="8" t="e">
        <f>SUM(#REF!,#REF!,#REF!)</f>
        <v>#REF!</v>
      </c>
      <c r="K112" s="8" t="e">
        <f>SUM(#REF!,#REF!,#REF!)</f>
        <v>#REF!</v>
      </c>
      <c r="L112" s="8" t="e">
        <f>SUM(#REF!,#REF!,#REF!)</f>
        <v>#REF!</v>
      </c>
      <c r="M112" s="8" t="e">
        <f>SUM(#REF!,#REF!,#REF!)</f>
        <v>#REF!</v>
      </c>
      <c r="N112" s="8" t="e">
        <f>SUM(#REF!,#REF!,#REF!)</f>
        <v>#REF!</v>
      </c>
      <c r="O112" s="8" t="e">
        <f>SUM(#REF!,#REF!,#REF!)</f>
        <v>#REF!</v>
      </c>
      <c r="P112" s="8" t="e">
        <f>SUM(#REF!,#REF!,#REF!)</f>
        <v>#REF!</v>
      </c>
      <c r="Q112" s="8" t="e">
        <f>SUM(#REF!,#REF!,#REF!)</f>
        <v>#REF!</v>
      </c>
      <c r="R112" s="8" t="e">
        <f>SUM(#REF!,#REF!,#REF!)</f>
        <v>#REF!</v>
      </c>
      <c r="S112" s="8" t="e">
        <f>SUM(#REF!,#REF!,#REF!)</f>
        <v>#REF!</v>
      </c>
      <c r="T112" s="8" t="e">
        <f>SUM(#REF!,#REF!,#REF!)</f>
        <v>#REF!</v>
      </c>
      <c r="U112" s="8" t="e">
        <f>SUM(#REF!,#REF!,#REF!)</f>
        <v>#REF!</v>
      </c>
      <c r="V112" s="8" t="e">
        <f>SUM(#REF!,#REF!,#REF!)</f>
        <v>#REF!</v>
      </c>
      <c r="W112" s="8">
        <f>SUM(W113)</f>
        <v>2000</v>
      </c>
      <c r="X112" s="334"/>
      <c r="Y112" s="211"/>
      <c r="Z112" s="189"/>
      <c r="AA112" s="189"/>
      <c r="AB112" s="179"/>
      <c r="AC112" s="179"/>
      <c r="AD112" s="179"/>
      <c r="AE112" s="179"/>
      <c r="AF112" s="179"/>
      <c r="AG112" s="179"/>
      <c r="AH112" s="179"/>
      <c r="AI112" s="179"/>
      <c r="AJ112" s="179"/>
      <c r="AK112" s="179"/>
      <c r="AL112" s="179"/>
      <c r="AM112" s="179"/>
      <c r="AN112" s="179"/>
      <c r="AO112" s="179"/>
      <c r="AP112" s="179"/>
      <c r="AQ112" s="179"/>
      <c r="AR112" s="179"/>
      <c r="AS112" s="179"/>
      <c r="AT112" s="179"/>
      <c r="AU112" s="179"/>
      <c r="AV112" s="179"/>
      <c r="AW112" s="179"/>
    </row>
    <row r="113" spans="1:49" s="20" customFormat="1" ht="44.25" customHeight="1">
      <c r="A113" s="109" t="s">
        <v>17</v>
      </c>
      <c r="B113" s="110" t="s">
        <v>358</v>
      </c>
      <c r="C113" s="110"/>
      <c r="D113" s="109"/>
      <c r="E113" s="110"/>
      <c r="F113" s="110"/>
      <c r="G113" s="110"/>
      <c r="H113" s="111"/>
      <c r="I113" s="111"/>
      <c r="J113" s="111"/>
      <c r="K113" s="111"/>
      <c r="L113" s="111"/>
      <c r="M113" s="111"/>
      <c r="N113" s="111"/>
      <c r="O113" s="111"/>
      <c r="P113" s="111"/>
      <c r="Q113" s="111"/>
      <c r="R113" s="111"/>
      <c r="S113" s="111"/>
      <c r="T113" s="111"/>
      <c r="U113" s="111"/>
      <c r="V113" s="111"/>
      <c r="W113" s="111">
        <f>SUM(W114:W114)</f>
        <v>2000</v>
      </c>
      <c r="X113" s="335"/>
      <c r="Y113" s="130"/>
      <c r="Z113" s="113"/>
      <c r="AA113" s="113"/>
    </row>
    <row r="114" spans="1:49" ht="60.75" customHeight="1">
      <c r="A114" s="114">
        <v>1</v>
      </c>
      <c r="B114" s="36" t="s">
        <v>579</v>
      </c>
      <c r="C114" s="23" t="s">
        <v>287</v>
      </c>
      <c r="D114" s="34" t="s">
        <v>19</v>
      </c>
      <c r="E114" s="23" t="s">
        <v>202</v>
      </c>
      <c r="F114" s="23" t="s">
        <v>36</v>
      </c>
      <c r="G114" s="86"/>
      <c r="H114" s="62"/>
      <c r="I114" s="32"/>
      <c r="J114" s="37"/>
      <c r="K114" s="37"/>
      <c r="L114" s="37"/>
      <c r="M114" s="37"/>
      <c r="N114" s="37"/>
      <c r="O114" s="37"/>
      <c r="P114" s="37"/>
      <c r="Q114" s="37"/>
      <c r="R114" s="32"/>
      <c r="S114" s="32"/>
      <c r="T114" s="37"/>
      <c r="U114" s="37"/>
      <c r="V114" s="80"/>
      <c r="W114" s="37">
        <v>2000</v>
      </c>
      <c r="X114" s="335"/>
      <c r="Y114" s="131" t="s">
        <v>991</v>
      </c>
      <c r="AB114" s="6">
        <f>W114</f>
        <v>2000</v>
      </c>
      <c r="AC114" s="6"/>
      <c r="AD114" s="6"/>
      <c r="AE114" s="6"/>
    </row>
    <row r="115" spans="1:49" s="18" customFormat="1" ht="60" customHeight="1">
      <c r="A115" s="13" t="s">
        <v>1037</v>
      </c>
      <c r="B115" s="26" t="s">
        <v>1016</v>
      </c>
      <c r="C115" s="13"/>
      <c r="D115" s="13"/>
      <c r="E115" s="13"/>
      <c r="F115" s="13"/>
      <c r="G115" s="13"/>
      <c r="H115" s="8" t="e">
        <f>SUM(#REF!,#REF!,#REF!)</f>
        <v>#REF!</v>
      </c>
      <c r="I115" s="8" t="e">
        <f>SUM(#REF!,#REF!,#REF!)</f>
        <v>#REF!</v>
      </c>
      <c r="J115" s="8" t="e">
        <f>SUM(#REF!,#REF!,#REF!)</f>
        <v>#REF!</v>
      </c>
      <c r="K115" s="8" t="e">
        <f>SUM(#REF!,#REF!,#REF!)</f>
        <v>#REF!</v>
      </c>
      <c r="L115" s="8" t="e">
        <f>SUM(#REF!,#REF!,#REF!)</f>
        <v>#REF!</v>
      </c>
      <c r="M115" s="8" t="e">
        <f>SUM(#REF!,#REF!,#REF!)</f>
        <v>#REF!</v>
      </c>
      <c r="N115" s="8" t="e">
        <f>SUM(#REF!,#REF!,#REF!)</f>
        <v>#REF!</v>
      </c>
      <c r="O115" s="8" t="e">
        <f>SUM(#REF!,#REF!,#REF!)</f>
        <v>#REF!</v>
      </c>
      <c r="P115" s="8" t="e">
        <f>SUM(#REF!,#REF!,#REF!)</f>
        <v>#REF!</v>
      </c>
      <c r="Q115" s="8" t="e">
        <f>SUM(#REF!,#REF!,#REF!)</f>
        <v>#REF!</v>
      </c>
      <c r="R115" s="8" t="e">
        <f>SUM(#REF!,#REF!,#REF!)</f>
        <v>#REF!</v>
      </c>
      <c r="S115" s="8" t="e">
        <f>SUM(#REF!,#REF!,#REF!)</f>
        <v>#REF!</v>
      </c>
      <c r="T115" s="8" t="e">
        <f>SUM(#REF!,#REF!,#REF!)</f>
        <v>#REF!</v>
      </c>
      <c r="U115" s="8" t="e">
        <f>SUM(#REF!,#REF!,#REF!)</f>
        <v>#REF!</v>
      </c>
      <c r="V115" s="8" t="e">
        <f>SUM(#REF!,#REF!,#REF!)</f>
        <v>#REF!</v>
      </c>
      <c r="W115" s="8">
        <f>SUM(W116)</f>
        <v>1900</v>
      </c>
      <c r="X115" s="334"/>
      <c r="Y115" s="211"/>
      <c r="Z115" s="189"/>
      <c r="AA115" s="189"/>
      <c r="AB115" s="179"/>
      <c r="AC115" s="179"/>
      <c r="AD115" s="179"/>
      <c r="AE115" s="179"/>
      <c r="AF115" s="179"/>
      <c r="AG115" s="179"/>
      <c r="AH115" s="179"/>
      <c r="AI115" s="179"/>
      <c r="AJ115" s="179"/>
      <c r="AK115" s="179"/>
      <c r="AL115" s="179"/>
      <c r="AM115" s="179"/>
      <c r="AN115" s="179"/>
      <c r="AO115" s="179"/>
      <c r="AP115" s="179"/>
      <c r="AQ115" s="179"/>
      <c r="AR115" s="179"/>
      <c r="AS115" s="179"/>
      <c r="AT115" s="179"/>
      <c r="AU115" s="179"/>
      <c r="AV115" s="179"/>
      <c r="AW115" s="179"/>
    </row>
    <row r="116" spans="1:49" s="20" customFormat="1" ht="44.25" customHeight="1">
      <c r="A116" s="109" t="s">
        <v>17</v>
      </c>
      <c r="B116" s="110" t="s">
        <v>358</v>
      </c>
      <c r="C116" s="110"/>
      <c r="D116" s="109"/>
      <c r="E116" s="110"/>
      <c r="F116" s="110"/>
      <c r="G116" s="110"/>
      <c r="H116" s="111"/>
      <c r="I116" s="111"/>
      <c r="J116" s="111"/>
      <c r="K116" s="111"/>
      <c r="L116" s="111"/>
      <c r="M116" s="111"/>
      <c r="N116" s="111"/>
      <c r="O116" s="111"/>
      <c r="P116" s="111"/>
      <c r="Q116" s="111"/>
      <c r="R116" s="111"/>
      <c r="S116" s="111"/>
      <c r="T116" s="111"/>
      <c r="U116" s="111"/>
      <c r="V116" s="111"/>
      <c r="W116" s="111">
        <f>SUM(W117:W117)</f>
        <v>1900</v>
      </c>
      <c r="X116" s="335"/>
      <c r="Y116" s="130"/>
      <c r="Z116" s="113"/>
      <c r="AA116" s="113"/>
    </row>
    <row r="117" spans="1:49" ht="60.75" customHeight="1">
      <c r="A117" s="114">
        <v>1</v>
      </c>
      <c r="B117" s="36" t="s">
        <v>580</v>
      </c>
      <c r="C117" s="23" t="s">
        <v>73</v>
      </c>
      <c r="D117" s="34" t="s">
        <v>19</v>
      </c>
      <c r="E117" s="23" t="s">
        <v>202</v>
      </c>
      <c r="F117" s="23" t="s">
        <v>36</v>
      </c>
      <c r="G117" s="86"/>
      <c r="H117" s="62"/>
      <c r="I117" s="32"/>
      <c r="J117" s="37"/>
      <c r="K117" s="37"/>
      <c r="L117" s="37"/>
      <c r="M117" s="37"/>
      <c r="N117" s="37"/>
      <c r="O117" s="37"/>
      <c r="P117" s="37"/>
      <c r="Q117" s="37"/>
      <c r="R117" s="32"/>
      <c r="S117" s="32"/>
      <c r="T117" s="37"/>
      <c r="U117" s="37"/>
      <c r="V117" s="80"/>
      <c r="W117" s="37">
        <v>1900</v>
      </c>
      <c r="X117" s="335"/>
      <c r="Y117" s="131" t="s">
        <v>992</v>
      </c>
      <c r="AB117" s="6">
        <f>W117</f>
        <v>1900</v>
      </c>
      <c r="AC117" s="6"/>
      <c r="AD117" s="6"/>
      <c r="AE117" s="6"/>
    </row>
    <row r="118" spans="1:49" s="18" customFormat="1" ht="60" customHeight="1">
      <c r="A118" s="13" t="s">
        <v>1038</v>
      </c>
      <c r="B118" s="26" t="s">
        <v>1017</v>
      </c>
      <c r="C118" s="13"/>
      <c r="D118" s="13"/>
      <c r="E118" s="13"/>
      <c r="F118" s="13"/>
      <c r="G118" s="13"/>
      <c r="H118" s="8" t="e">
        <f>SUM(#REF!,#REF!,#REF!)</f>
        <v>#REF!</v>
      </c>
      <c r="I118" s="8" t="e">
        <f>SUM(#REF!,#REF!,#REF!)</f>
        <v>#REF!</v>
      </c>
      <c r="J118" s="8" t="e">
        <f>SUM(#REF!,#REF!,#REF!)</f>
        <v>#REF!</v>
      </c>
      <c r="K118" s="8" t="e">
        <f>SUM(#REF!,#REF!,#REF!)</f>
        <v>#REF!</v>
      </c>
      <c r="L118" s="8" t="e">
        <f>SUM(#REF!,#REF!,#REF!)</f>
        <v>#REF!</v>
      </c>
      <c r="M118" s="8" t="e">
        <f>SUM(#REF!,#REF!,#REF!)</f>
        <v>#REF!</v>
      </c>
      <c r="N118" s="8" t="e">
        <f>SUM(#REF!,#REF!,#REF!)</f>
        <v>#REF!</v>
      </c>
      <c r="O118" s="8" t="e">
        <f>SUM(#REF!,#REF!,#REF!)</f>
        <v>#REF!</v>
      </c>
      <c r="P118" s="8" t="e">
        <f>SUM(#REF!,#REF!,#REF!)</f>
        <v>#REF!</v>
      </c>
      <c r="Q118" s="8" t="e">
        <f>SUM(#REF!,#REF!,#REF!)</f>
        <v>#REF!</v>
      </c>
      <c r="R118" s="8" t="e">
        <f>SUM(#REF!,#REF!,#REF!)</f>
        <v>#REF!</v>
      </c>
      <c r="S118" s="8" t="e">
        <f>SUM(#REF!,#REF!,#REF!)</f>
        <v>#REF!</v>
      </c>
      <c r="T118" s="8" t="e">
        <f>SUM(#REF!,#REF!,#REF!)</f>
        <v>#REF!</v>
      </c>
      <c r="U118" s="8" t="e">
        <f>SUM(#REF!,#REF!,#REF!)</f>
        <v>#REF!</v>
      </c>
      <c r="V118" s="8" t="e">
        <f>SUM(#REF!,#REF!,#REF!)</f>
        <v>#REF!</v>
      </c>
      <c r="W118" s="8">
        <f>SUM(W119)</f>
        <v>1500</v>
      </c>
      <c r="X118" s="334"/>
      <c r="Y118" s="211"/>
      <c r="Z118" s="189"/>
      <c r="AA118" s="18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row>
    <row r="119" spans="1:49" s="20" customFormat="1" ht="44.25" customHeight="1">
      <c r="A119" s="109" t="s">
        <v>17</v>
      </c>
      <c r="B119" s="110" t="s">
        <v>358</v>
      </c>
      <c r="C119" s="110"/>
      <c r="D119" s="109"/>
      <c r="E119" s="110"/>
      <c r="F119" s="110"/>
      <c r="G119" s="110"/>
      <c r="H119" s="111"/>
      <c r="I119" s="111"/>
      <c r="J119" s="111"/>
      <c r="K119" s="111"/>
      <c r="L119" s="111"/>
      <c r="M119" s="111"/>
      <c r="N119" s="111"/>
      <c r="O119" s="111"/>
      <c r="P119" s="111"/>
      <c r="Q119" s="111"/>
      <c r="R119" s="111"/>
      <c r="S119" s="111"/>
      <c r="T119" s="111"/>
      <c r="U119" s="111"/>
      <c r="V119" s="111"/>
      <c r="W119" s="111">
        <f>SUM(W120:W120)</f>
        <v>1500</v>
      </c>
      <c r="X119" s="335"/>
      <c r="Y119" s="130"/>
      <c r="Z119" s="113"/>
      <c r="AA119" s="113"/>
    </row>
    <row r="120" spans="1:49" ht="60.75" customHeight="1">
      <c r="A120" s="114">
        <v>1</v>
      </c>
      <c r="B120" s="36" t="s">
        <v>885</v>
      </c>
      <c r="C120" s="23" t="s">
        <v>95</v>
      </c>
      <c r="D120" s="34" t="s">
        <v>19</v>
      </c>
      <c r="E120" s="23" t="s">
        <v>202</v>
      </c>
      <c r="F120" s="23" t="s">
        <v>36</v>
      </c>
      <c r="G120" s="86"/>
      <c r="H120" s="62"/>
      <c r="I120" s="32"/>
      <c r="J120" s="37"/>
      <c r="K120" s="37"/>
      <c r="L120" s="37"/>
      <c r="M120" s="37"/>
      <c r="N120" s="37"/>
      <c r="O120" s="37"/>
      <c r="P120" s="37"/>
      <c r="Q120" s="37"/>
      <c r="R120" s="32"/>
      <c r="S120" s="32"/>
      <c r="T120" s="37"/>
      <c r="U120" s="37"/>
      <c r="V120" s="80"/>
      <c r="W120" s="37">
        <v>1500</v>
      </c>
      <c r="X120" s="335"/>
      <c r="Y120" s="131" t="s">
        <v>993</v>
      </c>
      <c r="AB120" s="6">
        <f>W120</f>
        <v>1500</v>
      </c>
      <c r="AC120" s="6"/>
      <c r="AD120" s="6"/>
      <c r="AE120" s="6"/>
    </row>
    <row r="121" spans="1:49" s="18" customFormat="1" ht="60" customHeight="1">
      <c r="A121" s="13" t="s">
        <v>1039</v>
      </c>
      <c r="B121" s="26" t="s">
        <v>1018</v>
      </c>
      <c r="C121" s="13"/>
      <c r="D121" s="13"/>
      <c r="E121" s="13"/>
      <c r="F121" s="13"/>
      <c r="G121" s="13"/>
      <c r="H121" s="8" t="e">
        <f>SUM(#REF!,#REF!,#REF!)</f>
        <v>#REF!</v>
      </c>
      <c r="I121" s="8" t="e">
        <f>SUM(#REF!,#REF!,#REF!)</f>
        <v>#REF!</v>
      </c>
      <c r="J121" s="8" t="e">
        <f>SUM(#REF!,#REF!,#REF!)</f>
        <v>#REF!</v>
      </c>
      <c r="K121" s="8" t="e">
        <f>SUM(#REF!,#REF!,#REF!)</f>
        <v>#REF!</v>
      </c>
      <c r="L121" s="8" t="e">
        <f>SUM(#REF!,#REF!,#REF!)</f>
        <v>#REF!</v>
      </c>
      <c r="M121" s="8" t="e">
        <f>SUM(#REF!,#REF!,#REF!)</f>
        <v>#REF!</v>
      </c>
      <c r="N121" s="8" t="e">
        <f>SUM(#REF!,#REF!,#REF!)</f>
        <v>#REF!</v>
      </c>
      <c r="O121" s="8" t="e">
        <f>SUM(#REF!,#REF!,#REF!)</f>
        <v>#REF!</v>
      </c>
      <c r="P121" s="8" t="e">
        <f>SUM(#REF!,#REF!,#REF!)</f>
        <v>#REF!</v>
      </c>
      <c r="Q121" s="8" t="e">
        <f>SUM(#REF!,#REF!,#REF!)</f>
        <v>#REF!</v>
      </c>
      <c r="R121" s="8" t="e">
        <f>SUM(#REF!,#REF!,#REF!)</f>
        <v>#REF!</v>
      </c>
      <c r="S121" s="8" t="e">
        <f>SUM(#REF!,#REF!,#REF!)</f>
        <v>#REF!</v>
      </c>
      <c r="T121" s="8" t="e">
        <f>SUM(#REF!,#REF!,#REF!)</f>
        <v>#REF!</v>
      </c>
      <c r="U121" s="8" t="e">
        <f>SUM(#REF!,#REF!,#REF!)</f>
        <v>#REF!</v>
      </c>
      <c r="V121" s="8" t="e">
        <f>SUM(#REF!,#REF!,#REF!)</f>
        <v>#REF!</v>
      </c>
      <c r="W121" s="8">
        <f>SUM(W122)</f>
        <v>1100</v>
      </c>
      <c r="X121" s="334"/>
      <c r="Y121" s="211"/>
      <c r="Z121" s="189"/>
      <c r="AA121" s="189"/>
      <c r="AB121" s="179"/>
      <c r="AC121" s="179"/>
      <c r="AD121" s="179"/>
      <c r="AE121" s="179"/>
      <c r="AF121" s="179"/>
      <c r="AG121" s="179"/>
      <c r="AH121" s="179"/>
      <c r="AI121" s="179"/>
      <c r="AJ121" s="179"/>
      <c r="AK121" s="179"/>
      <c r="AL121" s="179"/>
      <c r="AM121" s="179"/>
      <c r="AN121" s="179"/>
      <c r="AO121" s="179"/>
      <c r="AP121" s="179"/>
      <c r="AQ121" s="179"/>
      <c r="AR121" s="179"/>
      <c r="AS121" s="179"/>
      <c r="AT121" s="179"/>
      <c r="AU121" s="179"/>
      <c r="AV121" s="179"/>
      <c r="AW121" s="179"/>
    </row>
    <row r="122" spans="1:49" s="20" customFormat="1" ht="44.25" customHeight="1">
      <c r="A122" s="109" t="s">
        <v>17</v>
      </c>
      <c r="B122" s="110" t="s">
        <v>358</v>
      </c>
      <c r="C122" s="110"/>
      <c r="D122" s="109"/>
      <c r="E122" s="110"/>
      <c r="F122" s="110"/>
      <c r="G122" s="110"/>
      <c r="H122" s="111"/>
      <c r="I122" s="111"/>
      <c r="J122" s="111"/>
      <c r="K122" s="111"/>
      <c r="L122" s="111"/>
      <c r="M122" s="111"/>
      <c r="N122" s="111"/>
      <c r="O122" s="111"/>
      <c r="P122" s="111"/>
      <c r="Q122" s="111"/>
      <c r="R122" s="111"/>
      <c r="S122" s="111"/>
      <c r="T122" s="111"/>
      <c r="U122" s="111"/>
      <c r="V122" s="111"/>
      <c r="W122" s="111">
        <f>SUM(W123:W123)</f>
        <v>1100</v>
      </c>
      <c r="X122" s="335"/>
      <c r="Y122" s="130"/>
      <c r="Z122" s="113"/>
      <c r="AA122" s="113"/>
    </row>
    <row r="123" spans="1:49" ht="60.75" customHeight="1">
      <c r="A123" s="114">
        <v>1</v>
      </c>
      <c r="B123" s="36" t="s">
        <v>581</v>
      </c>
      <c r="C123" s="23" t="s">
        <v>315</v>
      </c>
      <c r="D123" s="34" t="s">
        <v>19</v>
      </c>
      <c r="E123" s="23" t="s">
        <v>202</v>
      </c>
      <c r="F123" s="23" t="s">
        <v>36</v>
      </c>
      <c r="G123" s="86"/>
      <c r="H123" s="62"/>
      <c r="I123" s="32"/>
      <c r="J123" s="37"/>
      <c r="K123" s="37"/>
      <c r="L123" s="37"/>
      <c r="M123" s="37"/>
      <c r="N123" s="37"/>
      <c r="O123" s="37"/>
      <c r="P123" s="37"/>
      <c r="Q123" s="37"/>
      <c r="R123" s="32"/>
      <c r="S123" s="32"/>
      <c r="T123" s="37"/>
      <c r="U123" s="37"/>
      <c r="V123" s="80"/>
      <c r="W123" s="37">
        <v>1100</v>
      </c>
      <c r="X123" s="335"/>
      <c r="Y123" s="131" t="s">
        <v>994</v>
      </c>
      <c r="AB123" s="6">
        <f>W123</f>
        <v>1100</v>
      </c>
      <c r="AC123" s="6"/>
      <c r="AD123" s="6"/>
      <c r="AE123" s="6"/>
    </row>
    <row r="124" spans="1:49" s="18" customFormat="1" ht="60" customHeight="1">
      <c r="A124" s="13" t="s">
        <v>1040</v>
      </c>
      <c r="B124" s="26" t="s">
        <v>1019</v>
      </c>
      <c r="C124" s="13"/>
      <c r="D124" s="13"/>
      <c r="E124" s="13"/>
      <c r="F124" s="13"/>
      <c r="G124" s="13"/>
      <c r="H124" s="8" t="e">
        <f>SUM(#REF!,#REF!,#REF!)</f>
        <v>#REF!</v>
      </c>
      <c r="I124" s="8" t="e">
        <f>SUM(#REF!,#REF!,#REF!)</f>
        <v>#REF!</v>
      </c>
      <c r="J124" s="8" t="e">
        <f>SUM(#REF!,#REF!,#REF!)</f>
        <v>#REF!</v>
      </c>
      <c r="K124" s="8" t="e">
        <f>SUM(#REF!,#REF!,#REF!)</f>
        <v>#REF!</v>
      </c>
      <c r="L124" s="8" t="e">
        <f>SUM(#REF!,#REF!,#REF!)</f>
        <v>#REF!</v>
      </c>
      <c r="M124" s="8" t="e">
        <f>SUM(#REF!,#REF!,#REF!)</f>
        <v>#REF!</v>
      </c>
      <c r="N124" s="8" t="e">
        <f>SUM(#REF!,#REF!,#REF!)</f>
        <v>#REF!</v>
      </c>
      <c r="O124" s="8" t="e">
        <f>SUM(#REF!,#REF!,#REF!)</f>
        <v>#REF!</v>
      </c>
      <c r="P124" s="8" t="e">
        <f>SUM(#REF!,#REF!,#REF!)</f>
        <v>#REF!</v>
      </c>
      <c r="Q124" s="8" t="e">
        <f>SUM(#REF!,#REF!,#REF!)</f>
        <v>#REF!</v>
      </c>
      <c r="R124" s="8" t="e">
        <f>SUM(#REF!,#REF!,#REF!)</f>
        <v>#REF!</v>
      </c>
      <c r="S124" s="8" t="e">
        <f>SUM(#REF!,#REF!,#REF!)</f>
        <v>#REF!</v>
      </c>
      <c r="T124" s="8" t="e">
        <f>SUM(#REF!,#REF!,#REF!)</f>
        <v>#REF!</v>
      </c>
      <c r="U124" s="8" t="e">
        <f>SUM(#REF!,#REF!,#REF!)</f>
        <v>#REF!</v>
      </c>
      <c r="V124" s="8" t="e">
        <f>SUM(#REF!,#REF!,#REF!)</f>
        <v>#REF!</v>
      </c>
      <c r="W124" s="8">
        <f>SUM(W125)</f>
        <v>1100</v>
      </c>
      <c r="X124" s="334"/>
      <c r="Y124" s="211"/>
      <c r="Z124" s="189"/>
      <c r="AA124" s="189"/>
      <c r="AB124" s="179"/>
      <c r="AC124" s="179"/>
      <c r="AD124" s="179"/>
      <c r="AE124" s="179"/>
      <c r="AF124" s="179"/>
      <c r="AG124" s="179"/>
      <c r="AH124" s="179"/>
      <c r="AI124" s="179"/>
      <c r="AJ124" s="179"/>
      <c r="AK124" s="179"/>
      <c r="AL124" s="179"/>
      <c r="AM124" s="179"/>
      <c r="AN124" s="179"/>
      <c r="AO124" s="179"/>
      <c r="AP124" s="179"/>
      <c r="AQ124" s="179"/>
      <c r="AR124" s="179"/>
      <c r="AS124" s="179"/>
      <c r="AT124" s="179"/>
      <c r="AU124" s="179"/>
      <c r="AV124" s="179"/>
      <c r="AW124" s="179"/>
    </row>
    <row r="125" spans="1:49" s="20" customFormat="1" ht="44.25" customHeight="1">
      <c r="A125" s="109" t="s">
        <v>17</v>
      </c>
      <c r="B125" s="110" t="s">
        <v>358</v>
      </c>
      <c r="C125" s="110"/>
      <c r="D125" s="109"/>
      <c r="E125" s="110"/>
      <c r="F125" s="110"/>
      <c r="G125" s="110"/>
      <c r="H125" s="111"/>
      <c r="I125" s="111"/>
      <c r="J125" s="111"/>
      <c r="K125" s="111"/>
      <c r="L125" s="111"/>
      <c r="M125" s="111"/>
      <c r="N125" s="111"/>
      <c r="O125" s="111"/>
      <c r="P125" s="111"/>
      <c r="Q125" s="111"/>
      <c r="R125" s="111"/>
      <c r="S125" s="111"/>
      <c r="T125" s="111"/>
      <c r="U125" s="111"/>
      <c r="V125" s="111"/>
      <c r="W125" s="111">
        <f>SUM(W126:W126)</f>
        <v>1100</v>
      </c>
      <c r="X125" s="335"/>
      <c r="Y125" s="130"/>
      <c r="Z125" s="113"/>
      <c r="AA125" s="113"/>
    </row>
    <row r="126" spans="1:49" ht="60.75" customHeight="1">
      <c r="A126" s="114">
        <v>1</v>
      </c>
      <c r="B126" s="36" t="s">
        <v>582</v>
      </c>
      <c r="C126" s="23" t="s">
        <v>18</v>
      </c>
      <c r="D126" s="34" t="s">
        <v>19</v>
      </c>
      <c r="E126" s="23" t="s">
        <v>202</v>
      </c>
      <c r="F126" s="23" t="s">
        <v>36</v>
      </c>
      <c r="G126" s="86"/>
      <c r="H126" s="62"/>
      <c r="I126" s="32"/>
      <c r="J126" s="37"/>
      <c r="K126" s="37"/>
      <c r="L126" s="37"/>
      <c r="M126" s="37"/>
      <c r="N126" s="37"/>
      <c r="O126" s="37"/>
      <c r="P126" s="37"/>
      <c r="Q126" s="37"/>
      <c r="R126" s="32"/>
      <c r="S126" s="32"/>
      <c r="T126" s="37"/>
      <c r="U126" s="37"/>
      <c r="V126" s="80"/>
      <c r="W126" s="37">
        <v>1100</v>
      </c>
      <c r="X126" s="335"/>
      <c r="Y126" s="131" t="s">
        <v>995</v>
      </c>
      <c r="AB126" s="6">
        <f>W126</f>
        <v>1100</v>
      </c>
      <c r="AC126" s="6"/>
      <c r="AD126" s="6"/>
      <c r="AE126" s="6"/>
    </row>
    <row r="127" spans="1:49" s="18" customFormat="1" ht="60" customHeight="1">
      <c r="A127" s="13" t="s">
        <v>1041</v>
      </c>
      <c r="B127" s="26" t="s">
        <v>1020</v>
      </c>
      <c r="C127" s="13"/>
      <c r="D127" s="13"/>
      <c r="E127" s="13"/>
      <c r="F127" s="13"/>
      <c r="G127" s="13"/>
      <c r="H127" s="8" t="e">
        <f>SUM(#REF!,#REF!,#REF!)</f>
        <v>#REF!</v>
      </c>
      <c r="I127" s="8" t="e">
        <f>SUM(#REF!,#REF!,#REF!)</f>
        <v>#REF!</v>
      </c>
      <c r="J127" s="8" t="e">
        <f>SUM(#REF!,#REF!,#REF!)</f>
        <v>#REF!</v>
      </c>
      <c r="K127" s="8" t="e">
        <f>SUM(#REF!,#REF!,#REF!)</f>
        <v>#REF!</v>
      </c>
      <c r="L127" s="8" t="e">
        <f>SUM(#REF!,#REF!,#REF!)</f>
        <v>#REF!</v>
      </c>
      <c r="M127" s="8" t="e">
        <f>SUM(#REF!,#REF!,#REF!)</f>
        <v>#REF!</v>
      </c>
      <c r="N127" s="8" t="e">
        <f>SUM(#REF!,#REF!,#REF!)</f>
        <v>#REF!</v>
      </c>
      <c r="O127" s="8" t="e">
        <f>SUM(#REF!,#REF!,#REF!)</f>
        <v>#REF!</v>
      </c>
      <c r="P127" s="8" t="e">
        <f>SUM(#REF!,#REF!,#REF!)</f>
        <v>#REF!</v>
      </c>
      <c r="Q127" s="8" t="e">
        <f>SUM(#REF!,#REF!,#REF!)</f>
        <v>#REF!</v>
      </c>
      <c r="R127" s="8" t="e">
        <f>SUM(#REF!,#REF!,#REF!)</f>
        <v>#REF!</v>
      </c>
      <c r="S127" s="8" t="e">
        <f>SUM(#REF!,#REF!,#REF!)</f>
        <v>#REF!</v>
      </c>
      <c r="T127" s="8" t="e">
        <f>SUM(#REF!,#REF!,#REF!)</f>
        <v>#REF!</v>
      </c>
      <c r="U127" s="8" t="e">
        <f>SUM(#REF!,#REF!,#REF!)</f>
        <v>#REF!</v>
      </c>
      <c r="V127" s="8" t="e">
        <f>SUM(#REF!,#REF!,#REF!)</f>
        <v>#REF!</v>
      </c>
      <c r="W127" s="8">
        <f>SUM(W128)</f>
        <v>1100</v>
      </c>
      <c r="X127" s="334"/>
      <c r="Y127" s="211"/>
      <c r="Z127" s="189"/>
      <c r="AA127" s="189"/>
      <c r="AB127" s="179"/>
      <c r="AC127" s="179"/>
      <c r="AD127" s="179"/>
      <c r="AE127" s="179"/>
      <c r="AF127" s="179"/>
      <c r="AG127" s="179"/>
      <c r="AH127" s="179"/>
      <c r="AI127" s="179"/>
      <c r="AJ127" s="179"/>
      <c r="AK127" s="179"/>
      <c r="AL127" s="179"/>
      <c r="AM127" s="179"/>
      <c r="AN127" s="179"/>
      <c r="AO127" s="179"/>
      <c r="AP127" s="179"/>
      <c r="AQ127" s="179"/>
      <c r="AR127" s="179"/>
      <c r="AS127" s="179"/>
      <c r="AT127" s="179"/>
      <c r="AU127" s="179"/>
      <c r="AV127" s="179"/>
      <c r="AW127" s="179"/>
    </row>
    <row r="128" spans="1:49" s="20" customFormat="1" ht="44.25" customHeight="1">
      <c r="A128" s="109" t="s">
        <v>17</v>
      </c>
      <c r="B128" s="110" t="s">
        <v>358</v>
      </c>
      <c r="C128" s="110"/>
      <c r="D128" s="109"/>
      <c r="E128" s="110"/>
      <c r="F128" s="110"/>
      <c r="G128" s="110"/>
      <c r="H128" s="111"/>
      <c r="I128" s="111"/>
      <c r="J128" s="111"/>
      <c r="K128" s="111"/>
      <c r="L128" s="111"/>
      <c r="M128" s="111"/>
      <c r="N128" s="111"/>
      <c r="O128" s="111"/>
      <c r="P128" s="111"/>
      <c r="Q128" s="111"/>
      <c r="R128" s="111"/>
      <c r="S128" s="111"/>
      <c r="T128" s="111"/>
      <c r="U128" s="111"/>
      <c r="V128" s="111"/>
      <c r="W128" s="111">
        <f>SUM(W129:W129)</f>
        <v>1100</v>
      </c>
      <c r="X128" s="335"/>
      <c r="Y128" s="130"/>
      <c r="Z128" s="113"/>
      <c r="AA128" s="113"/>
    </row>
    <row r="129" spans="1:49" ht="60.75" customHeight="1">
      <c r="A129" s="114">
        <v>1</v>
      </c>
      <c r="B129" s="36" t="s">
        <v>886</v>
      </c>
      <c r="C129" s="23" t="s">
        <v>18</v>
      </c>
      <c r="D129" s="34" t="s">
        <v>19</v>
      </c>
      <c r="E129" s="23" t="s">
        <v>202</v>
      </c>
      <c r="F129" s="23" t="s">
        <v>36</v>
      </c>
      <c r="G129" s="86"/>
      <c r="H129" s="62"/>
      <c r="I129" s="32"/>
      <c r="J129" s="37"/>
      <c r="K129" s="37"/>
      <c r="L129" s="37"/>
      <c r="M129" s="37"/>
      <c r="N129" s="37"/>
      <c r="O129" s="37"/>
      <c r="P129" s="37"/>
      <c r="Q129" s="37"/>
      <c r="R129" s="32"/>
      <c r="S129" s="32"/>
      <c r="T129" s="37"/>
      <c r="U129" s="37"/>
      <c r="V129" s="80"/>
      <c r="W129" s="37">
        <v>1100</v>
      </c>
      <c r="X129" s="335"/>
      <c r="Y129" s="131" t="s">
        <v>996</v>
      </c>
      <c r="AB129" s="6">
        <f>W129</f>
        <v>1100</v>
      </c>
      <c r="AC129" s="6"/>
      <c r="AD129" s="6"/>
      <c r="AE129" s="6"/>
    </row>
    <row r="130" spans="1:49" s="18" customFormat="1" ht="60" customHeight="1">
      <c r="A130" s="13" t="s">
        <v>1042</v>
      </c>
      <c r="B130" s="26" t="s">
        <v>1043</v>
      </c>
      <c r="C130" s="13"/>
      <c r="D130" s="13"/>
      <c r="E130" s="13"/>
      <c r="F130" s="13"/>
      <c r="G130" s="13"/>
      <c r="H130" s="8" t="e">
        <f>SUM(#REF!,#REF!,#REF!)</f>
        <v>#REF!</v>
      </c>
      <c r="I130" s="8" t="e">
        <f>SUM(#REF!,#REF!,#REF!)</f>
        <v>#REF!</v>
      </c>
      <c r="J130" s="8" t="e">
        <f>SUM(#REF!,#REF!,#REF!)</f>
        <v>#REF!</v>
      </c>
      <c r="K130" s="8" t="e">
        <f>SUM(#REF!,#REF!,#REF!)</f>
        <v>#REF!</v>
      </c>
      <c r="L130" s="8" t="e">
        <f>SUM(#REF!,#REF!,#REF!)</f>
        <v>#REF!</v>
      </c>
      <c r="M130" s="8" t="e">
        <f>SUM(#REF!,#REF!,#REF!)</f>
        <v>#REF!</v>
      </c>
      <c r="N130" s="8" t="e">
        <f>SUM(#REF!,#REF!,#REF!)</f>
        <v>#REF!</v>
      </c>
      <c r="O130" s="8" t="e">
        <f>SUM(#REF!,#REF!,#REF!)</f>
        <v>#REF!</v>
      </c>
      <c r="P130" s="8" t="e">
        <f>SUM(#REF!,#REF!,#REF!)</f>
        <v>#REF!</v>
      </c>
      <c r="Q130" s="8" t="e">
        <f>SUM(#REF!,#REF!,#REF!)</f>
        <v>#REF!</v>
      </c>
      <c r="R130" s="8" t="e">
        <f>SUM(#REF!,#REF!,#REF!)</f>
        <v>#REF!</v>
      </c>
      <c r="S130" s="8" t="e">
        <f>SUM(#REF!,#REF!,#REF!)</f>
        <v>#REF!</v>
      </c>
      <c r="T130" s="8" t="e">
        <f>SUM(#REF!,#REF!,#REF!)</f>
        <v>#REF!</v>
      </c>
      <c r="U130" s="8" t="e">
        <f>SUM(#REF!,#REF!,#REF!)</f>
        <v>#REF!</v>
      </c>
      <c r="V130" s="8" t="e">
        <f>SUM(#REF!,#REF!,#REF!)</f>
        <v>#REF!</v>
      </c>
      <c r="W130" s="8">
        <f>SUM(W131)</f>
        <v>5400</v>
      </c>
      <c r="X130" s="334"/>
      <c r="Y130" s="211"/>
      <c r="Z130" s="189"/>
      <c r="AA130" s="189"/>
      <c r="AB130" s="179"/>
      <c r="AC130" s="179"/>
      <c r="AD130" s="179"/>
      <c r="AE130" s="179"/>
      <c r="AF130" s="179"/>
      <c r="AG130" s="179"/>
      <c r="AH130" s="179"/>
      <c r="AI130" s="179"/>
      <c r="AJ130" s="179"/>
      <c r="AK130" s="179"/>
      <c r="AL130" s="179"/>
      <c r="AM130" s="179"/>
      <c r="AN130" s="179"/>
      <c r="AO130" s="179"/>
      <c r="AP130" s="179"/>
      <c r="AQ130" s="179"/>
      <c r="AR130" s="179"/>
      <c r="AS130" s="179"/>
      <c r="AT130" s="179"/>
      <c r="AU130" s="179"/>
      <c r="AV130" s="179"/>
      <c r="AW130" s="179"/>
    </row>
    <row r="131" spans="1:49" s="20" customFormat="1" ht="44.25" customHeight="1">
      <c r="A131" s="109" t="s">
        <v>17</v>
      </c>
      <c r="B131" s="110" t="s">
        <v>355</v>
      </c>
      <c r="C131" s="110"/>
      <c r="D131" s="109"/>
      <c r="E131" s="110"/>
      <c r="F131" s="110"/>
      <c r="G131" s="110"/>
      <c r="H131" s="111"/>
      <c r="I131" s="111"/>
      <c r="J131" s="111"/>
      <c r="K131" s="111"/>
      <c r="L131" s="111"/>
      <c r="M131" s="111"/>
      <c r="N131" s="111"/>
      <c r="O131" s="111"/>
      <c r="P131" s="111"/>
      <c r="Q131" s="111"/>
      <c r="R131" s="111"/>
      <c r="S131" s="111"/>
      <c r="T131" s="111"/>
      <c r="U131" s="111"/>
      <c r="V131" s="111"/>
      <c r="W131" s="111">
        <f>SUM(W132:W135)</f>
        <v>5400</v>
      </c>
      <c r="X131" s="335"/>
      <c r="Y131" s="130"/>
      <c r="Z131" s="113"/>
      <c r="AA131" s="113"/>
    </row>
    <row r="132" spans="1:49" ht="60.75" customHeight="1">
      <c r="A132" s="114">
        <v>1</v>
      </c>
      <c r="B132" s="115" t="s">
        <v>590</v>
      </c>
      <c r="C132" s="10" t="s">
        <v>591</v>
      </c>
      <c r="D132" s="185" t="s">
        <v>19</v>
      </c>
      <c r="E132" s="10" t="s">
        <v>492</v>
      </c>
      <c r="F132" s="10" t="s">
        <v>391</v>
      </c>
      <c r="G132" s="17" t="s">
        <v>391</v>
      </c>
      <c r="H132" s="17"/>
      <c r="I132" s="17"/>
      <c r="J132" s="17"/>
      <c r="K132" s="17"/>
      <c r="L132" s="17"/>
      <c r="M132" s="17"/>
      <c r="N132" s="17"/>
      <c r="O132" s="17"/>
      <c r="P132" s="17"/>
      <c r="Q132" s="17"/>
      <c r="R132" s="17"/>
      <c r="S132" s="17"/>
      <c r="T132" s="17"/>
      <c r="U132" s="17"/>
      <c r="V132" s="17"/>
      <c r="W132" s="70">
        <v>3500</v>
      </c>
      <c r="X132" s="335"/>
      <c r="Y132" s="131" t="s">
        <v>996</v>
      </c>
      <c r="AB132" s="6">
        <f>W132</f>
        <v>3500</v>
      </c>
      <c r="AC132" s="6"/>
      <c r="AD132" s="6"/>
      <c r="AE132" s="6"/>
    </row>
    <row r="133" spans="1:49" ht="79.5" customHeight="1">
      <c r="A133" s="114">
        <v>2</v>
      </c>
      <c r="B133" s="115" t="s">
        <v>592</v>
      </c>
      <c r="C133" s="10" t="s">
        <v>593</v>
      </c>
      <c r="D133" s="185" t="s">
        <v>19</v>
      </c>
      <c r="E133" s="10" t="s">
        <v>492</v>
      </c>
      <c r="F133" s="10" t="s">
        <v>391</v>
      </c>
      <c r="G133" s="17" t="s">
        <v>391</v>
      </c>
      <c r="H133" s="17"/>
      <c r="I133" s="17"/>
      <c r="J133" s="17"/>
      <c r="K133" s="17"/>
      <c r="L133" s="17"/>
      <c r="M133" s="17"/>
      <c r="N133" s="17"/>
      <c r="O133" s="17"/>
      <c r="P133" s="17"/>
      <c r="Q133" s="17"/>
      <c r="R133" s="17"/>
      <c r="S133" s="17"/>
      <c r="T133" s="17"/>
      <c r="U133" s="17"/>
      <c r="V133" s="17"/>
      <c r="W133" s="70">
        <v>600</v>
      </c>
      <c r="X133" s="335"/>
      <c r="Y133" s="131"/>
      <c r="AB133" s="6">
        <f>W133</f>
        <v>600</v>
      </c>
      <c r="AC133" s="6"/>
      <c r="AD133" s="6"/>
      <c r="AE133" s="6"/>
    </row>
    <row r="134" spans="1:49" ht="60.75" customHeight="1">
      <c r="A134" s="114">
        <v>3</v>
      </c>
      <c r="B134" s="115" t="s">
        <v>691</v>
      </c>
      <c r="C134" s="10" t="s">
        <v>594</v>
      </c>
      <c r="D134" s="185" t="s">
        <v>19</v>
      </c>
      <c r="E134" s="10" t="s">
        <v>492</v>
      </c>
      <c r="F134" s="10" t="s">
        <v>391</v>
      </c>
      <c r="G134" s="17" t="s">
        <v>391</v>
      </c>
      <c r="H134" s="17"/>
      <c r="I134" s="17"/>
      <c r="J134" s="17"/>
      <c r="K134" s="17"/>
      <c r="L134" s="17"/>
      <c r="M134" s="17"/>
      <c r="N134" s="17"/>
      <c r="O134" s="17"/>
      <c r="P134" s="17"/>
      <c r="Q134" s="17"/>
      <c r="R134" s="17"/>
      <c r="S134" s="17"/>
      <c r="T134" s="17"/>
      <c r="U134" s="17"/>
      <c r="V134" s="17"/>
      <c r="W134" s="70">
        <v>700</v>
      </c>
      <c r="X134" s="335"/>
      <c r="Y134" s="131"/>
      <c r="AB134" s="6">
        <f>W134</f>
        <v>700</v>
      </c>
      <c r="AC134" s="6"/>
      <c r="AD134" s="6"/>
      <c r="AE134" s="6"/>
    </row>
    <row r="135" spans="1:49" ht="60.75" customHeight="1">
      <c r="A135" s="114">
        <v>4</v>
      </c>
      <c r="B135" s="115" t="s">
        <v>595</v>
      </c>
      <c r="C135" s="10" t="s">
        <v>596</v>
      </c>
      <c r="D135" s="185" t="s">
        <v>19</v>
      </c>
      <c r="E135" s="10" t="s">
        <v>492</v>
      </c>
      <c r="F135" s="10" t="s">
        <v>391</v>
      </c>
      <c r="G135" s="17" t="s">
        <v>391</v>
      </c>
      <c r="H135" s="17"/>
      <c r="I135" s="17"/>
      <c r="J135" s="17"/>
      <c r="K135" s="17"/>
      <c r="L135" s="17"/>
      <c r="M135" s="17"/>
      <c r="N135" s="17"/>
      <c r="O135" s="17"/>
      <c r="P135" s="17"/>
      <c r="Q135" s="17"/>
      <c r="R135" s="17"/>
      <c r="S135" s="17"/>
      <c r="T135" s="17"/>
      <c r="U135" s="17"/>
      <c r="V135" s="17"/>
      <c r="W135" s="70">
        <v>600</v>
      </c>
      <c r="X135" s="335"/>
      <c r="Y135" s="131"/>
      <c r="AB135" s="6">
        <f>W135</f>
        <v>600</v>
      </c>
      <c r="AC135" s="6"/>
      <c r="AD135" s="6"/>
      <c r="AE135" s="6"/>
    </row>
    <row r="136" spans="1:49" s="18" customFormat="1" ht="60" customHeight="1">
      <c r="A136" s="13" t="s">
        <v>1045</v>
      </c>
      <c r="B136" s="26" t="s">
        <v>1044</v>
      </c>
      <c r="C136" s="13"/>
      <c r="D136" s="13"/>
      <c r="E136" s="13"/>
      <c r="F136" s="13"/>
      <c r="G136" s="13"/>
      <c r="H136" s="8" t="e">
        <f>SUM(#REF!,#REF!,#REF!)</f>
        <v>#REF!</v>
      </c>
      <c r="I136" s="8" t="e">
        <f>SUM(#REF!,#REF!,#REF!)</f>
        <v>#REF!</v>
      </c>
      <c r="J136" s="8" t="e">
        <f>SUM(#REF!,#REF!,#REF!)</f>
        <v>#REF!</v>
      </c>
      <c r="K136" s="8" t="e">
        <f>SUM(#REF!,#REF!,#REF!)</f>
        <v>#REF!</v>
      </c>
      <c r="L136" s="8" t="e">
        <f>SUM(#REF!,#REF!,#REF!)</f>
        <v>#REF!</v>
      </c>
      <c r="M136" s="8" t="e">
        <f>SUM(#REF!,#REF!,#REF!)</f>
        <v>#REF!</v>
      </c>
      <c r="N136" s="8" t="e">
        <f>SUM(#REF!,#REF!,#REF!)</f>
        <v>#REF!</v>
      </c>
      <c r="O136" s="8" t="e">
        <f>SUM(#REF!,#REF!,#REF!)</f>
        <v>#REF!</v>
      </c>
      <c r="P136" s="8" t="e">
        <f>SUM(#REF!,#REF!,#REF!)</f>
        <v>#REF!</v>
      </c>
      <c r="Q136" s="8" t="e">
        <f>SUM(#REF!,#REF!,#REF!)</f>
        <v>#REF!</v>
      </c>
      <c r="R136" s="8" t="e">
        <f>SUM(#REF!,#REF!,#REF!)</f>
        <v>#REF!</v>
      </c>
      <c r="S136" s="8" t="e">
        <f>SUM(#REF!,#REF!,#REF!)</f>
        <v>#REF!</v>
      </c>
      <c r="T136" s="8" t="e">
        <f>SUM(#REF!,#REF!,#REF!)</f>
        <v>#REF!</v>
      </c>
      <c r="U136" s="8" t="e">
        <f>SUM(#REF!,#REF!,#REF!)</f>
        <v>#REF!</v>
      </c>
      <c r="V136" s="8" t="e">
        <f>SUM(#REF!,#REF!,#REF!)</f>
        <v>#REF!</v>
      </c>
      <c r="W136" s="8">
        <f>SUM(W137)</f>
        <v>1200</v>
      </c>
      <c r="X136" s="334"/>
      <c r="Y136" s="211"/>
      <c r="Z136" s="189"/>
      <c r="AA136" s="189"/>
      <c r="AB136" s="179"/>
      <c r="AC136" s="179"/>
      <c r="AD136" s="179"/>
      <c r="AE136" s="179"/>
      <c r="AF136" s="179"/>
      <c r="AG136" s="179"/>
      <c r="AH136" s="179"/>
      <c r="AI136" s="179"/>
      <c r="AJ136" s="179"/>
      <c r="AK136" s="179"/>
      <c r="AL136" s="179"/>
      <c r="AM136" s="179"/>
      <c r="AN136" s="179"/>
      <c r="AO136" s="179"/>
      <c r="AP136" s="179"/>
      <c r="AQ136" s="179"/>
      <c r="AR136" s="179"/>
      <c r="AS136" s="179"/>
      <c r="AT136" s="179"/>
      <c r="AU136" s="179"/>
      <c r="AV136" s="179"/>
      <c r="AW136" s="179"/>
    </row>
    <row r="137" spans="1:49" s="20" customFormat="1" ht="44.25" customHeight="1">
      <c r="A137" s="109" t="s">
        <v>17</v>
      </c>
      <c r="B137" s="110" t="s">
        <v>355</v>
      </c>
      <c r="C137" s="110"/>
      <c r="D137" s="109"/>
      <c r="E137" s="110"/>
      <c r="F137" s="110"/>
      <c r="G137" s="110"/>
      <c r="H137" s="111"/>
      <c r="I137" s="111"/>
      <c r="J137" s="111"/>
      <c r="K137" s="111"/>
      <c r="L137" s="111"/>
      <c r="M137" s="111"/>
      <c r="N137" s="111"/>
      <c r="O137" s="111"/>
      <c r="P137" s="111"/>
      <c r="Q137" s="111"/>
      <c r="R137" s="111"/>
      <c r="S137" s="111"/>
      <c r="T137" s="111"/>
      <c r="U137" s="111"/>
      <c r="V137" s="111"/>
      <c r="W137" s="111">
        <f>SUM(W138:W139)</f>
        <v>1200</v>
      </c>
      <c r="X137" s="335"/>
      <c r="Y137" s="130"/>
      <c r="Z137" s="113"/>
      <c r="AA137" s="113"/>
    </row>
    <row r="138" spans="1:49" ht="60.75" customHeight="1">
      <c r="A138" s="114">
        <v>1</v>
      </c>
      <c r="B138" s="115" t="s">
        <v>612</v>
      </c>
      <c r="C138" s="10" t="s">
        <v>613</v>
      </c>
      <c r="D138" s="185" t="s">
        <v>19</v>
      </c>
      <c r="E138" s="10" t="s">
        <v>492</v>
      </c>
      <c r="F138" s="10" t="s">
        <v>391</v>
      </c>
      <c r="G138" s="17"/>
      <c r="H138" s="17"/>
      <c r="I138" s="17"/>
      <c r="J138" s="17"/>
      <c r="K138" s="17"/>
      <c r="L138" s="17"/>
      <c r="M138" s="17"/>
      <c r="N138" s="17"/>
      <c r="O138" s="17"/>
      <c r="P138" s="17"/>
      <c r="Q138" s="17"/>
      <c r="R138" s="17"/>
      <c r="S138" s="17"/>
      <c r="T138" s="17"/>
      <c r="U138" s="17"/>
      <c r="V138" s="17"/>
      <c r="W138" s="70">
        <v>600</v>
      </c>
      <c r="X138" s="335"/>
      <c r="Y138" s="131" t="s">
        <v>996</v>
      </c>
      <c r="AB138" s="6">
        <f>W138</f>
        <v>600</v>
      </c>
      <c r="AC138" s="6"/>
      <c r="AD138" s="6"/>
      <c r="AE138" s="6"/>
    </row>
    <row r="139" spans="1:49" ht="60.75" customHeight="1">
      <c r="A139" s="114">
        <v>2</v>
      </c>
      <c r="B139" s="115" t="s">
        <v>617</v>
      </c>
      <c r="C139" s="10" t="s">
        <v>618</v>
      </c>
      <c r="D139" s="185" t="s">
        <v>19</v>
      </c>
      <c r="E139" s="10" t="s">
        <v>492</v>
      </c>
      <c r="F139" s="10" t="s">
        <v>391</v>
      </c>
      <c r="G139" s="17"/>
      <c r="H139" s="17"/>
      <c r="I139" s="17"/>
      <c r="J139" s="17"/>
      <c r="K139" s="17"/>
      <c r="L139" s="17"/>
      <c r="M139" s="17"/>
      <c r="N139" s="17"/>
      <c r="O139" s="17"/>
      <c r="P139" s="17"/>
      <c r="Q139" s="17"/>
      <c r="R139" s="17"/>
      <c r="S139" s="17"/>
      <c r="T139" s="17"/>
      <c r="U139" s="17"/>
      <c r="V139" s="17"/>
      <c r="W139" s="70">
        <v>600</v>
      </c>
      <c r="X139" s="335"/>
      <c r="Y139" s="131"/>
      <c r="AB139" s="6">
        <f>W139</f>
        <v>600</v>
      </c>
      <c r="AC139" s="6"/>
      <c r="AD139" s="6"/>
      <c r="AE139" s="6"/>
    </row>
    <row r="140" spans="1:49" s="18" customFormat="1" ht="60" customHeight="1">
      <c r="A140" s="13" t="s">
        <v>1061</v>
      </c>
      <c r="B140" s="26" t="s">
        <v>1062</v>
      </c>
      <c r="C140" s="13"/>
      <c r="D140" s="13"/>
      <c r="E140" s="13"/>
      <c r="F140" s="13"/>
      <c r="G140" s="13"/>
      <c r="H140" s="8" t="e">
        <f>SUM(#REF!,#REF!,#REF!)</f>
        <v>#REF!</v>
      </c>
      <c r="I140" s="8" t="e">
        <f>SUM(#REF!,#REF!,#REF!)</f>
        <v>#REF!</v>
      </c>
      <c r="J140" s="8" t="e">
        <f>SUM(#REF!,#REF!,#REF!)</f>
        <v>#REF!</v>
      </c>
      <c r="K140" s="8" t="e">
        <f>SUM(#REF!,#REF!,#REF!)</f>
        <v>#REF!</v>
      </c>
      <c r="L140" s="8" t="e">
        <f>SUM(#REF!,#REF!,#REF!)</f>
        <v>#REF!</v>
      </c>
      <c r="M140" s="8" t="e">
        <f>SUM(#REF!,#REF!,#REF!)</f>
        <v>#REF!</v>
      </c>
      <c r="N140" s="8" t="e">
        <f>SUM(#REF!,#REF!,#REF!)</f>
        <v>#REF!</v>
      </c>
      <c r="O140" s="8" t="e">
        <f>SUM(#REF!,#REF!,#REF!)</f>
        <v>#REF!</v>
      </c>
      <c r="P140" s="8" t="e">
        <f>SUM(#REF!,#REF!,#REF!)</f>
        <v>#REF!</v>
      </c>
      <c r="Q140" s="8" t="e">
        <f>SUM(#REF!,#REF!,#REF!)</f>
        <v>#REF!</v>
      </c>
      <c r="R140" s="8" t="e">
        <f>SUM(#REF!,#REF!,#REF!)</f>
        <v>#REF!</v>
      </c>
      <c r="S140" s="8" t="e">
        <f>SUM(#REF!,#REF!,#REF!)</f>
        <v>#REF!</v>
      </c>
      <c r="T140" s="8" t="e">
        <f>SUM(#REF!,#REF!,#REF!)</f>
        <v>#REF!</v>
      </c>
      <c r="U140" s="8" t="e">
        <f>SUM(#REF!,#REF!,#REF!)</f>
        <v>#REF!</v>
      </c>
      <c r="V140" s="8" t="e">
        <f>SUM(#REF!,#REF!,#REF!)</f>
        <v>#REF!</v>
      </c>
      <c r="W140" s="8">
        <f>SUM(W141)</f>
        <v>3500</v>
      </c>
      <c r="X140" s="334"/>
      <c r="Y140" s="211"/>
      <c r="Z140" s="189"/>
      <c r="AA140" s="189"/>
      <c r="AB140" s="179"/>
      <c r="AC140" s="179"/>
      <c r="AD140" s="179"/>
      <c r="AE140" s="179"/>
      <c r="AF140" s="179"/>
      <c r="AG140" s="179"/>
      <c r="AH140" s="179"/>
      <c r="AI140" s="179"/>
      <c r="AJ140" s="179"/>
      <c r="AK140" s="179"/>
      <c r="AL140" s="179"/>
      <c r="AM140" s="179"/>
      <c r="AN140" s="179"/>
      <c r="AO140" s="179"/>
      <c r="AP140" s="179"/>
      <c r="AQ140" s="179"/>
      <c r="AR140" s="179"/>
      <c r="AS140" s="179"/>
      <c r="AT140" s="179"/>
      <c r="AU140" s="179"/>
      <c r="AV140" s="179"/>
      <c r="AW140" s="179"/>
    </row>
    <row r="141" spans="1:49" s="20" customFormat="1" ht="44.25" customHeight="1">
      <c r="A141" s="109" t="s">
        <v>17</v>
      </c>
      <c r="B141" s="110" t="s">
        <v>355</v>
      </c>
      <c r="C141" s="110"/>
      <c r="D141" s="109"/>
      <c r="E141" s="110"/>
      <c r="F141" s="110"/>
      <c r="G141" s="110"/>
      <c r="H141" s="111"/>
      <c r="I141" s="111"/>
      <c r="J141" s="111"/>
      <c r="K141" s="111"/>
      <c r="L141" s="111"/>
      <c r="M141" s="111"/>
      <c r="N141" s="111"/>
      <c r="O141" s="111"/>
      <c r="P141" s="111"/>
      <c r="Q141" s="111"/>
      <c r="R141" s="111"/>
      <c r="S141" s="111"/>
      <c r="T141" s="111"/>
      <c r="U141" s="111"/>
      <c r="V141" s="111"/>
      <c r="W141" s="111">
        <f>SUM(W142)</f>
        <v>3500</v>
      </c>
      <c r="X141" s="335"/>
      <c r="Y141" s="130"/>
      <c r="Z141" s="113"/>
      <c r="AA141" s="113"/>
    </row>
    <row r="142" spans="1:49" ht="60.75" customHeight="1">
      <c r="A142" s="114">
        <v>1</v>
      </c>
      <c r="B142" s="115" t="s">
        <v>1054</v>
      </c>
      <c r="C142" s="10" t="s">
        <v>263</v>
      </c>
      <c r="D142" s="185" t="s">
        <v>19</v>
      </c>
      <c r="E142" s="10" t="s">
        <v>492</v>
      </c>
      <c r="F142" s="10" t="s">
        <v>391</v>
      </c>
      <c r="G142" s="17"/>
      <c r="H142" s="17"/>
      <c r="I142" s="17"/>
      <c r="J142" s="17"/>
      <c r="K142" s="17"/>
      <c r="L142" s="17"/>
      <c r="M142" s="17"/>
      <c r="N142" s="17"/>
      <c r="O142" s="17"/>
      <c r="P142" s="17"/>
      <c r="Q142" s="17"/>
      <c r="R142" s="17"/>
      <c r="S142" s="17"/>
      <c r="T142" s="17"/>
      <c r="U142" s="17"/>
      <c r="V142" s="17"/>
      <c r="W142" s="70">
        <v>3500</v>
      </c>
      <c r="X142" s="335"/>
      <c r="Y142" s="131" t="s">
        <v>996</v>
      </c>
      <c r="AB142" s="6">
        <f>W142</f>
        <v>3500</v>
      </c>
      <c r="AC142" s="6"/>
      <c r="AD142" s="6"/>
      <c r="AE142" s="6"/>
    </row>
    <row r="143" spans="1:49" s="18" customFormat="1" ht="60" customHeight="1">
      <c r="A143" s="13" t="s">
        <v>1063</v>
      </c>
      <c r="B143" s="26" t="s">
        <v>1062</v>
      </c>
      <c r="C143" s="13"/>
      <c r="D143" s="13"/>
      <c r="E143" s="13"/>
      <c r="F143" s="13"/>
      <c r="G143" s="13"/>
      <c r="H143" s="8" t="e">
        <f>SUM(#REF!,#REF!,#REF!)</f>
        <v>#REF!</v>
      </c>
      <c r="I143" s="8" t="e">
        <f>SUM(#REF!,#REF!,#REF!)</f>
        <v>#REF!</v>
      </c>
      <c r="J143" s="8" t="e">
        <f>SUM(#REF!,#REF!,#REF!)</f>
        <v>#REF!</v>
      </c>
      <c r="K143" s="8" t="e">
        <f>SUM(#REF!,#REF!,#REF!)</f>
        <v>#REF!</v>
      </c>
      <c r="L143" s="8" t="e">
        <f>SUM(#REF!,#REF!,#REF!)</f>
        <v>#REF!</v>
      </c>
      <c r="M143" s="8" t="e">
        <f>SUM(#REF!,#REF!,#REF!)</f>
        <v>#REF!</v>
      </c>
      <c r="N143" s="8" t="e">
        <f>SUM(#REF!,#REF!,#REF!)</f>
        <v>#REF!</v>
      </c>
      <c r="O143" s="8" t="e">
        <f>SUM(#REF!,#REF!,#REF!)</f>
        <v>#REF!</v>
      </c>
      <c r="P143" s="8" t="e">
        <f>SUM(#REF!,#REF!,#REF!)</f>
        <v>#REF!</v>
      </c>
      <c r="Q143" s="8" t="e">
        <f>SUM(#REF!,#REF!,#REF!)</f>
        <v>#REF!</v>
      </c>
      <c r="R143" s="8" t="e">
        <f>SUM(#REF!,#REF!,#REF!)</f>
        <v>#REF!</v>
      </c>
      <c r="S143" s="8" t="e">
        <f>SUM(#REF!,#REF!,#REF!)</f>
        <v>#REF!</v>
      </c>
      <c r="T143" s="8" t="e">
        <f>SUM(#REF!,#REF!,#REF!)</f>
        <v>#REF!</v>
      </c>
      <c r="U143" s="8" t="e">
        <f>SUM(#REF!,#REF!,#REF!)</f>
        <v>#REF!</v>
      </c>
      <c r="V143" s="8" t="e">
        <f>SUM(#REF!,#REF!,#REF!)</f>
        <v>#REF!</v>
      </c>
      <c r="W143" s="8">
        <f>SUM(W144)</f>
        <v>1800</v>
      </c>
      <c r="X143" s="334"/>
      <c r="Y143" s="211"/>
      <c r="Z143" s="189"/>
      <c r="AA143" s="189"/>
      <c r="AB143" s="179"/>
      <c r="AC143" s="179"/>
      <c r="AD143" s="179"/>
      <c r="AE143" s="179"/>
      <c r="AF143" s="179"/>
      <c r="AG143" s="179"/>
      <c r="AH143" s="179"/>
      <c r="AI143" s="179"/>
      <c r="AJ143" s="179"/>
      <c r="AK143" s="179"/>
      <c r="AL143" s="179"/>
      <c r="AM143" s="179"/>
      <c r="AN143" s="179"/>
      <c r="AO143" s="179"/>
      <c r="AP143" s="179"/>
      <c r="AQ143" s="179"/>
      <c r="AR143" s="179"/>
      <c r="AS143" s="179"/>
      <c r="AT143" s="179"/>
      <c r="AU143" s="179"/>
      <c r="AV143" s="179"/>
      <c r="AW143" s="179"/>
    </row>
    <row r="144" spans="1:49" s="20" customFormat="1" ht="44.25" customHeight="1">
      <c r="A144" s="109" t="s">
        <v>17</v>
      </c>
      <c r="B144" s="110" t="s">
        <v>355</v>
      </c>
      <c r="C144" s="110"/>
      <c r="D144" s="109"/>
      <c r="E144" s="110"/>
      <c r="F144" s="110"/>
      <c r="G144" s="110"/>
      <c r="H144" s="111"/>
      <c r="I144" s="111"/>
      <c r="J144" s="111"/>
      <c r="K144" s="111"/>
      <c r="L144" s="111"/>
      <c r="M144" s="111"/>
      <c r="N144" s="111"/>
      <c r="O144" s="111"/>
      <c r="P144" s="111"/>
      <c r="Q144" s="111"/>
      <c r="R144" s="111"/>
      <c r="S144" s="111"/>
      <c r="T144" s="111"/>
      <c r="U144" s="111"/>
      <c r="V144" s="111"/>
      <c r="W144" s="111">
        <f>SUM(W145:W147)</f>
        <v>1800</v>
      </c>
      <c r="X144" s="335"/>
      <c r="Y144" s="130"/>
      <c r="Z144" s="113"/>
      <c r="AA144" s="113"/>
    </row>
    <row r="145" spans="1:31" ht="60.75" customHeight="1">
      <c r="A145" s="114">
        <v>1</v>
      </c>
      <c r="B145" s="115" t="s">
        <v>1055</v>
      </c>
      <c r="C145" s="10" t="s">
        <v>1056</v>
      </c>
      <c r="D145" s="185" t="s">
        <v>19</v>
      </c>
      <c r="E145" s="10" t="s">
        <v>492</v>
      </c>
      <c r="F145" s="10" t="s">
        <v>391</v>
      </c>
      <c r="G145" s="17"/>
      <c r="H145" s="17"/>
      <c r="I145" s="17"/>
      <c r="J145" s="17"/>
      <c r="K145" s="17"/>
      <c r="L145" s="17"/>
      <c r="M145" s="17"/>
      <c r="N145" s="17"/>
      <c r="O145" s="17"/>
      <c r="P145" s="17"/>
      <c r="Q145" s="17"/>
      <c r="R145" s="17"/>
      <c r="S145" s="17"/>
      <c r="T145" s="17"/>
      <c r="U145" s="17"/>
      <c r="V145" s="17"/>
      <c r="W145" s="70">
        <v>600</v>
      </c>
      <c r="X145" s="335"/>
      <c r="Y145" s="131" t="s">
        <v>996</v>
      </c>
      <c r="AB145" s="6">
        <f>W145</f>
        <v>600</v>
      </c>
      <c r="AC145" s="6"/>
      <c r="AD145" s="6"/>
      <c r="AE145" s="6"/>
    </row>
    <row r="146" spans="1:31" ht="60.75" customHeight="1">
      <c r="A146" s="114">
        <v>2</v>
      </c>
      <c r="B146" s="115" t="s">
        <v>1057</v>
      </c>
      <c r="C146" s="10" t="s">
        <v>1058</v>
      </c>
      <c r="D146" s="185" t="s">
        <v>19</v>
      </c>
      <c r="E146" s="10" t="s">
        <v>492</v>
      </c>
      <c r="F146" s="10" t="s">
        <v>391</v>
      </c>
      <c r="G146" s="17"/>
      <c r="H146" s="17"/>
      <c r="I146" s="17"/>
      <c r="J146" s="17"/>
      <c r="K146" s="17"/>
      <c r="L146" s="17"/>
      <c r="M146" s="17"/>
      <c r="N146" s="17"/>
      <c r="O146" s="17"/>
      <c r="P146" s="17"/>
      <c r="Q146" s="17"/>
      <c r="R146" s="17"/>
      <c r="S146" s="17"/>
      <c r="T146" s="17"/>
      <c r="U146" s="17"/>
      <c r="V146" s="17"/>
      <c r="W146" s="70">
        <v>600</v>
      </c>
      <c r="X146" s="335"/>
      <c r="Y146" s="131"/>
      <c r="AB146" s="6"/>
      <c r="AC146" s="6"/>
      <c r="AD146" s="6"/>
      <c r="AE146" s="6"/>
    </row>
    <row r="147" spans="1:31" ht="60.75" customHeight="1">
      <c r="A147" s="114">
        <v>3</v>
      </c>
      <c r="B147" s="115" t="s">
        <v>1059</v>
      </c>
      <c r="C147" s="10" t="s">
        <v>1060</v>
      </c>
      <c r="D147" s="185" t="s">
        <v>19</v>
      </c>
      <c r="E147" s="10" t="s">
        <v>492</v>
      </c>
      <c r="F147" s="10" t="s">
        <v>391</v>
      </c>
      <c r="G147" s="17"/>
      <c r="H147" s="17"/>
      <c r="I147" s="17"/>
      <c r="J147" s="17"/>
      <c r="K147" s="17"/>
      <c r="L147" s="17"/>
      <c r="M147" s="17"/>
      <c r="N147" s="17"/>
      <c r="O147" s="17"/>
      <c r="P147" s="17"/>
      <c r="Q147" s="17"/>
      <c r="R147" s="17"/>
      <c r="S147" s="17"/>
      <c r="T147" s="17"/>
      <c r="U147" s="17"/>
      <c r="V147" s="17"/>
      <c r="W147" s="70">
        <v>600</v>
      </c>
      <c r="X147" s="335"/>
      <c r="Y147" s="131"/>
      <c r="AB147" s="6"/>
      <c r="AC147" s="6"/>
      <c r="AD147" s="6"/>
      <c r="AE147" s="6"/>
    </row>
    <row r="148" spans="1:31" ht="15" customHeight="1"/>
  </sheetData>
  <mergeCells count="19">
    <mergeCell ref="J6:Q6"/>
    <mergeCell ref="R6:R7"/>
    <mergeCell ref="S6:U6"/>
    <mergeCell ref="A1:X1"/>
    <mergeCell ref="A2:X2"/>
    <mergeCell ref="A3:X3"/>
    <mergeCell ref="A5:A7"/>
    <mergeCell ref="B5:B7"/>
    <mergeCell ref="C5:C7"/>
    <mergeCell ref="D5:D7"/>
    <mergeCell ref="E5:E7"/>
    <mergeCell ref="F5:F7"/>
    <mergeCell ref="H5:H7"/>
    <mergeCell ref="I5:Q5"/>
    <mergeCell ref="R5:U5"/>
    <mergeCell ref="V5:V7"/>
    <mergeCell ref="W5:W7"/>
    <mergeCell ref="X5:X7"/>
    <mergeCell ref="I6:I7"/>
  </mergeCells>
  <printOptions horizontalCentered="1"/>
  <pageMargins left="0.39370078740157499" right="0.39370078740157499" top="0.39370078740157499" bottom="0.39370078740157499" header="0.196850393700787" footer="0.196850393700787"/>
  <pageSetup paperSize="9" scale="69" fitToHeight="0" orientation="landscape" r:id="rId1"/>
  <headerFooter alignWithMargins="0">
    <oddFooter>&amp;C&amp;"Times New Roman,thường"&amp;11&amp;P/&amp;N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2"/>
  <sheetViews>
    <sheetView view="pageBreakPreview" zoomScale="70" zoomScaleNormal="80" zoomScaleSheetLayoutView="70" workbookViewId="0">
      <pane xSplit="2" ySplit="6" topLeftCell="C75" activePane="bottomRight" state="frozen"/>
      <selection pane="topRight" activeCell="C1" sqref="C1"/>
      <selection pane="bottomLeft" activeCell="A7" sqref="A7"/>
      <selection pane="bottomRight" activeCell="D102" sqref="D102"/>
    </sheetView>
  </sheetViews>
  <sheetFormatPr defaultColWidth="9.109375" defaultRowHeight="16.8"/>
  <cols>
    <col min="1" max="1" width="6.5546875" style="397" customWidth="1"/>
    <col min="2" max="2" width="50.5546875" style="396" customWidth="1"/>
    <col min="3" max="3" width="20.6640625" style="396" customWidth="1"/>
    <col min="4" max="4" width="22.6640625" style="396" customWidth="1"/>
    <col min="5" max="7" width="20.6640625" style="396" customWidth="1"/>
    <col min="8" max="8" width="30.6640625" style="396" customWidth="1"/>
    <col min="9" max="16384" width="9.109375" style="396"/>
  </cols>
  <sheetData>
    <row r="1" spans="1:8" ht="32.25" customHeight="1">
      <c r="A1" s="627" t="s">
        <v>1405</v>
      </c>
      <c r="B1" s="627"/>
      <c r="C1" s="627"/>
      <c r="D1" s="627"/>
      <c r="E1" s="627"/>
      <c r="F1" s="627"/>
      <c r="G1" s="627"/>
      <c r="H1" s="627"/>
    </row>
    <row r="2" spans="1:8" ht="69.75" customHeight="1">
      <c r="A2" s="628" t="s">
        <v>1388</v>
      </c>
      <c r="B2" s="628"/>
      <c r="C2" s="628"/>
      <c r="D2" s="628"/>
      <c r="E2" s="628"/>
      <c r="F2" s="628"/>
      <c r="G2" s="628"/>
      <c r="H2" s="628"/>
    </row>
    <row r="3" spans="1:8" ht="32.25" customHeight="1">
      <c r="A3" s="629" t="str">
        <f>'23. VTPCP'!A3:O3</f>
        <v>(Ban hành kèm theo Quyết định số: 2571/QĐ-UBND ngày 12/12/2024 của Ủy ban nhân dân tỉnh)</v>
      </c>
      <c r="B3" s="629"/>
      <c r="C3" s="629"/>
      <c r="D3" s="629"/>
      <c r="E3" s="629"/>
      <c r="F3" s="629"/>
      <c r="G3" s="629"/>
      <c r="H3" s="629"/>
    </row>
    <row r="4" spans="1:8" ht="28.5" customHeight="1">
      <c r="D4" s="630" t="s">
        <v>0</v>
      </c>
      <c r="E4" s="630"/>
      <c r="F4" s="630"/>
      <c r="G4" s="630"/>
      <c r="H4" s="630"/>
    </row>
    <row r="5" spans="1:8" s="398" customFormat="1" ht="57.75" customHeight="1">
      <c r="A5" s="626" t="s">
        <v>1</v>
      </c>
      <c r="B5" s="626" t="s">
        <v>1091</v>
      </c>
      <c r="C5" s="626" t="s">
        <v>2</v>
      </c>
      <c r="D5" s="626" t="s">
        <v>1229</v>
      </c>
      <c r="E5" s="626"/>
      <c r="F5" s="626" t="s">
        <v>1221</v>
      </c>
      <c r="G5" s="626" t="s">
        <v>690</v>
      </c>
      <c r="H5" s="626" t="s">
        <v>6</v>
      </c>
    </row>
    <row r="6" spans="1:8" s="398" customFormat="1" ht="59.25" customHeight="1">
      <c r="A6" s="626"/>
      <c r="B6" s="626"/>
      <c r="C6" s="626"/>
      <c r="D6" s="458" t="s">
        <v>1222</v>
      </c>
      <c r="E6" s="458" t="s">
        <v>1223</v>
      </c>
      <c r="F6" s="626"/>
      <c r="G6" s="626"/>
      <c r="H6" s="626"/>
    </row>
    <row r="7" spans="1:8" s="403" customFormat="1" ht="38.25" customHeight="1">
      <c r="A7" s="399"/>
      <c r="B7" s="458" t="s">
        <v>280</v>
      </c>
      <c r="C7" s="400"/>
      <c r="D7" s="401"/>
      <c r="E7" s="402">
        <f>SUM(E8,E43)</f>
        <v>1364678.44</v>
      </c>
      <c r="F7" s="402">
        <f>SUM(F8,F43)</f>
        <v>1287172</v>
      </c>
      <c r="G7" s="402">
        <f>SUM(G8,G43)</f>
        <v>32491</v>
      </c>
      <c r="H7" s="400"/>
    </row>
    <row r="8" spans="1:8" s="398" customFormat="1" ht="39.9" customHeight="1">
      <c r="A8" s="458" t="s">
        <v>86</v>
      </c>
      <c r="B8" s="404" t="s">
        <v>1224</v>
      </c>
      <c r="C8" s="405"/>
      <c r="D8" s="401"/>
      <c r="E8" s="402">
        <f>SUM(E9,E29)</f>
        <v>318899</v>
      </c>
      <c r="F8" s="402">
        <f>SUM(F9,F29)</f>
        <v>264936</v>
      </c>
      <c r="G8" s="402">
        <f>SUM(G9,G29)</f>
        <v>17350</v>
      </c>
      <c r="H8" s="400"/>
    </row>
    <row r="9" spans="1:8" s="415" customFormat="1" ht="39.9" customHeight="1">
      <c r="A9" s="459" t="s">
        <v>15</v>
      </c>
      <c r="B9" s="411" t="s">
        <v>1231</v>
      </c>
      <c r="C9" s="412"/>
      <c r="D9" s="413"/>
      <c r="E9" s="414">
        <f>SUM(E10,E14,E16,E18,E27)</f>
        <v>286085</v>
      </c>
      <c r="F9" s="414">
        <f>SUM(F10,F14,F16,F18,F27)</f>
        <v>258936</v>
      </c>
      <c r="G9" s="414">
        <f>SUM(G10,G14,G16,G18,G27)</f>
        <v>9612</v>
      </c>
      <c r="H9" s="412"/>
    </row>
    <row r="10" spans="1:8" s="415" customFormat="1" ht="31.5" customHeight="1">
      <c r="A10" s="416" t="s">
        <v>17</v>
      </c>
      <c r="B10" s="417" t="s">
        <v>64</v>
      </c>
      <c r="C10" s="412"/>
      <c r="D10" s="413"/>
      <c r="E10" s="418">
        <f>SUM(E11:E13)</f>
        <v>164259</v>
      </c>
      <c r="F10" s="418">
        <f>SUM(F11:F13)</f>
        <v>141569</v>
      </c>
      <c r="G10" s="418">
        <f>SUM(G11:G13)</f>
        <v>7256</v>
      </c>
      <c r="H10" s="412"/>
    </row>
    <row r="11" spans="1:8" s="415" customFormat="1" ht="60.75" customHeight="1">
      <c r="A11" s="420">
        <v>1</v>
      </c>
      <c r="B11" s="423" t="s">
        <v>1315</v>
      </c>
      <c r="C11" s="429" t="s">
        <v>1239</v>
      </c>
      <c r="D11" s="430" t="s">
        <v>1316</v>
      </c>
      <c r="E11" s="433">
        <v>50757</v>
      </c>
      <c r="F11" s="433">
        <v>44853</v>
      </c>
      <c r="G11" s="425">
        <v>5904</v>
      </c>
      <c r="H11" s="421"/>
    </row>
    <row r="12" spans="1:8" s="415" customFormat="1" ht="39.75" customHeight="1">
      <c r="A12" s="420">
        <v>2</v>
      </c>
      <c r="B12" s="423" t="s">
        <v>1317</v>
      </c>
      <c r="C12" s="460" t="s">
        <v>1249</v>
      </c>
      <c r="D12" s="460" t="s">
        <v>1318</v>
      </c>
      <c r="E12" s="433">
        <v>104251</v>
      </c>
      <c r="F12" s="433">
        <v>96716</v>
      </c>
      <c r="G12" s="433">
        <v>1000</v>
      </c>
      <c r="H12" s="421"/>
    </row>
    <row r="13" spans="1:8" s="422" customFormat="1" ht="63" customHeight="1">
      <c r="A13" s="420">
        <v>3</v>
      </c>
      <c r="B13" s="406" t="s">
        <v>1281</v>
      </c>
      <c r="C13" s="394" t="s">
        <v>146</v>
      </c>
      <c r="D13" s="427" t="s">
        <v>1282</v>
      </c>
      <c r="E13" s="408">
        <v>9251</v>
      </c>
      <c r="F13" s="425"/>
      <c r="G13" s="425">
        <v>352</v>
      </c>
      <c r="H13" s="419"/>
    </row>
    <row r="14" spans="1:8" s="415" customFormat="1" ht="31.5" customHeight="1">
      <c r="A14" s="416" t="s">
        <v>25</v>
      </c>
      <c r="B14" s="417" t="s">
        <v>71</v>
      </c>
      <c r="C14" s="412"/>
      <c r="D14" s="413"/>
      <c r="E14" s="418">
        <f>+E15</f>
        <v>9063</v>
      </c>
      <c r="F14" s="418">
        <f>+F15</f>
        <v>8476</v>
      </c>
      <c r="G14" s="418">
        <f>+G15</f>
        <v>72</v>
      </c>
      <c r="H14" s="412"/>
    </row>
    <row r="15" spans="1:8" s="415" customFormat="1" ht="63" customHeight="1">
      <c r="A15" s="420">
        <v>1</v>
      </c>
      <c r="B15" s="432" t="s">
        <v>1321</v>
      </c>
      <c r="C15" s="420" t="s">
        <v>1239</v>
      </c>
      <c r="D15" s="430" t="s">
        <v>1322</v>
      </c>
      <c r="E15" s="424">
        <v>9063</v>
      </c>
      <c r="F15" s="425">
        <v>8476</v>
      </c>
      <c r="G15" s="425">
        <v>72</v>
      </c>
      <c r="H15" s="421"/>
    </row>
    <row r="16" spans="1:8" s="415" customFormat="1" ht="31.5" customHeight="1">
      <c r="A16" s="416" t="s">
        <v>30</v>
      </c>
      <c r="B16" s="417" t="s">
        <v>96</v>
      </c>
      <c r="C16" s="412"/>
      <c r="D16" s="413"/>
      <c r="E16" s="418">
        <f>+E17</f>
        <v>4486</v>
      </c>
      <c r="F16" s="418">
        <f>+F17</f>
        <v>4000</v>
      </c>
      <c r="G16" s="418">
        <f>+G17</f>
        <v>486</v>
      </c>
      <c r="H16" s="412"/>
    </row>
    <row r="17" spans="1:18" s="415" customFormat="1" ht="43.5" customHeight="1">
      <c r="A17" s="420">
        <v>1</v>
      </c>
      <c r="B17" s="432" t="s">
        <v>1319</v>
      </c>
      <c r="C17" s="420" t="s">
        <v>1239</v>
      </c>
      <c r="D17" s="430" t="s">
        <v>1320</v>
      </c>
      <c r="E17" s="424">
        <v>4486</v>
      </c>
      <c r="F17" s="425">
        <v>4000</v>
      </c>
      <c r="G17" s="425">
        <v>486</v>
      </c>
      <c r="H17" s="421"/>
    </row>
    <row r="18" spans="1:18" s="415" customFormat="1" ht="39.9" customHeight="1">
      <c r="A18" s="416" t="s">
        <v>94</v>
      </c>
      <c r="B18" s="417" t="s">
        <v>98</v>
      </c>
      <c r="C18" s="412"/>
      <c r="D18" s="413"/>
      <c r="E18" s="418">
        <f>SUM(E19:E26)</f>
        <v>98131</v>
      </c>
      <c r="F18" s="418">
        <f>SUM(F19:F26)</f>
        <v>96891</v>
      </c>
      <c r="G18" s="418">
        <f>SUM(G19:G26)</f>
        <v>1498</v>
      </c>
      <c r="H18" s="412"/>
    </row>
    <row r="19" spans="1:18" s="415" customFormat="1" ht="44.25" customHeight="1">
      <c r="A19" s="420">
        <v>1</v>
      </c>
      <c r="B19" s="432" t="s">
        <v>1373</v>
      </c>
      <c r="C19" s="430" t="s">
        <v>1236</v>
      </c>
      <c r="D19" s="430" t="s">
        <v>1374</v>
      </c>
      <c r="E19" s="431">
        <v>4023</v>
      </c>
      <c r="F19" s="432">
        <v>4064</v>
      </c>
      <c r="G19" s="425">
        <v>28</v>
      </c>
      <c r="H19" s="421"/>
    </row>
    <row r="20" spans="1:18" s="415" customFormat="1" ht="44.25" customHeight="1">
      <c r="A20" s="420">
        <v>2</v>
      </c>
      <c r="B20" s="432" t="s">
        <v>1375</v>
      </c>
      <c r="C20" s="430" t="s">
        <v>1258</v>
      </c>
      <c r="D20" s="430" t="s">
        <v>1376</v>
      </c>
      <c r="E20" s="431">
        <v>4765</v>
      </c>
      <c r="F20" s="432">
        <v>4744</v>
      </c>
      <c r="G20" s="425">
        <v>43</v>
      </c>
      <c r="H20" s="421"/>
    </row>
    <row r="21" spans="1:18" s="415" customFormat="1" ht="44.25" customHeight="1">
      <c r="A21" s="420">
        <v>3</v>
      </c>
      <c r="B21" s="432" t="s">
        <v>1377</v>
      </c>
      <c r="C21" s="430" t="s">
        <v>1242</v>
      </c>
      <c r="D21" s="430" t="s">
        <v>1378</v>
      </c>
      <c r="E21" s="431">
        <v>4316</v>
      </c>
      <c r="F21" s="432">
        <v>4052</v>
      </c>
      <c r="G21" s="425">
        <v>270</v>
      </c>
      <c r="H21" s="421"/>
    </row>
    <row r="22" spans="1:18" s="415" customFormat="1" ht="43.5" customHeight="1">
      <c r="A22" s="420">
        <v>4</v>
      </c>
      <c r="B22" s="426" t="s">
        <v>1255</v>
      </c>
      <c r="C22" s="420" t="s">
        <v>72</v>
      </c>
      <c r="D22" s="427" t="s">
        <v>1256</v>
      </c>
      <c r="E22" s="425">
        <v>80225</v>
      </c>
      <c r="F22" s="425">
        <v>79359</v>
      </c>
      <c r="G22" s="425">
        <v>1027</v>
      </c>
      <c r="H22" s="421"/>
    </row>
    <row r="23" spans="1:18" s="415" customFormat="1" ht="43.5" customHeight="1">
      <c r="A23" s="420">
        <v>5</v>
      </c>
      <c r="B23" s="432" t="s">
        <v>1379</v>
      </c>
      <c r="C23" s="430" t="s">
        <v>1249</v>
      </c>
      <c r="D23" s="430" t="s">
        <v>1380</v>
      </c>
      <c r="E23" s="431">
        <v>1166</v>
      </c>
      <c r="F23" s="432">
        <v>1159</v>
      </c>
      <c r="G23" s="425">
        <f>E23-F23</f>
        <v>7</v>
      </c>
      <c r="H23" s="421"/>
    </row>
    <row r="24" spans="1:18" s="415" customFormat="1" ht="43.5" customHeight="1">
      <c r="A24" s="420">
        <v>6</v>
      </c>
      <c r="B24" s="432" t="s">
        <v>1381</v>
      </c>
      <c r="C24" s="430" t="s">
        <v>1242</v>
      </c>
      <c r="D24" s="430" t="s">
        <v>1382</v>
      </c>
      <c r="E24" s="431">
        <v>1159</v>
      </c>
      <c r="F24" s="432">
        <v>1152</v>
      </c>
      <c r="G24" s="425">
        <f>E24-F24</f>
        <v>7</v>
      </c>
      <c r="H24" s="421"/>
    </row>
    <row r="25" spans="1:18" s="415" customFormat="1" ht="43.5" customHeight="1">
      <c r="A25" s="420">
        <v>7</v>
      </c>
      <c r="B25" s="432" t="s">
        <v>1383</v>
      </c>
      <c r="C25" s="430" t="s">
        <v>1233</v>
      </c>
      <c r="D25" s="430" t="s">
        <v>1384</v>
      </c>
      <c r="E25" s="431">
        <v>1273</v>
      </c>
      <c r="F25" s="432">
        <v>1164</v>
      </c>
      <c r="G25" s="425">
        <f>E25-F25</f>
        <v>109</v>
      </c>
      <c r="H25" s="421"/>
    </row>
    <row r="26" spans="1:18" s="415" customFormat="1" ht="43.5" customHeight="1">
      <c r="A26" s="420">
        <v>8</v>
      </c>
      <c r="B26" s="432" t="s">
        <v>1385</v>
      </c>
      <c r="C26" s="430" t="s">
        <v>1233</v>
      </c>
      <c r="D26" s="430" t="s">
        <v>1386</v>
      </c>
      <c r="E26" s="431">
        <v>1204</v>
      </c>
      <c r="F26" s="432">
        <v>1197</v>
      </c>
      <c r="G26" s="425">
        <f>E26-F26</f>
        <v>7</v>
      </c>
      <c r="H26" s="421"/>
      <c r="P26" s="415">
        <v>15141</v>
      </c>
      <c r="Q26" s="415">
        <v>11951</v>
      </c>
      <c r="R26" s="415">
        <f>P26-Q26</f>
        <v>3190</v>
      </c>
    </row>
    <row r="27" spans="1:18" s="415" customFormat="1" ht="39.9" customHeight="1">
      <c r="A27" s="416" t="s">
        <v>97</v>
      </c>
      <c r="B27" s="417" t="s">
        <v>281</v>
      </c>
      <c r="C27" s="412"/>
      <c r="D27" s="413"/>
      <c r="E27" s="418">
        <f>SUM(E28)</f>
        <v>10146</v>
      </c>
      <c r="F27" s="418">
        <f>SUM(F28)</f>
        <v>8000</v>
      </c>
      <c r="G27" s="418">
        <f>SUM(G28)</f>
        <v>300</v>
      </c>
      <c r="H27" s="412"/>
    </row>
    <row r="28" spans="1:18" s="415" customFormat="1" ht="50.25" customHeight="1">
      <c r="A28" s="420">
        <v>1</v>
      </c>
      <c r="B28" s="426" t="s">
        <v>1257</v>
      </c>
      <c r="C28" s="420" t="s">
        <v>1258</v>
      </c>
      <c r="D28" s="427" t="s">
        <v>1259</v>
      </c>
      <c r="E28" s="425">
        <v>10146</v>
      </c>
      <c r="F28" s="425">
        <v>8000</v>
      </c>
      <c r="G28" s="425">
        <v>300</v>
      </c>
      <c r="H28" s="421"/>
    </row>
    <row r="29" spans="1:18" s="398" customFormat="1" ht="39.9" customHeight="1">
      <c r="A29" s="458" t="s">
        <v>31</v>
      </c>
      <c r="B29" s="404" t="s">
        <v>1225</v>
      </c>
      <c r="C29" s="405"/>
      <c r="D29" s="401"/>
      <c r="E29" s="402">
        <f>SUM(E30,E35,E37)</f>
        <v>32814</v>
      </c>
      <c r="F29" s="402">
        <f>SUM(F30,F35,F37)</f>
        <v>6000</v>
      </c>
      <c r="G29" s="402">
        <f>SUM(G30,G35,G37)</f>
        <v>7738</v>
      </c>
      <c r="H29" s="400"/>
    </row>
    <row r="30" spans="1:18" s="415" customFormat="1" ht="39.9" customHeight="1">
      <c r="A30" s="416" t="s">
        <v>17</v>
      </c>
      <c r="B30" s="417" t="s">
        <v>64</v>
      </c>
      <c r="C30" s="412"/>
      <c r="D30" s="413"/>
      <c r="E30" s="418">
        <f>SUM(E31:E34)</f>
        <v>23765</v>
      </c>
      <c r="F30" s="418">
        <f>SUM(F31:F34)</f>
        <v>0</v>
      </c>
      <c r="G30" s="418">
        <f>SUM(G31:G34)</f>
        <v>5800</v>
      </c>
      <c r="H30" s="412"/>
    </row>
    <row r="31" spans="1:18" ht="80.25" customHeight="1">
      <c r="A31" s="399">
        <v>1</v>
      </c>
      <c r="B31" s="406" t="s">
        <v>1226</v>
      </c>
      <c r="C31" s="370" t="s">
        <v>1227</v>
      </c>
      <c r="D31" s="407" t="s">
        <v>1228</v>
      </c>
      <c r="E31" s="408">
        <v>2572</v>
      </c>
      <c r="F31" s="409"/>
      <c r="G31" s="409">
        <v>1400</v>
      </c>
      <c r="H31" s="400"/>
    </row>
    <row r="32" spans="1:18" s="415" customFormat="1" ht="43.5" customHeight="1">
      <c r="A32" s="420">
        <v>2</v>
      </c>
      <c r="B32" s="426" t="s">
        <v>1273</v>
      </c>
      <c r="C32" s="420" t="s">
        <v>1310</v>
      </c>
      <c r="D32" s="427" t="s">
        <v>1274</v>
      </c>
      <c r="E32" s="425">
        <v>954</v>
      </c>
      <c r="F32" s="425"/>
      <c r="G32" s="425">
        <v>900</v>
      </c>
      <c r="H32" s="421"/>
    </row>
    <row r="33" spans="1:18" s="422" customFormat="1" ht="60" customHeight="1">
      <c r="A33" s="420">
        <v>3</v>
      </c>
      <c r="B33" s="406" t="s">
        <v>1278</v>
      </c>
      <c r="C33" s="370" t="s">
        <v>1279</v>
      </c>
      <c r="D33" s="427" t="s">
        <v>1280</v>
      </c>
      <c r="E33" s="408">
        <v>5420</v>
      </c>
      <c r="F33" s="409"/>
      <c r="G33" s="409">
        <v>500</v>
      </c>
      <c r="H33" s="400"/>
    </row>
    <row r="34" spans="1:18" s="422" customFormat="1" ht="75.75" customHeight="1">
      <c r="A34" s="420">
        <v>4</v>
      </c>
      <c r="B34" s="406" t="s">
        <v>1306</v>
      </c>
      <c r="C34" s="370" t="s">
        <v>1307</v>
      </c>
      <c r="D34" s="427" t="s">
        <v>1308</v>
      </c>
      <c r="E34" s="408">
        <v>14819</v>
      </c>
      <c r="F34" s="409"/>
      <c r="G34" s="409">
        <v>3000</v>
      </c>
      <c r="H34" s="400"/>
    </row>
    <row r="35" spans="1:18" s="415" customFormat="1" ht="39.9" customHeight="1">
      <c r="A35" s="416" t="s">
        <v>25</v>
      </c>
      <c r="B35" s="417" t="s">
        <v>71</v>
      </c>
      <c r="C35" s="412"/>
      <c r="D35" s="413"/>
      <c r="E35" s="418">
        <f>SUM(E36)</f>
        <v>8598</v>
      </c>
      <c r="F35" s="418">
        <f>SUM(F36)</f>
        <v>6000</v>
      </c>
      <c r="G35" s="418">
        <f>SUM(G36)</f>
        <v>1400</v>
      </c>
      <c r="H35" s="412"/>
    </row>
    <row r="36" spans="1:18" s="422" customFormat="1" ht="96" customHeight="1">
      <c r="A36" s="420">
        <v>1</v>
      </c>
      <c r="B36" s="406" t="s">
        <v>1312</v>
      </c>
      <c r="C36" s="370" t="s">
        <v>1313</v>
      </c>
      <c r="D36" s="427" t="s">
        <v>1314</v>
      </c>
      <c r="E36" s="408">
        <v>8598</v>
      </c>
      <c r="F36" s="409">
        <v>6000</v>
      </c>
      <c r="G36" s="409">
        <v>1400</v>
      </c>
      <c r="H36" s="400"/>
    </row>
    <row r="37" spans="1:18" s="415" customFormat="1" ht="39.9" customHeight="1">
      <c r="A37" s="416" t="s">
        <v>30</v>
      </c>
      <c r="B37" s="417" t="s">
        <v>98</v>
      </c>
      <c r="C37" s="412"/>
      <c r="D37" s="413"/>
      <c r="E37" s="418">
        <f>SUM(E38:E42)</f>
        <v>451</v>
      </c>
      <c r="F37" s="418">
        <f>SUM(F38:F42)</f>
        <v>0</v>
      </c>
      <c r="G37" s="418">
        <f>SUM(G38:G42)</f>
        <v>538</v>
      </c>
      <c r="H37" s="412"/>
    </row>
    <row r="38" spans="1:18" s="422" customFormat="1" ht="59.25" customHeight="1">
      <c r="A38" s="420">
        <v>1</v>
      </c>
      <c r="B38" s="406" t="s">
        <v>1309</v>
      </c>
      <c r="C38" s="370"/>
      <c r="D38" s="427"/>
      <c r="E38" s="408"/>
      <c r="F38" s="409"/>
      <c r="G38" s="409">
        <v>350</v>
      </c>
      <c r="H38" s="400" t="s">
        <v>1387</v>
      </c>
    </row>
    <row r="39" spans="1:18" s="415" customFormat="1" ht="43.5" customHeight="1">
      <c r="A39" s="420">
        <v>2</v>
      </c>
      <c r="B39" s="426" t="s">
        <v>1298</v>
      </c>
      <c r="C39" s="420" t="s">
        <v>1271</v>
      </c>
      <c r="D39" s="427" t="s">
        <v>1299</v>
      </c>
      <c r="E39" s="425">
        <v>123</v>
      </c>
      <c r="F39" s="425"/>
      <c r="G39" s="425">
        <v>50</v>
      </c>
      <c r="H39" s="421"/>
    </row>
    <row r="40" spans="1:18" s="415" customFormat="1" ht="43.5" customHeight="1">
      <c r="A40" s="420">
        <v>3</v>
      </c>
      <c r="B40" s="426" t="s">
        <v>1300</v>
      </c>
      <c r="C40" s="420" t="s">
        <v>1249</v>
      </c>
      <c r="D40" s="427" t="s">
        <v>1301</v>
      </c>
      <c r="E40" s="425">
        <v>118</v>
      </c>
      <c r="F40" s="425"/>
      <c r="G40" s="425">
        <v>50</v>
      </c>
      <c r="H40" s="421"/>
    </row>
    <row r="41" spans="1:18" s="415" customFormat="1" ht="43.5" customHeight="1">
      <c r="A41" s="420">
        <v>4</v>
      </c>
      <c r="B41" s="426" t="s">
        <v>1302</v>
      </c>
      <c r="C41" s="420" t="s">
        <v>1242</v>
      </c>
      <c r="D41" s="427" t="s">
        <v>1303</v>
      </c>
      <c r="E41" s="425">
        <v>118</v>
      </c>
      <c r="F41" s="425"/>
      <c r="G41" s="425">
        <v>50</v>
      </c>
      <c r="H41" s="421"/>
    </row>
    <row r="42" spans="1:18" s="415" customFormat="1" ht="43.5" customHeight="1">
      <c r="A42" s="420">
        <v>5</v>
      </c>
      <c r="B42" s="426" t="s">
        <v>1304</v>
      </c>
      <c r="C42" s="420" t="s">
        <v>1242</v>
      </c>
      <c r="D42" s="427" t="s">
        <v>1305</v>
      </c>
      <c r="E42" s="425">
        <v>92</v>
      </c>
      <c r="F42" s="425"/>
      <c r="G42" s="425">
        <v>38</v>
      </c>
      <c r="H42" s="421"/>
      <c r="P42" s="415">
        <v>15141</v>
      </c>
      <c r="Q42" s="415">
        <v>11951</v>
      </c>
      <c r="R42" s="415">
        <f>P42-Q42</f>
        <v>3190</v>
      </c>
    </row>
    <row r="43" spans="1:18" s="398" customFormat="1" ht="39.9" customHeight="1">
      <c r="A43" s="458" t="s">
        <v>31</v>
      </c>
      <c r="B43" s="404" t="s">
        <v>1230</v>
      </c>
      <c r="C43" s="405"/>
      <c r="D43" s="401"/>
      <c r="E43" s="402">
        <f>SUM(E44,E93)</f>
        <v>1045779.44</v>
      </c>
      <c r="F43" s="402">
        <f>SUM(F44,F93)</f>
        <v>1022236</v>
      </c>
      <c r="G43" s="402">
        <f>SUM(G44,G93)</f>
        <v>15141</v>
      </c>
      <c r="H43" s="400"/>
    </row>
    <row r="44" spans="1:18" s="415" customFormat="1" ht="46.5" customHeight="1">
      <c r="A44" s="459" t="s">
        <v>15</v>
      </c>
      <c r="B44" s="411" t="s">
        <v>1231</v>
      </c>
      <c r="C44" s="412"/>
      <c r="D44" s="413"/>
      <c r="E44" s="414">
        <f>SUM(E45,E47,E64,E75,E81,E83,E87,E89)</f>
        <v>1044516</v>
      </c>
      <c r="F44" s="414">
        <f>SUM(F45,F47,F64,F75,F81,F83,F87,F89)</f>
        <v>1022236</v>
      </c>
      <c r="G44" s="414">
        <f>SUM(G45,G47,G64,G75,G81,G83,G87,G89)</f>
        <v>14293</v>
      </c>
      <c r="H44" s="412"/>
    </row>
    <row r="45" spans="1:18" s="415" customFormat="1" ht="39.9" customHeight="1">
      <c r="A45" s="416" t="s">
        <v>17</v>
      </c>
      <c r="B45" s="417" t="s">
        <v>71</v>
      </c>
      <c r="C45" s="412"/>
      <c r="D45" s="413"/>
      <c r="E45" s="418">
        <f>SUM(E46)</f>
        <v>30281</v>
      </c>
      <c r="F45" s="418">
        <f>SUM(F46)</f>
        <v>29971</v>
      </c>
      <c r="G45" s="418">
        <f>SUM(G46)</f>
        <v>354</v>
      </c>
      <c r="H45" s="412"/>
    </row>
    <row r="46" spans="1:18" s="415" customFormat="1" ht="50.25" customHeight="1">
      <c r="A46" s="420">
        <v>1</v>
      </c>
      <c r="B46" s="426" t="s">
        <v>1270</v>
      </c>
      <c r="C46" s="420" t="s">
        <v>95</v>
      </c>
      <c r="D46" s="427" t="s">
        <v>1272</v>
      </c>
      <c r="E46" s="425">
        <v>30281</v>
      </c>
      <c r="F46" s="425">
        <v>29971</v>
      </c>
      <c r="G46" s="425">
        <v>354</v>
      </c>
      <c r="H46" s="421"/>
    </row>
    <row r="47" spans="1:18" s="415" customFormat="1" ht="39.9" customHeight="1">
      <c r="A47" s="416" t="s">
        <v>25</v>
      </c>
      <c r="B47" s="417" t="s">
        <v>436</v>
      </c>
      <c r="C47" s="412"/>
      <c r="D47" s="413"/>
      <c r="E47" s="418">
        <f>SUM(E48:E63)</f>
        <v>182828</v>
      </c>
      <c r="F47" s="418">
        <f>SUM(F48:F63)</f>
        <v>178464</v>
      </c>
      <c r="G47" s="418">
        <f>SUM(G48:G63)</f>
        <v>3242</v>
      </c>
      <c r="H47" s="412"/>
    </row>
    <row r="48" spans="1:18" s="415" customFormat="1" ht="78" customHeight="1">
      <c r="A48" s="420">
        <v>1</v>
      </c>
      <c r="B48" s="461" t="s">
        <v>1330</v>
      </c>
      <c r="C48" s="420" t="s">
        <v>1331</v>
      </c>
      <c r="D48" s="420" t="s">
        <v>1332</v>
      </c>
      <c r="E48" s="462">
        <v>19155</v>
      </c>
      <c r="F48" s="462">
        <v>17943</v>
      </c>
      <c r="G48" s="425">
        <v>212</v>
      </c>
      <c r="H48" s="421"/>
    </row>
    <row r="49" spans="1:8" s="415" customFormat="1" ht="58.5" customHeight="1">
      <c r="A49" s="420">
        <v>2</v>
      </c>
      <c r="B49" s="432" t="s">
        <v>1333</v>
      </c>
      <c r="C49" s="420" t="s">
        <v>1288</v>
      </c>
      <c r="D49" s="420" t="s">
        <v>1334</v>
      </c>
      <c r="E49" s="424">
        <v>16339</v>
      </c>
      <c r="F49" s="425">
        <f>E49-G49</f>
        <v>16317</v>
      </c>
      <c r="G49" s="425">
        <v>22</v>
      </c>
      <c r="H49" s="421"/>
    </row>
    <row r="50" spans="1:8" s="415" customFormat="1" ht="61.5" customHeight="1">
      <c r="A50" s="420">
        <v>3</v>
      </c>
      <c r="B50" s="432" t="s">
        <v>1335</v>
      </c>
      <c r="C50" s="420" t="s">
        <v>1249</v>
      </c>
      <c r="D50" s="420" t="s">
        <v>1336</v>
      </c>
      <c r="E50" s="424">
        <v>17554</v>
      </c>
      <c r="F50" s="425">
        <v>17000</v>
      </c>
      <c r="G50" s="425">
        <v>554</v>
      </c>
      <c r="H50" s="421"/>
    </row>
    <row r="51" spans="1:8" s="415" customFormat="1" ht="61.5" customHeight="1">
      <c r="A51" s="420">
        <v>4</v>
      </c>
      <c r="B51" s="432" t="s">
        <v>1337</v>
      </c>
      <c r="C51" s="420" t="s">
        <v>1258</v>
      </c>
      <c r="D51" s="420" t="s">
        <v>1338</v>
      </c>
      <c r="E51" s="424">
        <v>9272</v>
      </c>
      <c r="F51" s="425">
        <v>9250</v>
      </c>
      <c r="G51" s="425">
        <v>22</v>
      </c>
      <c r="H51" s="421"/>
    </row>
    <row r="52" spans="1:8" s="415" customFormat="1" ht="61.5" customHeight="1">
      <c r="A52" s="420">
        <v>5</v>
      </c>
      <c r="B52" s="432" t="s">
        <v>1339</v>
      </c>
      <c r="C52" s="420" t="s">
        <v>1258</v>
      </c>
      <c r="D52" s="420" t="s">
        <v>1340</v>
      </c>
      <c r="E52" s="424">
        <v>4945</v>
      </c>
      <c r="F52" s="425">
        <v>4935</v>
      </c>
      <c r="G52" s="425">
        <v>10</v>
      </c>
      <c r="H52" s="421"/>
    </row>
    <row r="53" spans="1:8" s="415" customFormat="1" ht="52.5" customHeight="1">
      <c r="A53" s="420">
        <v>6</v>
      </c>
      <c r="B53" s="432" t="s">
        <v>1341</v>
      </c>
      <c r="C53" s="430" t="s">
        <v>1242</v>
      </c>
      <c r="D53" s="430" t="s">
        <v>1342</v>
      </c>
      <c r="E53" s="431">
        <v>13387</v>
      </c>
      <c r="F53" s="432">
        <v>13335</v>
      </c>
      <c r="G53" s="425">
        <v>52</v>
      </c>
      <c r="H53" s="421"/>
    </row>
    <row r="54" spans="1:8" s="415" customFormat="1" ht="52.5" customHeight="1">
      <c r="A54" s="420">
        <v>7</v>
      </c>
      <c r="B54" s="432" t="s">
        <v>1343</v>
      </c>
      <c r="C54" s="430" t="s">
        <v>1242</v>
      </c>
      <c r="D54" s="430" t="s">
        <v>1344</v>
      </c>
      <c r="E54" s="431">
        <v>21009</v>
      </c>
      <c r="F54" s="432">
        <v>20364</v>
      </c>
      <c r="G54" s="425">
        <v>645</v>
      </c>
      <c r="H54" s="421"/>
    </row>
    <row r="55" spans="1:8" s="422" customFormat="1" ht="62.25" customHeight="1">
      <c r="A55" s="420">
        <v>8</v>
      </c>
      <c r="B55" s="432" t="s">
        <v>1232</v>
      </c>
      <c r="C55" s="419" t="s">
        <v>314</v>
      </c>
      <c r="D55" s="420" t="s">
        <v>1234</v>
      </c>
      <c r="E55" s="462">
        <v>14134</v>
      </c>
      <c r="F55" s="462">
        <v>13847</v>
      </c>
      <c r="G55" s="462">
        <v>315</v>
      </c>
      <c r="H55" s="421"/>
    </row>
    <row r="56" spans="1:8" s="422" customFormat="1" ht="62.25" customHeight="1">
      <c r="A56" s="420">
        <v>9</v>
      </c>
      <c r="B56" s="423" t="s">
        <v>1235</v>
      </c>
      <c r="C56" s="420" t="s">
        <v>315</v>
      </c>
      <c r="D56" s="420" t="s">
        <v>1237</v>
      </c>
      <c r="E56" s="424">
        <v>22275</v>
      </c>
      <c r="F56" s="425">
        <v>22000</v>
      </c>
      <c r="G56" s="425">
        <v>305</v>
      </c>
      <c r="H56" s="421"/>
    </row>
    <row r="57" spans="1:8" s="422" customFormat="1" ht="62.25" customHeight="1">
      <c r="A57" s="420">
        <v>10</v>
      </c>
      <c r="B57" s="423" t="s">
        <v>1238</v>
      </c>
      <c r="C57" s="420" t="s">
        <v>18</v>
      </c>
      <c r="D57" s="420" t="s">
        <v>1240</v>
      </c>
      <c r="E57" s="424">
        <v>15992</v>
      </c>
      <c r="F57" s="425">
        <v>15973</v>
      </c>
      <c r="G57" s="425">
        <v>42</v>
      </c>
      <c r="H57" s="421"/>
    </row>
    <row r="58" spans="1:8" s="422" customFormat="1" ht="44.25" customHeight="1">
      <c r="A58" s="420">
        <v>11</v>
      </c>
      <c r="B58" s="423" t="s">
        <v>1241</v>
      </c>
      <c r="C58" s="420" t="s">
        <v>287</v>
      </c>
      <c r="D58" s="420" t="s">
        <v>1243</v>
      </c>
      <c r="E58" s="424">
        <v>14589</v>
      </c>
      <c r="F58" s="425">
        <v>13900</v>
      </c>
      <c r="G58" s="425">
        <v>689</v>
      </c>
      <c r="H58" s="421"/>
    </row>
    <row r="59" spans="1:8" s="422" customFormat="1" ht="62.25" customHeight="1">
      <c r="A59" s="420">
        <v>12</v>
      </c>
      <c r="B59" s="423" t="s">
        <v>1260</v>
      </c>
      <c r="C59" s="420" t="s">
        <v>1258</v>
      </c>
      <c r="D59" s="420" t="s">
        <v>1256</v>
      </c>
      <c r="E59" s="424">
        <v>13654</v>
      </c>
      <c r="F59" s="425">
        <v>13600</v>
      </c>
      <c r="G59" s="425">
        <v>54</v>
      </c>
      <c r="H59" s="421"/>
    </row>
    <row r="60" spans="1:8" s="422" customFormat="1" ht="47.25" customHeight="1">
      <c r="A60" s="420">
        <v>13</v>
      </c>
      <c r="B60" s="406" t="s">
        <v>1283</v>
      </c>
      <c r="C60" s="394" t="s">
        <v>1233</v>
      </c>
      <c r="D60" s="427" t="s">
        <v>1284</v>
      </c>
      <c r="E60" s="408">
        <v>213</v>
      </c>
      <c r="F60" s="425"/>
      <c r="G60" s="425">
        <v>100</v>
      </c>
      <c r="H60" s="421"/>
    </row>
    <row r="61" spans="1:8" s="422" customFormat="1" ht="57.75" customHeight="1">
      <c r="A61" s="420">
        <v>14</v>
      </c>
      <c r="B61" s="406" t="s">
        <v>1285</v>
      </c>
      <c r="C61" s="394" t="s">
        <v>1271</v>
      </c>
      <c r="D61" s="427" t="s">
        <v>1286</v>
      </c>
      <c r="E61" s="408">
        <v>88</v>
      </c>
      <c r="F61" s="425"/>
      <c r="G61" s="425">
        <v>80</v>
      </c>
      <c r="H61" s="421"/>
    </row>
    <row r="62" spans="1:8" s="422" customFormat="1" ht="57" customHeight="1">
      <c r="A62" s="420">
        <v>15</v>
      </c>
      <c r="B62" s="406" t="s">
        <v>1287</v>
      </c>
      <c r="C62" s="394" t="s">
        <v>1288</v>
      </c>
      <c r="D62" s="427" t="s">
        <v>1289</v>
      </c>
      <c r="E62" s="408">
        <v>99</v>
      </c>
      <c r="F62" s="425"/>
      <c r="G62" s="425">
        <v>80</v>
      </c>
      <c r="H62" s="421"/>
    </row>
    <row r="63" spans="1:8" s="422" customFormat="1" ht="53.25" customHeight="1">
      <c r="A63" s="420">
        <v>16</v>
      </c>
      <c r="B63" s="406" t="s">
        <v>1290</v>
      </c>
      <c r="C63" s="394" t="s">
        <v>1242</v>
      </c>
      <c r="D63" s="427" t="s">
        <v>1291</v>
      </c>
      <c r="E63" s="408">
        <v>123</v>
      </c>
      <c r="F63" s="425"/>
      <c r="G63" s="425">
        <v>60</v>
      </c>
      <c r="H63" s="421"/>
    </row>
    <row r="64" spans="1:8" s="415" customFormat="1" ht="39.9" customHeight="1">
      <c r="A64" s="416" t="s">
        <v>30</v>
      </c>
      <c r="B64" s="417" t="s">
        <v>355</v>
      </c>
      <c r="C64" s="412"/>
      <c r="D64" s="413"/>
      <c r="E64" s="418">
        <f>SUM(E65:E74)</f>
        <v>683662</v>
      </c>
      <c r="F64" s="418">
        <f>SUM(F65:F74)</f>
        <v>676863</v>
      </c>
      <c r="G64" s="418">
        <f>SUM(G65:G74)</f>
        <v>7183</v>
      </c>
      <c r="H64" s="412"/>
    </row>
    <row r="65" spans="1:8" s="415" customFormat="1" ht="65.25" customHeight="1">
      <c r="A65" s="420">
        <v>1</v>
      </c>
      <c r="B65" s="432" t="s">
        <v>1345</v>
      </c>
      <c r="C65" s="420" t="s">
        <v>1346</v>
      </c>
      <c r="D65" s="420" t="s">
        <v>1347</v>
      </c>
      <c r="E65" s="425">
        <v>5236</v>
      </c>
      <c r="F65" s="425">
        <v>5146</v>
      </c>
      <c r="G65" s="425">
        <v>100</v>
      </c>
      <c r="H65" s="421"/>
    </row>
    <row r="66" spans="1:8" s="415" customFormat="1" ht="77.25" customHeight="1">
      <c r="A66" s="420">
        <v>2</v>
      </c>
      <c r="B66" s="432" t="s">
        <v>1348</v>
      </c>
      <c r="C66" s="420" t="s">
        <v>1242</v>
      </c>
      <c r="D66" s="430" t="s">
        <v>1349</v>
      </c>
      <c r="E66" s="425">
        <v>585</v>
      </c>
      <c r="F66" s="425">
        <v>584</v>
      </c>
      <c r="G66" s="425">
        <v>1</v>
      </c>
      <c r="H66" s="421"/>
    </row>
    <row r="67" spans="1:8" s="415" customFormat="1" ht="46.5" customHeight="1">
      <c r="A67" s="420">
        <v>3</v>
      </c>
      <c r="B67" s="432" t="s">
        <v>1350</v>
      </c>
      <c r="C67" s="430" t="s">
        <v>1242</v>
      </c>
      <c r="D67" s="430" t="s">
        <v>1351</v>
      </c>
      <c r="E67" s="431">
        <v>4128</v>
      </c>
      <c r="F67" s="432">
        <v>4093</v>
      </c>
      <c r="G67" s="425">
        <v>42</v>
      </c>
      <c r="H67" s="421"/>
    </row>
    <row r="68" spans="1:8" s="415" customFormat="1" ht="46.5" customHeight="1">
      <c r="A68" s="420">
        <v>4</v>
      </c>
      <c r="B68" s="432" t="s">
        <v>1352</v>
      </c>
      <c r="C68" s="430" t="s">
        <v>1242</v>
      </c>
      <c r="D68" s="430" t="s">
        <v>1353</v>
      </c>
      <c r="E68" s="431">
        <v>471</v>
      </c>
      <c r="F68" s="432">
        <v>450</v>
      </c>
      <c r="G68" s="425">
        <v>21</v>
      </c>
      <c r="H68" s="421"/>
    </row>
    <row r="69" spans="1:8" s="415" customFormat="1" ht="46.5" customHeight="1">
      <c r="A69" s="420">
        <v>5</v>
      </c>
      <c r="B69" s="432" t="s">
        <v>1354</v>
      </c>
      <c r="C69" s="430" t="s">
        <v>1242</v>
      </c>
      <c r="D69" s="430" t="s">
        <v>1355</v>
      </c>
      <c r="E69" s="431">
        <v>907</v>
      </c>
      <c r="F69" s="432">
        <v>900</v>
      </c>
      <c r="G69" s="425">
        <v>7</v>
      </c>
      <c r="H69" s="421"/>
    </row>
    <row r="70" spans="1:8" s="415" customFormat="1" ht="59.25" customHeight="1">
      <c r="A70" s="420">
        <v>6</v>
      </c>
      <c r="B70" s="426" t="s">
        <v>1244</v>
      </c>
      <c r="C70" s="420" t="s">
        <v>1239</v>
      </c>
      <c r="D70" s="427" t="s">
        <v>1245</v>
      </c>
      <c r="E70" s="425">
        <v>9240</v>
      </c>
      <c r="F70" s="425">
        <v>9137</v>
      </c>
      <c r="G70" s="425">
        <v>103</v>
      </c>
      <c r="H70" s="421"/>
    </row>
    <row r="71" spans="1:8" s="415" customFormat="1" ht="59.25" customHeight="1">
      <c r="A71" s="420">
        <v>7</v>
      </c>
      <c r="B71" s="426" t="s">
        <v>1246</v>
      </c>
      <c r="C71" s="420" t="s">
        <v>1239</v>
      </c>
      <c r="D71" s="427" t="s">
        <v>1247</v>
      </c>
      <c r="E71" s="425">
        <v>635103</v>
      </c>
      <c r="F71" s="425">
        <v>629692</v>
      </c>
      <c r="G71" s="425">
        <v>5753</v>
      </c>
      <c r="H71" s="421"/>
    </row>
    <row r="72" spans="1:8" s="415" customFormat="1" ht="46.5" customHeight="1">
      <c r="A72" s="420">
        <v>8</v>
      </c>
      <c r="B72" s="432" t="s">
        <v>1248</v>
      </c>
      <c r="C72" s="429" t="s">
        <v>1249</v>
      </c>
      <c r="D72" s="420" t="s">
        <v>1250</v>
      </c>
      <c r="E72" s="425">
        <v>732</v>
      </c>
      <c r="F72" s="425">
        <v>727</v>
      </c>
      <c r="G72" s="425">
        <v>5</v>
      </c>
      <c r="H72" s="421"/>
    </row>
    <row r="73" spans="1:8" s="415" customFormat="1" ht="79.5" customHeight="1">
      <c r="A73" s="420">
        <v>9</v>
      </c>
      <c r="B73" s="432" t="s">
        <v>1251</v>
      </c>
      <c r="C73" s="429" t="s">
        <v>1249</v>
      </c>
      <c r="D73" s="430" t="s">
        <v>1252</v>
      </c>
      <c r="E73" s="425">
        <v>1139</v>
      </c>
      <c r="F73" s="425">
        <v>1134</v>
      </c>
      <c r="G73" s="425">
        <v>7</v>
      </c>
      <c r="H73" s="421"/>
    </row>
    <row r="74" spans="1:8" s="415" customFormat="1" ht="47.1" customHeight="1">
      <c r="A74" s="420">
        <v>10</v>
      </c>
      <c r="B74" s="426" t="s">
        <v>1261</v>
      </c>
      <c r="C74" s="420" t="s">
        <v>1239</v>
      </c>
      <c r="D74" s="427" t="s">
        <v>1262</v>
      </c>
      <c r="E74" s="425">
        <v>26121</v>
      </c>
      <c r="F74" s="425">
        <v>25000</v>
      </c>
      <c r="G74" s="425">
        <v>1144</v>
      </c>
      <c r="H74" s="421"/>
    </row>
    <row r="75" spans="1:8" s="415" customFormat="1" ht="39.9" customHeight="1">
      <c r="A75" s="416" t="s">
        <v>94</v>
      </c>
      <c r="B75" s="417" t="s">
        <v>1311</v>
      </c>
      <c r="C75" s="412"/>
      <c r="D75" s="413"/>
      <c r="E75" s="418">
        <f>SUM(E76:E80)</f>
        <v>6198</v>
      </c>
      <c r="F75" s="418">
        <f>SUM(F76:F80)</f>
        <v>5903</v>
      </c>
      <c r="G75" s="418">
        <f>SUM(G76:G80)</f>
        <v>295</v>
      </c>
      <c r="H75" s="412"/>
    </row>
    <row r="76" spans="1:8" s="415" customFormat="1" ht="44.25" customHeight="1">
      <c r="A76" s="420">
        <v>1</v>
      </c>
      <c r="B76" s="432" t="s">
        <v>1356</v>
      </c>
      <c r="C76" s="430" t="s">
        <v>1258</v>
      </c>
      <c r="D76" s="430" t="s">
        <v>1357</v>
      </c>
      <c r="E76" s="431">
        <v>538</v>
      </c>
      <c r="F76" s="432">
        <v>500</v>
      </c>
      <c r="G76" s="425">
        <v>38</v>
      </c>
      <c r="H76" s="421"/>
    </row>
    <row r="77" spans="1:8" s="415" customFormat="1" ht="44.25" customHeight="1">
      <c r="A77" s="420">
        <v>2</v>
      </c>
      <c r="B77" s="432" t="s">
        <v>1358</v>
      </c>
      <c r="C77" s="430" t="s">
        <v>1271</v>
      </c>
      <c r="D77" s="430" t="s">
        <v>1359</v>
      </c>
      <c r="E77" s="431">
        <v>629</v>
      </c>
      <c r="F77" s="432">
        <v>500</v>
      </c>
      <c r="G77" s="425">
        <v>129</v>
      </c>
      <c r="H77" s="421"/>
    </row>
    <row r="78" spans="1:8" s="415" customFormat="1" ht="44.25" customHeight="1">
      <c r="A78" s="420">
        <v>3</v>
      </c>
      <c r="B78" s="432" t="s">
        <v>1360</v>
      </c>
      <c r="C78" s="430" t="s">
        <v>1239</v>
      </c>
      <c r="D78" s="430" t="s">
        <v>1361</v>
      </c>
      <c r="E78" s="431">
        <v>1716</v>
      </c>
      <c r="F78" s="432">
        <v>1600</v>
      </c>
      <c r="G78" s="425">
        <v>116</v>
      </c>
      <c r="H78" s="421"/>
    </row>
    <row r="79" spans="1:8" s="415" customFormat="1" ht="44.25" customHeight="1">
      <c r="A79" s="420">
        <v>4</v>
      </c>
      <c r="B79" s="432" t="s">
        <v>1362</v>
      </c>
      <c r="C79" s="430" t="s">
        <v>1239</v>
      </c>
      <c r="D79" s="430" t="s">
        <v>1363</v>
      </c>
      <c r="E79" s="431">
        <v>2405</v>
      </c>
      <c r="F79" s="432">
        <v>2403</v>
      </c>
      <c r="G79" s="425">
        <v>2</v>
      </c>
      <c r="H79" s="421"/>
    </row>
    <row r="80" spans="1:8" s="415" customFormat="1" ht="114.75" customHeight="1">
      <c r="A80" s="420">
        <v>5</v>
      </c>
      <c r="B80" s="426" t="s">
        <v>1253</v>
      </c>
      <c r="C80" s="430" t="s">
        <v>1249</v>
      </c>
      <c r="D80" s="430" t="s">
        <v>1254</v>
      </c>
      <c r="E80" s="431">
        <v>910</v>
      </c>
      <c r="F80" s="432">
        <v>900</v>
      </c>
      <c r="G80" s="425">
        <v>10</v>
      </c>
      <c r="H80" s="421"/>
    </row>
    <row r="81" spans="1:8" s="415" customFormat="1" ht="39.9" customHeight="1">
      <c r="A81" s="416" t="s">
        <v>97</v>
      </c>
      <c r="B81" s="417" t="s">
        <v>381</v>
      </c>
      <c r="C81" s="412"/>
      <c r="D81" s="413"/>
      <c r="E81" s="418">
        <f>SUM(E82:E82)</f>
        <v>10607</v>
      </c>
      <c r="F81" s="418">
        <f>SUM(F82:F82)</f>
        <v>0</v>
      </c>
      <c r="G81" s="418">
        <f>SUM(G82:G82)</f>
        <v>2463</v>
      </c>
      <c r="H81" s="412"/>
    </row>
    <row r="82" spans="1:8" s="422" customFormat="1" ht="63" customHeight="1">
      <c r="A82" s="420">
        <v>1</v>
      </c>
      <c r="B82" s="406" t="s">
        <v>1296</v>
      </c>
      <c r="C82" s="394" t="s">
        <v>382</v>
      </c>
      <c r="D82" s="427" t="s">
        <v>1297</v>
      </c>
      <c r="E82" s="408">
        <v>10607</v>
      </c>
      <c r="F82" s="425"/>
      <c r="G82" s="425">
        <v>2463</v>
      </c>
      <c r="H82" s="421"/>
    </row>
    <row r="83" spans="1:8" s="415" customFormat="1" ht="39.9" customHeight="1">
      <c r="A83" s="416" t="s">
        <v>324</v>
      </c>
      <c r="B83" s="417" t="s">
        <v>1263</v>
      </c>
      <c r="C83" s="412"/>
      <c r="D83" s="413"/>
      <c r="E83" s="418">
        <f>SUM(E84:E86)</f>
        <v>57931</v>
      </c>
      <c r="F83" s="418">
        <f>SUM(F84:F86)</f>
        <v>57651</v>
      </c>
      <c r="G83" s="418">
        <f>SUM(G84:G86)</f>
        <v>432</v>
      </c>
      <c r="H83" s="412"/>
    </row>
    <row r="84" spans="1:8" s="415" customFormat="1" ht="47.1" customHeight="1">
      <c r="A84" s="420">
        <v>1</v>
      </c>
      <c r="B84" s="426" t="s">
        <v>1264</v>
      </c>
      <c r="C84" s="420" t="s">
        <v>72</v>
      </c>
      <c r="D84" s="427" t="s">
        <v>1265</v>
      </c>
      <c r="E84" s="425">
        <v>37387</v>
      </c>
      <c r="F84" s="425">
        <v>37378</v>
      </c>
      <c r="G84" s="425">
        <v>150</v>
      </c>
      <c r="H84" s="421"/>
    </row>
    <row r="85" spans="1:8" s="415" customFormat="1" ht="47.1" customHeight="1">
      <c r="A85" s="420">
        <v>2</v>
      </c>
      <c r="B85" s="426" t="s">
        <v>1266</v>
      </c>
      <c r="C85" s="420" t="s">
        <v>18</v>
      </c>
      <c r="D85" s="427" t="s">
        <v>1267</v>
      </c>
      <c r="E85" s="425">
        <v>13317</v>
      </c>
      <c r="F85" s="425">
        <v>13273</v>
      </c>
      <c r="G85" s="425">
        <v>50</v>
      </c>
      <c r="H85" s="421"/>
    </row>
    <row r="86" spans="1:8" s="415" customFormat="1" ht="60.75" customHeight="1">
      <c r="A86" s="420">
        <v>3</v>
      </c>
      <c r="B86" s="423" t="s">
        <v>1268</v>
      </c>
      <c r="C86" s="420" t="s">
        <v>287</v>
      </c>
      <c r="D86" s="420" t="s">
        <v>1269</v>
      </c>
      <c r="E86" s="424">
        <v>7227</v>
      </c>
      <c r="F86" s="425">
        <v>7000</v>
      </c>
      <c r="G86" s="425">
        <v>232</v>
      </c>
      <c r="H86" s="421"/>
    </row>
    <row r="87" spans="1:8" s="415" customFormat="1" ht="31.5" customHeight="1">
      <c r="A87" s="416" t="s">
        <v>435</v>
      </c>
      <c r="B87" s="417" t="s">
        <v>1364</v>
      </c>
      <c r="C87" s="412"/>
      <c r="D87" s="413"/>
      <c r="E87" s="418">
        <f>SUM(E88)</f>
        <v>63195</v>
      </c>
      <c r="F87" s="418">
        <f>SUM(F88)</f>
        <v>63158</v>
      </c>
      <c r="G87" s="418">
        <f>SUM(G88)</f>
        <v>70</v>
      </c>
      <c r="H87" s="412"/>
    </row>
    <row r="88" spans="1:8" s="415" customFormat="1" ht="44.25" customHeight="1">
      <c r="A88" s="420">
        <v>1</v>
      </c>
      <c r="B88" s="432" t="s">
        <v>1365</v>
      </c>
      <c r="C88" s="430" t="s">
        <v>1331</v>
      </c>
      <c r="D88" s="430" t="s">
        <v>1366</v>
      </c>
      <c r="E88" s="431">
        <v>63195</v>
      </c>
      <c r="F88" s="432">
        <v>63158</v>
      </c>
      <c r="G88" s="425">
        <v>70</v>
      </c>
      <c r="H88" s="421"/>
    </row>
    <row r="89" spans="1:8" s="415" customFormat="1" ht="39" customHeight="1">
      <c r="A89" s="416" t="s">
        <v>437</v>
      </c>
      <c r="B89" s="417" t="s">
        <v>278</v>
      </c>
      <c r="C89" s="412"/>
      <c r="D89" s="413"/>
      <c r="E89" s="418">
        <f>SUM(E90:E92)</f>
        <v>9814</v>
      </c>
      <c r="F89" s="418">
        <f>SUM(F90:F92)</f>
        <v>10226</v>
      </c>
      <c r="G89" s="418">
        <f>SUM(G90:G92)</f>
        <v>254</v>
      </c>
      <c r="H89" s="412"/>
    </row>
    <row r="90" spans="1:8" s="415" customFormat="1" ht="44.25" customHeight="1">
      <c r="A90" s="420">
        <v>1</v>
      </c>
      <c r="B90" s="432" t="s">
        <v>1367</v>
      </c>
      <c r="C90" s="430" t="s">
        <v>1242</v>
      </c>
      <c r="D90" s="430" t="s">
        <v>1368</v>
      </c>
      <c r="E90" s="431">
        <v>2487</v>
      </c>
      <c r="F90" s="432">
        <v>3436</v>
      </c>
      <c r="G90" s="425">
        <v>51</v>
      </c>
      <c r="H90" s="421"/>
    </row>
    <row r="91" spans="1:8" s="415" customFormat="1" ht="44.25" customHeight="1">
      <c r="A91" s="420">
        <v>2</v>
      </c>
      <c r="B91" s="432" t="s">
        <v>1369</v>
      </c>
      <c r="C91" s="430" t="s">
        <v>1242</v>
      </c>
      <c r="D91" s="430" t="s">
        <v>1370</v>
      </c>
      <c r="E91" s="431">
        <v>2847</v>
      </c>
      <c r="F91" s="432">
        <f>130+1500+1200</f>
        <v>2830</v>
      </c>
      <c r="G91" s="425">
        <v>17</v>
      </c>
      <c r="H91" s="421"/>
    </row>
    <row r="92" spans="1:8" s="415" customFormat="1" ht="44.25" customHeight="1">
      <c r="A92" s="420">
        <v>3</v>
      </c>
      <c r="B92" s="432" t="s">
        <v>1371</v>
      </c>
      <c r="C92" s="430" t="s">
        <v>1242</v>
      </c>
      <c r="D92" s="430" t="s">
        <v>1372</v>
      </c>
      <c r="E92" s="431">
        <v>4480</v>
      </c>
      <c r="F92" s="432">
        <v>3960</v>
      </c>
      <c r="G92" s="425">
        <v>186</v>
      </c>
      <c r="H92" s="421"/>
    </row>
    <row r="93" spans="1:8" s="415" customFormat="1" ht="45.75" customHeight="1">
      <c r="A93" s="459" t="s">
        <v>31</v>
      </c>
      <c r="B93" s="411" t="s">
        <v>1275</v>
      </c>
      <c r="C93" s="412"/>
      <c r="D93" s="413"/>
      <c r="E93" s="414">
        <f>SUM(E94,E96,E100)</f>
        <v>1263.44</v>
      </c>
      <c r="F93" s="414">
        <f>SUM(F94,F96,F100)</f>
        <v>0</v>
      </c>
      <c r="G93" s="414">
        <f>SUM(G94,G96,G100)</f>
        <v>848</v>
      </c>
      <c r="H93" s="412"/>
    </row>
    <row r="94" spans="1:8" s="415" customFormat="1" ht="39.9" customHeight="1">
      <c r="A94" s="416" t="s">
        <v>17</v>
      </c>
      <c r="B94" s="417" t="s">
        <v>436</v>
      </c>
      <c r="C94" s="412"/>
      <c r="D94" s="413"/>
      <c r="E94" s="418">
        <f>SUM(E95)</f>
        <v>291</v>
      </c>
      <c r="F94" s="418">
        <f>SUM(F95)</f>
        <v>0</v>
      </c>
      <c r="G94" s="418">
        <f>SUM(G95)</f>
        <v>150</v>
      </c>
      <c r="H94" s="412"/>
    </row>
    <row r="95" spans="1:8" s="415" customFormat="1" ht="65.25" customHeight="1">
      <c r="A95" s="420">
        <v>1</v>
      </c>
      <c r="B95" s="426" t="s">
        <v>1276</v>
      </c>
      <c r="C95" s="420" t="s">
        <v>1236</v>
      </c>
      <c r="D95" s="427" t="s">
        <v>1277</v>
      </c>
      <c r="E95" s="425">
        <v>291</v>
      </c>
      <c r="F95" s="425">
        <v>0</v>
      </c>
      <c r="G95" s="425">
        <v>150</v>
      </c>
      <c r="H95" s="421"/>
    </row>
    <row r="96" spans="1:8" s="415" customFormat="1" ht="31.5" customHeight="1">
      <c r="A96" s="416" t="s">
        <v>25</v>
      </c>
      <c r="B96" s="417" t="s">
        <v>278</v>
      </c>
      <c r="C96" s="412"/>
      <c r="D96" s="413"/>
      <c r="E96" s="418">
        <f>SUM(E97:E99)</f>
        <v>442.43999999999994</v>
      </c>
      <c r="F96" s="418">
        <f>SUM(F97:F99)</f>
        <v>0</v>
      </c>
      <c r="G96" s="418">
        <f>SUM(G97:G99)</f>
        <v>441</v>
      </c>
      <c r="H96" s="412"/>
    </row>
    <row r="97" spans="1:8" s="415" customFormat="1" ht="57" customHeight="1">
      <c r="A97" s="420">
        <v>1</v>
      </c>
      <c r="B97" s="432" t="s">
        <v>1323</v>
      </c>
      <c r="C97" s="430" t="s">
        <v>1324</v>
      </c>
      <c r="D97" s="430" t="s">
        <v>1325</v>
      </c>
      <c r="E97" s="431">
        <v>145.27799999999999</v>
      </c>
      <c r="F97" s="432"/>
      <c r="G97" s="425">
        <v>145</v>
      </c>
      <c r="H97" s="421"/>
    </row>
    <row r="98" spans="1:8" s="415" customFormat="1" ht="57" customHeight="1">
      <c r="A98" s="420">
        <f>+A97+1</f>
        <v>2</v>
      </c>
      <c r="B98" s="432" t="s">
        <v>1326</v>
      </c>
      <c r="C98" s="430" t="s">
        <v>1249</v>
      </c>
      <c r="D98" s="430" t="s">
        <v>1327</v>
      </c>
      <c r="E98" s="431">
        <v>148.40799999999999</v>
      </c>
      <c r="F98" s="432"/>
      <c r="G98" s="425">
        <v>148</v>
      </c>
      <c r="H98" s="421"/>
    </row>
    <row r="99" spans="1:8" s="415" customFormat="1" ht="57" customHeight="1">
      <c r="A99" s="420">
        <f>+A98+1</f>
        <v>3</v>
      </c>
      <c r="B99" s="432" t="s">
        <v>1328</v>
      </c>
      <c r="C99" s="430" t="s">
        <v>1258</v>
      </c>
      <c r="D99" s="430" t="s">
        <v>1329</v>
      </c>
      <c r="E99" s="431">
        <v>148.75399999999999</v>
      </c>
      <c r="F99" s="432"/>
      <c r="G99" s="425">
        <v>148</v>
      </c>
      <c r="H99" s="421"/>
    </row>
    <row r="100" spans="1:8" s="415" customFormat="1" ht="31.5" customHeight="1">
      <c r="A100" s="416" t="s">
        <v>30</v>
      </c>
      <c r="B100" s="417" t="s">
        <v>1364</v>
      </c>
      <c r="C100" s="412"/>
      <c r="D100" s="413"/>
      <c r="E100" s="418">
        <f>SUM(E101:E102)</f>
        <v>530</v>
      </c>
      <c r="F100" s="418">
        <f>SUM(F101:F102)</f>
        <v>0</v>
      </c>
      <c r="G100" s="418">
        <f>SUM(G101:G102)</f>
        <v>257</v>
      </c>
      <c r="H100" s="412"/>
    </row>
    <row r="101" spans="1:8" s="422" customFormat="1" ht="51.75" customHeight="1">
      <c r="A101" s="420">
        <v>1</v>
      </c>
      <c r="B101" s="406" t="s">
        <v>1292</v>
      </c>
      <c r="C101" s="370" t="s">
        <v>114</v>
      </c>
      <c r="D101" s="427" t="s">
        <v>1293</v>
      </c>
      <c r="E101" s="408">
        <v>181</v>
      </c>
      <c r="F101" s="408"/>
      <c r="G101" s="408">
        <v>100</v>
      </c>
      <c r="H101" s="421"/>
    </row>
    <row r="102" spans="1:8" s="422" customFormat="1" ht="51.75" customHeight="1">
      <c r="A102" s="420">
        <v>2</v>
      </c>
      <c r="B102" s="406" t="s">
        <v>1294</v>
      </c>
      <c r="C102" s="370" t="s">
        <v>114</v>
      </c>
      <c r="D102" s="427" t="s">
        <v>1295</v>
      </c>
      <c r="E102" s="408">
        <v>349</v>
      </c>
      <c r="F102" s="425"/>
      <c r="G102" s="425">
        <v>157</v>
      </c>
      <c r="H102" s="421"/>
    </row>
  </sheetData>
  <mergeCells count="11">
    <mergeCell ref="H5:H6"/>
    <mergeCell ref="A1:H1"/>
    <mergeCell ref="A2:H2"/>
    <mergeCell ref="A3:H3"/>
    <mergeCell ref="D4:H4"/>
    <mergeCell ref="A5:A6"/>
    <mergeCell ref="B5:B6"/>
    <mergeCell ref="C5:C6"/>
    <mergeCell ref="D5:E5"/>
    <mergeCell ref="F5:F6"/>
    <mergeCell ref="G5:G6"/>
  </mergeCells>
  <printOptions horizontalCentered="1"/>
  <pageMargins left="0.39370078740157483" right="0.39370078740157483" top="0.39370078740157483" bottom="0.39370078740157483" header="0.19685039370078741" footer="0.19685039370078741"/>
  <pageSetup paperSize="9" scale="73" fitToHeight="0" orientation="landscape" r:id="rId1"/>
  <headerFooter>
    <oddFooter>&amp;C&amp;P/&amp;N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6" sqref="C6"/>
    </sheetView>
  </sheetViews>
  <sheetFormatPr defaultColWidth="8.88671875" defaultRowHeight="13.2"/>
  <cols>
    <col min="1" max="1" width="48.109375" style="207" customWidth="1"/>
    <col min="2" max="2" width="12.88671875" style="207" customWidth="1"/>
    <col min="3" max="3" width="11.88671875" style="206" bestFit="1" customWidth="1"/>
  </cols>
  <sheetData>
    <row r="1" spans="1:3">
      <c r="A1" s="212" t="s">
        <v>851</v>
      </c>
      <c r="B1" s="207" t="s">
        <v>455</v>
      </c>
    </row>
    <row r="2" spans="1:3">
      <c r="A2" s="207" t="s">
        <v>507</v>
      </c>
      <c r="B2" s="207">
        <v>31</v>
      </c>
      <c r="C2" s="206">
        <f>'7. XSKT CNT'!R8</f>
        <v>20000</v>
      </c>
    </row>
    <row r="3" spans="1:3">
      <c r="A3" s="207" t="s">
        <v>810</v>
      </c>
      <c r="B3" s="207">
        <v>1</v>
      </c>
      <c r="C3" s="206">
        <f>'11.VTXSKT'!K8</f>
        <v>15687</v>
      </c>
    </row>
    <row r="4" spans="1:3">
      <c r="A4" s="207" t="s">
        <v>811</v>
      </c>
      <c r="B4" s="207">
        <v>4</v>
      </c>
      <c r="C4" s="206">
        <f>'13. KDXSKT2022'!N8</f>
        <v>5052</v>
      </c>
    </row>
    <row r="5" spans="1:3">
      <c r="A5" s="207" t="s">
        <v>812</v>
      </c>
      <c r="B5" s="207">
        <v>7</v>
      </c>
      <c r="C5" s="206">
        <f>'14. VTXSKT2022'!P8</f>
        <v>144700</v>
      </c>
    </row>
    <row r="6" spans="1:3">
      <c r="C6" s="206">
        <f>SUM(C2:C5)</f>
        <v>185439</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view="pageBreakPreview" topLeftCell="A4" zoomScale="70" zoomScaleNormal="70" zoomScaleSheetLayoutView="70" workbookViewId="0">
      <pane xSplit="2" ySplit="4" topLeftCell="C14" activePane="bottomRight" state="frozen"/>
      <selection activeCell="A4" sqref="A4"/>
      <selection pane="topRight" activeCell="C4" sqref="C4"/>
      <selection pane="bottomLeft" activeCell="A8" sqref="A8"/>
      <selection pane="bottomRight" activeCell="C17" sqref="C17"/>
    </sheetView>
  </sheetViews>
  <sheetFormatPr defaultRowHeight="13.2"/>
  <cols>
    <col min="1" max="1" width="8.5546875" customWidth="1"/>
    <col min="2" max="2" width="50.5546875" customWidth="1"/>
    <col min="3" max="3" width="20.6640625" customWidth="1"/>
    <col min="4" max="5" width="19" customWidth="1"/>
    <col min="6" max="9" width="23.44140625" customWidth="1"/>
    <col min="10" max="10" width="19" customWidth="1"/>
    <col min="11" max="11" width="32.33203125" customWidth="1"/>
    <col min="12" max="12" width="0" hidden="1" customWidth="1"/>
  </cols>
  <sheetData>
    <row r="1" spans="1:12" ht="27" customHeight="1">
      <c r="A1" s="632" t="s">
        <v>1407</v>
      </c>
      <c r="B1" s="632"/>
      <c r="C1" s="632"/>
      <c r="D1" s="632"/>
      <c r="E1" s="632"/>
      <c r="F1" s="632"/>
      <c r="G1" s="632"/>
      <c r="H1" s="632"/>
      <c r="I1" s="632"/>
      <c r="J1" s="632"/>
      <c r="K1" s="632"/>
      <c r="L1" s="422"/>
    </row>
    <row r="2" spans="1:12" ht="63" customHeight="1">
      <c r="A2" s="633" t="s">
        <v>1397</v>
      </c>
      <c r="B2" s="633"/>
      <c r="C2" s="633"/>
      <c r="D2" s="633"/>
      <c r="E2" s="633"/>
      <c r="F2" s="633"/>
      <c r="G2" s="633"/>
      <c r="H2" s="633"/>
      <c r="I2" s="633"/>
      <c r="J2" s="633"/>
      <c r="K2" s="633"/>
      <c r="L2" s="422"/>
    </row>
    <row r="3" spans="1:12" ht="36" customHeight="1">
      <c r="A3" s="634" t="str">
        <f>'24. CBĐT-QT'!A3:H3</f>
        <v>(Ban hành kèm theo Quyết định số: 2571/QĐ-UBND ngày 12/12/2024 của Ủy ban nhân dân tỉnh)</v>
      </c>
      <c r="B3" s="634"/>
      <c r="C3" s="634"/>
      <c r="D3" s="634"/>
      <c r="E3" s="634"/>
      <c r="F3" s="634"/>
      <c r="G3" s="634"/>
      <c r="H3" s="634"/>
      <c r="I3" s="634"/>
      <c r="J3" s="634"/>
      <c r="K3" s="634"/>
      <c r="L3" s="422"/>
    </row>
    <row r="4" spans="1:12" ht="26.25" customHeight="1">
      <c r="A4" s="434"/>
      <c r="B4" s="422"/>
      <c r="C4" s="422"/>
      <c r="D4" s="635" t="s">
        <v>0</v>
      </c>
      <c r="E4" s="635"/>
      <c r="F4" s="635"/>
      <c r="G4" s="635"/>
      <c r="H4" s="635"/>
      <c r="I4" s="635"/>
      <c r="J4" s="635"/>
      <c r="K4" s="635"/>
      <c r="L4" s="422"/>
    </row>
    <row r="5" spans="1:12" ht="33.75" customHeight="1">
      <c r="A5" s="631" t="s">
        <v>1</v>
      </c>
      <c r="B5" s="631" t="s">
        <v>1091</v>
      </c>
      <c r="C5" s="631" t="s">
        <v>2</v>
      </c>
      <c r="D5" s="636" t="s">
        <v>1389</v>
      </c>
      <c r="E5" s="637"/>
      <c r="F5" s="631" t="s">
        <v>1390</v>
      </c>
      <c r="G5" s="565" t="s">
        <v>1406</v>
      </c>
      <c r="H5" s="557" t="s">
        <v>1072</v>
      </c>
      <c r="I5" s="557" t="s">
        <v>1073</v>
      </c>
      <c r="J5" s="557" t="s">
        <v>1215</v>
      </c>
      <c r="K5" s="631" t="s">
        <v>6</v>
      </c>
      <c r="L5" s="415"/>
    </row>
    <row r="6" spans="1:12" ht="33.75" customHeight="1">
      <c r="A6" s="631"/>
      <c r="B6" s="631"/>
      <c r="C6" s="631"/>
      <c r="D6" s="638"/>
      <c r="E6" s="639"/>
      <c r="F6" s="631"/>
      <c r="G6" s="565"/>
      <c r="H6" s="569"/>
      <c r="I6" s="569"/>
      <c r="J6" s="569"/>
      <c r="K6" s="631"/>
      <c r="L6" s="415"/>
    </row>
    <row r="7" spans="1:12" ht="50.25" customHeight="1">
      <c r="A7" s="631"/>
      <c r="B7" s="631"/>
      <c r="C7" s="631"/>
      <c r="D7" s="410" t="s">
        <v>1222</v>
      </c>
      <c r="E7" s="410" t="s">
        <v>8</v>
      </c>
      <c r="F7" s="631"/>
      <c r="G7" s="565"/>
      <c r="H7" s="558"/>
      <c r="I7" s="558"/>
      <c r="J7" s="558"/>
      <c r="K7" s="631"/>
      <c r="L7" s="415"/>
    </row>
    <row r="8" spans="1:12" ht="44.25" customHeight="1">
      <c r="A8" s="420"/>
      <c r="B8" s="410" t="s">
        <v>280</v>
      </c>
      <c r="C8" s="423"/>
      <c r="D8" s="436"/>
      <c r="E8" s="414">
        <f>E9</f>
        <v>11368.457</v>
      </c>
      <c r="F8" s="414">
        <f>F9</f>
        <v>1581</v>
      </c>
      <c r="G8" s="414">
        <f>SUM(G9,G20)</f>
        <v>5700</v>
      </c>
      <c r="H8" s="414">
        <f>SUM(H9,H20)</f>
        <v>0</v>
      </c>
      <c r="I8" s="441">
        <f>SUM(I9,I20)</f>
        <v>-4117</v>
      </c>
      <c r="J8" s="414">
        <f>SUM(J9,J20)</f>
        <v>1583</v>
      </c>
      <c r="K8" s="423"/>
      <c r="L8" s="437"/>
    </row>
    <row r="9" spans="1:12" ht="41.25" customHeight="1">
      <c r="A9" s="410" t="s">
        <v>86</v>
      </c>
      <c r="B9" s="411" t="s">
        <v>1403</v>
      </c>
      <c r="C9" s="412"/>
      <c r="D9" s="436"/>
      <c r="E9" s="414">
        <f t="shared" ref="E9:J9" si="0">SUM(E16,E13,E10)</f>
        <v>11368.457</v>
      </c>
      <c r="F9" s="414">
        <f t="shared" si="0"/>
        <v>1581</v>
      </c>
      <c r="G9" s="414">
        <f t="shared" si="0"/>
        <v>2879</v>
      </c>
      <c r="H9" s="414">
        <f t="shared" si="0"/>
        <v>0</v>
      </c>
      <c r="I9" s="441">
        <f t="shared" si="0"/>
        <v>-1296</v>
      </c>
      <c r="J9" s="414">
        <f t="shared" si="0"/>
        <v>1583</v>
      </c>
      <c r="K9" s="412"/>
      <c r="L9" s="415"/>
    </row>
    <row r="10" spans="1:12" ht="39.9" customHeight="1">
      <c r="A10" s="410" t="s">
        <v>15</v>
      </c>
      <c r="B10" s="438" t="s">
        <v>1231</v>
      </c>
      <c r="C10" s="412"/>
      <c r="D10" s="436"/>
      <c r="E10" s="414">
        <f t="shared" ref="E10:J10" si="1">SUM(E11:E12)</f>
        <v>1591</v>
      </c>
      <c r="F10" s="414">
        <f t="shared" si="1"/>
        <v>1581</v>
      </c>
      <c r="G10" s="414">
        <f t="shared" si="1"/>
        <v>10</v>
      </c>
      <c r="H10" s="414">
        <f t="shared" si="1"/>
        <v>0</v>
      </c>
      <c r="I10" s="414">
        <f t="shared" si="1"/>
        <v>0</v>
      </c>
      <c r="J10" s="414">
        <f t="shared" si="1"/>
        <v>10</v>
      </c>
      <c r="K10" s="412"/>
      <c r="L10" s="415"/>
    </row>
    <row r="11" spans="1:12" ht="43.5" customHeight="1">
      <c r="A11" s="420">
        <v>1</v>
      </c>
      <c r="B11" s="426" t="s">
        <v>1393</v>
      </c>
      <c r="C11" s="420" t="s">
        <v>95</v>
      </c>
      <c r="D11" s="427" t="s">
        <v>1394</v>
      </c>
      <c r="E11" s="408">
        <v>802</v>
      </c>
      <c r="F11" s="425">
        <v>797</v>
      </c>
      <c r="G11" s="425">
        <v>5</v>
      </c>
      <c r="H11" s="425"/>
      <c r="I11" s="425"/>
      <c r="J11" s="425">
        <v>5</v>
      </c>
      <c r="K11" s="423"/>
      <c r="L11" s="439"/>
    </row>
    <row r="12" spans="1:12" ht="43.5" customHeight="1">
      <c r="A12" s="420">
        <v>2</v>
      </c>
      <c r="B12" s="426" t="s">
        <v>1395</v>
      </c>
      <c r="C12" s="420" t="s">
        <v>95</v>
      </c>
      <c r="D12" s="427" t="s">
        <v>1396</v>
      </c>
      <c r="E12" s="408">
        <v>789</v>
      </c>
      <c r="F12" s="425">
        <v>784</v>
      </c>
      <c r="G12" s="425">
        <v>5</v>
      </c>
      <c r="H12" s="425"/>
      <c r="I12" s="425"/>
      <c r="J12" s="425">
        <v>5</v>
      </c>
      <c r="K12" s="423"/>
      <c r="L12" s="439"/>
    </row>
    <row r="13" spans="1:12" ht="39.9" customHeight="1">
      <c r="A13" s="410" t="s">
        <v>31</v>
      </c>
      <c r="B13" s="438" t="s">
        <v>1400</v>
      </c>
      <c r="C13" s="412"/>
      <c r="D13" s="436"/>
      <c r="E13" s="414">
        <f t="shared" ref="E13:J13" si="2">SUM(E14:E15)</f>
        <v>154.45699999999999</v>
      </c>
      <c r="F13" s="414">
        <f t="shared" si="2"/>
        <v>0</v>
      </c>
      <c r="G13" s="414">
        <f t="shared" si="2"/>
        <v>121</v>
      </c>
      <c r="H13" s="414">
        <f t="shared" si="2"/>
        <v>0</v>
      </c>
      <c r="I13" s="414">
        <f t="shared" si="2"/>
        <v>0</v>
      </c>
      <c r="J13" s="414">
        <f t="shared" si="2"/>
        <v>121</v>
      </c>
      <c r="K13" s="412"/>
      <c r="L13" s="415"/>
    </row>
    <row r="14" spans="1:12" ht="73.5" customHeight="1">
      <c r="A14" s="420">
        <v>1</v>
      </c>
      <c r="B14" s="426" t="s">
        <v>1401</v>
      </c>
      <c r="C14" s="370" t="s">
        <v>275</v>
      </c>
      <c r="D14" s="427" t="s">
        <v>1409</v>
      </c>
      <c r="E14" s="408">
        <v>105</v>
      </c>
      <c r="F14" s="425"/>
      <c r="G14" s="425">
        <v>100</v>
      </c>
      <c r="H14" s="425"/>
      <c r="I14" s="425"/>
      <c r="J14" s="425">
        <v>100</v>
      </c>
      <c r="K14" s="423"/>
      <c r="L14" s="439"/>
    </row>
    <row r="15" spans="1:12" ht="73.5" customHeight="1">
      <c r="A15" s="420">
        <v>2</v>
      </c>
      <c r="B15" s="426" t="s">
        <v>1410</v>
      </c>
      <c r="C15" s="370" t="s">
        <v>1411</v>
      </c>
      <c r="D15" s="427" t="s">
        <v>1484</v>
      </c>
      <c r="E15" s="408">
        <v>49.457000000000001</v>
      </c>
      <c r="F15" s="425"/>
      <c r="G15" s="425">
        <v>21</v>
      </c>
      <c r="H15" s="425"/>
      <c r="I15" s="425"/>
      <c r="J15" s="425">
        <v>21</v>
      </c>
      <c r="K15" s="423"/>
      <c r="L15" s="439"/>
    </row>
    <row r="16" spans="1:12" ht="39.9" customHeight="1">
      <c r="A16" s="410" t="s">
        <v>90</v>
      </c>
      <c r="B16" s="438" t="s">
        <v>143</v>
      </c>
      <c r="C16" s="412"/>
      <c r="D16" s="436"/>
      <c r="E16" s="414">
        <f t="shared" ref="E16:J16" si="3">SUM(E17:E19)</f>
        <v>9623</v>
      </c>
      <c r="F16" s="414">
        <f t="shared" si="3"/>
        <v>0</v>
      </c>
      <c r="G16" s="414">
        <f t="shared" si="3"/>
        <v>2748</v>
      </c>
      <c r="H16" s="414">
        <f t="shared" si="3"/>
        <v>0</v>
      </c>
      <c r="I16" s="441">
        <f t="shared" si="3"/>
        <v>-1296</v>
      </c>
      <c r="J16" s="414">
        <f t="shared" si="3"/>
        <v>1452</v>
      </c>
      <c r="K16" s="412"/>
      <c r="L16" s="415"/>
    </row>
    <row r="17" spans="1:12" ht="61.5" customHeight="1">
      <c r="A17" s="420">
        <v>1</v>
      </c>
      <c r="B17" s="426" t="s">
        <v>1138</v>
      </c>
      <c r="C17" s="420" t="s">
        <v>1402</v>
      </c>
      <c r="D17" s="427" t="s">
        <v>1141</v>
      </c>
      <c r="E17" s="408">
        <v>7020</v>
      </c>
      <c r="F17" s="425"/>
      <c r="G17" s="425">
        <v>1646</v>
      </c>
      <c r="H17" s="425"/>
      <c r="I17" s="442">
        <f>J17-G17</f>
        <v>-713</v>
      </c>
      <c r="J17" s="425">
        <v>933</v>
      </c>
      <c r="K17" s="423"/>
      <c r="L17" s="439"/>
    </row>
    <row r="18" spans="1:12" ht="54.75" customHeight="1">
      <c r="A18" s="420">
        <v>2</v>
      </c>
      <c r="B18" s="426" t="s">
        <v>1391</v>
      </c>
      <c r="C18" s="420" t="s">
        <v>95</v>
      </c>
      <c r="D18" s="427" t="s">
        <v>1392</v>
      </c>
      <c r="E18" s="408">
        <v>1197</v>
      </c>
      <c r="F18" s="425"/>
      <c r="G18" s="425">
        <v>482</v>
      </c>
      <c r="H18" s="425"/>
      <c r="I18" s="442">
        <f>J18-G18</f>
        <v>-45</v>
      </c>
      <c r="J18" s="425">
        <v>437</v>
      </c>
      <c r="K18" s="423"/>
      <c r="L18" s="439"/>
    </row>
    <row r="19" spans="1:12" s="439" customFormat="1" ht="63" customHeight="1">
      <c r="A19" s="420">
        <v>3</v>
      </c>
      <c r="B19" s="440" t="s">
        <v>1398</v>
      </c>
      <c r="C19" s="420" t="s">
        <v>287</v>
      </c>
      <c r="D19" s="427" t="s">
        <v>1399</v>
      </c>
      <c r="E19" s="408">
        <v>1406</v>
      </c>
      <c r="F19" s="425"/>
      <c r="G19" s="425">
        <v>620</v>
      </c>
      <c r="H19" s="425"/>
      <c r="I19" s="442">
        <f>J19-G19</f>
        <v>-538</v>
      </c>
      <c r="J19" s="425">
        <v>82</v>
      </c>
      <c r="K19" s="423"/>
    </row>
    <row r="20" spans="1:12" ht="41.25" customHeight="1">
      <c r="A20" s="435" t="s">
        <v>20</v>
      </c>
      <c r="B20" s="411" t="s">
        <v>1404</v>
      </c>
      <c r="C20" s="412"/>
      <c r="D20" s="436"/>
      <c r="E20" s="414"/>
      <c r="F20" s="414"/>
      <c r="G20" s="414">
        <f>5700-G9</f>
        <v>2821</v>
      </c>
      <c r="H20" s="414">
        <f>SUM(H26,H24,H21)</f>
        <v>0</v>
      </c>
      <c r="I20" s="441">
        <f>-G20</f>
        <v>-2821</v>
      </c>
      <c r="J20" s="414">
        <f>SUM(J26,J24,J21)</f>
        <v>0</v>
      </c>
      <c r="K20" s="412"/>
      <c r="L20" s="415"/>
    </row>
  </sheetData>
  <mergeCells count="14">
    <mergeCell ref="K5:K7"/>
    <mergeCell ref="A1:K1"/>
    <mergeCell ref="A2:K2"/>
    <mergeCell ref="A3:K3"/>
    <mergeCell ref="D4:K4"/>
    <mergeCell ref="A5:A7"/>
    <mergeCell ref="B5:B7"/>
    <mergeCell ref="C5:C7"/>
    <mergeCell ref="F5:F7"/>
    <mergeCell ref="J5:J7"/>
    <mergeCell ref="G5:G7"/>
    <mergeCell ref="H5:H7"/>
    <mergeCell ref="I5:I7"/>
    <mergeCell ref="D5:E6"/>
  </mergeCells>
  <printOptions horizontalCentered="1"/>
  <pageMargins left="0.39370078740157483" right="0.39370078740157483" top="0.39370078740157483" bottom="0.39370078740157483" header="0.19685039370078741" footer="0.19685039370078741"/>
  <pageSetup paperSize="9" scale="54" fitToHeight="0" orientation="landscape" verticalDpi="0"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O29"/>
  <sheetViews>
    <sheetView view="pageBreakPreview" zoomScale="60" zoomScaleNormal="70" workbookViewId="0">
      <selection activeCell="C18" sqref="C18"/>
    </sheetView>
  </sheetViews>
  <sheetFormatPr defaultColWidth="9.109375" defaultRowHeight="16.8"/>
  <cols>
    <col min="1" max="1" width="8.6640625" style="11" customWidth="1"/>
    <col min="2" max="2" width="50.6640625" style="11" customWidth="1"/>
    <col min="3" max="6" width="20.6640625" style="11" customWidth="1"/>
    <col min="7" max="7" width="22.6640625" style="11" customWidth="1"/>
    <col min="8" max="9" width="20.6640625" style="11" customWidth="1"/>
    <col min="10" max="15" width="20.6640625" style="11" hidden="1" customWidth="1"/>
    <col min="16" max="19" width="20.6640625" style="11" customWidth="1"/>
    <col min="20" max="20" width="40.6640625" style="11" customWidth="1"/>
    <col min="21" max="21" width="19.109375" style="11" customWidth="1"/>
    <col min="22" max="22" width="14.88671875" style="11" customWidth="1"/>
    <col min="23" max="23" width="13.44140625" style="11" customWidth="1"/>
    <col min="24" max="24" width="17.88671875" style="11" customWidth="1"/>
    <col min="25" max="25" width="19.33203125" style="11" customWidth="1"/>
    <col min="26" max="26" width="17.33203125" style="11" customWidth="1"/>
    <col min="27" max="27" width="12.44140625" style="11" customWidth="1"/>
    <col min="28" max="28" width="18.88671875" style="11" customWidth="1"/>
    <col min="29" max="40" width="9.109375" style="11"/>
    <col min="41" max="41" width="11.88671875" style="11" customWidth="1"/>
    <col min="42" max="16384" width="9.109375" style="11"/>
  </cols>
  <sheetData>
    <row r="1" spans="1:41" ht="39.9" customHeight="1">
      <c r="A1" s="554" t="s">
        <v>438</v>
      </c>
      <c r="B1" s="554"/>
      <c r="C1" s="554"/>
      <c r="D1" s="554"/>
      <c r="E1" s="554"/>
      <c r="F1" s="554"/>
      <c r="G1" s="554"/>
      <c r="H1" s="554"/>
      <c r="I1" s="554"/>
      <c r="J1" s="554"/>
      <c r="K1" s="554"/>
      <c r="L1" s="554"/>
      <c r="M1" s="554"/>
      <c r="N1" s="554"/>
      <c r="O1" s="554"/>
      <c r="P1" s="554"/>
      <c r="Q1" s="554"/>
      <c r="R1" s="554"/>
      <c r="S1" s="554"/>
      <c r="T1" s="554"/>
    </row>
    <row r="2" spans="1:41" ht="60" customHeight="1">
      <c r="A2" s="555" t="s">
        <v>1455</v>
      </c>
      <c r="B2" s="555"/>
      <c r="C2" s="555"/>
      <c r="D2" s="555"/>
      <c r="E2" s="555"/>
      <c r="F2" s="555"/>
      <c r="G2" s="555"/>
      <c r="H2" s="555"/>
      <c r="I2" s="555"/>
      <c r="J2" s="555"/>
      <c r="K2" s="555"/>
      <c r="L2" s="555"/>
      <c r="M2" s="555"/>
      <c r="N2" s="555"/>
      <c r="O2" s="555"/>
      <c r="P2" s="555"/>
      <c r="Q2" s="555"/>
      <c r="R2" s="555"/>
      <c r="S2" s="555"/>
      <c r="T2" s="555"/>
    </row>
    <row r="3" spans="1:41" ht="39.9" customHeight="1">
      <c r="A3" s="556" t="str">
        <f>'1. CĐNS'!A3</f>
        <v>(Ban hành kèm theo Quyết định số: 2571/QĐ-UBND ngày 12/12/2024 của Ủy ban nhân dân tỉnh)</v>
      </c>
      <c r="B3" s="556"/>
      <c r="C3" s="556"/>
      <c r="D3" s="556"/>
      <c r="E3" s="556"/>
      <c r="F3" s="556"/>
      <c r="G3" s="556"/>
      <c r="H3" s="556"/>
      <c r="I3" s="556"/>
      <c r="J3" s="556"/>
      <c r="K3" s="556"/>
      <c r="L3" s="556"/>
      <c r="M3" s="556"/>
      <c r="N3" s="556"/>
      <c r="O3" s="556"/>
      <c r="P3" s="556"/>
      <c r="Q3" s="556"/>
      <c r="R3" s="556"/>
      <c r="S3" s="556"/>
      <c r="T3" s="556"/>
    </row>
    <row r="4" spans="1:41" ht="33.75" customHeight="1">
      <c r="J4" s="12"/>
      <c r="K4" s="12"/>
      <c r="L4" s="12"/>
      <c r="M4" s="12"/>
      <c r="N4" s="12"/>
      <c r="O4" s="12"/>
      <c r="P4" s="12"/>
      <c r="Q4" s="12"/>
      <c r="R4" s="12"/>
      <c r="S4" s="12"/>
      <c r="T4" s="12" t="s">
        <v>0</v>
      </c>
    </row>
    <row r="5" spans="1:41" ht="60" customHeight="1">
      <c r="A5" s="559" t="s">
        <v>1</v>
      </c>
      <c r="B5" s="561" t="s">
        <v>513</v>
      </c>
      <c r="C5" s="559" t="s">
        <v>2</v>
      </c>
      <c r="D5" s="559" t="s">
        <v>3</v>
      </c>
      <c r="E5" s="562" t="s">
        <v>4</v>
      </c>
      <c r="F5" s="562" t="s">
        <v>5</v>
      </c>
      <c r="G5" s="562" t="s">
        <v>148</v>
      </c>
      <c r="H5" s="562"/>
      <c r="I5" s="562"/>
      <c r="J5" s="565" t="s">
        <v>696</v>
      </c>
      <c r="K5" s="565" t="s">
        <v>808</v>
      </c>
      <c r="L5" s="565"/>
      <c r="M5" s="565"/>
      <c r="N5" s="565"/>
      <c r="O5" s="557" t="s">
        <v>689</v>
      </c>
      <c r="P5" s="557" t="s">
        <v>690</v>
      </c>
      <c r="Q5" s="557" t="s">
        <v>1072</v>
      </c>
      <c r="R5" s="557" t="s">
        <v>1073</v>
      </c>
      <c r="S5" s="557" t="s">
        <v>1071</v>
      </c>
      <c r="T5" s="559" t="s">
        <v>6</v>
      </c>
      <c r="U5" s="14"/>
      <c r="V5" s="22"/>
      <c r="W5" s="22"/>
    </row>
    <row r="6" spans="1:41" ht="60" customHeight="1">
      <c r="A6" s="560"/>
      <c r="B6" s="561"/>
      <c r="C6" s="560"/>
      <c r="D6" s="560"/>
      <c r="E6" s="562"/>
      <c r="F6" s="562"/>
      <c r="G6" s="562" t="s">
        <v>7</v>
      </c>
      <c r="H6" s="562" t="s">
        <v>8</v>
      </c>
      <c r="I6" s="562"/>
      <c r="J6" s="565"/>
      <c r="K6" s="565" t="s">
        <v>9</v>
      </c>
      <c r="L6" s="565" t="s">
        <v>10</v>
      </c>
      <c r="M6" s="565"/>
      <c r="N6" s="565"/>
      <c r="O6" s="569"/>
      <c r="P6" s="569"/>
      <c r="Q6" s="569"/>
      <c r="R6" s="569"/>
      <c r="S6" s="569"/>
      <c r="T6" s="560"/>
      <c r="U6" s="14"/>
      <c r="V6" s="56" t="s">
        <v>452</v>
      </c>
      <c r="W6" s="56" t="s">
        <v>453</v>
      </c>
      <c r="X6" s="57" t="s">
        <v>454</v>
      </c>
      <c r="Y6" s="57"/>
      <c r="Z6" s="57" t="s">
        <v>455</v>
      </c>
      <c r="AA6" s="56" t="s">
        <v>456</v>
      </c>
      <c r="AB6" s="56" t="s">
        <v>474</v>
      </c>
      <c r="AC6" s="56" t="s">
        <v>629</v>
      </c>
      <c r="AD6" s="56" t="s">
        <v>459</v>
      </c>
      <c r="AE6" s="56" t="s">
        <v>460</v>
      </c>
      <c r="AF6" s="56" t="s">
        <v>461</v>
      </c>
      <c r="AG6" s="56" t="s">
        <v>462</v>
      </c>
      <c r="AH6" s="56" t="s">
        <v>463</v>
      </c>
      <c r="AI6" s="56" t="s">
        <v>464</v>
      </c>
      <c r="AJ6" s="56" t="s">
        <v>465</v>
      </c>
      <c r="AK6" s="56" t="s">
        <v>466</v>
      </c>
      <c r="AL6" s="56" t="s">
        <v>467</v>
      </c>
      <c r="AM6" s="56" t="s">
        <v>468</v>
      </c>
      <c r="AN6" s="56" t="s">
        <v>469</v>
      </c>
      <c r="AO6" s="57"/>
    </row>
    <row r="7" spans="1:41" ht="60" customHeight="1">
      <c r="A7" s="560"/>
      <c r="B7" s="561"/>
      <c r="C7" s="560"/>
      <c r="D7" s="563"/>
      <c r="E7" s="562"/>
      <c r="F7" s="562"/>
      <c r="G7" s="562"/>
      <c r="H7" s="13" t="s">
        <v>66</v>
      </c>
      <c r="I7" s="13" t="s">
        <v>67</v>
      </c>
      <c r="J7" s="565"/>
      <c r="K7" s="565"/>
      <c r="L7" s="85" t="s">
        <v>13</v>
      </c>
      <c r="M7" s="85" t="s">
        <v>564</v>
      </c>
      <c r="N7" s="85" t="s">
        <v>753</v>
      </c>
      <c r="O7" s="558"/>
      <c r="P7" s="558"/>
      <c r="Q7" s="558"/>
      <c r="R7" s="558"/>
      <c r="S7" s="558"/>
      <c r="T7" s="560"/>
      <c r="U7" s="6"/>
      <c r="V7" s="56"/>
      <c r="W7" s="56"/>
      <c r="X7" s="57"/>
      <c r="Y7" s="58" t="s">
        <v>470</v>
      </c>
      <c r="Z7" s="57">
        <f>COUNTIF(V8:V921,"CT")</f>
        <v>2</v>
      </c>
      <c r="AA7" s="82">
        <f>SUMIF(V9:V922,"CT",X9:X922)</f>
        <v>224825</v>
      </c>
      <c r="AB7" s="82">
        <f t="shared" ref="AB7:AN7" si="0">SUMIFS($X$8:$X$1023,$V$8:$V$1023,"CT",$W$8:$W$1023,AB6)</f>
        <v>224825</v>
      </c>
      <c r="AC7" s="82">
        <f t="shared" si="0"/>
        <v>0</v>
      </c>
      <c r="AD7" s="82">
        <f t="shared" si="0"/>
        <v>0</v>
      </c>
      <c r="AE7" s="82">
        <f t="shared" si="0"/>
        <v>0</v>
      </c>
      <c r="AF7" s="82">
        <f t="shared" si="0"/>
        <v>0</v>
      </c>
      <c r="AG7" s="82">
        <f t="shared" si="0"/>
        <v>0</v>
      </c>
      <c r="AH7" s="82">
        <f t="shared" si="0"/>
        <v>0</v>
      </c>
      <c r="AI7" s="82">
        <f t="shared" si="0"/>
        <v>0</v>
      </c>
      <c r="AJ7" s="82">
        <f t="shared" si="0"/>
        <v>0</v>
      </c>
      <c r="AK7" s="82">
        <f t="shared" si="0"/>
        <v>0</v>
      </c>
      <c r="AL7" s="82">
        <f t="shared" si="0"/>
        <v>0</v>
      </c>
      <c r="AM7" s="82">
        <f t="shared" si="0"/>
        <v>0</v>
      </c>
      <c r="AN7" s="82">
        <f t="shared" si="0"/>
        <v>0</v>
      </c>
      <c r="AO7" s="58">
        <f>SUM(AB7:AN7)</f>
        <v>224825</v>
      </c>
    </row>
    <row r="8" spans="1:41" s="2" customFormat="1" ht="46.5" customHeight="1">
      <c r="A8" s="21"/>
      <c r="B8" s="24" t="s">
        <v>280</v>
      </c>
      <c r="C8" s="21"/>
      <c r="D8" s="21"/>
      <c r="E8" s="21"/>
      <c r="F8" s="21"/>
      <c r="G8" s="21"/>
      <c r="H8" s="7">
        <f t="shared" ref="H8:O8" si="1">SUM(H9,H18,H21,H22)</f>
        <v>1761187</v>
      </c>
      <c r="I8" s="7">
        <f t="shared" si="1"/>
        <v>719000</v>
      </c>
      <c r="J8" s="7">
        <f t="shared" si="1"/>
        <v>1185078</v>
      </c>
      <c r="K8" s="7">
        <f t="shared" si="1"/>
        <v>543985</v>
      </c>
      <c r="L8" s="7">
        <f t="shared" si="1"/>
        <v>138344</v>
      </c>
      <c r="M8" s="7">
        <f t="shared" si="1"/>
        <v>205425</v>
      </c>
      <c r="N8" s="7">
        <f t="shared" si="1"/>
        <v>200216</v>
      </c>
      <c r="O8" s="7">
        <f t="shared" si="1"/>
        <v>193478</v>
      </c>
      <c r="P8" s="7">
        <f>SUM(P9,P18,P21,P22)</f>
        <v>700000</v>
      </c>
      <c r="Q8" s="7">
        <f>SUM(Q9,Q18,Q21,Q22)</f>
        <v>26375</v>
      </c>
      <c r="R8" s="369">
        <f>SUM(R9,R18,R21,R22)</f>
        <v>-276375</v>
      </c>
      <c r="S8" s="7">
        <f>SUM(S9,S18,S21,S22)</f>
        <v>450000</v>
      </c>
      <c r="T8" s="25"/>
      <c r="U8" s="38">
        <f>700000-P8</f>
        <v>0</v>
      </c>
      <c r="V8" s="93"/>
      <c r="W8" s="93"/>
      <c r="X8" s="42"/>
      <c r="Y8" s="57" t="s">
        <v>471</v>
      </c>
      <c r="Z8" s="57">
        <f>COUNTIF(V8:V920,"KCM")</f>
        <v>0</v>
      </c>
      <c r="AA8" s="82">
        <f>SUMIF(V8:V920,"KCM",X8:X920)</f>
        <v>0</v>
      </c>
      <c r="AB8" s="82">
        <f t="shared" ref="AB8:AN8" si="2">SUMIFS($X$8:$X$1023,$V$8:$V$1023,"KCM",$W$8:$W$1023,AB6)</f>
        <v>0</v>
      </c>
      <c r="AC8" s="82">
        <f t="shared" si="2"/>
        <v>0</v>
      </c>
      <c r="AD8" s="82">
        <f t="shared" si="2"/>
        <v>0</v>
      </c>
      <c r="AE8" s="82">
        <f t="shared" si="2"/>
        <v>0</v>
      </c>
      <c r="AF8" s="82">
        <f t="shared" si="2"/>
        <v>0</v>
      </c>
      <c r="AG8" s="82">
        <f t="shared" si="2"/>
        <v>0</v>
      </c>
      <c r="AH8" s="82">
        <f t="shared" si="2"/>
        <v>0</v>
      </c>
      <c r="AI8" s="82">
        <f t="shared" si="2"/>
        <v>0</v>
      </c>
      <c r="AJ8" s="82">
        <f t="shared" si="2"/>
        <v>0</v>
      </c>
      <c r="AK8" s="82">
        <f t="shared" si="2"/>
        <v>0</v>
      </c>
      <c r="AL8" s="82">
        <f t="shared" si="2"/>
        <v>0</v>
      </c>
      <c r="AM8" s="82">
        <f t="shared" si="2"/>
        <v>0</v>
      </c>
      <c r="AN8" s="82">
        <f t="shared" si="2"/>
        <v>0</v>
      </c>
      <c r="AO8" s="58">
        <f>SUM(AB8:AN8)</f>
        <v>0</v>
      </c>
    </row>
    <row r="9" spans="1:41" s="18" customFormat="1" ht="44.25" customHeight="1">
      <c r="A9" s="13" t="s">
        <v>86</v>
      </c>
      <c r="B9" s="26" t="s">
        <v>1485</v>
      </c>
      <c r="C9" s="13"/>
      <c r="D9" s="13"/>
      <c r="E9" s="13"/>
      <c r="F9" s="13"/>
      <c r="G9" s="13"/>
      <c r="H9" s="8"/>
      <c r="I9" s="8"/>
      <c r="J9" s="8">
        <v>927609</v>
      </c>
      <c r="K9" s="8">
        <f>SUM(L9:N9)</f>
        <v>479994</v>
      </c>
      <c r="L9" s="8">
        <v>138344</v>
      </c>
      <c r="M9" s="8">
        <v>157600</v>
      </c>
      <c r="N9" s="8">
        <v>184050</v>
      </c>
      <c r="O9" s="8"/>
      <c r="P9" s="8">
        <f>SUM(P10:P17)</f>
        <v>396000</v>
      </c>
      <c r="Q9" s="8">
        <f>SUM(Q10:Q17)</f>
        <v>26375</v>
      </c>
      <c r="R9" s="8">
        <f>SUM(R10:R17)</f>
        <v>0</v>
      </c>
      <c r="S9" s="8">
        <f>SUM(S10:S17)</f>
        <v>422375</v>
      </c>
      <c r="T9" s="27"/>
      <c r="V9" s="40"/>
      <c r="W9" s="40"/>
      <c r="X9" s="45"/>
      <c r="Y9" s="230" t="s">
        <v>470</v>
      </c>
      <c r="Z9" s="44">
        <f>SUM(AB9:AN9)</f>
        <v>2</v>
      </c>
      <c r="AA9" s="44"/>
      <c r="AB9" s="44">
        <f t="shared" ref="AB9:AN9" si="3">COUNTIFS($V$8:$V$921,"CT",$W$8:$W$921,AB6)</f>
        <v>2</v>
      </c>
      <c r="AC9" s="44">
        <f t="shared" si="3"/>
        <v>0</v>
      </c>
      <c r="AD9" s="44">
        <f t="shared" si="3"/>
        <v>0</v>
      </c>
      <c r="AE9" s="44">
        <f t="shared" si="3"/>
        <v>0</v>
      </c>
      <c r="AF9" s="44">
        <f t="shared" si="3"/>
        <v>0</v>
      </c>
      <c r="AG9" s="44">
        <f t="shared" si="3"/>
        <v>0</v>
      </c>
      <c r="AH9" s="44">
        <f t="shared" si="3"/>
        <v>0</v>
      </c>
      <c r="AI9" s="44">
        <f t="shared" si="3"/>
        <v>0</v>
      </c>
      <c r="AJ9" s="44">
        <f t="shared" si="3"/>
        <v>0</v>
      </c>
      <c r="AK9" s="44">
        <f t="shared" si="3"/>
        <v>0</v>
      </c>
      <c r="AL9" s="44">
        <f t="shared" si="3"/>
        <v>0</v>
      </c>
      <c r="AM9" s="44">
        <f t="shared" si="3"/>
        <v>0</v>
      </c>
      <c r="AN9" s="44">
        <f t="shared" si="3"/>
        <v>0</v>
      </c>
      <c r="AO9" s="45"/>
    </row>
    <row r="10" spans="1:41" ht="32.25" customHeight="1">
      <c r="A10" s="10"/>
      <c r="B10" s="17" t="s">
        <v>77</v>
      </c>
      <c r="C10" s="94"/>
      <c r="D10" s="89"/>
      <c r="E10" s="90"/>
      <c r="F10" s="23"/>
      <c r="G10" s="91"/>
      <c r="H10" s="49"/>
      <c r="I10" s="49"/>
      <c r="J10" s="49"/>
      <c r="K10" s="49"/>
      <c r="L10" s="48"/>
      <c r="M10" s="49"/>
      <c r="N10" s="49"/>
      <c r="O10" s="49"/>
      <c r="P10" s="49">
        <v>198000</v>
      </c>
      <c r="Q10" s="49">
        <v>21600</v>
      </c>
      <c r="R10" s="49"/>
      <c r="S10" s="32">
        <f t="shared" ref="S10:S17" si="4">SUM(P10:R10)</f>
        <v>219600</v>
      </c>
      <c r="T10" s="92"/>
      <c r="X10" s="6"/>
      <c r="Y10" s="42" t="s">
        <v>471</v>
      </c>
      <c r="Z10" s="44">
        <f>SUM(AB10:AN10)</f>
        <v>0</v>
      </c>
      <c r="AA10" s="44"/>
      <c r="AB10" s="44">
        <f t="shared" ref="AB10:AN10" si="5">COUNTIFS($V$8:$V$921,"KCM",$W$8:$W$921,AB6)</f>
        <v>0</v>
      </c>
      <c r="AC10" s="44">
        <f t="shared" si="5"/>
        <v>0</v>
      </c>
      <c r="AD10" s="44">
        <f t="shared" si="5"/>
        <v>0</v>
      </c>
      <c r="AE10" s="44">
        <f t="shared" si="5"/>
        <v>0</v>
      </c>
      <c r="AF10" s="44">
        <f t="shared" si="5"/>
        <v>0</v>
      </c>
      <c r="AG10" s="44">
        <f t="shared" si="5"/>
        <v>0</v>
      </c>
      <c r="AH10" s="44">
        <f t="shared" si="5"/>
        <v>0</v>
      </c>
      <c r="AI10" s="44">
        <f t="shared" si="5"/>
        <v>0</v>
      </c>
      <c r="AJ10" s="44">
        <f t="shared" si="5"/>
        <v>0</v>
      </c>
      <c r="AK10" s="44">
        <f t="shared" si="5"/>
        <v>0</v>
      </c>
      <c r="AL10" s="44">
        <f t="shared" si="5"/>
        <v>0</v>
      </c>
      <c r="AM10" s="44">
        <f t="shared" si="5"/>
        <v>0</v>
      </c>
      <c r="AN10" s="44">
        <f t="shared" si="5"/>
        <v>0</v>
      </c>
      <c r="AO10" s="44"/>
    </row>
    <row r="11" spans="1:41" ht="32.25" customHeight="1">
      <c r="A11" s="10"/>
      <c r="B11" s="17" t="s">
        <v>78</v>
      </c>
      <c r="C11" s="94"/>
      <c r="D11" s="89"/>
      <c r="E11" s="90"/>
      <c r="F11" s="23"/>
      <c r="G11" s="91"/>
      <c r="H11" s="49"/>
      <c r="I11" s="49"/>
      <c r="J11" s="49"/>
      <c r="K11" s="49"/>
      <c r="L11" s="48"/>
      <c r="M11" s="49"/>
      <c r="N11" s="49"/>
      <c r="O11" s="49"/>
      <c r="P11" s="49">
        <v>40500</v>
      </c>
      <c r="Q11" s="49">
        <v>4175</v>
      </c>
      <c r="R11" s="49"/>
      <c r="S11" s="32">
        <f t="shared" si="4"/>
        <v>44675</v>
      </c>
      <c r="T11" s="92"/>
      <c r="X11" s="6"/>
    </row>
    <row r="12" spans="1:41" ht="32.25" customHeight="1">
      <c r="A12" s="10"/>
      <c r="B12" s="17" t="s">
        <v>79</v>
      </c>
      <c r="C12" s="94"/>
      <c r="D12" s="89"/>
      <c r="E12" s="90"/>
      <c r="F12" s="23"/>
      <c r="G12" s="91"/>
      <c r="H12" s="49"/>
      <c r="I12" s="49"/>
      <c r="J12" s="49"/>
      <c r="K12" s="49"/>
      <c r="L12" s="48"/>
      <c r="M12" s="49"/>
      <c r="N12" s="49"/>
      <c r="O12" s="49"/>
      <c r="P12" s="49">
        <v>40500</v>
      </c>
      <c r="Q12" s="49"/>
      <c r="R12" s="49"/>
      <c r="S12" s="32">
        <f t="shared" si="4"/>
        <v>40500</v>
      </c>
      <c r="T12" s="92"/>
      <c r="X12" s="6"/>
    </row>
    <row r="13" spans="1:41" ht="32.25" customHeight="1">
      <c r="A13" s="10"/>
      <c r="B13" s="17" t="s">
        <v>80</v>
      </c>
      <c r="C13" s="94"/>
      <c r="D13" s="89"/>
      <c r="E13" s="90"/>
      <c r="F13" s="23"/>
      <c r="G13" s="91"/>
      <c r="H13" s="49"/>
      <c r="I13" s="49"/>
      <c r="J13" s="49"/>
      <c r="K13" s="49"/>
      <c r="L13" s="48"/>
      <c r="M13" s="49"/>
      <c r="N13" s="49"/>
      <c r="O13" s="49"/>
      <c r="P13" s="49">
        <v>31500</v>
      </c>
      <c r="Q13" s="49"/>
      <c r="R13" s="49"/>
      <c r="S13" s="32">
        <f t="shared" si="4"/>
        <v>31500</v>
      </c>
      <c r="T13" s="92"/>
      <c r="X13" s="6"/>
    </row>
    <row r="14" spans="1:41" ht="32.25" customHeight="1">
      <c r="A14" s="10"/>
      <c r="B14" s="17" t="s">
        <v>81</v>
      </c>
      <c r="C14" s="94"/>
      <c r="D14" s="89"/>
      <c r="E14" s="90"/>
      <c r="F14" s="23"/>
      <c r="G14" s="91"/>
      <c r="H14" s="49"/>
      <c r="I14" s="49"/>
      <c r="J14" s="49"/>
      <c r="K14" s="49"/>
      <c r="L14" s="48"/>
      <c r="M14" s="49"/>
      <c r="N14" s="49"/>
      <c r="O14" s="49"/>
      <c r="P14" s="49">
        <v>22500</v>
      </c>
      <c r="Q14" s="49"/>
      <c r="R14" s="49"/>
      <c r="S14" s="32">
        <f t="shared" si="4"/>
        <v>22500</v>
      </c>
      <c r="T14" s="92"/>
      <c r="X14" s="6"/>
    </row>
    <row r="15" spans="1:41" ht="32.25" customHeight="1">
      <c r="A15" s="10"/>
      <c r="B15" s="17" t="s">
        <v>82</v>
      </c>
      <c r="C15" s="94"/>
      <c r="D15" s="89"/>
      <c r="E15" s="90"/>
      <c r="F15" s="23"/>
      <c r="G15" s="91"/>
      <c r="H15" s="49"/>
      <c r="I15" s="49"/>
      <c r="J15" s="49"/>
      <c r="K15" s="49"/>
      <c r="L15" s="48"/>
      <c r="M15" s="49"/>
      <c r="N15" s="49"/>
      <c r="O15" s="49"/>
      <c r="P15" s="49">
        <v>21600</v>
      </c>
      <c r="Q15" s="49"/>
      <c r="R15" s="49"/>
      <c r="S15" s="32">
        <f t="shared" si="4"/>
        <v>21600</v>
      </c>
      <c r="T15" s="92"/>
      <c r="X15" s="6"/>
    </row>
    <row r="16" spans="1:41" ht="32.25" customHeight="1">
      <c r="A16" s="10"/>
      <c r="B16" s="17" t="s">
        <v>83</v>
      </c>
      <c r="C16" s="94"/>
      <c r="D16" s="89"/>
      <c r="E16" s="90"/>
      <c r="F16" s="23"/>
      <c r="G16" s="91"/>
      <c r="H16" s="49"/>
      <c r="I16" s="49"/>
      <c r="J16" s="49"/>
      <c r="K16" s="49"/>
      <c r="L16" s="48"/>
      <c r="M16" s="49"/>
      <c r="N16" s="49"/>
      <c r="O16" s="49"/>
      <c r="P16" s="49">
        <v>27000</v>
      </c>
      <c r="Q16" s="49"/>
      <c r="R16" s="49"/>
      <c r="S16" s="32">
        <f t="shared" si="4"/>
        <v>27000</v>
      </c>
      <c r="T16" s="92"/>
      <c r="X16" s="6"/>
    </row>
    <row r="17" spans="1:41" ht="32.25" customHeight="1">
      <c r="A17" s="10"/>
      <c r="B17" s="17" t="s">
        <v>84</v>
      </c>
      <c r="C17" s="94"/>
      <c r="D17" s="89"/>
      <c r="E17" s="90"/>
      <c r="F17" s="23"/>
      <c r="G17" s="91"/>
      <c r="H17" s="49"/>
      <c r="I17" s="49"/>
      <c r="J17" s="49"/>
      <c r="K17" s="49"/>
      <c r="L17" s="48"/>
      <c r="M17" s="49"/>
      <c r="N17" s="49"/>
      <c r="O17" s="49"/>
      <c r="P17" s="49">
        <v>14400</v>
      </c>
      <c r="Q17" s="49">
        <v>600</v>
      </c>
      <c r="R17" s="49"/>
      <c r="S17" s="32">
        <f t="shared" si="4"/>
        <v>15000</v>
      </c>
      <c r="T17" s="92"/>
      <c r="X17" s="6"/>
    </row>
    <row r="18" spans="1:41" s="18" customFormat="1" ht="48.75" customHeight="1">
      <c r="A18" s="13" t="s">
        <v>20</v>
      </c>
      <c r="B18" s="26" t="s">
        <v>968</v>
      </c>
      <c r="C18" s="13"/>
      <c r="D18" s="13"/>
      <c r="E18" s="13"/>
      <c r="F18" s="13"/>
      <c r="G18" s="13"/>
      <c r="H18" s="8"/>
      <c r="I18" s="8"/>
      <c r="J18" s="8"/>
      <c r="K18" s="8"/>
      <c r="L18" s="8"/>
      <c r="M18" s="8"/>
      <c r="N18" s="8"/>
      <c r="O18" s="8"/>
      <c r="P18" s="8">
        <f>SUM(P19:P20)</f>
        <v>70000</v>
      </c>
      <c r="Q18" s="8">
        <f>SUM(Q19:Q20)</f>
        <v>0</v>
      </c>
      <c r="R18" s="366">
        <f>SUM(R19:R20)</f>
        <v>-52375</v>
      </c>
      <c r="S18" s="8">
        <f>SUM(S19:S20)</f>
        <v>17625</v>
      </c>
      <c r="T18" s="1" t="s">
        <v>971</v>
      </c>
      <c r="V18" s="40"/>
      <c r="W18" s="40"/>
      <c r="X18" s="45"/>
      <c r="Y18" s="45"/>
      <c r="Z18" s="45"/>
      <c r="AA18" s="45"/>
      <c r="AB18" s="45"/>
      <c r="AC18" s="45"/>
      <c r="AD18" s="45"/>
      <c r="AE18" s="45"/>
      <c r="AF18" s="45"/>
      <c r="AG18" s="45"/>
      <c r="AH18" s="45"/>
      <c r="AI18" s="45"/>
      <c r="AJ18" s="45"/>
      <c r="AK18" s="45"/>
      <c r="AL18" s="45"/>
      <c r="AM18" s="45"/>
      <c r="AN18" s="45"/>
      <c r="AO18" s="45"/>
    </row>
    <row r="19" spans="1:41" ht="30.75" customHeight="1">
      <c r="A19" s="10">
        <v>1</v>
      </c>
      <c r="B19" s="17" t="s">
        <v>969</v>
      </c>
      <c r="C19" s="94"/>
      <c r="D19" s="89"/>
      <c r="E19" s="90"/>
      <c r="F19" s="23"/>
      <c r="G19" s="91"/>
      <c r="H19" s="49"/>
      <c r="I19" s="49"/>
      <c r="J19" s="49"/>
      <c r="K19" s="49"/>
      <c r="L19" s="48"/>
      <c r="M19" s="49"/>
      <c r="N19" s="49"/>
      <c r="O19" s="49"/>
      <c r="P19" s="49">
        <v>26000</v>
      </c>
      <c r="Q19" s="49"/>
      <c r="R19" s="368">
        <v>-26000</v>
      </c>
      <c r="S19" s="49">
        <f>SUM(P19:R19)</f>
        <v>0</v>
      </c>
      <c r="T19" s="92"/>
      <c r="X19" s="6"/>
    </row>
    <row r="20" spans="1:41" ht="30.75" customHeight="1">
      <c r="A20" s="10">
        <v>2</v>
      </c>
      <c r="B20" s="17" t="s">
        <v>970</v>
      </c>
      <c r="C20" s="94"/>
      <c r="D20" s="89"/>
      <c r="E20" s="90"/>
      <c r="F20" s="23"/>
      <c r="G20" s="91"/>
      <c r="H20" s="49"/>
      <c r="I20" s="49"/>
      <c r="J20" s="49"/>
      <c r="K20" s="49"/>
      <c r="L20" s="48"/>
      <c r="M20" s="49"/>
      <c r="N20" s="49"/>
      <c r="O20" s="49"/>
      <c r="P20" s="49">
        <v>44000</v>
      </c>
      <c r="Q20" s="49"/>
      <c r="R20" s="368">
        <f>-21600-4175-600</f>
        <v>-26375</v>
      </c>
      <c r="S20" s="49">
        <f>SUM(P20:R20)</f>
        <v>17625</v>
      </c>
      <c r="T20" s="92"/>
      <c r="X20" s="6"/>
    </row>
    <row r="21" spans="1:41" s="18" customFormat="1" ht="47.25" customHeight="1">
      <c r="A21" s="13" t="s">
        <v>19</v>
      </c>
      <c r="B21" s="26" t="s">
        <v>692</v>
      </c>
      <c r="C21" s="13"/>
      <c r="D21" s="13"/>
      <c r="E21" s="13"/>
      <c r="F21" s="13"/>
      <c r="G21" s="13"/>
      <c r="H21" s="8"/>
      <c r="I21" s="8"/>
      <c r="J21" s="8"/>
      <c r="K21" s="8"/>
      <c r="L21" s="8"/>
      <c r="M21" s="8"/>
      <c r="N21" s="8"/>
      <c r="O21" s="8"/>
      <c r="P21" s="8">
        <v>9175</v>
      </c>
      <c r="Q21" s="8"/>
      <c r="R21" s="366">
        <v>-9175</v>
      </c>
      <c r="S21" s="8">
        <f>SUM(P21:R21)</f>
        <v>0</v>
      </c>
      <c r="T21" s="1"/>
      <c r="U21" s="18">
        <f>(700000-P9-P18)*7%</f>
        <v>16380.000000000002</v>
      </c>
      <c r="V21" s="40"/>
      <c r="W21" s="40"/>
      <c r="X21" s="45"/>
      <c r="Y21" s="45"/>
      <c r="Z21" s="45"/>
      <c r="AA21" s="45"/>
      <c r="AB21" s="45"/>
      <c r="AC21" s="45"/>
      <c r="AD21" s="45"/>
      <c r="AE21" s="45"/>
      <c r="AF21" s="45"/>
      <c r="AG21" s="45"/>
      <c r="AH21" s="45"/>
      <c r="AI21" s="45"/>
      <c r="AJ21" s="45"/>
      <c r="AK21" s="45"/>
      <c r="AL21" s="45"/>
      <c r="AM21" s="45"/>
      <c r="AN21" s="45"/>
      <c r="AO21" s="45"/>
    </row>
    <row r="22" spans="1:41" s="18" customFormat="1" ht="51.75" customHeight="1">
      <c r="A22" s="13" t="s">
        <v>502</v>
      </c>
      <c r="B22" s="26" t="s">
        <v>138</v>
      </c>
      <c r="C22" s="13"/>
      <c r="D22" s="13"/>
      <c r="E22" s="13"/>
      <c r="F22" s="13"/>
      <c r="G22" s="13"/>
      <c r="H22" s="8">
        <f>SUM(H23)</f>
        <v>1761187</v>
      </c>
      <c r="I22" s="8">
        <f t="shared" ref="I22:S23" si="6">SUM(I23)</f>
        <v>719000</v>
      </c>
      <c r="J22" s="8">
        <f t="shared" si="6"/>
        <v>257469</v>
      </c>
      <c r="K22" s="8">
        <f t="shared" si="6"/>
        <v>63991</v>
      </c>
      <c r="L22" s="8">
        <f t="shared" si="6"/>
        <v>0</v>
      </c>
      <c r="M22" s="8">
        <f t="shared" si="6"/>
        <v>47825</v>
      </c>
      <c r="N22" s="8">
        <f t="shared" si="6"/>
        <v>16166</v>
      </c>
      <c r="O22" s="8">
        <f t="shared" si="6"/>
        <v>193478</v>
      </c>
      <c r="P22" s="8">
        <f t="shared" si="6"/>
        <v>224825</v>
      </c>
      <c r="Q22" s="8">
        <f t="shared" si="6"/>
        <v>0</v>
      </c>
      <c r="R22" s="366">
        <f t="shared" si="6"/>
        <v>-214825</v>
      </c>
      <c r="S22" s="8">
        <f t="shared" si="6"/>
        <v>10000</v>
      </c>
      <c r="T22" s="27"/>
      <c r="V22" s="40"/>
      <c r="W22" s="40"/>
      <c r="X22" s="45"/>
      <c r="Y22" s="45"/>
      <c r="Z22" s="45"/>
      <c r="AA22" s="45"/>
      <c r="AB22" s="45"/>
      <c r="AC22" s="45"/>
      <c r="AD22" s="45"/>
      <c r="AE22" s="45"/>
      <c r="AF22" s="45"/>
      <c r="AG22" s="45"/>
      <c r="AH22" s="45"/>
      <c r="AI22" s="45"/>
      <c r="AJ22" s="45"/>
      <c r="AK22" s="45"/>
      <c r="AL22" s="45"/>
      <c r="AM22" s="45"/>
      <c r="AN22" s="45"/>
      <c r="AO22" s="45"/>
    </row>
    <row r="23" spans="1:41" s="18" customFormat="1" ht="32.25" customHeight="1">
      <c r="A23" s="13" t="s">
        <v>15</v>
      </c>
      <c r="B23" s="26" t="s">
        <v>911</v>
      </c>
      <c r="C23" s="13"/>
      <c r="D23" s="13"/>
      <c r="E23" s="13"/>
      <c r="F23" s="13"/>
      <c r="G23" s="13"/>
      <c r="H23" s="8">
        <f>SUM(H24)</f>
        <v>1761187</v>
      </c>
      <c r="I23" s="8">
        <f t="shared" si="6"/>
        <v>719000</v>
      </c>
      <c r="J23" s="8">
        <f t="shared" si="6"/>
        <v>257469</v>
      </c>
      <c r="K23" s="8">
        <f t="shared" si="6"/>
        <v>63991</v>
      </c>
      <c r="L23" s="8">
        <f t="shared" si="6"/>
        <v>0</v>
      </c>
      <c r="M23" s="8">
        <f t="shared" si="6"/>
        <v>47825</v>
      </c>
      <c r="N23" s="8">
        <f t="shared" si="6"/>
        <v>16166</v>
      </c>
      <c r="O23" s="8">
        <f t="shared" si="6"/>
        <v>193478</v>
      </c>
      <c r="P23" s="8">
        <f t="shared" si="6"/>
        <v>224825</v>
      </c>
      <c r="Q23" s="8">
        <f t="shared" si="6"/>
        <v>0</v>
      </c>
      <c r="R23" s="366">
        <f t="shared" si="6"/>
        <v>-214825</v>
      </c>
      <c r="S23" s="8">
        <f t="shared" si="6"/>
        <v>10000</v>
      </c>
      <c r="T23" s="27"/>
      <c r="V23" s="39"/>
      <c r="W23" s="39"/>
      <c r="X23" s="44"/>
      <c r="Y23" s="42"/>
      <c r="Z23" s="44"/>
      <c r="AA23" s="44"/>
      <c r="AB23" s="44"/>
      <c r="AC23" s="44"/>
      <c r="AD23" s="44"/>
      <c r="AE23" s="44"/>
      <c r="AF23" s="44"/>
      <c r="AG23" s="44"/>
      <c r="AH23" s="44"/>
      <c r="AI23" s="44"/>
      <c r="AJ23" s="44"/>
      <c r="AK23" s="44"/>
      <c r="AL23" s="44"/>
      <c r="AM23" s="44"/>
      <c r="AN23" s="44"/>
      <c r="AO23" s="44"/>
    </row>
    <row r="24" spans="1:41" s="20" customFormat="1" ht="33" customHeight="1">
      <c r="A24" s="15" t="s">
        <v>17</v>
      </c>
      <c r="B24" s="16" t="s">
        <v>64</v>
      </c>
      <c r="C24" s="16"/>
      <c r="D24" s="16"/>
      <c r="E24" s="16"/>
      <c r="F24" s="16"/>
      <c r="G24" s="16"/>
      <c r="H24" s="29">
        <f t="shared" ref="H24:P24" si="7">SUM(H25:H26)</f>
        <v>1761187</v>
      </c>
      <c r="I24" s="29">
        <f t="shared" si="7"/>
        <v>719000</v>
      </c>
      <c r="J24" s="29">
        <f t="shared" si="7"/>
        <v>257469</v>
      </c>
      <c r="K24" s="29">
        <f t="shared" si="7"/>
        <v>63991</v>
      </c>
      <c r="L24" s="29">
        <f t="shared" si="7"/>
        <v>0</v>
      </c>
      <c r="M24" s="29">
        <f t="shared" si="7"/>
        <v>47825</v>
      </c>
      <c r="N24" s="29">
        <f t="shared" si="7"/>
        <v>16166</v>
      </c>
      <c r="O24" s="29">
        <f t="shared" si="7"/>
        <v>193478</v>
      </c>
      <c r="P24" s="29">
        <f t="shared" si="7"/>
        <v>224825</v>
      </c>
      <c r="Q24" s="29">
        <f>SUM(Q25:Q26)</f>
        <v>0</v>
      </c>
      <c r="R24" s="367">
        <f>SUM(R25:R26)</f>
        <v>-214825</v>
      </c>
      <c r="S24" s="29">
        <f>SUM(S25:S26)</f>
        <v>10000</v>
      </c>
      <c r="T24" s="19"/>
    </row>
    <row r="25" spans="1:41" ht="92.25" customHeight="1">
      <c r="A25" s="10">
        <v>1</v>
      </c>
      <c r="B25" s="17" t="s">
        <v>140</v>
      </c>
      <c r="C25" s="88" t="s">
        <v>141</v>
      </c>
      <c r="D25" s="89" t="s">
        <v>20</v>
      </c>
      <c r="E25" s="90" t="s">
        <v>142</v>
      </c>
      <c r="F25" s="23" t="s">
        <v>36</v>
      </c>
      <c r="G25" s="91" t="s">
        <v>1438</v>
      </c>
      <c r="H25" s="49">
        <v>268187</v>
      </c>
      <c r="I25" s="49">
        <v>226000</v>
      </c>
      <c r="J25" s="48">
        <v>47825</v>
      </c>
      <c r="K25" s="49">
        <f>SUM(L25:N25)</f>
        <v>47825</v>
      </c>
      <c r="L25" s="48"/>
      <c r="M25" s="49">
        <f>J25-L25</f>
        <v>47825</v>
      </c>
      <c r="N25" s="49"/>
      <c r="O25" s="49">
        <f>J25-K25</f>
        <v>0</v>
      </c>
      <c r="P25" s="49">
        <f>M25-O25</f>
        <v>47825</v>
      </c>
      <c r="Q25" s="49"/>
      <c r="R25" s="368">
        <v>-47825</v>
      </c>
      <c r="S25" s="32">
        <f>SUM(P25:R25)</f>
        <v>0</v>
      </c>
      <c r="T25" s="92" t="s">
        <v>1468</v>
      </c>
      <c r="V25" s="11" t="s">
        <v>472</v>
      </c>
      <c r="W25" s="11" t="s">
        <v>474</v>
      </c>
      <c r="X25" s="6">
        <f>P25</f>
        <v>47825</v>
      </c>
    </row>
    <row r="26" spans="1:41" ht="72" customHeight="1">
      <c r="A26" s="10">
        <v>2</v>
      </c>
      <c r="B26" s="17" t="s">
        <v>337</v>
      </c>
      <c r="C26" s="28" t="s">
        <v>342</v>
      </c>
      <c r="D26" s="89" t="s">
        <v>20</v>
      </c>
      <c r="E26" s="28" t="s">
        <v>347</v>
      </c>
      <c r="F26" s="28" t="s">
        <v>36</v>
      </c>
      <c r="G26" s="10" t="s">
        <v>563</v>
      </c>
      <c r="H26" s="49">
        <v>1493000</v>
      </c>
      <c r="I26" s="49">
        <f>H26-1000000</f>
        <v>493000</v>
      </c>
      <c r="J26" s="48">
        <v>209644</v>
      </c>
      <c r="K26" s="49">
        <f>SUM(L26:N26)</f>
        <v>16166</v>
      </c>
      <c r="L26" s="48"/>
      <c r="M26" s="49"/>
      <c r="N26" s="49">
        <v>16166</v>
      </c>
      <c r="O26" s="49">
        <f>J26-K26</f>
        <v>193478</v>
      </c>
      <c r="P26" s="49">
        <f>177000</f>
        <v>177000</v>
      </c>
      <c r="Q26" s="49"/>
      <c r="R26" s="368">
        <v>-167000</v>
      </c>
      <c r="S26" s="32">
        <f>SUM(P26:R26)</f>
        <v>10000</v>
      </c>
      <c r="T26" s="92" t="s">
        <v>1467</v>
      </c>
      <c r="V26" s="11" t="s">
        <v>472</v>
      </c>
      <c r="W26" s="11" t="s">
        <v>474</v>
      </c>
      <c r="X26" s="6">
        <f>P26</f>
        <v>177000</v>
      </c>
    </row>
    <row r="27" spans="1:41" ht="22.5" customHeight="1">
      <c r="A27" s="22"/>
      <c r="C27" s="95"/>
      <c r="D27" s="96"/>
      <c r="E27" s="97"/>
      <c r="F27" s="98"/>
      <c r="G27" s="99"/>
      <c r="H27" s="100"/>
      <c r="I27" s="100"/>
      <c r="J27" s="101"/>
      <c r="K27" s="101"/>
      <c r="L27" s="9"/>
      <c r="M27" s="100"/>
      <c r="N27" s="100"/>
      <c r="O27" s="100"/>
      <c r="P27" s="100"/>
      <c r="Q27" s="100"/>
      <c r="R27" s="100"/>
      <c r="S27" s="100"/>
      <c r="T27" s="102"/>
    </row>
    <row r="28" spans="1:41" ht="101.25" customHeight="1">
      <c r="A28" s="564" t="s">
        <v>1487</v>
      </c>
      <c r="B28" s="564"/>
      <c r="C28" s="564"/>
      <c r="D28" s="564"/>
      <c r="E28" s="564"/>
      <c r="F28" s="564"/>
      <c r="G28" s="564"/>
      <c r="H28" s="564"/>
      <c r="I28" s="564"/>
      <c r="J28" s="564"/>
      <c r="K28" s="564"/>
      <c r="L28" s="564"/>
      <c r="M28" s="564"/>
      <c r="N28" s="564"/>
      <c r="O28" s="564"/>
      <c r="P28" s="564"/>
      <c r="Q28" s="564"/>
      <c r="R28" s="564"/>
      <c r="S28" s="564"/>
      <c r="T28" s="564"/>
    </row>
    <row r="29" spans="1:41" ht="18.75" customHeight="1">
      <c r="A29" s="103"/>
      <c r="B29" s="103"/>
      <c r="C29" s="103"/>
      <c r="D29" s="103"/>
      <c r="E29" s="103"/>
      <c r="F29" s="103"/>
      <c r="G29" s="103"/>
      <c r="H29" s="103"/>
      <c r="I29" s="103"/>
      <c r="J29" s="103"/>
      <c r="K29" s="103"/>
      <c r="L29" s="103"/>
      <c r="M29" s="103"/>
      <c r="N29" s="103"/>
      <c r="O29" s="103"/>
      <c r="P29" s="103"/>
      <c r="Q29" s="103"/>
      <c r="R29" s="103"/>
      <c r="S29" s="103"/>
      <c r="T29" s="103"/>
    </row>
  </sheetData>
  <mergeCells count="23">
    <mergeCell ref="A1:T1"/>
    <mergeCell ref="A2:T2"/>
    <mergeCell ref="A3:T3"/>
    <mergeCell ref="A5:A7"/>
    <mergeCell ref="B5:B7"/>
    <mergeCell ref="C5:C7"/>
    <mergeCell ref="D5:D7"/>
    <mergeCell ref="E5:E7"/>
    <mergeCell ref="F5:F7"/>
    <mergeCell ref="G5:I5"/>
    <mergeCell ref="O5:O7"/>
    <mergeCell ref="P5:P7"/>
    <mergeCell ref="Q5:Q7"/>
    <mergeCell ref="R5:R7"/>
    <mergeCell ref="S5:S7"/>
    <mergeCell ref="A28:T28"/>
    <mergeCell ref="T5:T7"/>
    <mergeCell ref="G6:G7"/>
    <mergeCell ref="H6:I6"/>
    <mergeCell ref="K5:N5"/>
    <mergeCell ref="K6:K7"/>
    <mergeCell ref="L6:N6"/>
    <mergeCell ref="J5:J7"/>
  </mergeCells>
  <printOptions horizontalCentered="1"/>
  <pageMargins left="0.39370078740157499" right="0.39370078740157499" top="0.39370078740157499" bottom="0.39370078740157499" header="0.196850393700787" footer="0.196850393700787"/>
  <pageSetup paperSize="9" scale="43" fitToHeight="0" orientation="landscape" r:id="rId1"/>
  <headerFooter alignWithMargins="0">
    <oddFooter>&amp;C&amp;"Times New Roman,thường"&amp;11&amp;P/&amp;N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B131"/>
  <sheetViews>
    <sheetView view="pageBreakPreview" zoomScale="60" zoomScaleNormal="50" workbookViewId="0">
      <selection activeCell="AB19" sqref="AB19"/>
    </sheetView>
  </sheetViews>
  <sheetFormatPr defaultColWidth="9.109375" defaultRowHeight="16.8"/>
  <cols>
    <col min="1" max="1" width="8.6640625" style="11" customWidth="1"/>
    <col min="2" max="2" width="50.6640625" style="11" customWidth="1"/>
    <col min="3" max="3" width="20.6640625" style="11" customWidth="1"/>
    <col min="4" max="4" width="20.6640625" style="22" customWidth="1"/>
    <col min="5" max="6" width="20.6640625" style="11" customWidth="1"/>
    <col min="7" max="7" width="22.6640625" style="11" customWidth="1"/>
    <col min="8" max="9" width="20.6640625" style="11" customWidth="1"/>
    <col min="10" max="24" width="20.6640625" style="11" hidden="1" customWidth="1"/>
    <col min="25" max="28" width="20.6640625" style="11" customWidth="1"/>
    <col min="29" max="29" width="40.6640625" style="11" customWidth="1"/>
    <col min="30" max="30" width="19.109375" style="11" customWidth="1"/>
    <col min="31" max="31" width="14.88671875" style="22" customWidth="1"/>
    <col min="32" max="32" width="13.44140625" style="22" customWidth="1"/>
    <col min="33" max="33" width="17.88671875" style="11" customWidth="1"/>
    <col min="34" max="35" width="9" style="11" bestFit="1" customWidth="1"/>
    <col min="36" max="36" width="6.44140625" style="11" bestFit="1" customWidth="1"/>
    <col min="37" max="37" width="19.33203125" style="11" customWidth="1"/>
    <col min="38" max="38" width="17.33203125" style="11" customWidth="1"/>
    <col min="39" max="53" width="15.109375" style="11" customWidth="1"/>
    <col min="54" max="16384" width="9.109375" style="11"/>
  </cols>
  <sheetData>
    <row r="1" spans="1:54" ht="39.9" customHeight="1">
      <c r="A1" s="554" t="s">
        <v>440</v>
      </c>
      <c r="B1" s="554"/>
      <c r="C1" s="554"/>
      <c r="D1" s="554"/>
      <c r="E1" s="554"/>
      <c r="F1" s="554"/>
      <c r="G1" s="554"/>
      <c r="H1" s="554"/>
      <c r="I1" s="554"/>
      <c r="J1" s="554"/>
      <c r="K1" s="554"/>
      <c r="L1" s="554"/>
      <c r="M1" s="554"/>
      <c r="N1" s="554"/>
      <c r="O1" s="554"/>
      <c r="P1" s="554"/>
      <c r="Q1" s="554"/>
      <c r="R1" s="554"/>
      <c r="S1" s="554"/>
      <c r="T1" s="554"/>
      <c r="U1" s="554"/>
      <c r="V1" s="554"/>
      <c r="W1" s="554"/>
      <c r="X1" s="554"/>
      <c r="Y1" s="554"/>
      <c r="Z1" s="554"/>
      <c r="AA1" s="554"/>
      <c r="AB1" s="554"/>
      <c r="AC1" s="554"/>
    </row>
    <row r="2" spans="1:54" ht="69.900000000000006" customHeight="1">
      <c r="A2" s="555" t="s">
        <v>1456</v>
      </c>
      <c r="B2" s="555"/>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row>
    <row r="3" spans="1:54" ht="50.1" customHeight="1">
      <c r="A3" s="556" t="str">
        <f>'1. CĐNS'!A3</f>
        <v>(Ban hành kèm theo Quyết định số: 2571/QĐ-UBND ngày 12/12/2024 của Ủy ban nhân dân tỉnh)</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row>
    <row r="4" spans="1:54" ht="33.75" customHeight="1">
      <c r="J4" s="12"/>
      <c r="K4" s="12"/>
      <c r="L4" s="12"/>
      <c r="M4" s="12"/>
      <c r="N4" s="12"/>
      <c r="O4" s="12"/>
      <c r="P4" s="12"/>
      <c r="Q4" s="12"/>
      <c r="R4" s="12"/>
      <c r="S4" s="12"/>
      <c r="T4" s="12"/>
      <c r="U4" s="12"/>
      <c r="V4" s="12"/>
      <c r="W4" s="12"/>
      <c r="X4" s="12"/>
      <c r="Y4" s="12"/>
      <c r="Z4" s="12"/>
      <c r="AA4" s="12"/>
      <c r="AB4" s="12"/>
      <c r="AC4" s="12" t="s">
        <v>0</v>
      </c>
    </row>
    <row r="5" spans="1:54" ht="60" customHeight="1">
      <c r="A5" s="559" t="s">
        <v>1</v>
      </c>
      <c r="B5" s="561" t="s">
        <v>513</v>
      </c>
      <c r="C5" s="559" t="s">
        <v>2</v>
      </c>
      <c r="D5" s="559" t="s">
        <v>3</v>
      </c>
      <c r="E5" s="562" t="s">
        <v>4</v>
      </c>
      <c r="F5" s="562" t="s">
        <v>5</v>
      </c>
      <c r="G5" s="562" t="s">
        <v>148</v>
      </c>
      <c r="H5" s="562"/>
      <c r="I5" s="562"/>
      <c r="J5" s="570" t="s">
        <v>696</v>
      </c>
      <c r="K5" s="104" t="s">
        <v>512</v>
      </c>
      <c r="L5" s="105"/>
      <c r="M5" s="105"/>
      <c r="N5" s="105"/>
      <c r="O5" s="105"/>
      <c r="P5" s="105"/>
      <c r="Q5" s="105"/>
      <c r="R5" s="105"/>
      <c r="S5" s="106"/>
      <c r="T5" s="565" t="s">
        <v>808</v>
      </c>
      <c r="U5" s="565"/>
      <c r="V5" s="565"/>
      <c r="W5" s="565"/>
      <c r="X5" s="557" t="s">
        <v>689</v>
      </c>
      <c r="Y5" s="557" t="s">
        <v>690</v>
      </c>
      <c r="Z5" s="557" t="s">
        <v>1072</v>
      </c>
      <c r="AA5" s="557" t="s">
        <v>1073</v>
      </c>
      <c r="AB5" s="557" t="s">
        <v>1071</v>
      </c>
      <c r="AC5" s="559" t="s">
        <v>6</v>
      </c>
      <c r="AD5" s="14"/>
    </row>
    <row r="6" spans="1:54" ht="60" customHeight="1">
      <c r="A6" s="560"/>
      <c r="B6" s="561"/>
      <c r="C6" s="560"/>
      <c r="D6" s="560"/>
      <c r="E6" s="562"/>
      <c r="F6" s="562"/>
      <c r="G6" s="562" t="s">
        <v>7</v>
      </c>
      <c r="H6" s="562" t="s">
        <v>8</v>
      </c>
      <c r="I6" s="562"/>
      <c r="J6" s="571"/>
      <c r="K6" s="557" t="s">
        <v>558</v>
      </c>
      <c r="L6" s="566" t="s">
        <v>559</v>
      </c>
      <c r="M6" s="567"/>
      <c r="N6" s="567"/>
      <c r="O6" s="567"/>
      <c r="P6" s="567"/>
      <c r="Q6" s="567"/>
      <c r="R6" s="567"/>
      <c r="S6" s="568"/>
      <c r="T6" s="565" t="s">
        <v>9</v>
      </c>
      <c r="U6" s="565" t="s">
        <v>10</v>
      </c>
      <c r="V6" s="565"/>
      <c r="W6" s="565"/>
      <c r="X6" s="569"/>
      <c r="Y6" s="569"/>
      <c r="Z6" s="569"/>
      <c r="AA6" s="569"/>
      <c r="AB6" s="569"/>
      <c r="AC6" s="560"/>
      <c r="AD6" s="14"/>
      <c r="AE6" s="56" t="s">
        <v>452</v>
      </c>
      <c r="AF6" s="56" t="s">
        <v>453</v>
      </c>
      <c r="AG6" s="57" t="s">
        <v>454</v>
      </c>
      <c r="AH6" s="57" t="s">
        <v>627</v>
      </c>
      <c r="AI6" s="57" t="s">
        <v>629</v>
      </c>
      <c r="AJ6" s="57" t="s">
        <v>628</v>
      </c>
      <c r="AK6" s="57"/>
      <c r="AL6" s="57" t="s">
        <v>455</v>
      </c>
      <c r="AM6" s="56" t="s">
        <v>456</v>
      </c>
      <c r="AN6" s="56" t="s">
        <v>474</v>
      </c>
      <c r="AO6" s="56" t="s">
        <v>629</v>
      </c>
      <c r="AP6" s="56" t="s">
        <v>459</v>
      </c>
      <c r="AQ6" s="56" t="s">
        <v>460</v>
      </c>
      <c r="AR6" s="56" t="s">
        <v>461</v>
      </c>
      <c r="AS6" s="56" t="s">
        <v>462</v>
      </c>
      <c r="AT6" s="56" t="s">
        <v>463</v>
      </c>
      <c r="AU6" s="56" t="s">
        <v>464</v>
      </c>
      <c r="AV6" s="56" t="s">
        <v>465</v>
      </c>
      <c r="AW6" s="56" t="s">
        <v>466</v>
      </c>
      <c r="AX6" s="56" t="s">
        <v>467</v>
      </c>
      <c r="AY6" s="56" t="s">
        <v>468</v>
      </c>
      <c r="AZ6" s="56" t="s">
        <v>469</v>
      </c>
      <c r="BA6" s="57"/>
    </row>
    <row r="7" spans="1:54" ht="60" customHeight="1">
      <c r="A7" s="560"/>
      <c r="B7" s="561"/>
      <c r="C7" s="560"/>
      <c r="D7" s="563"/>
      <c r="E7" s="562"/>
      <c r="F7" s="562"/>
      <c r="G7" s="562"/>
      <c r="H7" s="13" t="s">
        <v>66</v>
      </c>
      <c r="I7" s="13" t="s">
        <v>67</v>
      </c>
      <c r="J7" s="572"/>
      <c r="K7" s="558"/>
      <c r="L7" s="85" t="s">
        <v>560</v>
      </c>
      <c r="M7" s="85" t="s">
        <v>562</v>
      </c>
      <c r="N7" s="85" t="s">
        <v>565</v>
      </c>
      <c r="O7" s="85" t="s">
        <v>573</v>
      </c>
      <c r="P7" s="85" t="s">
        <v>586</v>
      </c>
      <c r="Q7" s="85" t="s">
        <v>589</v>
      </c>
      <c r="R7" s="85" t="s">
        <v>648</v>
      </c>
      <c r="S7" s="85" t="s">
        <v>686</v>
      </c>
      <c r="T7" s="565"/>
      <c r="U7" s="85" t="s">
        <v>13</v>
      </c>
      <c r="V7" s="85" t="s">
        <v>564</v>
      </c>
      <c r="W7" s="85" t="s">
        <v>753</v>
      </c>
      <c r="X7" s="558"/>
      <c r="Y7" s="558"/>
      <c r="Z7" s="558"/>
      <c r="AA7" s="558"/>
      <c r="AB7" s="558"/>
      <c r="AC7" s="560"/>
      <c r="AD7" s="6"/>
      <c r="AE7" s="56"/>
      <c r="AF7" s="56"/>
      <c r="AG7" s="57"/>
      <c r="AH7" s="57">
        <f>SUMIF($AH$8:$AH$867,AH6,$AG$8:$AG$867)</f>
        <v>70000</v>
      </c>
      <c r="AI7" s="57">
        <f>SUMIF($AH$8:$AH$867,AI6,$AG$8:$AG$867)</f>
        <v>85500</v>
      </c>
      <c r="AJ7" s="57">
        <f>SUMIF($AH$8:$AH$867,AJ6,$AG$8:$AG$867)</f>
        <v>0</v>
      </c>
      <c r="AK7" s="58" t="s">
        <v>470</v>
      </c>
      <c r="AL7" s="57">
        <f>COUNTIF(AE9:AE914,"CT")</f>
        <v>42</v>
      </c>
      <c r="AM7" s="82">
        <f>SUMIF(AE9:AE914,"CT",AG9:AG914)</f>
        <v>951862</v>
      </c>
      <c r="AN7" s="82">
        <f t="shared" ref="AN7:AZ7" si="0">SUMIFS($AG$8:$AG$1015,$AE$8:$AE$1015,"CT",$AF$8:$AF$1015,AN6)</f>
        <v>235400</v>
      </c>
      <c r="AO7" s="82">
        <f t="shared" si="0"/>
        <v>283535</v>
      </c>
      <c r="AP7" s="82">
        <f t="shared" si="0"/>
        <v>98500</v>
      </c>
      <c r="AQ7" s="82">
        <f t="shared" si="0"/>
        <v>114377</v>
      </c>
      <c r="AR7" s="82">
        <f t="shared" si="0"/>
        <v>59000</v>
      </c>
      <c r="AS7" s="82">
        <f t="shared" si="0"/>
        <v>13100</v>
      </c>
      <c r="AT7" s="82">
        <f t="shared" si="0"/>
        <v>27000</v>
      </c>
      <c r="AU7" s="82">
        <f t="shared" si="0"/>
        <v>950</v>
      </c>
      <c r="AV7" s="82">
        <f t="shared" si="0"/>
        <v>0</v>
      </c>
      <c r="AW7" s="82">
        <f t="shared" si="0"/>
        <v>0</v>
      </c>
      <c r="AX7" s="82">
        <f t="shared" si="0"/>
        <v>0</v>
      </c>
      <c r="AY7" s="82">
        <f t="shared" si="0"/>
        <v>120000</v>
      </c>
      <c r="AZ7" s="82">
        <f t="shared" si="0"/>
        <v>0</v>
      </c>
      <c r="BA7" s="58">
        <f>SUM(AN7:AZ7)</f>
        <v>951862</v>
      </c>
    </row>
    <row r="8" spans="1:54" s="2" customFormat="1" ht="60" customHeight="1">
      <c r="A8" s="21"/>
      <c r="B8" s="24" t="s">
        <v>280</v>
      </c>
      <c r="C8" s="21"/>
      <c r="D8" s="21"/>
      <c r="E8" s="21"/>
      <c r="F8" s="21"/>
      <c r="G8" s="21"/>
      <c r="H8" s="7">
        <f t="shared" ref="H8:Y8" si="1">SUM(H9,H18,H19)</f>
        <v>17172465.132002916</v>
      </c>
      <c r="I8" s="7">
        <f t="shared" si="1"/>
        <v>8153278</v>
      </c>
      <c r="J8" s="7" t="e">
        <f t="shared" si="1"/>
        <v>#REF!</v>
      </c>
      <c r="K8" s="7" t="e">
        <f t="shared" si="1"/>
        <v>#REF!</v>
      </c>
      <c r="L8" s="7" t="e">
        <f t="shared" si="1"/>
        <v>#REF!</v>
      </c>
      <c r="M8" s="7" t="e">
        <f t="shared" si="1"/>
        <v>#REF!</v>
      </c>
      <c r="N8" s="7" t="e">
        <f t="shared" si="1"/>
        <v>#REF!</v>
      </c>
      <c r="O8" s="7" t="e">
        <f t="shared" si="1"/>
        <v>#REF!</v>
      </c>
      <c r="P8" s="7" t="e">
        <f t="shared" si="1"/>
        <v>#REF!</v>
      </c>
      <c r="Q8" s="7" t="e">
        <f t="shared" si="1"/>
        <v>#REF!</v>
      </c>
      <c r="R8" s="7" t="e">
        <f t="shared" si="1"/>
        <v>#REF!</v>
      </c>
      <c r="S8" s="7" t="e">
        <f t="shared" si="1"/>
        <v>#REF!</v>
      </c>
      <c r="T8" s="7" t="e">
        <f t="shared" si="1"/>
        <v>#REF!</v>
      </c>
      <c r="U8" s="7" t="e">
        <f t="shared" si="1"/>
        <v>#REF!</v>
      </c>
      <c r="V8" s="7" t="e">
        <f t="shared" si="1"/>
        <v>#REF!</v>
      </c>
      <c r="W8" s="7" t="e">
        <f t="shared" si="1"/>
        <v>#REF!</v>
      </c>
      <c r="X8" s="7" t="e">
        <f t="shared" si="1"/>
        <v>#REF!</v>
      </c>
      <c r="Y8" s="7">
        <f t="shared" si="1"/>
        <v>1771000</v>
      </c>
      <c r="Z8" s="7">
        <f>SUM(Z9,Z18,Z19)</f>
        <v>205419</v>
      </c>
      <c r="AA8" s="369">
        <f>SUM(AA9,AA18,AA19)</f>
        <v>-205419</v>
      </c>
      <c r="AB8" s="7">
        <f>SUM(AB9,AB18,AB19)</f>
        <v>1771000</v>
      </c>
      <c r="AC8" s="25">
        <f>1831000-60000-AB8</f>
        <v>0</v>
      </c>
      <c r="AD8" s="38"/>
      <c r="AE8" s="93"/>
      <c r="AF8" s="93"/>
      <c r="AG8" s="42"/>
      <c r="AH8" s="42"/>
      <c r="AI8" s="42"/>
      <c r="AJ8" s="42"/>
      <c r="AK8" s="57" t="s">
        <v>471</v>
      </c>
      <c r="AL8" s="57">
        <f>COUNTIF(AE9:AE913,"KCM")</f>
        <v>14</v>
      </c>
      <c r="AM8" s="82">
        <f>SUMIF(AE10:AE914,"KCM",AG10:AG914)</f>
        <v>126500</v>
      </c>
      <c r="AN8" s="82">
        <f t="shared" ref="AN8:AZ8" si="2">SUMIFS($AG$8:$AG$1015,$AE$8:$AE$1015,"KCM",$AF$8:$AF$1015,AN6)</f>
        <v>60500</v>
      </c>
      <c r="AO8" s="82">
        <f t="shared" si="2"/>
        <v>1000</v>
      </c>
      <c r="AP8" s="82">
        <f t="shared" si="2"/>
        <v>18600</v>
      </c>
      <c r="AQ8" s="82">
        <f t="shared" si="2"/>
        <v>0</v>
      </c>
      <c r="AR8" s="82">
        <f t="shared" si="2"/>
        <v>21100</v>
      </c>
      <c r="AS8" s="82">
        <f t="shared" si="2"/>
        <v>0</v>
      </c>
      <c r="AT8" s="82">
        <f t="shared" si="2"/>
        <v>0</v>
      </c>
      <c r="AU8" s="82">
        <f t="shared" si="2"/>
        <v>25300</v>
      </c>
      <c r="AV8" s="82">
        <f t="shared" si="2"/>
        <v>0</v>
      </c>
      <c r="AW8" s="82">
        <f t="shared" si="2"/>
        <v>0</v>
      </c>
      <c r="AX8" s="82">
        <f t="shared" si="2"/>
        <v>0</v>
      </c>
      <c r="AY8" s="82">
        <f t="shared" si="2"/>
        <v>0</v>
      </c>
      <c r="AZ8" s="82">
        <f t="shared" si="2"/>
        <v>0</v>
      </c>
      <c r="BA8" s="58">
        <f>SUM(AN8:AZ8)</f>
        <v>126500</v>
      </c>
    </row>
    <row r="9" spans="1:54" s="18" customFormat="1" ht="50.1" customHeight="1">
      <c r="A9" s="107" t="s">
        <v>86</v>
      </c>
      <c r="B9" s="108" t="s">
        <v>85</v>
      </c>
      <c r="C9" s="107"/>
      <c r="D9" s="107"/>
      <c r="E9" s="107"/>
      <c r="F9" s="107"/>
      <c r="G9" s="107"/>
      <c r="H9" s="68">
        <f>SUM(H10:H17)</f>
        <v>0</v>
      </c>
      <c r="I9" s="68">
        <f>SUM(I10:I17)</f>
        <v>0</v>
      </c>
      <c r="J9" s="68">
        <f>SUM(J10:J17)</f>
        <v>726000</v>
      </c>
      <c r="K9" s="68">
        <f>SUM(K10:K17)</f>
        <v>726000</v>
      </c>
      <c r="L9" s="68">
        <f t="shared" ref="L9:X9" si="3">SUM(L10:L17)</f>
        <v>0</v>
      </c>
      <c r="M9" s="68">
        <f t="shared" si="3"/>
        <v>0</v>
      </c>
      <c r="N9" s="68">
        <f t="shared" si="3"/>
        <v>0</v>
      </c>
      <c r="O9" s="68">
        <f t="shared" si="3"/>
        <v>0</v>
      </c>
      <c r="P9" s="68">
        <f t="shared" si="3"/>
        <v>0</v>
      </c>
      <c r="Q9" s="68">
        <f t="shared" si="3"/>
        <v>0</v>
      </c>
      <c r="R9" s="68">
        <f t="shared" si="3"/>
        <v>0</v>
      </c>
      <c r="S9" s="68">
        <f t="shared" si="3"/>
        <v>0</v>
      </c>
      <c r="T9" s="68">
        <f t="shared" si="3"/>
        <v>435600</v>
      </c>
      <c r="U9" s="68">
        <f t="shared" si="3"/>
        <v>145200</v>
      </c>
      <c r="V9" s="68">
        <f t="shared" si="3"/>
        <v>145200</v>
      </c>
      <c r="W9" s="68">
        <f t="shared" si="3"/>
        <v>145200</v>
      </c>
      <c r="X9" s="68">
        <f t="shared" si="3"/>
        <v>290400</v>
      </c>
      <c r="Y9" s="68">
        <f>SUM(Y10:Y17)</f>
        <v>65000</v>
      </c>
      <c r="Z9" s="68">
        <f>SUM(Z10:Z17)</f>
        <v>0</v>
      </c>
      <c r="AA9" s="68">
        <f>SUM(AA10:AA17)</f>
        <v>0</v>
      </c>
      <c r="AB9" s="68">
        <f>SUM(AB10:AB17)</f>
        <v>65000</v>
      </c>
      <c r="AC9" s="53"/>
      <c r="AD9" s="66"/>
      <c r="AE9" s="39"/>
      <c r="AF9" s="39"/>
      <c r="AG9" s="44"/>
      <c r="AH9" s="44"/>
      <c r="AI9" s="44"/>
      <c r="AJ9" s="44"/>
      <c r="AK9" s="230" t="s">
        <v>470</v>
      </c>
      <c r="AL9" s="44">
        <f>SUM(AN9:AZ9)</f>
        <v>42</v>
      </c>
      <c r="AM9" s="44"/>
      <c r="AN9" s="44">
        <f t="shared" ref="AN9:AV9" si="4">COUNTIFS($AE$8:$AE$913,"CT",$AF$8:$AF$913,AN6)</f>
        <v>6</v>
      </c>
      <c r="AO9" s="44">
        <f t="shared" si="4"/>
        <v>14</v>
      </c>
      <c r="AP9" s="44">
        <f t="shared" si="4"/>
        <v>10</v>
      </c>
      <c r="AQ9" s="44">
        <f t="shared" si="4"/>
        <v>3</v>
      </c>
      <c r="AR9" s="44">
        <f t="shared" si="4"/>
        <v>2</v>
      </c>
      <c r="AS9" s="44">
        <f t="shared" si="4"/>
        <v>2</v>
      </c>
      <c r="AT9" s="44">
        <f t="shared" si="4"/>
        <v>3</v>
      </c>
      <c r="AU9" s="44">
        <f t="shared" si="4"/>
        <v>1</v>
      </c>
      <c r="AV9" s="44">
        <f t="shared" si="4"/>
        <v>0</v>
      </c>
      <c r="AW9" s="44">
        <f>COUNTIFS($AE$8:$AE$42,"CT",$AF$8:$AF$42,AW6)</f>
        <v>0</v>
      </c>
      <c r="AX9" s="44">
        <f>COUNTIFS($AE$8:$AE$913,"CT",$AF$8:$AF$913,AX6)</f>
        <v>0</v>
      </c>
      <c r="AY9" s="44">
        <f>COUNTIFS($AE$8:$AE$913,"CT",$AF$8:$AF$913,AY6)</f>
        <v>1</v>
      </c>
      <c r="AZ9" s="44">
        <f>COUNTIFS($AE$8:$AE$913,"CT",$AF$8:$AF$913,AZ6)</f>
        <v>0</v>
      </c>
      <c r="BA9" s="45"/>
      <c r="BB9" s="44"/>
    </row>
    <row r="10" spans="1:54" s="2" customFormat="1" ht="39.9" customHeight="1">
      <c r="A10" s="107"/>
      <c r="B10" s="253" t="s">
        <v>77</v>
      </c>
      <c r="C10" s="107"/>
      <c r="D10" s="107"/>
      <c r="E10" s="107"/>
      <c r="F10" s="107"/>
      <c r="G10" s="107"/>
      <c r="H10" s="68"/>
      <c r="I10" s="68"/>
      <c r="J10" s="80">
        <f>SUM(K10,L10:S10)</f>
        <v>130815</v>
      </c>
      <c r="K10" s="80">
        <f t="shared" ref="K10:K17" si="5">U10*5</f>
        <v>130815</v>
      </c>
      <c r="L10" s="32"/>
      <c r="M10" s="32"/>
      <c r="N10" s="32"/>
      <c r="O10" s="32"/>
      <c r="P10" s="32"/>
      <c r="Q10" s="32"/>
      <c r="R10" s="32"/>
      <c r="S10" s="32"/>
      <c r="T10" s="32">
        <f>SUM(U10:W10)</f>
        <v>78489</v>
      </c>
      <c r="U10" s="32">
        <v>26163</v>
      </c>
      <c r="V10" s="32">
        <v>26163</v>
      </c>
      <c r="W10" s="32">
        <v>26163</v>
      </c>
      <c r="X10" s="80">
        <f t="shared" ref="X10:X17" si="6">J10-T10</f>
        <v>52326</v>
      </c>
      <c r="Y10" s="32">
        <v>6000</v>
      </c>
      <c r="Z10" s="32"/>
      <c r="AA10" s="32"/>
      <c r="AB10" s="32">
        <f>SUM(Y10:AA10)</f>
        <v>6000</v>
      </c>
      <c r="AC10" s="53"/>
      <c r="AD10" s="66"/>
      <c r="AE10" s="39"/>
      <c r="AF10" s="39"/>
      <c r="AG10" s="44"/>
      <c r="AH10" s="44"/>
      <c r="AI10" s="44"/>
      <c r="AJ10" s="44"/>
      <c r="AK10" s="42" t="s">
        <v>471</v>
      </c>
      <c r="AL10" s="44">
        <f>SUM(AN10:AZ10)</f>
        <v>14</v>
      </c>
      <c r="AM10" s="44"/>
      <c r="AN10" s="44">
        <f t="shared" ref="AN10:AZ10" si="7">COUNTIFS($AE$8:$AE$913,"KCM",$AF$8:$AF$913,AN6)</f>
        <v>3</v>
      </c>
      <c r="AO10" s="44">
        <f t="shared" si="7"/>
        <v>1</v>
      </c>
      <c r="AP10" s="44">
        <f t="shared" si="7"/>
        <v>2</v>
      </c>
      <c r="AQ10" s="44">
        <f t="shared" si="7"/>
        <v>0</v>
      </c>
      <c r="AR10" s="44">
        <f t="shared" si="7"/>
        <v>3</v>
      </c>
      <c r="AS10" s="44">
        <f t="shared" si="7"/>
        <v>0</v>
      </c>
      <c r="AT10" s="44">
        <f t="shared" si="7"/>
        <v>0</v>
      </c>
      <c r="AU10" s="44">
        <f t="shared" si="7"/>
        <v>5</v>
      </c>
      <c r="AV10" s="44">
        <f t="shared" si="7"/>
        <v>0</v>
      </c>
      <c r="AW10" s="44">
        <f t="shared" si="7"/>
        <v>0</v>
      </c>
      <c r="AX10" s="44">
        <f t="shared" si="7"/>
        <v>0</v>
      </c>
      <c r="AY10" s="44">
        <f t="shared" si="7"/>
        <v>0</v>
      </c>
      <c r="AZ10" s="44">
        <f t="shared" si="7"/>
        <v>0</v>
      </c>
      <c r="BA10" s="44"/>
      <c r="BB10" s="44"/>
    </row>
    <row r="11" spans="1:54" s="2" customFormat="1" ht="39.9" customHeight="1">
      <c r="A11" s="107"/>
      <c r="B11" s="253" t="s">
        <v>78</v>
      </c>
      <c r="C11" s="107"/>
      <c r="D11" s="107"/>
      <c r="E11" s="107"/>
      <c r="F11" s="107"/>
      <c r="G11" s="107"/>
      <c r="H11" s="68"/>
      <c r="I11" s="68"/>
      <c r="J11" s="80">
        <f t="shared" ref="J11:J17" si="8">SUM(K11,L11:S11)</f>
        <v>88510</v>
      </c>
      <c r="K11" s="80">
        <f t="shared" si="5"/>
        <v>88510</v>
      </c>
      <c r="L11" s="32"/>
      <c r="M11" s="32"/>
      <c r="N11" s="32"/>
      <c r="O11" s="32"/>
      <c r="P11" s="32"/>
      <c r="Q11" s="32"/>
      <c r="R11" s="32"/>
      <c r="S11" s="32"/>
      <c r="T11" s="32">
        <f t="shared" ref="T11:T17" si="9">SUM(U11:W11)</f>
        <v>53106</v>
      </c>
      <c r="U11" s="32">
        <v>17702</v>
      </c>
      <c r="V11" s="32">
        <v>17702</v>
      </c>
      <c r="W11" s="32">
        <v>17702</v>
      </c>
      <c r="X11" s="80">
        <f t="shared" si="6"/>
        <v>35404</v>
      </c>
      <c r="Y11" s="32">
        <v>7000</v>
      </c>
      <c r="Z11" s="32"/>
      <c r="AA11" s="32"/>
      <c r="AB11" s="32">
        <f t="shared" ref="AB11:AB21" si="10">SUM(Y11:AA11)</f>
        <v>7000</v>
      </c>
      <c r="AC11" s="53"/>
      <c r="AD11" s="66"/>
      <c r="AE11" s="254"/>
      <c r="AF11" s="254"/>
    </row>
    <row r="12" spans="1:54" s="2" customFormat="1" ht="39.9" customHeight="1">
      <c r="A12" s="107"/>
      <c r="B12" s="253" t="s">
        <v>79</v>
      </c>
      <c r="C12" s="107"/>
      <c r="D12" s="107"/>
      <c r="E12" s="107"/>
      <c r="F12" s="107"/>
      <c r="G12" s="107"/>
      <c r="H12" s="68"/>
      <c r="I12" s="68"/>
      <c r="J12" s="80">
        <f t="shared" si="8"/>
        <v>85880</v>
      </c>
      <c r="K12" s="80">
        <f t="shared" si="5"/>
        <v>85880</v>
      </c>
      <c r="L12" s="32"/>
      <c r="M12" s="32"/>
      <c r="N12" s="32"/>
      <c r="O12" s="32"/>
      <c r="P12" s="32"/>
      <c r="Q12" s="32"/>
      <c r="R12" s="32"/>
      <c r="S12" s="32"/>
      <c r="T12" s="32">
        <f t="shared" si="9"/>
        <v>51528</v>
      </c>
      <c r="U12" s="32">
        <v>17176</v>
      </c>
      <c r="V12" s="32">
        <v>17176</v>
      </c>
      <c r="W12" s="32">
        <v>17176</v>
      </c>
      <c r="X12" s="80">
        <f t="shared" si="6"/>
        <v>34352</v>
      </c>
      <c r="Y12" s="32">
        <v>9000</v>
      </c>
      <c r="Z12" s="32"/>
      <c r="AA12" s="32"/>
      <c r="AB12" s="32">
        <f t="shared" si="10"/>
        <v>9000</v>
      </c>
      <c r="AC12" s="53"/>
      <c r="AD12" s="66"/>
      <c r="AE12" s="254"/>
      <c r="AF12" s="254"/>
    </row>
    <row r="13" spans="1:54" s="2" customFormat="1" ht="39.9" customHeight="1">
      <c r="A13" s="107"/>
      <c r="B13" s="253" t="s">
        <v>80</v>
      </c>
      <c r="C13" s="107"/>
      <c r="D13" s="107"/>
      <c r="E13" s="107"/>
      <c r="F13" s="107"/>
      <c r="G13" s="107"/>
      <c r="H13" s="68"/>
      <c r="I13" s="68"/>
      <c r="J13" s="80">
        <f t="shared" si="8"/>
        <v>74620</v>
      </c>
      <c r="K13" s="80">
        <f t="shared" si="5"/>
        <v>74620</v>
      </c>
      <c r="L13" s="32"/>
      <c r="M13" s="32"/>
      <c r="N13" s="32"/>
      <c r="O13" s="32"/>
      <c r="P13" s="32"/>
      <c r="Q13" s="32"/>
      <c r="R13" s="32"/>
      <c r="S13" s="32"/>
      <c r="T13" s="32">
        <f t="shared" si="9"/>
        <v>44772</v>
      </c>
      <c r="U13" s="32">
        <v>14924</v>
      </c>
      <c r="V13" s="32">
        <v>14924</v>
      </c>
      <c r="W13" s="32">
        <v>14924</v>
      </c>
      <c r="X13" s="80">
        <f t="shared" si="6"/>
        <v>29848</v>
      </c>
      <c r="Y13" s="32">
        <v>8000</v>
      </c>
      <c r="Z13" s="32"/>
      <c r="AA13" s="32"/>
      <c r="AB13" s="32">
        <f t="shared" si="10"/>
        <v>8000</v>
      </c>
      <c r="AC13" s="53"/>
      <c r="AD13" s="66"/>
      <c r="AE13" s="254"/>
      <c r="AF13" s="254"/>
    </row>
    <row r="14" spans="1:54" s="2" customFormat="1" ht="39.9" customHeight="1">
      <c r="A14" s="107"/>
      <c r="B14" s="253" t="s">
        <v>81</v>
      </c>
      <c r="C14" s="107"/>
      <c r="D14" s="107"/>
      <c r="E14" s="107"/>
      <c r="F14" s="107"/>
      <c r="G14" s="107"/>
      <c r="H14" s="68"/>
      <c r="I14" s="68"/>
      <c r="J14" s="80">
        <f t="shared" si="8"/>
        <v>92565</v>
      </c>
      <c r="K14" s="80">
        <f t="shared" si="5"/>
        <v>92565</v>
      </c>
      <c r="L14" s="32"/>
      <c r="M14" s="32"/>
      <c r="N14" s="32"/>
      <c r="O14" s="32"/>
      <c r="P14" s="32"/>
      <c r="Q14" s="32"/>
      <c r="R14" s="32"/>
      <c r="S14" s="32"/>
      <c r="T14" s="32">
        <f t="shared" si="9"/>
        <v>55539</v>
      </c>
      <c r="U14" s="32">
        <v>18513</v>
      </c>
      <c r="V14" s="32">
        <v>18513</v>
      </c>
      <c r="W14" s="32">
        <v>18513</v>
      </c>
      <c r="X14" s="80">
        <f t="shared" si="6"/>
        <v>37026</v>
      </c>
      <c r="Y14" s="32">
        <v>9000</v>
      </c>
      <c r="Z14" s="32"/>
      <c r="AA14" s="32"/>
      <c r="AB14" s="32">
        <f t="shared" si="10"/>
        <v>9000</v>
      </c>
      <c r="AC14" s="53"/>
      <c r="AD14" s="66"/>
      <c r="AE14" s="254"/>
      <c r="AF14" s="254"/>
    </row>
    <row r="15" spans="1:54" s="2" customFormat="1" ht="39.9" customHeight="1">
      <c r="A15" s="107"/>
      <c r="B15" s="253" t="s">
        <v>82</v>
      </c>
      <c r="C15" s="107"/>
      <c r="D15" s="107"/>
      <c r="E15" s="107"/>
      <c r="F15" s="107"/>
      <c r="G15" s="107"/>
      <c r="H15" s="68"/>
      <c r="I15" s="68"/>
      <c r="J15" s="80">
        <f t="shared" si="8"/>
        <v>83930</v>
      </c>
      <c r="K15" s="80">
        <f t="shared" si="5"/>
        <v>83930</v>
      </c>
      <c r="L15" s="32"/>
      <c r="M15" s="32"/>
      <c r="N15" s="32"/>
      <c r="O15" s="32"/>
      <c r="P15" s="32"/>
      <c r="Q15" s="32"/>
      <c r="R15" s="32"/>
      <c r="S15" s="32"/>
      <c r="T15" s="32">
        <f t="shared" si="9"/>
        <v>50358</v>
      </c>
      <c r="U15" s="32">
        <v>16786</v>
      </c>
      <c r="V15" s="32">
        <v>16786</v>
      </c>
      <c r="W15" s="32">
        <v>16786</v>
      </c>
      <c r="X15" s="80">
        <f t="shared" si="6"/>
        <v>33572</v>
      </c>
      <c r="Y15" s="32">
        <v>9000</v>
      </c>
      <c r="Z15" s="32"/>
      <c r="AA15" s="32"/>
      <c r="AB15" s="32">
        <f t="shared" si="10"/>
        <v>9000</v>
      </c>
      <c r="AC15" s="53"/>
      <c r="AD15" s="66"/>
      <c r="AE15" s="254"/>
      <c r="AF15" s="254"/>
    </row>
    <row r="16" spans="1:54" s="2" customFormat="1" ht="39.9" customHeight="1">
      <c r="A16" s="107"/>
      <c r="B16" s="253" t="s">
        <v>83</v>
      </c>
      <c r="C16" s="107"/>
      <c r="D16" s="107"/>
      <c r="E16" s="107"/>
      <c r="F16" s="107"/>
      <c r="G16" s="107"/>
      <c r="H16" s="68"/>
      <c r="I16" s="68"/>
      <c r="J16" s="80">
        <f t="shared" si="8"/>
        <v>91030</v>
      </c>
      <c r="K16" s="80">
        <f t="shared" si="5"/>
        <v>91030</v>
      </c>
      <c r="L16" s="32"/>
      <c r="M16" s="32"/>
      <c r="N16" s="32"/>
      <c r="O16" s="32"/>
      <c r="P16" s="32"/>
      <c r="Q16" s="32"/>
      <c r="R16" s="32"/>
      <c r="S16" s="32"/>
      <c r="T16" s="32">
        <f t="shared" si="9"/>
        <v>54618</v>
      </c>
      <c r="U16" s="32">
        <v>18206</v>
      </c>
      <c r="V16" s="32">
        <v>18206</v>
      </c>
      <c r="W16" s="32">
        <v>18206</v>
      </c>
      <c r="X16" s="80">
        <f t="shared" si="6"/>
        <v>36412</v>
      </c>
      <c r="Y16" s="32">
        <v>9000</v>
      </c>
      <c r="Z16" s="32"/>
      <c r="AA16" s="32"/>
      <c r="AB16" s="32">
        <f t="shared" si="10"/>
        <v>9000</v>
      </c>
      <c r="AC16" s="53"/>
      <c r="AD16" s="66"/>
      <c r="AE16" s="254"/>
      <c r="AF16" s="254"/>
    </row>
    <row r="17" spans="1:53" s="2" customFormat="1" ht="39.9" customHeight="1">
      <c r="A17" s="107"/>
      <c r="B17" s="253" t="s">
        <v>84</v>
      </c>
      <c r="C17" s="107"/>
      <c r="D17" s="107"/>
      <c r="E17" s="107"/>
      <c r="F17" s="107"/>
      <c r="G17" s="107"/>
      <c r="H17" s="68"/>
      <c r="I17" s="68"/>
      <c r="J17" s="80">
        <f t="shared" si="8"/>
        <v>78650</v>
      </c>
      <c r="K17" s="80">
        <f t="shared" si="5"/>
        <v>78650</v>
      </c>
      <c r="L17" s="32"/>
      <c r="M17" s="32"/>
      <c r="N17" s="32"/>
      <c r="O17" s="32"/>
      <c r="P17" s="32"/>
      <c r="Q17" s="32"/>
      <c r="R17" s="32"/>
      <c r="S17" s="32"/>
      <c r="T17" s="32">
        <f t="shared" si="9"/>
        <v>47190</v>
      </c>
      <c r="U17" s="32">
        <v>15730</v>
      </c>
      <c r="V17" s="32">
        <v>15730</v>
      </c>
      <c r="W17" s="32">
        <v>15730</v>
      </c>
      <c r="X17" s="80">
        <f t="shared" si="6"/>
        <v>31460</v>
      </c>
      <c r="Y17" s="32">
        <v>8000</v>
      </c>
      <c r="Z17" s="32"/>
      <c r="AA17" s="32"/>
      <c r="AB17" s="32">
        <f t="shared" si="10"/>
        <v>8000</v>
      </c>
      <c r="AC17" s="53"/>
      <c r="AD17" s="66"/>
      <c r="AE17" s="254"/>
      <c r="AF17" s="254"/>
    </row>
    <row r="18" spans="1:53" s="18" customFormat="1" ht="60" customHeight="1">
      <c r="A18" s="13" t="s">
        <v>20</v>
      </c>
      <c r="B18" s="26" t="s">
        <v>692</v>
      </c>
      <c r="C18" s="13"/>
      <c r="D18" s="13"/>
      <c r="E18" s="13"/>
      <c r="F18" s="13"/>
      <c r="G18" s="13"/>
      <c r="H18" s="8"/>
      <c r="I18" s="8"/>
      <c r="J18" s="270"/>
      <c r="K18" s="8"/>
      <c r="L18" s="8"/>
      <c r="M18" s="8"/>
      <c r="N18" s="8"/>
      <c r="O18" s="8"/>
      <c r="P18" s="8"/>
      <c r="Q18" s="8"/>
      <c r="R18" s="8"/>
      <c r="S18" s="8"/>
      <c r="T18" s="8"/>
      <c r="U18" s="8"/>
      <c r="V18" s="8"/>
      <c r="W18" s="8"/>
      <c r="X18" s="8"/>
      <c r="Y18" s="8">
        <f>(1831000-Y9-60000)*7%</f>
        <v>119420.00000000001</v>
      </c>
      <c r="Z18" s="8"/>
      <c r="AA18" s="8"/>
      <c r="AB18" s="8">
        <f t="shared" si="10"/>
        <v>119420.00000000001</v>
      </c>
      <c r="AC18" s="27"/>
      <c r="AD18" s="41"/>
      <c r="AE18" s="56"/>
      <c r="AF18" s="56"/>
      <c r="AG18" s="57"/>
      <c r="AH18" s="57"/>
      <c r="AI18" s="57"/>
      <c r="AJ18" s="57"/>
      <c r="AK18" s="57"/>
      <c r="AL18" s="57"/>
      <c r="AM18" s="14"/>
      <c r="AN18" s="14"/>
      <c r="AO18" s="14"/>
      <c r="AP18" s="14"/>
      <c r="AQ18" s="14"/>
      <c r="AR18" s="14"/>
      <c r="AS18" s="14"/>
      <c r="AT18" s="14"/>
      <c r="AU18" s="14"/>
      <c r="AV18" s="14"/>
      <c r="AW18" s="14"/>
      <c r="AX18" s="14"/>
      <c r="AY18" s="14"/>
      <c r="AZ18" s="14"/>
      <c r="BA18" s="58"/>
    </row>
    <row r="19" spans="1:53" s="18" customFormat="1" ht="60" customHeight="1">
      <c r="A19" s="13" t="s">
        <v>19</v>
      </c>
      <c r="B19" s="26" t="s">
        <v>87</v>
      </c>
      <c r="C19" s="13"/>
      <c r="D19" s="13"/>
      <c r="E19" s="13"/>
      <c r="F19" s="13"/>
      <c r="G19" s="13"/>
      <c r="H19" s="8">
        <f t="shared" ref="H19:AB19" si="11">SUM(H20,H21,H22,H23,H25,H104,H106,H107,H122,H128)</f>
        <v>17172465.132002916</v>
      </c>
      <c r="I19" s="8">
        <f t="shared" si="11"/>
        <v>8153278</v>
      </c>
      <c r="J19" s="8" t="e">
        <f t="shared" si="11"/>
        <v>#REF!</v>
      </c>
      <c r="K19" s="8" t="e">
        <f t="shared" si="11"/>
        <v>#REF!</v>
      </c>
      <c r="L19" s="8" t="e">
        <f t="shared" si="11"/>
        <v>#REF!</v>
      </c>
      <c r="M19" s="8" t="e">
        <f t="shared" si="11"/>
        <v>#REF!</v>
      </c>
      <c r="N19" s="8" t="e">
        <f t="shared" si="11"/>
        <v>#REF!</v>
      </c>
      <c r="O19" s="8" t="e">
        <f t="shared" si="11"/>
        <v>#REF!</v>
      </c>
      <c r="P19" s="8" t="e">
        <f t="shared" si="11"/>
        <v>#REF!</v>
      </c>
      <c r="Q19" s="8" t="e">
        <f t="shared" si="11"/>
        <v>#REF!</v>
      </c>
      <c r="R19" s="8" t="e">
        <f t="shared" si="11"/>
        <v>#REF!</v>
      </c>
      <c r="S19" s="8" t="e">
        <f t="shared" si="11"/>
        <v>#REF!</v>
      </c>
      <c r="T19" s="8" t="e">
        <f t="shared" si="11"/>
        <v>#REF!</v>
      </c>
      <c r="U19" s="8" t="e">
        <f t="shared" si="11"/>
        <v>#REF!</v>
      </c>
      <c r="V19" s="8" t="e">
        <f t="shared" si="11"/>
        <v>#REF!</v>
      </c>
      <c r="W19" s="8" t="e">
        <f t="shared" si="11"/>
        <v>#REF!</v>
      </c>
      <c r="X19" s="8" t="e">
        <f t="shared" si="11"/>
        <v>#REF!</v>
      </c>
      <c r="Y19" s="8">
        <f t="shared" si="11"/>
        <v>1586580</v>
      </c>
      <c r="Z19" s="8">
        <f t="shared" si="11"/>
        <v>205419</v>
      </c>
      <c r="AA19" s="366">
        <f t="shared" si="11"/>
        <v>-205419</v>
      </c>
      <c r="AB19" s="8">
        <f t="shared" si="11"/>
        <v>1586580</v>
      </c>
      <c r="AC19" s="27"/>
      <c r="AD19" s="41"/>
      <c r="AE19" s="56"/>
      <c r="AF19" s="56"/>
      <c r="AG19" s="57"/>
      <c r="AH19" s="57"/>
      <c r="AI19" s="57"/>
      <c r="AJ19" s="57"/>
      <c r="AK19" s="57"/>
      <c r="AL19" s="57"/>
      <c r="AM19" s="14"/>
      <c r="AN19" s="14"/>
      <c r="AO19" s="14"/>
      <c r="AP19" s="14"/>
      <c r="AQ19" s="14"/>
      <c r="AR19" s="14"/>
      <c r="AS19" s="14"/>
      <c r="AT19" s="14"/>
      <c r="AU19" s="14"/>
      <c r="AV19" s="14"/>
      <c r="AW19" s="14"/>
      <c r="AX19" s="14"/>
      <c r="AY19" s="14"/>
      <c r="AZ19" s="14"/>
      <c r="BA19" s="58"/>
    </row>
    <row r="20" spans="1:53" s="18" customFormat="1" ht="60" customHeight="1">
      <c r="A20" s="13" t="s">
        <v>15</v>
      </c>
      <c r="B20" s="26" t="s">
        <v>285</v>
      </c>
      <c r="C20" s="13"/>
      <c r="D20" s="13"/>
      <c r="E20" s="13"/>
      <c r="F20" s="271"/>
      <c r="G20" s="271"/>
      <c r="H20" s="47"/>
      <c r="I20" s="47"/>
      <c r="J20" s="270">
        <f>SUM(K20,L20:S20)</f>
        <v>30000</v>
      </c>
      <c r="K20" s="47">
        <v>30000</v>
      </c>
      <c r="L20" s="47"/>
      <c r="M20" s="47"/>
      <c r="N20" s="47"/>
      <c r="O20" s="47"/>
      <c r="P20" s="47"/>
      <c r="Q20" s="47"/>
      <c r="R20" s="47"/>
      <c r="S20" s="47"/>
      <c r="T20" s="47">
        <f>SUM(U20:W20)</f>
        <v>9066.8639999999996</v>
      </c>
      <c r="U20" s="8">
        <v>1807</v>
      </c>
      <c r="V20" s="69">
        <v>6325.8639999999996</v>
      </c>
      <c r="W20" s="342">
        <v>934</v>
      </c>
      <c r="X20" s="342">
        <f>J20-T20</f>
        <v>20933.135999999999</v>
      </c>
      <c r="Y20" s="342">
        <v>5700</v>
      </c>
      <c r="Z20" s="342"/>
      <c r="AA20" s="366">
        <v>-4117</v>
      </c>
      <c r="AB20" s="8">
        <f t="shared" si="10"/>
        <v>1583</v>
      </c>
      <c r="AC20" s="27"/>
      <c r="AD20" s="41" t="e">
        <f>1453600-U8</f>
        <v>#REF!</v>
      </c>
      <c r="AE20" s="40"/>
      <c r="AF20" s="40"/>
      <c r="AG20" s="45"/>
      <c r="AH20" s="45"/>
      <c r="AI20" s="45"/>
      <c r="AJ20" s="45"/>
      <c r="AK20" s="45"/>
      <c r="AL20" s="45"/>
      <c r="AM20" s="45"/>
      <c r="AN20" s="45"/>
      <c r="AO20" s="45"/>
      <c r="AP20" s="45"/>
      <c r="AQ20" s="45"/>
      <c r="AR20" s="45"/>
      <c r="AS20" s="45"/>
      <c r="AT20" s="45"/>
      <c r="AU20" s="45"/>
      <c r="AV20" s="45"/>
      <c r="AW20" s="45"/>
      <c r="AX20" s="45"/>
      <c r="AY20" s="45"/>
      <c r="AZ20" s="45"/>
      <c r="BA20" s="45"/>
    </row>
    <row r="21" spans="1:53" s="18" customFormat="1" ht="81" customHeight="1">
      <c r="A21" s="13" t="s">
        <v>31</v>
      </c>
      <c r="B21" s="26" t="s">
        <v>88</v>
      </c>
      <c r="C21" s="13"/>
      <c r="D21" s="13"/>
      <c r="E21" s="13"/>
      <c r="F21" s="13"/>
      <c r="G21" s="13"/>
      <c r="H21" s="8"/>
      <c r="I21" s="8"/>
      <c r="J21" s="270">
        <f>SUM(K21,L21:S21)</f>
        <v>90000</v>
      </c>
      <c r="K21" s="8">
        <v>90000</v>
      </c>
      <c r="L21" s="8"/>
      <c r="M21" s="8"/>
      <c r="N21" s="8"/>
      <c r="O21" s="8"/>
      <c r="P21" s="8"/>
      <c r="Q21" s="8"/>
      <c r="R21" s="8"/>
      <c r="S21" s="8"/>
      <c r="T21" s="8">
        <f>SUM(U21:W21)</f>
        <v>74859</v>
      </c>
      <c r="U21" s="8">
        <v>48410</v>
      </c>
      <c r="V21" s="69">
        <v>18974</v>
      </c>
      <c r="W21" s="342">
        <v>7475</v>
      </c>
      <c r="X21" s="342">
        <f>J21-T21</f>
        <v>15141</v>
      </c>
      <c r="Y21" s="342">
        <f>X21</f>
        <v>15141</v>
      </c>
      <c r="Z21" s="342"/>
      <c r="AA21" s="342"/>
      <c r="AB21" s="8">
        <f t="shared" si="10"/>
        <v>15141</v>
      </c>
      <c r="AC21" s="27"/>
      <c r="AE21" s="39"/>
      <c r="AF21" s="39"/>
      <c r="AG21" s="44"/>
      <c r="AH21" s="44"/>
      <c r="AI21" s="44"/>
      <c r="AJ21" s="44"/>
      <c r="AK21" s="230" t="s">
        <v>470</v>
      </c>
      <c r="AL21" s="44">
        <f>SUM(AN21:AZ21)</f>
        <v>28</v>
      </c>
      <c r="AM21" s="44"/>
      <c r="AN21" s="44">
        <f>COUNTIFS($AE$8:$AE$916,"CT",$AF$8:$AF$916,"GT")</f>
        <v>6</v>
      </c>
      <c r="AO21" s="44">
        <f>COUNTIFS($AE$8:$AE$916,"CT",$AF$8:$AF$916,"NN-TL")</f>
        <v>0</v>
      </c>
      <c r="AP21" s="44">
        <f>COUNTIFS($AE$8:$AE$916,"CT",$AF$8:$AF$916,"GDĐT")</f>
        <v>10</v>
      </c>
      <c r="AQ21" s="44">
        <f>COUNTIFS($AE$8:$AE$916,"CT",$AF$8:$AF$916,"YT")</f>
        <v>3</v>
      </c>
      <c r="AR21" s="44">
        <f>COUNTIFS($AE$8:$AE$916,"CT",$AF$8:$AF$916,"VH")</f>
        <v>2</v>
      </c>
      <c r="AS21" s="44">
        <f>COUNTIFS($AE$8:$AE$916,"CT",$AF$8:$AF$916,"TTTT")</f>
        <v>2</v>
      </c>
      <c r="AT21" s="44">
        <f>COUNTIFS($AE$8:$AE$916,"CT",$AF$8:$AF$916,"XH-CC")</f>
        <v>3</v>
      </c>
      <c r="AU21" s="44">
        <f>COUNTIFS($AE$8:$AE$916,"CT",$AF$8:$AF$916,"NS")</f>
        <v>1</v>
      </c>
      <c r="AV21" s="44">
        <f>COUNTIFS($AE$8:$AE$916,"CT",$AF$8:$AF$916,"TNMT")</f>
        <v>0</v>
      </c>
      <c r="AW21" s="44">
        <f>COUNTIFS($AE$8:$AE$59,"CT",$AF$8:$AF$59,"QLNN")</f>
        <v>0</v>
      </c>
      <c r="AX21" s="44">
        <f>COUNTIFS($AE$8:$AE$916,"CT",$AF$8:$AF$916,"QPAN")</f>
        <v>0</v>
      </c>
      <c r="AY21" s="44">
        <f>COUNTIFS($AE$8:$AE$916,"CT",$AF$8:$AF$916,"PTĐT")</f>
        <v>1</v>
      </c>
      <c r="AZ21" s="44">
        <f>COUNTIFS($AE$8:$AE$916,"CT",$AF$8:$AF$916,"TMDV")</f>
        <v>0</v>
      </c>
      <c r="BA21" s="44"/>
    </row>
    <row r="22" spans="1:53" s="18" customFormat="1" ht="60" customHeight="1">
      <c r="A22" s="13" t="s">
        <v>90</v>
      </c>
      <c r="B22" s="26" t="s">
        <v>477</v>
      </c>
      <c r="C22" s="13"/>
      <c r="D22" s="13"/>
      <c r="E22" s="13"/>
      <c r="F22" s="271"/>
      <c r="G22" s="271"/>
      <c r="H22" s="47"/>
      <c r="I22" s="47"/>
      <c r="J22" s="205">
        <f>'4. ĐƯCTMTQG'!J9</f>
        <v>196100</v>
      </c>
      <c r="K22" s="47">
        <f>'4. ĐƯCTMTQG'!K9</f>
        <v>189800</v>
      </c>
      <c r="L22" s="47">
        <f>'4. ĐƯCTMTQG'!L9</f>
        <v>0</v>
      </c>
      <c r="M22" s="47">
        <f>'4. ĐƯCTMTQG'!M9</f>
        <v>0</v>
      </c>
      <c r="N22" s="47">
        <f>'4. ĐƯCTMTQG'!N9</f>
        <v>0</v>
      </c>
      <c r="O22" s="47">
        <f>'4. ĐƯCTMTQG'!O9</f>
        <v>0</v>
      </c>
      <c r="P22" s="47">
        <f>'4. ĐƯCTMTQG'!P9</f>
        <v>6300</v>
      </c>
      <c r="Q22" s="47">
        <f>'4. ĐƯCTMTQG'!Q9</f>
        <v>0</v>
      </c>
      <c r="R22" s="47">
        <f>'4. ĐƯCTMTQG'!R9</f>
        <v>0</v>
      </c>
      <c r="S22" s="47">
        <f>'4. ĐƯCTMTQG'!S9</f>
        <v>0</v>
      </c>
      <c r="T22" s="47">
        <f>'4. ĐƯCTMTQG'!T9</f>
        <v>68410</v>
      </c>
      <c r="U22" s="47">
        <f>'4. ĐƯCTMTQG'!U9</f>
        <v>0</v>
      </c>
      <c r="V22" s="47">
        <f>'4. ĐƯCTMTQG'!V9</f>
        <v>0</v>
      </c>
      <c r="W22" s="47">
        <f>'4. ĐƯCTMTQG'!W9</f>
        <v>68410</v>
      </c>
      <c r="X22" s="47">
        <f>'4. ĐƯCTMTQG'!X9</f>
        <v>127690</v>
      </c>
      <c r="Y22" s="47">
        <f>'4. ĐƯCTMTQG'!Y9</f>
        <v>277790</v>
      </c>
      <c r="Z22" s="47">
        <f>'4. ĐƯCTMTQG'!Z9</f>
        <v>20500</v>
      </c>
      <c r="AA22" s="366">
        <f>'4. ĐƯCTMTQG'!AA9</f>
        <v>-17390</v>
      </c>
      <c r="AB22" s="47">
        <f>'4. ĐƯCTMTQG'!AB9</f>
        <v>280900</v>
      </c>
      <c r="AC22" s="59" t="s">
        <v>476</v>
      </c>
      <c r="AE22" s="39"/>
      <c r="AF22" s="39"/>
      <c r="AG22" s="44"/>
      <c r="AH22" s="44"/>
      <c r="AI22" s="44"/>
      <c r="AJ22" s="44"/>
      <c r="AK22" s="42" t="s">
        <v>471</v>
      </c>
      <c r="AL22" s="44">
        <f>SUM(AN22:AZ22)</f>
        <v>13</v>
      </c>
      <c r="AM22" s="44"/>
      <c r="AN22" s="44">
        <f>COUNTIFS($AE$8:$AE$916,"KCM",$AF$8:$AF$916,"GT")</f>
        <v>3</v>
      </c>
      <c r="AO22" s="44">
        <f>COUNTIFS($AE$8:$AE$916,"KCM",$AF$8:$AF$916,"NN-TL")</f>
        <v>0</v>
      </c>
      <c r="AP22" s="44">
        <f>COUNTIFS($AE$8:$AE$916,"KCM",$AF$8:$AF$916,"GDĐT")</f>
        <v>2</v>
      </c>
      <c r="AQ22" s="44">
        <f>COUNTIFS($AE$8:$AE$916,"KCM",$AF$8:$AF$916,"YT")</f>
        <v>0</v>
      </c>
      <c r="AR22" s="44">
        <f>COUNTIFS($AE$8:$AE$916,"KCM",$AF$8:$AF$916,"VH")</f>
        <v>3</v>
      </c>
      <c r="AS22" s="44">
        <f>COUNTIFS($AE$8:$AE$916,"KCM",$AF$8:$AF$916,"TTTT")</f>
        <v>0</v>
      </c>
      <c r="AT22" s="44">
        <f>COUNTIFS($AE$8:$AE$916,"KCM",$AF$8:$AF$916,"XH-CC")</f>
        <v>0</v>
      </c>
      <c r="AU22" s="44">
        <f>COUNTIFS($AE$8:$AE$916,"KCM",$AF$8:$AF$916,"NS")</f>
        <v>5</v>
      </c>
      <c r="AV22" s="44">
        <f>COUNTIFS($AE$8:$AE$916,"KCM",$AF$8:$AF$916,"TNMT")</f>
        <v>0</v>
      </c>
      <c r="AW22" s="44">
        <f>COUNTIFS($AE$8:$AE$916,"KCM",$AF$8:$AF$916,"QLNN")</f>
        <v>0</v>
      </c>
      <c r="AX22" s="44">
        <f>COUNTIFS($AE$8:$AE$916,"KCM",$AF$8:$AF$916,"QPAN")</f>
        <v>0</v>
      </c>
      <c r="AY22" s="44">
        <f>COUNTIFS($AE$8:$AE$916,"KCM",$AF$8:$AF$916,"PTĐT")</f>
        <v>0</v>
      </c>
      <c r="AZ22" s="44">
        <f>COUNTIFS($AE$8:$AE$916,"KCM",$AF$8:$AF$916,"TMDV")</f>
        <v>0</v>
      </c>
      <c r="BA22" s="44"/>
    </row>
    <row r="23" spans="1:53" s="18" customFormat="1" ht="70.5" customHeight="1">
      <c r="A23" s="13" t="s">
        <v>284</v>
      </c>
      <c r="B23" s="26" t="s">
        <v>89</v>
      </c>
      <c r="C23" s="13"/>
      <c r="D23" s="13"/>
      <c r="E23" s="13"/>
      <c r="F23" s="13"/>
      <c r="G23" s="13"/>
      <c r="H23" s="8">
        <f t="shared" ref="H23:AB23" si="12">SUM(H24:H24)</f>
        <v>4731473</v>
      </c>
      <c r="I23" s="8">
        <f t="shared" si="12"/>
        <v>1305700</v>
      </c>
      <c r="J23" s="270">
        <f t="shared" si="12"/>
        <v>500000</v>
      </c>
      <c r="K23" s="8">
        <f t="shared" si="12"/>
        <v>500000</v>
      </c>
      <c r="L23" s="8">
        <f t="shared" si="12"/>
        <v>0</v>
      </c>
      <c r="M23" s="8">
        <f t="shared" si="12"/>
        <v>0</v>
      </c>
      <c r="N23" s="8">
        <f t="shared" si="12"/>
        <v>0</v>
      </c>
      <c r="O23" s="8">
        <f t="shared" si="12"/>
        <v>0</v>
      </c>
      <c r="P23" s="8">
        <f t="shared" si="12"/>
        <v>0</v>
      </c>
      <c r="Q23" s="8">
        <f t="shared" si="12"/>
        <v>0</v>
      </c>
      <c r="R23" s="8">
        <f t="shared" si="12"/>
        <v>0</v>
      </c>
      <c r="S23" s="8">
        <f t="shared" si="12"/>
        <v>0</v>
      </c>
      <c r="T23" s="8">
        <f t="shared" si="12"/>
        <v>320000</v>
      </c>
      <c r="U23" s="8">
        <f t="shared" si="12"/>
        <v>0</v>
      </c>
      <c r="V23" s="8">
        <f t="shared" si="12"/>
        <v>0</v>
      </c>
      <c r="W23" s="8">
        <f t="shared" si="12"/>
        <v>320000</v>
      </c>
      <c r="X23" s="8">
        <f t="shared" si="12"/>
        <v>180000</v>
      </c>
      <c r="Y23" s="8">
        <f t="shared" si="12"/>
        <v>120000</v>
      </c>
      <c r="Z23" s="8">
        <f t="shared" si="12"/>
        <v>0</v>
      </c>
      <c r="AA23" s="8">
        <f t="shared" si="12"/>
        <v>0</v>
      </c>
      <c r="AB23" s="8">
        <f t="shared" si="12"/>
        <v>120000</v>
      </c>
      <c r="AC23" s="27"/>
      <c r="AE23" s="55"/>
      <c r="AF23" s="55"/>
    </row>
    <row r="24" spans="1:53" ht="99.9" customHeight="1">
      <c r="A24" s="10">
        <v>1</v>
      </c>
      <c r="B24" s="115" t="s">
        <v>283</v>
      </c>
      <c r="C24" s="272" t="s">
        <v>18</v>
      </c>
      <c r="D24" s="272" t="s">
        <v>86</v>
      </c>
      <c r="E24" s="273" t="s">
        <v>550</v>
      </c>
      <c r="F24" s="273" t="s">
        <v>36</v>
      </c>
      <c r="G24" s="273" t="s">
        <v>761</v>
      </c>
      <c r="H24" s="274">
        <v>4731473</v>
      </c>
      <c r="I24" s="274">
        <v>1305700</v>
      </c>
      <c r="J24" s="275">
        <f>SUM(K24,L24:S24)</f>
        <v>500000</v>
      </c>
      <c r="K24" s="32">
        <v>500000</v>
      </c>
      <c r="L24" s="37"/>
      <c r="M24" s="37"/>
      <c r="N24" s="37"/>
      <c r="O24" s="37"/>
      <c r="P24" s="37"/>
      <c r="Q24" s="37"/>
      <c r="R24" s="37"/>
      <c r="S24" s="37"/>
      <c r="T24" s="80">
        <f>SUM(U24:W24)</f>
        <v>320000</v>
      </c>
      <c r="U24" s="48"/>
      <c r="V24" s="49"/>
      <c r="W24" s="276">
        <v>320000</v>
      </c>
      <c r="X24" s="54">
        <f>J24-T24</f>
        <v>180000</v>
      </c>
      <c r="Y24" s="54">
        <v>120000</v>
      </c>
      <c r="Z24" s="54"/>
      <c r="AA24" s="54"/>
      <c r="AB24" s="54">
        <f>SUM(Y24:AA24)</f>
        <v>120000</v>
      </c>
      <c r="AC24" s="277"/>
      <c r="AE24" s="22" t="s">
        <v>472</v>
      </c>
      <c r="AF24" s="22" t="s">
        <v>468</v>
      </c>
      <c r="AG24" s="6">
        <f>Y24</f>
        <v>120000</v>
      </c>
    </row>
    <row r="25" spans="1:53" s="18" customFormat="1" ht="70.5" customHeight="1">
      <c r="A25" s="13" t="s">
        <v>286</v>
      </c>
      <c r="B25" s="26" t="s">
        <v>93</v>
      </c>
      <c r="C25" s="13"/>
      <c r="D25" s="13"/>
      <c r="E25" s="13"/>
      <c r="F25" s="13"/>
      <c r="G25" s="13"/>
      <c r="H25" s="8">
        <f>SUM(H26,H74)</f>
        <v>12404382.132002916</v>
      </c>
      <c r="I25" s="8">
        <f t="shared" ref="I25:Y25" si="13">SUM(I26,I74)</f>
        <v>6811656</v>
      </c>
      <c r="J25" s="8">
        <f t="shared" si="13"/>
        <v>2707454</v>
      </c>
      <c r="K25" s="8">
        <f t="shared" si="13"/>
        <v>2255216</v>
      </c>
      <c r="L25" s="8">
        <f t="shared" si="13"/>
        <v>-96165</v>
      </c>
      <c r="M25" s="8">
        <f t="shared" si="13"/>
        <v>0</v>
      </c>
      <c r="N25" s="8">
        <f t="shared" si="13"/>
        <v>15647</v>
      </c>
      <c r="O25" s="8">
        <f t="shared" si="13"/>
        <v>-21000</v>
      </c>
      <c r="P25" s="8">
        <f t="shared" si="13"/>
        <v>0</v>
      </c>
      <c r="Q25" s="8">
        <f t="shared" si="13"/>
        <v>0</v>
      </c>
      <c r="R25" s="8">
        <f t="shared" si="13"/>
        <v>0</v>
      </c>
      <c r="S25" s="8">
        <f t="shared" si="13"/>
        <v>13000</v>
      </c>
      <c r="T25" s="8">
        <f t="shared" si="13"/>
        <v>1039927</v>
      </c>
      <c r="U25" s="8">
        <f t="shared" si="13"/>
        <v>214318</v>
      </c>
      <c r="V25" s="8">
        <f t="shared" si="13"/>
        <v>316332</v>
      </c>
      <c r="W25" s="8">
        <f t="shared" si="13"/>
        <v>509277</v>
      </c>
      <c r="X25" s="8">
        <f t="shared" si="13"/>
        <v>1667527</v>
      </c>
      <c r="Y25" s="8">
        <f t="shared" si="13"/>
        <v>1111372</v>
      </c>
      <c r="Z25" s="8">
        <f>SUM(Z26,Z74)</f>
        <v>184919</v>
      </c>
      <c r="AA25" s="366">
        <f>SUM(AA26,AA74)</f>
        <v>-170135</v>
      </c>
      <c r="AB25" s="8">
        <f>SUM(AB26,AB74)</f>
        <v>1126156</v>
      </c>
      <c r="AC25" s="27"/>
      <c r="AE25" s="55"/>
      <c r="AF25" s="55"/>
    </row>
    <row r="26" spans="1:53" s="18" customFormat="1" ht="60" customHeight="1">
      <c r="A26" s="13" t="s">
        <v>428</v>
      </c>
      <c r="B26" s="26" t="s">
        <v>70</v>
      </c>
      <c r="C26" s="13"/>
      <c r="D26" s="13"/>
      <c r="E26" s="13"/>
      <c r="F26" s="13"/>
      <c r="G26" s="13"/>
      <c r="H26" s="8">
        <f t="shared" ref="H26:X26" si="14">SUM(H27,H34,H49,H58,H62,H65,H68,H70)</f>
        <v>10716245.860659</v>
      </c>
      <c r="I26" s="8">
        <f t="shared" si="14"/>
        <v>5295867</v>
      </c>
      <c r="J26" s="8">
        <f t="shared" si="14"/>
        <v>2545954</v>
      </c>
      <c r="K26" s="8">
        <f t="shared" si="14"/>
        <v>2146716</v>
      </c>
      <c r="L26" s="8">
        <f t="shared" si="14"/>
        <v>-96165</v>
      </c>
      <c r="M26" s="8">
        <f t="shared" si="14"/>
        <v>-53000</v>
      </c>
      <c r="N26" s="8">
        <f t="shared" si="14"/>
        <v>15647</v>
      </c>
      <c r="O26" s="8">
        <f t="shared" si="14"/>
        <v>-21000</v>
      </c>
      <c r="P26" s="8">
        <f t="shared" si="14"/>
        <v>0</v>
      </c>
      <c r="Q26" s="8">
        <f t="shared" si="14"/>
        <v>0</v>
      </c>
      <c r="R26" s="8">
        <f t="shared" si="14"/>
        <v>0</v>
      </c>
      <c r="S26" s="8">
        <f t="shared" si="14"/>
        <v>13000</v>
      </c>
      <c r="T26" s="8">
        <f t="shared" si="14"/>
        <v>1039927</v>
      </c>
      <c r="U26" s="8">
        <f t="shared" si="14"/>
        <v>214318</v>
      </c>
      <c r="V26" s="8">
        <f t="shared" si="14"/>
        <v>316332</v>
      </c>
      <c r="W26" s="8">
        <f t="shared" si="14"/>
        <v>509277</v>
      </c>
      <c r="X26" s="8">
        <f t="shared" si="14"/>
        <v>1506027</v>
      </c>
      <c r="Y26" s="8">
        <f>SUM(Y27,Y34,Y49,Y58,Y62,Y65,Y68,Y70)</f>
        <v>825062</v>
      </c>
      <c r="Z26" s="8">
        <f>SUM(Z27,Z34,Z49,Z58,Z62,Z65,Z68,Z70)</f>
        <v>172259</v>
      </c>
      <c r="AA26" s="366">
        <f>SUM(AA27,AA34,AA49,AA58,AA62,AA65,AA68,AA70)</f>
        <v>-131164</v>
      </c>
      <c r="AB26" s="8">
        <f>SUM(AB27,AB34,AB49,AB58,AB62,AB65,AB68,AB70)</f>
        <v>866157</v>
      </c>
      <c r="AC26" s="27"/>
      <c r="AE26" s="55"/>
      <c r="AF26" s="55"/>
    </row>
    <row r="27" spans="1:53" s="20" customFormat="1" ht="44.25" customHeight="1">
      <c r="A27" s="15" t="s">
        <v>17</v>
      </c>
      <c r="B27" s="16" t="s">
        <v>64</v>
      </c>
      <c r="C27" s="16"/>
      <c r="D27" s="15"/>
      <c r="E27" s="16"/>
      <c r="F27" s="16"/>
      <c r="G27" s="16"/>
      <c r="H27" s="29">
        <f>SUM(H28:H33)</f>
        <v>3269840</v>
      </c>
      <c r="I27" s="29">
        <f t="shared" ref="I27:X27" si="15">SUM(I28:I33)</f>
        <v>1337467</v>
      </c>
      <c r="J27" s="29">
        <f t="shared" si="15"/>
        <v>530391</v>
      </c>
      <c r="K27" s="29">
        <f t="shared" si="15"/>
        <v>266000</v>
      </c>
      <c r="L27" s="29">
        <f t="shared" si="15"/>
        <v>-26365</v>
      </c>
      <c r="M27" s="29">
        <f t="shared" si="15"/>
        <v>-60000</v>
      </c>
      <c r="N27" s="29">
        <f t="shared" si="15"/>
        <v>0</v>
      </c>
      <c r="O27" s="29">
        <f t="shared" si="15"/>
        <v>0</v>
      </c>
      <c r="P27" s="29">
        <f t="shared" si="15"/>
        <v>0</v>
      </c>
      <c r="Q27" s="29">
        <f t="shared" si="15"/>
        <v>0</v>
      </c>
      <c r="R27" s="29">
        <f t="shared" si="15"/>
        <v>0</v>
      </c>
      <c r="S27" s="29">
        <f t="shared" si="15"/>
        <v>0</v>
      </c>
      <c r="T27" s="29">
        <f t="shared" si="15"/>
        <v>200761</v>
      </c>
      <c r="U27" s="29">
        <f t="shared" si="15"/>
        <v>4405</v>
      </c>
      <c r="V27" s="29">
        <f t="shared" si="15"/>
        <v>0</v>
      </c>
      <c r="W27" s="29">
        <f t="shared" si="15"/>
        <v>196356</v>
      </c>
      <c r="X27" s="29">
        <f t="shared" si="15"/>
        <v>329630</v>
      </c>
      <c r="Y27" s="29">
        <f>SUM(Y28:Y33)</f>
        <v>235400</v>
      </c>
      <c r="Z27" s="29">
        <f>SUM(Z28:Z33)</f>
        <v>40000</v>
      </c>
      <c r="AA27" s="29">
        <f>SUM(AA28:AA33)</f>
        <v>0</v>
      </c>
      <c r="AB27" s="29">
        <f>SUM(AB28:AB33)</f>
        <v>275400</v>
      </c>
      <c r="AC27" s="19"/>
      <c r="AE27" s="113"/>
      <c r="AF27" s="113"/>
    </row>
    <row r="28" spans="1:53" ht="123" customHeight="1">
      <c r="A28" s="10">
        <v>1</v>
      </c>
      <c r="B28" s="115" t="s">
        <v>639</v>
      </c>
      <c r="C28" s="23" t="s">
        <v>289</v>
      </c>
      <c r="D28" s="89" t="s">
        <v>20</v>
      </c>
      <c r="E28" s="23" t="s">
        <v>290</v>
      </c>
      <c r="F28" s="23" t="s">
        <v>297</v>
      </c>
      <c r="G28" s="33" t="s">
        <v>288</v>
      </c>
      <c r="H28" s="49">
        <v>1491000</v>
      </c>
      <c r="I28" s="49">
        <v>769576</v>
      </c>
      <c r="J28" s="275">
        <f>143635+110000</f>
        <v>253635</v>
      </c>
      <c r="K28" s="49">
        <v>170000</v>
      </c>
      <c r="L28" s="49">
        <v>-26365</v>
      </c>
      <c r="M28" s="49"/>
      <c r="N28" s="49"/>
      <c r="O28" s="49"/>
      <c r="P28" s="49"/>
      <c r="Q28" s="49"/>
      <c r="R28" s="49"/>
      <c r="S28" s="49"/>
      <c r="T28" s="80">
        <f t="shared" ref="T28:T33" si="16">SUM(U28:W28)</f>
        <v>89405</v>
      </c>
      <c r="U28" s="49">
        <v>4405</v>
      </c>
      <c r="V28" s="49"/>
      <c r="W28" s="70">
        <v>85000</v>
      </c>
      <c r="X28" s="54">
        <f t="shared" ref="X28:X33" si="17">J28-T28</f>
        <v>164230</v>
      </c>
      <c r="Y28" s="70">
        <v>70000</v>
      </c>
      <c r="Z28" s="70">
        <f>30000+10000</f>
        <v>40000</v>
      </c>
      <c r="AA28" s="70"/>
      <c r="AB28" s="54">
        <f t="shared" ref="AB28:AB33" si="18">SUM(Y28:AA28)</f>
        <v>110000</v>
      </c>
      <c r="AC28" s="117"/>
      <c r="AE28" s="22" t="s">
        <v>472</v>
      </c>
      <c r="AF28" s="22" t="s">
        <v>474</v>
      </c>
      <c r="AG28" s="6">
        <f t="shared" ref="AG28:AG33" si="19">Y28</f>
        <v>70000</v>
      </c>
      <c r="AH28" s="42" t="s">
        <v>627</v>
      </c>
      <c r="AI28" s="6"/>
      <c r="AJ28" s="6"/>
    </row>
    <row r="29" spans="1:53" ht="194.25" customHeight="1">
      <c r="A29" s="10">
        <f>+A28+1</f>
        <v>2</v>
      </c>
      <c r="B29" s="115" t="s">
        <v>338</v>
      </c>
      <c r="C29" s="10" t="s">
        <v>75</v>
      </c>
      <c r="D29" s="89" t="s">
        <v>20</v>
      </c>
      <c r="E29" s="10" t="s">
        <v>348</v>
      </c>
      <c r="F29" s="10" t="s">
        <v>36</v>
      </c>
      <c r="G29" s="10" t="s">
        <v>762</v>
      </c>
      <c r="H29" s="49">
        <v>114037</v>
      </c>
      <c r="I29" s="49">
        <f>H29-91500</f>
        <v>22537</v>
      </c>
      <c r="J29" s="275">
        <f>SUM(K29,L29:S29)</f>
        <v>5000</v>
      </c>
      <c r="K29" s="48">
        <v>30000</v>
      </c>
      <c r="L29" s="49"/>
      <c r="M29" s="49">
        <v>-25000</v>
      </c>
      <c r="N29" s="49"/>
      <c r="O29" s="49"/>
      <c r="P29" s="49"/>
      <c r="Q29" s="49"/>
      <c r="R29" s="49"/>
      <c r="S29" s="49"/>
      <c r="T29" s="80">
        <f t="shared" si="16"/>
        <v>1000</v>
      </c>
      <c r="U29" s="48"/>
      <c r="V29" s="49"/>
      <c r="W29" s="70">
        <v>1000</v>
      </c>
      <c r="X29" s="54">
        <f t="shared" si="17"/>
        <v>4000</v>
      </c>
      <c r="Y29" s="70">
        <f>X29</f>
        <v>4000</v>
      </c>
      <c r="Z29" s="70"/>
      <c r="AA29" s="70"/>
      <c r="AB29" s="54">
        <f t="shared" si="18"/>
        <v>4000</v>
      </c>
      <c r="AC29" s="92"/>
      <c r="AE29" s="22" t="s">
        <v>472</v>
      </c>
      <c r="AF29" s="22" t="s">
        <v>474</v>
      </c>
      <c r="AG29" s="6">
        <f t="shared" si="19"/>
        <v>4000</v>
      </c>
      <c r="AH29" s="6" t="s">
        <v>629</v>
      </c>
      <c r="AI29" s="6"/>
      <c r="AJ29" s="6"/>
    </row>
    <row r="30" spans="1:53" ht="88.5" customHeight="1">
      <c r="A30" s="10">
        <f>+A29+1</f>
        <v>3</v>
      </c>
      <c r="B30" s="115" t="s">
        <v>367</v>
      </c>
      <c r="C30" s="23" t="s">
        <v>370</v>
      </c>
      <c r="D30" s="34" t="s">
        <v>19</v>
      </c>
      <c r="E30" s="23" t="s">
        <v>371</v>
      </c>
      <c r="F30" s="23" t="s">
        <v>36</v>
      </c>
      <c r="G30" s="33" t="s">
        <v>763</v>
      </c>
      <c r="H30" s="49">
        <v>14960</v>
      </c>
      <c r="I30" s="49">
        <v>11400</v>
      </c>
      <c r="J30" s="275">
        <f>SUM(K30,L30:S30)</f>
        <v>11000</v>
      </c>
      <c r="K30" s="49">
        <v>11000</v>
      </c>
      <c r="L30" s="49"/>
      <c r="M30" s="49"/>
      <c r="N30" s="49"/>
      <c r="O30" s="49"/>
      <c r="P30" s="49"/>
      <c r="Q30" s="49"/>
      <c r="R30" s="49"/>
      <c r="S30" s="49"/>
      <c r="T30" s="80">
        <f t="shared" si="16"/>
        <v>5000</v>
      </c>
      <c r="U30" s="48"/>
      <c r="V30" s="49"/>
      <c r="W30" s="70">
        <v>5000</v>
      </c>
      <c r="X30" s="54">
        <f t="shared" si="17"/>
        <v>6000</v>
      </c>
      <c r="Y30" s="70">
        <f>X30</f>
        <v>6000</v>
      </c>
      <c r="Z30" s="70"/>
      <c r="AA30" s="70"/>
      <c r="AB30" s="54">
        <f t="shared" si="18"/>
        <v>6000</v>
      </c>
      <c r="AC30" s="183" t="s">
        <v>484</v>
      </c>
      <c r="AE30" s="22" t="s">
        <v>472</v>
      </c>
      <c r="AF30" s="22" t="s">
        <v>474</v>
      </c>
      <c r="AG30" s="6">
        <f t="shared" si="19"/>
        <v>6000</v>
      </c>
      <c r="AH30" s="6" t="s">
        <v>629</v>
      </c>
      <c r="AI30" s="6"/>
      <c r="AJ30" s="6"/>
    </row>
    <row r="31" spans="1:53" ht="88.5" customHeight="1">
      <c r="A31" s="10">
        <f>+A30+1</f>
        <v>4</v>
      </c>
      <c r="B31" s="115" t="s">
        <v>644</v>
      </c>
      <c r="C31" s="23" t="s">
        <v>493</v>
      </c>
      <c r="D31" s="34" t="s">
        <v>19</v>
      </c>
      <c r="E31" s="23" t="s">
        <v>494</v>
      </c>
      <c r="F31" s="23" t="s">
        <v>36</v>
      </c>
      <c r="G31" s="33" t="s">
        <v>764</v>
      </c>
      <c r="H31" s="49">
        <v>24389</v>
      </c>
      <c r="I31" s="49">
        <v>15000</v>
      </c>
      <c r="J31" s="275">
        <f>SUM(K31,L31:S31)</f>
        <v>15000</v>
      </c>
      <c r="K31" s="49">
        <v>15000</v>
      </c>
      <c r="L31" s="49"/>
      <c r="M31" s="49"/>
      <c r="N31" s="49"/>
      <c r="O31" s="49"/>
      <c r="P31" s="49"/>
      <c r="Q31" s="49"/>
      <c r="R31" s="49"/>
      <c r="S31" s="49"/>
      <c r="T31" s="80">
        <f t="shared" si="16"/>
        <v>5000</v>
      </c>
      <c r="U31" s="48"/>
      <c r="V31" s="49"/>
      <c r="W31" s="70">
        <v>5000</v>
      </c>
      <c r="X31" s="54">
        <f t="shared" si="17"/>
        <v>10000</v>
      </c>
      <c r="Y31" s="70">
        <f>X31</f>
        <v>10000</v>
      </c>
      <c r="Z31" s="70"/>
      <c r="AA31" s="70"/>
      <c r="AB31" s="54">
        <f t="shared" si="18"/>
        <v>10000</v>
      </c>
      <c r="AC31" s="183" t="s">
        <v>484</v>
      </c>
      <c r="AE31" s="22" t="s">
        <v>472</v>
      </c>
      <c r="AF31" s="22" t="s">
        <v>474</v>
      </c>
      <c r="AG31" s="6">
        <f t="shared" si="19"/>
        <v>10000</v>
      </c>
      <c r="AH31" s="6" t="s">
        <v>629</v>
      </c>
      <c r="AI31" s="6"/>
      <c r="AJ31" s="6"/>
    </row>
    <row r="32" spans="1:53" ht="234" customHeight="1">
      <c r="A32" s="10">
        <f>+A31+1</f>
        <v>5</v>
      </c>
      <c r="B32" s="115" t="s">
        <v>339</v>
      </c>
      <c r="C32" s="10" t="s">
        <v>343</v>
      </c>
      <c r="D32" s="89" t="s">
        <v>20</v>
      </c>
      <c r="E32" s="10" t="s">
        <v>349</v>
      </c>
      <c r="F32" s="10" t="s">
        <v>36</v>
      </c>
      <c r="G32" s="10" t="s">
        <v>765</v>
      </c>
      <c r="H32" s="49">
        <v>132454</v>
      </c>
      <c r="I32" s="49">
        <f>H32-106500</f>
        <v>25954</v>
      </c>
      <c r="J32" s="275">
        <f>SUM(K32,L32:S32)</f>
        <v>5000</v>
      </c>
      <c r="K32" s="48">
        <v>40000</v>
      </c>
      <c r="L32" s="49"/>
      <c r="M32" s="49">
        <v>-35000</v>
      </c>
      <c r="N32" s="49"/>
      <c r="O32" s="49"/>
      <c r="P32" s="49"/>
      <c r="Q32" s="49"/>
      <c r="R32" s="49"/>
      <c r="S32" s="49"/>
      <c r="T32" s="8">
        <f t="shared" si="16"/>
        <v>0</v>
      </c>
      <c r="U32" s="48"/>
      <c r="V32" s="49"/>
      <c r="W32" s="70"/>
      <c r="X32" s="54">
        <f t="shared" si="17"/>
        <v>5000</v>
      </c>
      <c r="Y32" s="70">
        <f>X32</f>
        <v>5000</v>
      </c>
      <c r="Z32" s="70"/>
      <c r="AA32" s="70"/>
      <c r="AB32" s="54">
        <f t="shared" si="18"/>
        <v>5000</v>
      </c>
      <c r="AC32" s="92"/>
      <c r="AE32" s="22" t="s">
        <v>472</v>
      </c>
      <c r="AF32" s="22" t="s">
        <v>474</v>
      </c>
      <c r="AG32" s="6">
        <f t="shared" si="19"/>
        <v>5000</v>
      </c>
      <c r="AH32" s="6" t="s">
        <v>629</v>
      </c>
      <c r="AI32" s="6"/>
      <c r="AJ32" s="6"/>
    </row>
    <row r="33" spans="1:36" ht="112.5" customHeight="1">
      <c r="A33" s="10">
        <v>6</v>
      </c>
      <c r="B33" s="115" t="s">
        <v>863</v>
      </c>
      <c r="C33" s="10" t="s">
        <v>958</v>
      </c>
      <c r="D33" s="89" t="s">
        <v>20</v>
      </c>
      <c r="E33" s="10" t="s">
        <v>347</v>
      </c>
      <c r="F33" s="10" t="s">
        <v>36</v>
      </c>
      <c r="G33" s="10" t="s">
        <v>563</v>
      </c>
      <c r="H33" s="49">
        <v>1493000</v>
      </c>
      <c r="I33" s="49">
        <v>493000</v>
      </c>
      <c r="J33" s="275">
        <v>240756</v>
      </c>
      <c r="K33" s="48"/>
      <c r="L33" s="49"/>
      <c r="M33" s="49"/>
      <c r="N33" s="49"/>
      <c r="O33" s="49"/>
      <c r="P33" s="49"/>
      <c r="Q33" s="49"/>
      <c r="R33" s="49"/>
      <c r="S33" s="49"/>
      <c r="T33" s="80">
        <f t="shared" si="16"/>
        <v>100356</v>
      </c>
      <c r="U33" s="48"/>
      <c r="V33" s="49"/>
      <c r="W33" s="70">
        <v>100356</v>
      </c>
      <c r="X33" s="54">
        <f t="shared" si="17"/>
        <v>140400</v>
      </c>
      <c r="Y33" s="70">
        <f>X33</f>
        <v>140400</v>
      </c>
      <c r="Z33" s="70"/>
      <c r="AA33" s="70"/>
      <c r="AB33" s="54">
        <f t="shared" si="18"/>
        <v>140400</v>
      </c>
      <c r="AC33" s="92"/>
      <c r="AE33" s="22" t="s">
        <v>472</v>
      </c>
      <c r="AF33" s="22" t="s">
        <v>474</v>
      </c>
      <c r="AG33" s="6">
        <f t="shared" si="19"/>
        <v>140400</v>
      </c>
      <c r="AH33" s="6"/>
      <c r="AI33" s="6"/>
      <c r="AJ33" s="6"/>
    </row>
    <row r="34" spans="1:36" s="20" customFormat="1" ht="44.25" customHeight="1">
      <c r="A34" s="15" t="s">
        <v>25</v>
      </c>
      <c r="B34" s="16" t="s">
        <v>879</v>
      </c>
      <c r="C34" s="16"/>
      <c r="D34" s="15"/>
      <c r="E34" s="16"/>
      <c r="F34" s="16"/>
      <c r="G34" s="16"/>
      <c r="H34" s="29">
        <f>SUM(H35:H48)</f>
        <v>5866791</v>
      </c>
      <c r="I34" s="29">
        <f t="shared" ref="I34:AB34" si="20">SUM(I35:I48)</f>
        <v>2503272</v>
      </c>
      <c r="J34" s="278">
        <f t="shared" si="20"/>
        <v>910563</v>
      </c>
      <c r="K34" s="29">
        <f t="shared" si="20"/>
        <v>876716</v>
      </c>
      <c r="L34" s="29">
        <f t="shared" si="20"/>
        <v>-69800</v>
      </c>
      <c r="M34" s="29">
        <f t="shared" si="20"/>
        <v>-90000</v>
      </c>
      <c r="N34" s="29">
        <f t="shared" si="20"/>
        <v>16647</v>
      </c>
      <c r="O34" s="29">
        <f t="shared" si="20"/>
        <v>-26000</v>
      </c>
      <c r="P34" s="29">
        <f t="shared" si="20"/>
        <v>0</v>
      </c>
      <c r="Q34" s="29">
        <f t="shared" si="20"/>
        <v>0</v>
      </c>
      <c r="R34" s="29">
        <f t="shared" si="20"/>
        <v>0</v>
      </c>
      <c r="S34" s="29">
        <f t="shared" si="20"/>
        <v>13000</v>
      </c>
      <c r="T34" s="29">
        <f t="shared" si="20"/>
        <v>444093</v>
      </c>
      <c r="U34" s="29">
        <f t="shared" si="20"/>
        <v>140613</v>
      </c>
      <c r="V34" s="29">
        <f t="shared" si="20"/>
        <v>120332</v>
      </c>
      <c r="W34" s="29">
        <f t="shared" si="20"/>
        <v>183148</v>
      </c>
      <c r="X34" s="29">
        <f t="shared" si="20"/>
        <v>466470</v>
      </c>
      <c r="Y34" s="29">
        <f t="shared" si="20"/>
        <v>283535</v>
      </c>
      <c r="Z34" s="29">
        <f t="shared" si="20"/>
        <v>74400</v>
      </c>
      <c r="AA34" s="380">
        <f t="shared" si="20"/>
        <v>-79000</v>
      </c>
      <c r="AB34" s="29">
        <f t="shared" si="20"/>
        <v>278935</v>
      </c>
      <c r="AC34" s="19"/>
      <c r="AE34" s="113"/>
      <c r="AF34" s="113"/>
    </row>
    <row r="35" spans="1:36" ht="165.75" customHeight="1">
      <c r="A35" s="10">
        <v>1</v>
      </c>
      <c r="B35" s="115" t="s">
        <v>291</v>
      </c>
      <c r="C35" s="116" t="s">
        <v>295</v>
      </c>
      <c r="D35" s="89" t="s">
        <v>20</v>
      </c>
      <c r="E35" s="28" t="s">
        <v>300</v>
      </c>
      <c r="F35" s="28" t="s">
        <v>296</v>
      </c>
      <c r="G35" s="28" t="s">
        <v>766</v>
      </c>
      <c r="H35" s="48">
        <v>1458000</v>
      </c>
      <c r="I35" s="49">
        <f>H35-1105000</f>
        <v>353000</v>
      </c>
      <c r="J35" s="275">
        <f>SUM(K35,L35:S35)</f>
        <v>80200</v>
      </c>
      <c r="K35" s="49">
        <v>150000</v>
      </c>
      <c r="L35" s="49">
        <v>-69800</v>
      </c>
      <c r="M35" s="49"/>
      <c r="N35" s="49"/>
      <c r="O35" s="49"/>
      <c r="P35" s="49"/>
      <c r="Q35" s="49"/>
      <c r="R35" s="49"/>
      <c r="S35" s="49"/>
      <c r="T35" s="80">
        <f t="shared" ref="T35:T42" si="21">SUM(U35:W35)</f>
        <v>62848</v>
      </c>
      <c r="U35" s="48">
        <v>0</v>
      </c>
      <c r="V35" s="49"/>
      <c r="W35" s="70">
        <v>62848</v>
      </c>
      <c r="X35" s="54">
        <f t="shared" ref="X35:X42" si="22">J35-T35</f>
        <v>17352</v>
      </c>
      <c r="Y35" s="70">
        <f>X35</f>
        <v>17352</v>
      </c>
      <c r="Z35" s="70">
        <v>39400</v>
      </c>
      <c r="AA35" s="70"/>
      <c r="AB35" s="54">
        <f t="shared" ref="AB35:AB48" si="23">SUM(Y35:AA35)</f>
        <v>56752</v>
      </c>
      <c r="AC35" s="92"/>
      <c r="AE35" s="22" t="s">
        <v>472</v>
      </c>
      <c r="AF35" s="22" t="s">
        <v>629</v>
      </c>
      <c r="AG35" s="6">
        <f>Y35</f>
        <v>17352</v>
      </c>
      <c r="AH35" s="6"/>
      <c r="AI35" s="6"/>
      <c r="AJ35" s="6"/>
    </row>
    <row r="36" spans="1:36" ht="144" customHeight="1">
      <c r="A36" s="10">
        <f t="shared" ref="A36:A48" si="24">+A35+1</f>
        <v>2</v>
      </c>
      <c r="B36" s="115" t="s">
        <v>292</v>
      </c>
      <c r="C36" s="116" t="s">
        <v>72</v>
      </c>
      <c r="D36" s="89" t="s">
        <v>20</v>
      </c>
      <c r="E36" s="184" t="s">
        <v>301</v>
      </c>
      <c r="F36" s="34" t="s">
        <v>297</v>
      </c>
      <c r="G36" s="184" t="s">
        <v>767</v>
      </c>
      <c r="H36" s="49">
        <v>243000</v>
      </c>
      <c r="I36" s="32">
        <v>104000</v>
      </c>
      <c r="J36" s="275">
        <f>SUM(K36,L36:S36)</f>
        <v>66716</v>
      </c>
      <c r="K36" s="49">
        <v>66716</v>
      </c>
      <c r="L36" s="49"/>
      <c r="M36" s="49"/>
      <c r="N36" s="49"/>
      <c r="O36" s="49"/>
      <c r="P36" s="49"/>
      <c r="Q36" s="49"/>
      <c r="R36" s="49"/>
      <c r="S36" s="49"/>
      <c r="T36" s="80">
        <f t="shared" si="21"/>
        <v>63700</v>
      </c>
      <c r="U36" s="48">
        <v>20000</v>
      </c>
      <c r="V36" s="70">
        <v>17000</v>
      </c>
      <c r="W36" s="70">
        <v>26700</v>
      </c>
      <c r="X36" s="54">
        <f t="shared" si="22"/>
        <v>3016</v>
      </c>
      <c r="Y36" s="70">
        <v>1500</v>
      </c>
      <c r="Z36" s="70"/>
      <c r="AA36" s="70"/>
      <c r="AB36" s="54">
        <f t="shared" si="23"/>
        <v>1500</v>
      </c>
      <c r="AC36" s="92"/>
      <c r="AE36" s="22" t="s">
        <v>472</v>
      </c>
      <c r="AF36" s="22" t="s">
        <v>629</v>
      </c>
      <c r="AG36" s="6">
        <f t="shared" ref="AG36:AG50" si="25">Y36</f>
        <v>1500</v>
      </c>
      <c r="AH36" s="6"/>
      <c r="AI36" s="6"/>
      <c r="AJ36" s="6"/>
    </row>
    <row r="37" spans="1:36" ht="194.25" customHeight="1">
      <c r="A37" s="10">
        <f t="shared" si="24"/>
        <v>3</v>
      </c>
      <c r="B37" s="115" t="s">
        <v>640</v>
      </c>
      <c r="C37" s="116" t="s">
        <v>18</v>
      </c>
      <c r="D37" s="89" t="s">
        <v>20</v>
      </c>
      <c r="E37" s="28" t="s">
        <v>302</v>
      </c>
      <c r="F37" s="28" t="s">
        <v>298</v>
      </c>
      <c r="G37" s="28" t="s">
        <v>1439</v>
      </c>
      <c r="H37" s="49">
        <v>325396</v>
      </c>
      <c r="I37" s="49">
        <v>135396</v>
      </c>
      <c r="J37" s="275">
        <f>SUM(K37,L37:S37)</f>
        <v>50000</v>
      </c>
      <c r="K37" s="49">
        <v>50000</v>
      </c>
      <c r="L37" s="49"/>
      <c r="M37" s="49"/>
      <c r="N37" s="49"/>
      <c r="O37" s="49"/>
      <c r="P37" s="49"/>
      <c r="Q37" s="49"/>
      <c r="R37" s="49"/>
      <c r="S37" s="49"/>
      <c r="T37" s="80">
        <f t="shared" si="21"/>
        <v>48000</v>
      </c>
      <c r="U37" s="48">
        <v>8000</v>
      </c>
      <c r="V37" s="49"/>
      <c r="W37" s="70">
        <v>40000</v>
      </c>
      <c r="X37" s="54">
        <f t="shared" si="22"/>
        <v>2000</v>
      </c>
      <c r="Y37" s="70">
        <f>X37</f>
        <v>2000</v>
      </c>
      <c r="Z37" s="70">
        <v>35000</v>
      </c>
      <c r="AA37" s="70"/>
      <c r="AB37" s="54">
        <f t="shared" si="23"/>
        <v>37000</v>
      </c>
      <c r="AC37" s="92"/>
      <c r="AE37" s="22" t="s">
        <v>472</v>
      </c>
      <c r="AF37" s="22" t="s">
        <v>629</v>
      </c>
      <c r="AG37" s="6">
        <f t="shared" si="25"/>
        <v>2000</v>
      </c>
      <c r="AH37" s="6"/>
      <c r="AI37" s="6"/>
      <c r="AJ37" s="6"/>
    </row>
    <row r="38" spans="1:36" ht="123" customHeight="1">
      <c r="A38" s="10">
        <f t="shared" si="24"/>
        <v>4</v>
      </c>
      <c r="B38" s="115" t="s">
        <v>293</v>
      </c>
      <c r="C38" s="116" t="s">
        <v>72</v>
      </c>
      <c r="D38" s="89" t="s">
        <v>20</v>
      </c>
      <c r="E38" s="184" t="s">
        <v>303</v>
      </c>
      <c r="F38" s="184" t="s">
        <v>298</v>
      </c>
      <c r="G38" s="34" t="s">
        <v>304</v>
      </c>
      <c r="H38" s="162">
        <v>391654</v>
      </c>
      <c r="I38" s="162">
        <v>341654</v>
      </c>
      <c r="J38" s="275">
        <f>SUM(K38,L38:S38)</f>
        <v>150000</v>
      </c>
      <c r="K38" s="49">
        <v>150000</v>
      </c>
      <c r="L38" s="49"/>
      <c r="M38" s="49"/>
      <c r="N38" s="49"/>
      <c r="O38" s="49"/>
      <c r="P38" s="49"/>
      <c r="Q38" s="49"/>
      <c r="R38" s="49"/>
      <c r="S38" s="49"/>
      <c r="T38" s="80">
        <f t="shared" si="21"/>
        <v>111000</v>
      </c>
      <c r="U38" s="49">
        <v>50000</v>
      </c>
      <c r="V38" s="70">
        <v>45000</v>
      </c>
      <c r="W38" s="70">
        <v>16000</v>
      </c>
      <c r="X38" s="54">
        <f t="shared" si="22"/>
        <v>39000</v>
      </c>
      <c r="Y38" s="70">
        <f>X38</f>
        <v>39000</v>
      </c>
      <c r="Z38" s="70"/>
      <c r="AA38" s="343">
        <f>-14284-4716</f>
        <v>-19000</v>
      </c>
      <c r="AB38" s="54">
        <f t="shared" si="23"/>
        <v>20000</v>
      </c>
      <c r="AC38" s="92" t="s">
        <v>552</v>
      </c>
      <c r="AE38" s="22" t="s">
        <v>472</v>
      </c>
      <c r="AF38" s="22" t="s">
        <v>629</v>
      </c>
      <c r="AG38" s="6">
        <f t="shared" si="25"/>
        <v>39000</v>
      </c>
      <c r="AH38" s="6"/>
      <c r="AI38" s="6"/>
      <c r="AJ38" s="6"/>
    </row>
    <row r="39" spans="1:36" ht="123" customHeight="1">
      <c r="A39" s="10">
        <f t="shared" si="24"/>
        <v>5</v>
      </c>
      <c r="B39" s="115" t="s">
        <v>294</v>
      </c>
      <c r="C39" s="116" t="s">
        <v>18</v>
      </c>
      <c r="D39" s="89" t="s">
        <v>20</v>
      </c>
      <c r="E39" s="28" t="s">
        <v>305</v>
      </c>
      <c r="F39" s="28" t="s">
        <v>299</v>
      </c>
      <c r="G39" s="91" t="s">
        <v>306</v>
      </c>
      <c r="H39" s="49">
        <v>812110</v>
      </c>
      <c r="I39" s="49">
        <v>810110</v>
      </c>
      <c r="J39" s="275">
        <v>327000</v>
      </c>
      <c r="K39" s="49">
        <v>150000</v>
      </c>
      <c r="L39" s="49"/>
      <c r="M39" s="49"/>
      <c r="N39" s="49"/>
      <c r="O39" s="49">
        <v>-26000</v>
      </c>
      <c r="P39" s="49"/>
      <c r="Q39" s="49"/>
      <c r="R39" s="49"/>
      <c r="S39" s="49">
        <v>13000</v>
      </c>
      <c r="T39" s="80">
        <f t="shared" si="21"/>
        <v>135945</v>
      </c>
      <c r="U39" s="49">
        <v>62613</v>
      </c>
      <c r="V39" s="54">
        <v>58332</v>
      </c>
      <c r="W39" s="70">
        <v>15000</v>
      </c>
      <c r="X39" s="54">
        <f t="shared" si="22"/>
        <v>191055</v>
      </c>
      <c r="Y39" s="70">
        <v>90000</v>
      </c>
      <c r="Z39" s="70"/>
      <c r="AA39" s="343">
        <v>-30000</v>
      </c>
      <c r="AB39" s="54">
        <f t="shared" si="23"/>
        <v>60000</v>
      </c>
      <c r="AC39" s="92" t="s">
        <v>959</v>
      </c>
      <c r="AE39" s="22" t="s">
        <v>472</v>
      </c>
      <c r="AF39" s="22" t="s">
        <v>629</v>
      </c>
      <c r="AG39" s="6">
        <f t="shared" si="25"/>
        <v>90000</v>
      </c>
      <c r="AH39" s="6"/>
      <c r="AI39" s="6"/>
      <c r="AJ39" s="6"/>
    </row>
    <row r="40" spans="1:36" ht="174" customHeight="1">
      <c r="A40" s="10">
        <f t="shared" si="24"/>
        <v>6</v>
      </c>
      <c r="B40" s="115" t="s">
        <v>307</v>
      </c>
      <c r="C40" s="279" t="s">
        <v>308</v>
      </c>
      <c r="D40" s="89" t="s">
        <v>20</v>
      </c>
      <c r="E40" s="28" t="s">
        <v>309</v>
      </c>
      <c r="F40" s="28" t="s">
        <v>298</v>
      </c>
      <c r="G40" s="28" t="s">
        <v>768</v>
      </c>
      <c r="H40" s="49">
        <v>635270</v>
      </c>
      <c r="I40" s="49">
        <v>204770</v>
      </c>
      <c r="J40" s="275">
        <f>SUM(K40,L40:S40)</f>
        <v>160000</v>
      </c>
      <c r="K40" s="49">
        <v>160000</v>
      </c>
      <c r="L40" s="49"/>
      <c r="M40" s="49"/>
      <c r="N40" s="49"/>
      <c r="O40" s="49"/>
      <c r="P40" s="49"/>
      <c r="Q40" s="49"/>
      <c r="R40" s="49"/>
      <c r="S40" s="49"/>
      <c r="T40" s="80">
        <f t="shared" si="21"/>
        <v>21600</v>
      </c>
      <c r="U40" s="49"/>
      <c r="V40" s="49"/>
      <c r="W40" s="70">
        <v>21600</v>
      </c>
      <c r="X40" s="54">
        <f t="shared" si="22"/>
        <v>138400</v>
      </c>
      <c r="Y40" s="70">
        <v>78036</v>
      </c>
      <c r="Z40" s="70"/>
      <c r="AA40" s="70"/>
      <c r="AB40" s="54">
        <f t="shared" si="23"/>
        <v>78036</v>
      </c>
      <c r="AC40" s="92"/>
      <c r="AE40" s="22" t="s">
        <v>472</v>
      </c>
      <c r="AF40" s="22" t="s">
        <v>629</v>
      </c>
      <c r="AG40" s="6">
        <f t="shared" si="25"/>
        <v>78036</v>
      </c>
      <c r="AH40" s="6"/>
      <c r="AI40" s="6"/>
      <c r="AJ40" s="6"/>
    </row>
    <row r="41" spans="1:36" ht="253.5" customHeight="1">
      <c r="A41" s="10">
        <f t="shared" si="24"/>
        <v>7</v>
      </c>
      <c r="B41" s="115" t="s">
        <v>310</v>
      </c>
      <c r="C41" s="116" t="s">
        <v>311</v>
      </c>
      <c r="D41" s="89" t="s">
        <v>20</v>
      </c>
      <c r="E41" s="28" t="s">
        <v>312</v>
      </c>
      <c r="F41" s="28" t="s">
        <v>329</v>
      </c>
      <c r="G41" s="28" t="s">
        <v>1440</v>
      </c>
      <c r="H41" s="48">
        <v>124451</v>
      </c>
      <c r="I41" s="49">
        <f>H41-98100</f>
        <v>26351</v>
      </c>
      <c r="J41" s="275">
        <f>SUM(K41,L41:S41)</f>
        <v>25000</v>
      </c>
      <c r="K41" s="49">
        <v>25000</v>
      </c>
      <c r="L41" s="49"/>
      <c r="M41" s="49"/>
      <c r="N41" s="49"/>
      <c r="O41" s="49"/>
      <c r="P41" s="49"/>
      <c r="Q41" s="49"/>
      <c r="R41" s="49"/>
      <c r="S41" s="49"/>
      <c r="T41" s="80">
        <f t="shared" si="21"/>
        <v>0</v>
      </c>
      <c r="U41" s="49"/>
      <c r="V41" s="49"/>
      <c r="W41" s="70">
        <v>0</v>
      </c>
      <c r="X41" s="54">
        <f t="shared" si="22"/>
        <v>25000</v>
      </c>
      <c r="Y41" s="70">
        <f>X41</f>
        <v>25000</v>
      </c>
      <c r="Z41" s="70"/>
      <c r="AA41" s="343">
        <v>-25000</v>
      </c>
      <c r="AB41" s="54">
        <f t="shared" si="23"/>
        <v>0</v>
      </c>
      <c r="AC41" s="92" t="s">
        <v>1469</v>
      </c>
      <c r="AE41" s="22" t="s">
        <v>472</v>
      </c>
      <c r="AF41" s="22" t="s">
        <v>629</v>
      </c>
      <c r="AG41" s="6">
        <f t="shared" si="25"/>
        <v>25000</v>
      </c>
      <c r="AH41" s="6"/>
      <c r="AI41" s="6"/>
      <c r="AJ41" s="6"/>
    </row>
    <row r="42" spans="1:36" ht="126" customHeight="1">
      <c r="A42" s="10">
        <f t="shared" si="24"/>
        <v>8</v>
      </c>
      <c r="B42" s="115" t="s">
        <v>313</v>
      </c>
      <c r="C42" s="28" t="s">
        <v>55</v>
      </c>
      <c r="D42" s="89" t="s">
        <v>20</v>
      </c>
      <c r="E42" s="28" t="s">
        <v>317</v>
      </c>
      <c r="F42" s="28" t="s">
        <v>316</v>
      </c>
      <c r="G42" s="28" t="s">
        <v>318</v>
      </c>
      <c r="H42" s="49">
        <v>148098</v>
      </c>
      <c r="I42" s="49">
        <v>48098</v>
      </c>
      <c r="J42" s="275">
        <f>SUM(K42,L42:S42)</f>
        <v>30000</v>
      </c>
      <c r="K42" s="49">
        <v>30000</v>
      </c>
      <c r="L42" s="49"/>
      <c r="M42" s="49"/>
      <c r="N42" s="49"/>
      <c r="O42" s="49"/>
      <c r="P42" s="49"/>
      <c r="Q42" s="49"/>
      <c r="R42" s="49"/>
      <c r="S42" s="49"/>
      <c r="T42" s="80">
        <f t="shared" si="21"/>
        <v>0</v>
      </c>
      <c r="U42" s="49"/>
      <c r="V42" s="49"/>
      <c r="W42" s="70">
        <v>0</v>
      </c>
      <c r="X42" s="54">
        <f t="shared" si="22"/>
        <v>30000</v>
      </c>
      <c r="Y42" s="70">
        <v>10000</v>
      </c>
      <c r="Z42" s="70"/>
      <c r="AA42" s="70"/>
      <c r="AB42" s="54">
        <f t="shared" si="23"/>
        <v>10000</v>
      </c>
      <c r="AC42" s="92"/>
      <c r="AE42" s="22" t="s">
        <v>472</v>
      </c>
      <c r="AF42" s="22" t="s">
        <v>629</v>
      </c>
      <c r="AG42" s="6">
        <f t="shared" si="25"/>
        <v>10000</v>
      </c>
      <c r="AH42" s="6"/>
      <c r="AI42" s="6"/>
      <c r="AJ42" s="6"/>
    </row>
    <row r="43" spans="1:36" ht="126" customHeight="1">
      <c r="A43" s="10">
        <f t="shared" si="24"/>
        <v>9</v>
      </c>
      <c r="B43" s="17" t="s">
        <v>567</v>
      </c>
      <c r="C43" s="28" t="s">
        <v>568</v>
      </c>
      <c r="D43" s="89" t="s">
        <v>20</v>
      </c>
      <c r="E43" s="28" t="s">
        <v>569</v>
      </c>
      <c r="F43" s="28" t="s">
        <v>116</v>
      </c>
      <c r="G43" s="91" t="s">
        <v>769</v>
      </c>
      <c r="H43" s="49">
        <v>300000</v>
      </c>
      <c r="I43" s="49">
        <v>100000</v>
      </c>
      <c r="J43" s="275">
        <f t="shared" ref="J43:J48" si="26">SUM(K43,L43:S43)</f>
        <v>16647</v>
      </c>
      <c r="K43" s="48"/>
      <c r="L43" s="49"/>
      <c r="M43" s="49"/>
      <c r="N43" s="49">
        <v>16647</v>
      </c>
      <c r="O43" s="49"/>
      <c r="P43" s="49"/>
      <c r="Q43" s="49"/>
      <c r="R43" s="49"/>
      <c r="S43" s="49"/>
      <c r="T43" s="80">
        <f t="shared" ref="T43:T48" si="27">SUM(U43:W43)</f>
        <v>1000</v>
      </c>
      <c r="U43" s="48"/>
      <c r="V43" s="49"/>
      <c r="W43" s="70">
        <v>1000</v>
      </c>
      <c r="X43" s="54">
        <f t="shared" ref="X43:X48" si="28">J43-T43</f>
        <v>15647</v>
      </c>
      <c r="Y43" s="70">
        <f t="shared" ref="Y43:Y48" si="29">X43</f>
        <v>15647</v>
      </c>
      <c r="Z43" s="70"/>
      <c r="AA43" s="70"/>
      <c r="AB43" s="54">
        <f t="shared" si="23"/>
        <v>15647</v>
      </c>
      <c r="AC43" s="92"/>
      <c r="AE43" s="22" t="s">
        <v>472</v>
      </c>
      <c r="AF43" s="22" t="s">
        <v>629</v>
      </c>
      <c r="AG43" s="6">
        <f t="shared" si="25"/>
        <v>15647</v>
      </c>
      <c r="AH43" s="6"/>
      <c r="AI43" s="6"/>
      <c r="AJ43" s="6"/>
    </row>
    <row r="44" spans="1:36" ht="119.1" customHeight="1">
      <c r="A44" s="10">
        <f t="shared" si="24"/>
        <v>10</v>
      </c>
      <c r="B44" s="115" t="s">
        <v>325</v>
      </c>
      <c r="C44" s="28" t="s">
        <v>133</v>
      </c>
      <c r="D44" s="89" t="s">
        <v>20</v>
      </c>
      <c r="E44" s="28" t="s">
        <v>328</v>
      </c>
      <c r="F44" s="28" t="s">
        <v>329</v>
      </c>
      <c r="G44" s="91" t="s">
        <v>774</v>
      </c>
      <c r="H44" s="49">
        <v>256771</v>
      </c>
      <c r="I44" s="49">
        <v>56000</v>
      </c>
      <c r="J44" s="275">
        <f t="shared" si="26"/>
        <v>1000</v>
      </c>
      <c r="K44" s="48">
        <v>20000</v>
      </c>
      <c r="L44" s="49"/>
      <c r="M44" s="49">
        <v>-19000</v>
      </c>
      <c r="N44" s="49"/>
      <c r="O44" s="49"/>
      <c r="P44" s="49"/>
      <c r="Q44" s="49"/>
      <c r="R44" s="49"/>
      <c r="S44" s="49"/>
      <c r="T44" s="80">
        <f t="shared" si="27"/>
        <v>0</v>
      </c>
      <c r="U44" s="48"/>
      <c r="V44" s="49"/>
      <c r="W44" s="70">
        <v>0</v>
      </c>
      <c r="X44" s="54">
        <f t="shared" si="28"/>
        <v>1000</v>
      </c>
      <c r="Y44" s="70">
        <f t="shared" si="29"/>
        <v>1000</v>
      </c>
      <c r="Z44" s="70"/>
      <c r="AA44" s="343">
        <v>-1000</v>
      </c>
      <c r="AB44" s="54">
        <f t="shared" si="23"/>
        <v>0</v>
      </c>
      <c r="AC44" s="92" t="s">
        <v>1470</v>
      </c>
      <c r="AE44" s="22" t="s">
        <v>472</v>
      </c>
      <c r="AF44" s="22" t="s">
        <v>629</v>
      </c>
      <c r="AG44" s="6">
        <f t="shared" si="25"/>
        <v>1000</v>
      </c>
      <c r="AH44" s="6"/>
      <c r="AI44" s="6"/>
      <c r="AJ44" s="6"/>
    </row>
    <row r="45" spans="1:36" ht="132.9" customHeight="1">
      <c r="A45" s="10">
        <f t="shared" si="24"/>
        <v>11</v>
      </c>
      <c r="B45" s="115" t="s">
        <v>645</v>
      </c>
      <c r="C45" s="28" t="s">
        <v>334</v>
      </c>
      <c r="D45" s="89" t="s">
        <v>20</v>
      </c>
      <c r="E45" s="28" t="s">
        <v>330</v>
      </c>
      <c r="F45" s="28" t="s">
        <v>329</v>
      </c>
      <c r="G45" s="91" t="s">
        <v>770</v>
      </c>
      <c r="H45" s="49">
        <v>292004</v>
      </c>
      <c r="I45" s="49">
        <f>292004-220000</f>
        <v>72004</v>
      </c>
      <c r="J45" s="275">
        <f t="shared" si="26"/>
        <v>1000</v>
      </c>
      <c r="K45" s="48">
        <v>20000</v>
      </c>
      <c r="L45" s="49"/>
      <c r="M45" s="49">
        <v>-19000</v>
      </c>
      <c r="N45" s="49"/>
      <c r="O45" s="49"/>
      <c r="P45" s="49"/>
      <c r="Q45" s="49"/>
      <c r="R45" s="49"/>
      <c r="S45" s="49"/>
      <c r="T45" s="80">
        <f t="shared" si="27"/>
        <v>0</v>
      </c>
      <c r="U45" s="48"/>
      <c r="V45" s="49"/>
      <c r="W45" s="70">
        <v>0</v>
      </c>
      <c r="X45" s="54">
        <f t="shared" si="28"/>
        <v>1000</v>
      </c>
      <c r="Y45" s="70">
        <f t="shared" si="29"/>
        <v>1000</v>
      </c>
      <c r="Z45" s="70"/>
      <c r="AA45" s="343">
        <v>-1000</v>
      </c>
      <c r="AB45" s="54">
        <f t="shared" si="23"/>
        <v>0</v>
      </c>
      <c r="AC45" s="92" t="s">
        <v>1470</v>
      </c>
      <c r="AE45" s="22" t="s">
        <v>472</v>
      </c>
      <c r="AF45" s="22" t="s">
        <v>629</v>
      </c>
      <c r="AG45" s="6">
        <f t="shared" si="25"/>
        <v>1000</v>
      </c>
      <c r="AH45" s="6"/>
      <c r="AI45" s="6"/>
      <c r="AJ45" s="6"/>
    </row>
    <row r="46" spans="1:36" ht="189" customHeight="1">
      <c r="A46" s="10">
        <f t="shared" si="24"/>
        <v>12</v>
      </c>
      <c r="B46" s="115" t="s">
        <v>326</v>
      </c>
      <c r="C46" s="28" t="s">
        <v>335</v>
      </c>
      <c r="D46" s="89" t="s">
        <v>20</v>
      </c>
      <c r="E46" s="28" t="s">
        <v>331</v>
      </c>
      <c r="F46" s="28" t="s">
        <v>36</v>
      </c>
      <c r="G46" s="91" t="s">
        <v>771</v>
      </c>
      <c r="H46" s="49">
        <v>309730</v>
      </c>
      <c r="I46" s="49">
        <f>309730-250000</f>
        <v>59730</v>
      </c>
      <c r="J46" s="275">
        <f t="shared" si="26"/>
        <v>1000</v>
      </c>
      <c r="K46" s="48">
        <v>20000</v>
      </c>
      <c r="L46" s="49"/>
      <c r="M46" s="49">
        <v>-19000</v>
      </c>
      <c r="N46" s="49"/>
      <c r="O46" s="49"/>
      <c r="P46" s="49"/>
      <c r="Q46" s="49"/>
      <c r="R46" s="49"/>
      <c r="S46" s="49"/>
      <c r="T46" s="80">
        <f t="shared" si="27"/>
        <v>0</v>
      </c>
      <c r="U46" s="48"/>
      <c r="V46" s="49"/>
      <c r="W46" s="70">
        <v>0</v>
      </c>
      <c r="X46" s="54">
        <f t="shared" si="28"/>
        <v>1000</v>
      </c>
      <c r="Y46" s="70">
        <f t="shared" si="29"/>
        <v>1000</v>
      </c>
      <c r="Z46" s="70"/>
      <c r="AA46" s="343">
        <v>-1000</v>
      </c>
      <c r="AB46" s="54">
        <f t="shared" si="23"/>
        <v>0</v>
      </c>
      <c r="AC46" s="92" t="s">
        <v>1470</v>
      </c>
      <c r="AE46" s="22" t="s">
        <v>472</v>
      </c>
      <c r="AF46" s="22" t="s">
        <v>629</v>
      </c>
      <c r="AG46" s="6">
        <f t="shared" si="25"/>
        <v>1000</v>
      </c>
      <c r="AH46" s="6"/>
      <c r="AI46" s="6"/>
      <c r="AJ46" s="6"/>
    </row>
    <row r="47" spans="1:36" ht="162.75" customHeight="1">
      <c r="A47" s="10">
        <f t="shared" si="24"/>
        <v>13</v>
      </c>
      <c r="B47" s="115" t="s">
        <v>551</v>
      </c>
      <c r="C47" s="280" t="s">
        <v>336</v>
      </c>
      <c r="D47" s="89" t="s">
        <v>20</v>
      </c>
      <c r="E47" s="28" t="s">
        <v>332</v>
      </c>
      <c r="F47" s="28" t="s">
        <v>36</v>
      </c>
      <c r="G47" s="91" t="s">
        <v>772</v>
      </c>
      <c r="H47" s="49">
        <v>294912</v>
      </c>
      <c r="I47" s="49">
        <f>294912-170148</f>
        <v>124764</v>
      </c>
      <c r="J47" s="275">
        <f t="shared" si="26"/>
        <v>1000</v>
      </c>
      <c r="K47" s="48">
        <v>20000</v>
      </c>
      <c r="L47" s="49"/>
      <c r="M47" s="49">
        <v>-19000</v>
      </c>
      <c r="N47" s="49"/>
      <c r="O47" s="49"/>
      <c r="P47" s="49"/>
      <c r="Q47" s="49"/>
      <c r="R47" s="49"/>
      <c r="S47" s="49"/>
      <c r="T47" s="80">
        <f t="shared" si="27"/>
        <v>0</v>
      </c>
      <c r="U47" s="48"/>
      <c r="V47" s="49"/>
      <c r="W47" s="70">
        <v>0</v>
      </c>
      <c r="X47" s="54">
        <f t="shared" si="28"/>
        <v>1000</v>
      </c>
      <c r="Y47" s="70">
        <f t="shared" si="29"/>
        <v>1000</v>
      </c>
      <c r="Z47" s="70"/>
      <c r="AA47" s="343">
        <v>-1000</v>
      </c>
      <c r="AB47" s="54">
        <f t="shared" si="23"/>
        <v>0</v>
      </c>
      <c r="AC47" s="92" t="s">
        <v>1470</v>
      </c>
      <c r="AE47" s="22" t="s">
        <v>472</v>
      </c>
      <c r="AF47" s="22" t="s">
        <v>629</v>
      </c>
      <c r="AG47" s="6">
        <f t="shared" si="25"/>
        <v>1000</v>
      </c>
      <c r="AH47" s="6"/>
      <c r="AI47" s="6"/>
      <c r="AJ47" s="6"/>
    </row>
    <row r="48" spans="1:36" ht="198" customHeight="1">
      <c r="A48" s="10">
        <f t="shared" si="24"/>
        <v>14</v>
      </c>
      <c r="B48" s="17" t="s">
        <v>327</v>
      </c>
      <c r="C48" s="28" t="s">
        <v>486</v>
      </c>
      <c r="D48" s="89" t="s">
        <v>20</v>
      </c>
      <c r="E48" s="28" t="s">
        <v>333</v>
      </c>
      <c r="F48" s="28" t="s">
        <v>36</v>
      </c>
      <c r="G48" s="91" t="s">
        <v>773</v>
      </c>
      <c r="H48" s="49">
        <v>275395</v>
      </c>
      <c r="I48" s="49">
        <f>275395-208000</f>
        <v>67395</v>
      </c>
      <c r="J48" s="275">
        <f t="shared" si="26"/>
        <v>1000</v>
      </c>
      <c r="K48" s="48">
        <v>15000</v>
      </c>
      <c r="L48" s="49"/>
      <c r="M48" s="49">
        <v>-14000</v>
      </c>
      <c r="N48" s="49"/>
      <c r="O48" s="49"/>
      <c r="P48" s="49"/>
      <c r="Q48" s="49"/>
      <c r="R48" s="49"/>
      <c r="S48" s="49"/>
      <c r="T48" s="80">
        <f t="shared" si="27"/>
        <v>0</v>
      </c>
      <c r="U48" s="48"/>
      <c r="V48" s="49"/>
      <c r="W48" s="70">
        <v>0</v>
      </c>
      <c r="X48" s="54">
        <f t="shared" si="28"/>
        <v>1000</v>
      </c>
      <c r="Y48" s="70">
        <f t="shared" si="29"/>
        <v>1000</v>
      </c>
      <c r="Z48" s="70"/>
      <c r="AA48" s="343">
        <v>-1000</v>
      </c>
      <c r="AB48" s="54">
        <f t="shared" si="23"/>
        <v>0</v>
      </c>
      <c r="AC48" s="92" t="s">
        <v>1470</v>
      </c>
      <c r="AE48" s="22" t="s">
        <v>472</v>
      </c>
      <c r="AF48" s="22" t="s">
        <v>629</v>
      </c>
      <c r="AG48" s="6">
        <f t="shared" si="25"/>
        <v>1000</v>
      </c>
      <c r="AH48" s="6"/>
      <c r="AI48" s="6"/>
      <c r="AJ48" s="6"/>
    </row>
    <row r="49" spans="1:36" s="20" customFormat="1" ht="44.25" customHeight="1">
      <c r="A49" s="15" t="s">
        <v>30</v>
      </c>
      <c r="B49" s="16" t="s">
        <v>358</v>
      </c>
      <c r="C49" s="16"/>
      <c r="D49" s="15"/>
      <c r="E49" s="16"/>
      <c r="F49" s="16"/>
      <c r="G49" s="16"/>
      <c r="H49" s="29">
        <f t="shared" ref="H49:AB49" si="30">SUM(H50:H57)</f>
        <v>363175</v>
      </c>
      <c r="I49" s="29">
        <f t="shared" si="30"/>
        <v>314826</v>
      </c>
      <c r="J49" s="278">
        <f t="shared" si="30"/>
        <v>260000</v>
      </c>
      <c r="K49" s="29">
        <f t="shared" si="30"/>
        <v>260000</v>
      </c>
      <c r="L49" s="29">
        <f t="shared" si="30"/>
        <v>0</v>
      </c>
      <c r="M49" s="29">
        <f t="shared" si="30"/>
        <v>0</v>
      </c>
      <c r="N49" s="29">
        <f t="shared" si="30"/>
        <v>0</v>
      </c>
      <c r="O49" s="29">
        <f t="shared" si="30"/>
        <v>0</v>
      </c>
      <c r="P49" s="29">
        <f t="shared" si="30"/>
        <v>0</v>
      </c>
      <c r="Q49" s="29">
        <f t="shared" si="30"/>
        <v>0</v>
      </c>
      <c r="R49" s="29">
        <f t="shared" si="30"/>
        <v>0</v>
      </c>
      <c r="S49" s="29">
        <f t="shared" si="30"/>
        <v>0</v>
      </c>
      <c r="T49" s="29">
        <f t="shared" si="30"/>
        <v>65000</v>
      </c>
      <c r="U49" s="29">
        <f t="shared" si="30"/>
        <v>0</v>
      </c>
      <c r="V49" s="29">
        <f t="shared" si="30"/>
        <v>17000</v>
      </c>
      <c r="W49" s="29">
        <f t="shared" si="30"/>
        <v>48000</v>
      </c>
      <c r="X49" s="29">
        <f t="shared" si="30"/>
        <v>195000</v>
      </c>
      <c r="Y49" s="29">
        <f t="shared" si="30"/>
        <v>91700</v>
      </c>
      <c r="Z49" s="29">
        <f t="shared" si="30"/>
        <v>3359</v>
      </c>
      <c r="AA49" s="367">
        <f t="shared" si="30"/>
        <v>-27000</v>
      </c>
      <c r="AB49" s="29">
        <f t="shared" si="30"/>
        <v>68059</v>
      </c>
      <c r="AC49" s="19"/>
      <c r="AE49" s="113"/>
      <c r="AF49" s="113"/>
    </row>
    <row r="50" spans="1:36" ht="109.5" customHeight="1">
      <c r="A50" s="10">
        <v>1</v>
      </c>
      <c r="B50" s="281" t="s">
        <v>641</v>
      </c>
      <c r="C50" s="28" t="s">
        <v>418</v>
      </c>
      <c r="D50" s="185" t="s">
        <v>19</v>
      </c>
      <c r="E50" s="28" t="s">
        <v>421</v>
      </c>
      <c r="F50" s="28" t="s">
        <v>390</v>
      </c>
      <c r="G50" s="91" t="s">
        <v>830</v>
      </c>
      <c r="H50" s="49">
        <v>31939</v>
      </c>
      <c r="I50" s="49">
        <v>29000</v>
      </c>
      <c r="J50" s="275">
        <f t="shared" ref="J50:J57" si="31">SUM(K50,L50:S50)</f>
        <v>26000</v>
      </c>
      <c r="K50" s="48">
        <v>26000</v>
      </c>
      <c r="L50" s="48"/>
      <c r="M50" s="48"/>
      <c r="N50" s="48"/>
      <c r="O50" s="48"/>
      <c r="P50" s="48"/>
      <c r="Q50" s="48"/>
      <c r="R50" s="48"/>
      <c r="S50" s="48"/>
      <c r="T50" s="80">
        <f t="shared" ref="T50:T57" si="32">SUM(U50:W50)</f>
        <v>3000</v>
      </c>
      <c r="U50" s="48"/>
      <c r="V50" s="43">
        <v>3000</v>
      </c>
      <c r="W50" s="276">
        <v>0</v>
      </c>
      <c r="X50" s="54">
        <f t="shared" ref="X50:X57" si="33">J50-T50</f>
        <v>23000</v>
      </c>
      <c r="Y50" s="70">
        <v>9000</v>
      </c>
      <c r="Z50" s="70">
        <v>3000</v>
      </c>
      <c r="AA50" s="70"/>
      <c r="AB50" s="54">
        <f t="shared" ref="AB50:AB57" si="34">SUM(Y50:AA50)</f>
        <v>12000</v>
      </c>
      <c r="AC50" s="117" t="s">
        <v>1145</v>
      </c>
      <c r="AE50" s="22" t="s">
        <v>472</v>
      </c>
      <c r="AF50" s="22" t="s">
        <v>459</v>
      </c>
      <c r="AG50" s="6">
        <f t="shared" si="25"/>
        <v>9000</v>
      </c>
      <c r="AH50" s="6"/>
      <c r="AI50" s="6"/>
      <c r="AJ50" s="6"/>
    </row>
    <row r="51" spans="1:36" ht="124.5" customHeight="1">
      <c r="A51" s="10">
        <f t="shared" ref="A51:A56" si="35">+A50+1</f>
        <v>2</v>
      </c>
      <c r="B51" s="281" t="s">
        <v>642</v>
      </c>
      <c r="C51" s="28" t="s">
        <v>418</v>
      </c>
      <c r="D51" s="185" t="s">
        <v>20</v>
      </c>
      <c r="E51" s="28" t="s">
        <v>421</v>
      </c>
      <c r="F51" s="28" t="s">
        <v>390</v>
      </c>
      <c r="G51" s="91" t="s">
        <v>831</v>
      </c>
      <c r="H51" s="49">
        <v>224298</v>
      </c>
      <c r="I51" s="49">
        <v>195000</v>
      </c>
      <c r="J51" s="275">
        <f t="shared" si="31"/>
        <v>150000</v>
      </c>
      <c r="K51" s="48">
        <v>150000</v>
      </c>
      <c r="L51" s="48"/>
      <c r="M51" s="48"/>
      <c r="N51" s="48"/>
      <c r="O51" s="48"/>
      <c r="P51" s="48"/>
      <c r="Q51" s="48"/>
      <c r="R51" s="48"/>
      <c r="S51" s="48"/>
      <c r="T51" s="80">
        <f t="shared" si="32"/>
        <v>14000</v>
      </c>
      <c r="U51" s="48"/>
      <c r="V51" s="43">
        <v>14000</v>
      </c>
      <c r="W51" s="276">
        <v>0</v>
      </c>
      <c r="X51" s="54">
        <f t="shared" si="33"/>
        <v>136000</v>
      </c>
      <c r="Y51" s="70">
        <v>60000</v>
      </c>
      <c r="Z51" s="70"/>
      <c r="AA51" s="343">
        <v>-27000</v>
      </c>
      <c r="AB51" s="54">
        <f t="shared" si="34"/>
        <v>33000</v>
      </c>
      <c r="AC51" s="183" t="s">
        <v>1471</v>
      </c>
      <c r="AE51" s="22" t="s">
        <v>472</v>
      </c>
      <c r="AF51" s="22" t="s">
        <v>459</v>
      </c>
      <c r="AG51" s="6">
        <f t="shared" ref="AG51:AG59" si="36">Y51</f>
        <v>60000</v>
      </c>
      <c r="AH51" s="6"/>
      <c r="AI51" s="6"/>
      <c r="AJ51" s="6"/>
    </row>
    <row r="52" spans="1:36" ht="88.5" customHeight="1">
      <c r="A52" s="10">
        <f t="shared" si="35"/>
        <v>3</v>
      </c>
      <c r="B52" s="282" t="s">
        <v>387</v>
      </c>
      <c r="C52" s="34" t="s">
        <v>389</v>
      </c>
      <c r="D52" s="185" t="s">
        <v>19</v>
      </c>
      <c r="E52" s="28" t="s">
        <v>421</v>
      </c>
      <c r="F52" s="34" t="s">
        <v>391</v>
      </c>
      <c r="G52" s="160" t="s">
        <v>775</v>
      </c>
      <c r="H52" s="49">
        <v>18900</v>
      </c>
      <c r="I52" s="49">
        <v>17000</v>
      </c>
      <c r="J52" s="275">
        <f t="shared" si="31"/>
        <v>12000</v>
      </c>
      <c r="K52" s="49">
        <v>12000</v>
      </c>
      <c r="L52" s="49"/>
      <c r="M52" s="49"/>
      <c r="N52" s="49"/>
      <c r="O52" s="49"/>
      <c r="P52" s="49"/>
      <c r="Q52" s="49"/>
      <c r="R52" s="49"/>
      <c r="S52" s="49"/>
      <c r="T52" s="80">
        <f t="shared" si="32"/>
        <v>8000</v>
      </c>
      <c r="U52" s="49"/>
      <c r="V52" s="49"/>
      <c r="W52" s="70">
        <v>8000</v>
      </c>
      <c r="X52" s="54">
        <f t="shared" si="33"/>
        <v>4000</v>
      </c>
      <c r="Y52" s="70">
        <v>2000</v>
      </c>
      <c r="Z52" s="70"/>
      <c r="AA52" s="70"/>
      <c r="AB52" s="54">
        <f t="shared" si="34"/>
        <v>2000</v>
      </c>
      <c r="AC52" s="282"/>
      <c r="AE52" s="22" t="s">
        <v>472</v>
      </c>
      <c r="AF52" s="22" t="s">
        <v>459</v>
      </c>
      <c r="AG52" s="6">
        <f t="shared" si="36"/>
        <v>2000</v>
      </c>
      <c r="AH52" s="6"/>
      <c r="AI52" s="6"/>
      <c r="AJ52" s="6"/>
    </row>
    <row r="53" spans="1:36" ht="88.5" customHeight="1">
      <c r="A53" s="10">
        <f t="shared" si="35"/>
        <v>4</v>
      </c>
      <c r="B53" s="282" t="s">
        <v>394</v>
      </c>
      <c r="C53" s="34" t="s">
        <v>392</v>
      </c>
      <c r="D53" s="185" t="s">
        <v>19</v>
      </c>
      <c r="E53" s="34" t="s">
        <v>421</v>
      </c>
      <c r="F53" s="34" t="s">
        <v>391</v>
      </c>
      <c r="G53" s="34" t="s">
        <v>776</v>
      </c>
      <c r="H53" s="49">
        <v>11826</v>
      </c>
      <c r="I53" s="49">
        <v>11826</v>
      </c>
      <c r="J53" s="275">
        <f t="shared" si="31"/>
        <v>10000</v>
      </c>
      <c r="K53" s="49">
        <v>10000</v>
      </c>
      <c r="L53" s="49"/>
      <c r="M53" s="49"/>
      <c r="N53" s="49"/>
      <c r="O53" s="49"/>
      <c r="P53" s="49"/>
      <c r="Q53" s="49"/>
      <c r="R53" s="49"/>
      <c r="S53" s="49"/>
      <c r="T53" s="80">
        <f t="shared" si="32"/>
        <v>6000</v>
      </c>
      <c r="U53" s="49"/>
      <c r="V53" s="49"/>
      <c r="W53" s="70">
        <v>6000</v>
      </c>
      <c r="X53" s="54">
        <f t="shared" si="33"/>
        <v>4000</v>
      </c>
      <c r="Y53" s="70">
        <v>1200</v>
      </c>
      <c r="Z53" s="70"/>
      <c r="AA53" s="70"/>
      <c r="AB53" s="54">
        <f t="shared" si="34"/>
        <v>1200</v>
      </c>
      <c r="AC53" s="92"/>
      <c r="AE53" s="22" t="s">
        <v>472</v>
      </c>
      <c r="AF53" s="22" t="s">
        <v>459</v>
      </c>
      <c r="AG53" s="6">
        <f t="shared" si="36"/>
        <v>1200</v>
      </c>
      <c r="AH53" s="6"/>
      <c r="AI53" s="6"/>
      <c r="AJ53" s="6"/>
    </row>
    <row r="54" spans="1:36" ht="88.5" customHeight="1">
      <c r="A54" s="10">
        <f t="shared" si="35"/>
        <v>5</v>
      </c>
      <c r="B54" s="282" t="s">
        <v>400</v>
      </c>
      <c r="C54" s="23" t="s">
        <v>487</v>
      </c>
      <c r="D54" s="185" t="s">
        <v>19</v>
      </c>
      <c r="E54" s="23" t="s">
        <v>421</v>
      </c>
      <c r="F54" s="23" t="s">
        <v>391</v>
      </c>
      <c r="G54" s="33" t="s">
        <v>777</v>
      </c>
      <c r="H54" s="49">
        <v>15326</v>
      </c>
      <c r="I54" s="49">
        <v>12000</v>
      </c>
      <c r="J54" s="275">
        <f t="shared" si="31"/>
        <v>12000</v>
      </c>
      <c r="K54" s="48">
        <v>12000</v>
      </c>
      <c r="L54" s="49"/>
      <c r="M54" s="49"/>
      <c r="N54" s="49"/>
      <c r="O54" s="49"/>
      <c r="P54" s="49"/>
      <c r="Q54" s="49"/>
      <c r="R54" s="49"/>
      <c r="S54" s="49"/>
      <c r="T54" s="80">
        <f t="shared" si="32"/>
        <v>8000</v>
      </c>
      <c r="U54" s="47"/>
      <c r="V54" s="49"/>
      <c r="W54" s="70">
        <v>8000</v>
      </c>
      <c r="X54" s="54">
        <f t="shared" si="33"/>
        <v>4000</v>
      </c>
      <c r="Y54" s="70">
        <v>2000</v>
      </c>
      <c r="Z54" s="70"/>
      <c r="AA54" s="70"/>
      <c r="AB54" s="54">
        <f t="shared" si="34"/>
        <v>2000</v>
      </c>
      <c r="AC54" s="282"/>
      <c r="AE54" s="22" t="s">
        <v>472</v>
      </c>
      <c r="AF54" s="22" t="s">
        <v>459</v>
      </c>
      <c r="AG54" s="6">
        <f t="shared" si="36"/>
        <v>2000</v>
      </c>
      <c r="AH54" s="6"/>
      <c r="AI54" s="6"/>
      <c r="AJ54" s="6"/>
    </row>
    <row r="55" spans="1:36" ht="88.5" customHeight="1">
      <c r="A55" s="10">
        <f t="shared" si="35"/>
        <v>6</v>
      </c>
      <c r="B55" s="282" t="s">
        <v>405</v>
      </c>
      <c r="C55" s="23" t="s">
        <v>488</v>
      </c>
      <c r="D55" s="185" t="s">
        <v>19</v>
      </c>
      <c r="E55" s="23" t="s">
        <v>421</v>
      </c>
      <c r="F55" s="23" t="s">
        <v>391</v>
      </c>
      <c r="G55" s="33" t="s">
        <v>778</v>
      </c>
      <c r="H55" s="49">
        <v>16349</v>
      </c>
      <c r="I55" s="49">
        <v>15000</v>
      </c>
      <c r="J55" s="275">
        <f t="shared" si="31"/>
        <v>15000</v>
      </c>
      <c r="K55" s="48">
        <v>15000</v>
      </c>
      <c r="L55" s="49"/>
      <c r="M55" s="49"/>
      <c r="N55" s="49"/>
      <c r="O55" s="49"/>
      <c r="P55" s="49"/>
      <c r="Q55" s="49"/>
      <c r="R55" s="49"/>
      <c r="S55" s="49"/>
      <c r="T55" s="80">
        <f t="shared" si="32"/>
        <v>8000</v>
      </c>
      <c r="U55" s="47"/>
      <c r="V55" s="49"/>
      <c r="W55" s="70">
        <v>8000</v>
      </c>
      <c r="X55" s="54">
        <f t="shared" si="33"/>
        <v>7000</v>
      </c>
      <c r="Y55" s="70">
        <v>2500</v>
      </c>
      <c r="Z55" s="70">
        <v>359</v>
      </c>
      <c r="AA55" s="70"/>
      <c r="AB55" s="54">
        <f t="shared" si="34"/>
        <v>2859</v>
      </c>
      <c r="AC55" s="282"/>
      <c r="AE55" s="22" t="s">
        <v>472</v>
      </c>
      <c r="AF55" s="22" t="s">
        <v>459</v>
      </c>
      <c r="AG55" s="6">
        <f t="shared" si="36"/>
        <v>2500</v>
      </c>
      <c r="AH55" s="6"/>
      <c r="AI55" s="6"/>
      <c r="AJ55" s="6"/>
    </row>
    <row r="56" spans="1:36" ht="88.5" customHeight="1">
      <c r="A56" s="10">
        <f t="shared" si="35"/>
        <v>7</v>
      </c>
      <c r="B56" s="282" t="s">
        <v>408</v>
      </c>
      <c r="C56" s="23" t="s">
        <v>490</v>
      </c>
      <c r="D56" s="185" t="s">
        <v>19</v>
      </c>
      <c r="E56" s="186" t="s">
        <v>421</v>
      </c>
      <c r="F56" s="23" t="s">
        <v>391</v>
      </c>
      <c r="G56" s="33" t="s">
        <v>779</v>
      </c>
      <c r="H56" s="49">
        <v>23978</v>
      </c>
      <c r="I56" s="49">
        <v>18000</v>
      </c>
      <c r="J56" s="275">
        <f t="shared" si="31"/>
        <v>18000</v>
      </c>
      <c r="K56" s="48">
        <v>18000</v>
      </c>
      <c r="L56" s="49"/>
      <c r="M56" s="49"/>
      <c r="N56" s="49"/>
      <c r="O56" s="49"/>
      <c r="P56" s="49"/>
      <c r="Q56" s="49"/>
      <c r="R56" s="49"/>
      <c r="S56" s="49"/>
      <c r="T56" s="80">
        <f t="shared" si="32"/>
        <v>8000</v>
      </c>
      <c r="U56" s="48"/>
      <c r="V56" s="49"/>
      <c r="W56" s="70">
        <v>8000</v>
      </c>
      <c r="X56" s="54">
        <f t="shared" si="33"/>
        <v>10000</v>
      </c>
      <c r="Y56" s="70">
        <v>8000</v>
      </c>
      <c r="Z56" s="70"/>
      <c r="AA56" s="70"/>
      <c r="AB56" s="54">
        <f t="shared" si="34"/>
        <v>8000</v>
      </c>
      <c r="AC56" s="282"/>
      <c r="AE56" s="22" t="s">
        <v>472</v>
      </c>
      <c r="AF56" s="22" t="s">
        <v>459</v>
      </c>
      <c r="AG56" s="6">
        <f t="shared" si="36"/>
        <v>8000</v>
      </c>
      <c r="AH56" s="6"/>
      <c r="AI56" s="6"/>
      <c r="AJ56" s="6"/>
    </row>
    <row r="57" spans="1:36" ht="83.25" customHeight="1">
      <c r="A57" s="10">
        <v>8</v>
      </c>
      <c r="B57" s="115" t="s">
        <v>403</v>
      </c>
      <c r="C57" s="23" t="s">
        <v>126</v>
      </c>
      <c r="D57" s="185" t="s">
        <v>19</v>
      </c>
      <c r="E57" s="23" t="s">
        <v>404</v>
      </c>
      <c r="F57" s="23" t="s">
        <v>36</v>
      </c>
      <c r="G57" s="33" t="s">
        <v>780</v>
      </c>
      <c r="H57" s="49">
        <v>20559</v>
      </c>
      <c r="I57" s="60">
        <v>17000</v>
      </c>
      <c r="J57" s="275">
        <f t="shared" si="31"/>
        <v>17000</v>
      </c>
      <c r="K57" s="60">
        <v>17000</v>
      </c>
      <c r="L57" s="49"/>
      <c r="M57" s="49"/>
      <c r="N57" s="49"/>
      <c r="O57" s="49"/>
      <c r="P57" s="49"/>
      <c r="Q57" s="49"/>
      <c r="R57" s="49"/>
      <c r="S57" s="49"/>
      <c r="T57" s="80">
        <f t="shared" si="32"/>
        <v>10000</v>
      </c>
      <c r="U57" s="48"/>
      <c r="V57" s="49"/>
      <c r="W57" s="70">
        <v>10000</v>
      </c>
      <c r="X57" s="54">
        <f t="shared" si="33"/>
        <v>7000</v>
      </c>
      <c r="Y57" s="70">
        <f>X57</f>
        <v>7000</v>
      </c>
      <c r="Z57" s="70"/>
      <c r="AA57" s="70"/>
      <c r="AB57" s="54">
        <f t="shared" si="34"/>
        <v>7000</v>
      </c>
      <c r="AC57" s="35"/>
      <c r="AE57" s="22" t="s">
        <v>472</v>
      </c>
      <c r="AF57" s="22" t="s">
        <v>459</v>
      </c>
      <c r="AG57" s="6">
        <f>Y57</f>
        <v>7000</v>
      </c>
      <c r="AH57" s="6"/>
      <c r="AI57" s="6"/>
      <c r="AJ57" s="6"/>
    </row>
    <row r="58" spans="1:36" s="20" customFormat="1" ht="44.25" customHeight="1">
      <c r="A58" s="15" t="s">
        <v>94</v>
      </c>
      <c r="B58" s="16" t="s">
        <v>355</v>
      </c>
      <c r="C58" s="16"/>
      <c r="D58" s="15"/>
      <c r="E58" s="16"/>
      <c r="F58" s="16"/>
      <c r="G58" s="16"/>
      <c r="H58" s="29">
        <f>SUM(H59:H61)</f>
        <v>829920</v>
      </c>
      <c r="I58" s="29">
        <f t="shared" ref="I58:AB58" si="37">SUM(I59:I61)</f>
        <v>822920</v>
      </c>
      <c r="J58" s="29">
        <f t="shared" si="37"/>
        <v>532000</v>
      </c>
      <c r="K58" s="29">
        <f t="shared" si="37"/>
        <v>530000</v>
      </c>
      <c r="L58" s="29">
        <f t="shared" si="37"/>
        <v>0</v>
      </c>
      <c r="M58" s="29">
        <f t="shared" si="37"/>
        <v>0</v>
      </c>
      <c r="N58" s="29">
        <f t="shared" si="37"/>
        <v>2000</v>
      </c>
      <c r="O58" s="29">
        <f t="shared" si="37"/>
        <v>0</v>
      </c>
      <c r="P58" s="29">
        <f t="shared" si="37"/>
        <v>0</v>
      </c>
      <c r="Q58" s="29">
        <f t="shared" si="37"/>
        <v>0</v>
      </c>
      <c r="R58" s="29">
        <f t="shared" si="37"/>
        <v>0</v>
      </c>
      <c r="S58" s="29">
        <f t="shared" si="37"/>
        <v>0</v>
      </c>
      <c r="T58" s="29">
        <f t="shared" si="37"/>
        <v>150023</v>
      </c>
      <c r="U58" s="29">
        <f t="shared" si="37"/>
        <v>54300</v>
      </c>
      <c r="V58" s="29">
        <f t="shared" si="37"/>
        <v>80000</v>
      </c>
      <c r="W58" s="29">
        <f t="shared" si="37"/>
        <v>15723</v>
      </c>
      <c r="X58" s="29">
        <f t="shared" si="37"/>
        <v>381977</v>
      </c>
      <c r="Y58" s="29">
        <f t="shared" si="37"/>
        <v>114377</v>
      </c>
      <c r="Z58" s="29">
        <f t="shared" si="37"/>
        <v>54500</v>
      </c>
      <c r="AA58" s="380">
        <f t="shared" si="37"/>
        <v>-1000</v>
      </c>
      <c r="AB58" s="29">
        <f t="shared" si="37"/>
        <v>167877</v>
      </c>
      <c r="AC58" s="19"/>
      <c r="AE58" s="113"/>
      <c r="AF58" s="113"/>
    </row>
    <row r="59" spans="1:36" ht="87.75" customHeight="1">
      <c r="A59" s="10">
        <v>1</v>
      </c>
      <c r="B59" s="115" t="s">
        <v>356</v>
      </c>
      <c r="C59" s="28" t="s">
        <v>41</v>
      </c>
      <c r="D59" s="89" t="s">
        <v>20</v>
      </c>
      <c r="E59" s="283" t="s">
        <v>357</v>
      </c>
      <c r="F59" s="34" t="s">
        <v>297</v>
      </c>
      <c r="G59" s="34" t="s">
        <v>1069</v>
      </c>
      <c r="H59" s="162">
        <v>317233</v>
      </c>
      <c r="I59" s="162">
        <v>317233</v>
      </c>
      <c r="J59" s="275">
        <f>SUM(K59,L59:S59)</f>
        <v>180000</v>
      </c>
      <c r="K59" s="49">
        <v>180000</v>
      </c>
      <c r="L59" s="49"/>
      <c r="M59" s="49"/>
      <c r="N59" s="49"/>
      <c r="O59" s="49"/>
      <c r="P59" s="49"/>
      <c r="Q59" s="49"/>
      <c r="R59" s="49"/>
      <c r="S59" s="49"/>
      <c r="T59" s="80">
        <f>SUM(U59:W59)</f>
        <v>146623</v>
      </c>
      <c r="U59" s="48">
        <v>54300</v>
      </c>
      <c r="V59" s="70">
        <v>80000</v>
      </c>
      <c r="W59" s="70">
        <v>12323</v>
      </c>
      <c r="X59" s="54">
        <f>J59-T59</f>
        <v>33377</v>
      </c>
      <c r="Y59" s="70">
        <f>X59</f>
        <v>33377</v>
      </c>
      <c r="Z59" s="70">
        <v>16500</v>
      </c>
      <c r="AA59" s="70"/>
      <c r="AB59" s="54">
        <f>SUM(Y59:AA59)</f>
        <v>49877</v>
      </c>
      <c r="AC59" s="282"/>
      <c r="AE59" s="22" t="s">
        <v>472</v>
      </c>
      <c r="AF59" s="22" t="s">
        <v>460</v>
      </c>
      <c r="AG59" s="6">
        <f t="shared" si="36"/>
        <v>33377</v>
      </c>
      <c r="AH59" s="6"/>
      <c r="AI59" s="6"/>
      <c r="AJ59" s="6"/>
    </row>
    <row r="60" spans="1:36" ht="62.25" customHeight="1">
      <c r="A60" s="10">
        <f>+A59+1</f>
        <v>2</v>
      </c>
      <c r="B60" s="115" t="s">
        <v>416</v>
      </c>
      <c r="C60" s="23" t="s">
        <v>132</v>
      </c>
      <c r="D60" s="185" t="s">
        <v>20</v>
      </c>
      <c r="E60" s="23" t="s">
        <v>417</v>
      </c>
      <c r="F60" s="23" t="s">
        <v>36</v>
      </c>
      <c r="G60" s="33" t="s">
        <v>781</v>
      </c>
      <c r="H60" s="49">
        <v>435687</v>
      </c>
      <c r="I60" s="49">
        <v>435687</v>
      </c>
      <c r="J60" s="275">
        <f>SUM(K60,L60:S60)</f>
        <v>350000</v>
      </c>
      <c r="K60" s="49">
        <v>350000</v>
      </c>
      <c r="L60" s="49"/>
      <c r="M60" s="49"/>
      <c r="N60" s="49"/>
      <c r="O60" s="49"/>
      <c r="P60" s="49"/>
      <c r="Q60" s="49"/>
      <c r="R60" s="49"/>
      <c r="S60" s="49"/>
      <c r="T60" s="80">
        <f>SUM(U60:W60)</f>
        <v>3400</v>
      </c>
      <c r="U60" s="49">
        <v>0</v>
      </c>
      <c r="V60" s="49"/>
      <c r="W60" s="70">
        <v>3400</v>
      </c>
      <c r="X60" s="54">
        <f>J60-T60</f>
        <v>346600</v>
      </c>
      <c r="Y60" s="70">
        <v>80000</v>
      </c>
      <c r="Z60" s="70">
        <f>30000+8000</f>
        <v>38000</v>
      </c>
      <c r="AA60" s="70"/>
      <c r="AB60" s="54">
        <f>SUM(Y60:AA60)</f>
        <v>118000</v>
      </c>
      <c r="AC60" s="35"/>
      <c r="AE60" s="22" t="s">
        <v>472</v>
      </c>
      <c r="AF60" s="22" t="s">
        <v>460</v>
      </c>
      <c r="AG60" s="6">
        <f>Y60</f>
        <v>80000</v>
      </c>
      <c r="AH60" s="6"/>
      <c r="AI60" s="6"/>
      <c r="AJ60" s="6"/>
    </row>
    <row r="61" spans="1:36" ht="127.5" customHeight="1">
      <c r="A61" s="10">
        <f>+A60+1</f>
        <v>3</v>
      </c>
      <c r="B61" s="281" t="s">
        <v>643</v>
      </c>
      <c r="C61" s="23" t="s">
        <v>382</v>
      </c>
      <c r="D61" s="185" t="s">
        <v>20</v>
      </c>
      <c r="E61" s="23" t="s">
        <v>570</v>
      </c>
      <c r="F61" s="23" t="s">
        <v>116</v>
      </c>
      <c r="G61" s="33" t="s">
        <v>833</v>
      </c>
      <c r="H61" s="49">
        <v>77000</v>
      </c>
      <c r="I61" s="49">
        <v>70000</v>
      </c>
      <c r="J61" s="275">
        <f>SUM(K61,L61:S61)</f>
        <v>2000</v>
      </c>
      <c r="K61" s="49"/>
      <c r="L61" s="49"/>
      <c r="M61" s="49"/>
      <c r="N61" s="49">
        <v>2000</v>
      </c>
      <c r="O61" s="49"/>
      <c r="P61" s="49"/>
      <c r="Q61" s="49"/>
      <c r="R61" s="49"/>
      <c r="S61" s="49"/>
      <c r="T61" s="8">
        <f>SUM(U61:W61)</f>
        <v>0</v>
      </c>
      <c r="U61" s="49"/>
      <c r="V61" s="49"/>
      <c r="W61" s="70">
        <v>0</v>
      </c>
      <c r="X61" s="54">
        <f>J61-T61</f>
        <v>2000</v>
      </c>
      <c r="Y61" s="70">
        <v>1000</v>
      </c>
      <c r="Z61" s="70"/>
      <c r="AA61" s="343">
        <v>-1000</v>
      </c>
      <c r="AB61" s="54">
        <f>SUM(Y61:AA61)</f>
        <v>0</v>
      </c>
      <c r="AC61" s="92" t="s">
        <v>1472</v>
      </c>
      <c r="AE61" s="22" t="s">
        <v>472</v>
      </c>
      <c r="AF61" s="22" t="s">
        <v>460</v>
      </c>
      <c r="AG61" s="6">
        <f>Y61</f>
        <v>1000</v>
      </c>
      <c r="AH61" s="6"/>
      <c r="AI61" s="6"/>
      <c r="AJ61" s="6"/>
    </row>
    <row r="62" spans="1:36" s="20" customFormat="1" ht="44.25" customHeight="1">
      <c r="A62" s="15" t="s">
        <v>97</v>
      </c>
      <c r="B62" s="16" t="s">
        <v>65</v>
      </c>
      <c r="C62" s="16"/>
      <c r="D62" s="15"/>
      <c r="E62" s="16"/>
      <c r="F62" s="16"/>
      <c r="G62" s="16"/>
      <c r="H62" s="29">
        <f>SUM(H63:H64)</f>
        <v>172802</v>
      </c>
      <c r="I62" s="29">
        <f t="shared" ref="I62:AB62" si="38">SUM(I63:I64)</f>
        <v>108000</v>
      </c>
      <c r="J62" s="278">
        <f t="shared" si="38"/>
        <v>108000</v>
      </c>
      <c r="K62" s="29">
        <f t="shared" si="38"/>
        <v>108000</v>
      </c>
      <c r="L62" s="29">
        <f t="shared" si="38"/>
        <v>0</v>
      </c>
      <c r="M62" s="29">
        <f t="shared" si="38"/>
        <v>0</v>
      </c>
      <c r="N62" s="29">
        <f t="shared" si="38"/>
        <v>0</v>
      </c>
      <c r="O62" s="29">
        <f t="shared" si="38"/>
        <v>0</v>
      </c>
      <c r="P62" s="29">
        <f t="shared" si="38"/>
        <v>0</v>
      </c>
      <c r="Q62" s="29">
        <f t="shared" si="38"/>
        <v>0</v>
      </c>
      <c r="R62" s="29">
        <f t="shared" si="38"/>
        <v>0</v>
      </c>
      <c r="S62" s="29">
        <f t="shared" si="38"/>
        <v>0</v>
      </c>
      <c r="T62" s="29">
        <f t="shared" si="38"/>
        <v>25000</v>
      </c>
      <c r="U62" s="29">
        <f t="shared" si="38"/>
        <v>0</v>
      </c>
      <c r="V62" s="29">
        <f t="shared" si="38"/>
        <v>0</v>
      </c>
      <c r="W62" s="29">
        <f t="shared" si="38"/>
        <v>25000</v>
      </c>
      <c r="X62" s="29">
        <f t="shared" si="38"/>
        <v>83000</v>
      </c>
      <c r="Y62" s="29">
        <f t="shared" si="38"/>
        <v>59000</v>
      </c>
      <c r="Z62" s="29">
        <f t="shared" si="38"/>
        <v>0</v>
      </c>
      <c r="AA62" s="380">
        <f t="shared" si="38"/>
        <v>-3600</v>
      </c>
      <c r="AB62" s="29">
        <f t="shared" si="38"/>
        <v>55400</v>
      </c>
      <c r="AC62" s="19"/>
      <c r="AE62" s="113"/>
      <c r="AF62" s="113"/>
    </row>
    <row r="63" spans="1:36" ht="75" customHeight="1">
      <c r="A63" s="10">
        <v>1</v>
      </c>
      <c r="B63" s="115" t="s">
        <v>646</v>
      </c>
      <c r="C63" s="28" t="s">
        <v>59</v>
      </c>
      <c r="D63" s="185" t="s">
        <v>20</v>
      </c>
      <c r="E63" s="28" t="s">
        <v>62</v>
      </c>
      <c r="F63" s="28" t="s">
        <v>36</v>
      </c>
      <c r="G63" s="91" t="s">
        <v>782</v>
      </c>
      <c r="H63" s="49">
        <v>134345</v>
      </c>
      <c r="I63" s="49">
        <v>74000</v>
      </c>
      <c r="J63" s="275">
        <f>SUM(K63,L63:S63)</f>
        <v>74000</v>
      </c>
      <c r="K63" s="49">
        <f>110000-36000</f>
        <v>74000</v>
      </c>
      <c r="L63" s="49"/>
      <c r="M63" s="49"/>
      <c r="N63" s="49"/>
      <c r="O63" s="49"/>
      <c r="P63" s="49"/>
      <c r="Q63" s="49"/>
      <c r="R63" s="49"/>
      <c r="S63" s="49"/>
      <c r="T63" s="80">
        <f>SUM(U63:W63)</f>
        <v>15000</v>
      </c>
      <c r="U63" s="49"/>
      <c r="V63" s="49"/>
      <c r="W63" s="70">
        <v>15000</v>
      </c>
      <c r="X63" s="54">
        <f>J63-T63</f>
        <v>59000</v>
      </c>
      <c r="Y63" s="70">
        <v>35000</v>
      </c>
      <c r="Z63" s="70"/>
      <c r="AA63" s="70"/>
      <c r="AB63" s="54">
        <f>SUM(Y63:AA63)</f>
        <v>35000</v>
      </c>
      <c r="AC63" s="17" t="s">
        <v>956</v>
      </c>
      <c r="AE63" s="22" t="s">
        <v>472</v>
      </c>
      <c r="AF63" s="22" t="s">
        <v>461</v>
      </c>
      <c r="AG63" s="6">
        <f>Y63</f>
        <v>35000</v>
      </c>
      <c r="AH63" s="6"/>
      <c r="AI63" s="6"/>
      <c r="AJ63" s="6"/>
    </row>
    <row r="64" spans="1:36" ht="75" customHeight="1">
      <c r="A64" s="10">
        <f>+A63+1</f>
        <v>2</v>
      </c>
      <c r="B64" s="115" t="s">
        <v>58</v>
      </c>
      <c r="C64" s="10" t="s">
        <v>57</v>
      </c>
      <c r="D64" s="10" t="s">
        <v>19</v>
      </c>
      <c r="E64" s="10" t="s">
        <v>556</v>
      </c>
      <c r="F64" s="10" t="s">
        <v>36</v>
      </c>
      <c r="G64" s="5" t="s">
        <v>783</v>
      </c>
      <c r="H64" s="46">
        <v>38457</v>
      </c>
      <c r="I64" s="162">
        <v>34000</v>
      </c>
      <c r="J64" s="275">
        <f>SUM(K64,L64:S64)</f>
        <v>34000</v>
      </c>
      <c r="K64" s="61">
        <v>34000</v>
      </c>
      <c r="L64" s="48"/>
      <c r="M64" s="48"/>
      <c r="N64" s="48"/>
      <c r="O64" s="48"/>
      <c r="P64" s="48"/>
      <c r="Q64" s="48"/>
      <c r="R64" s="48"/>
      <c r="S64" s="48"/>
      <c r="T64" s="80">
        <f>SUM(U64:W64)</f>
        <v>10000</v>
      </c>
      <c r="U64" s="61"/>
      <c r="V64" s="48"/>
      <c r="W64" s="70">
        <v>10000</v>
      </c>
      <c r="X64" s="54">
        <f>J64-T64</f>
        <v>24000</v>
      </c>
      <c r="Y64" s="70">
        <f>X64</f>
        <v>24000</v>
      </c>
      <c r="Z64" s="70"/>
      <c r="AA64" s="343">
        <v>-3600</v>
      </c>
      <c r="AB64" s="54">
        <f>SUM(Y64:AA64)</f>
        <v>20400</v>
      </c>
      <c r="AC64" s="17" t="s">
        <v>522</v>
      </c>
      <c r="AE64" s="22" t="s">
        <v>472</v>
      </c>
      <c r="AF64" s="22" t="s">
        <v>461</v>
      </c>
      <c r="AG64" s="6">
        <f t="shared" ref="AG64:AG73" si="39">Y64</f>
        <v>24000</v>
      </c>
      <c r="AH64" s="6"/>
      <c r="AI64" s="6"/>
      <c r="AJ64" s="6"/>
    </row>
    <row r="65" spans="1:36" s="20" customFormat="1" ht="44.25" customHeight="1">
      <c r="A65" s="15" t="s">
        <v>324</v>
      </c>
      <c r="B65" s="16" t="s">
        <v>381</v>
      </c>
      <c r="C65" s="16"/>
      <c r="D65" s="15"/>
      <c r="E65" s="16"/>
      <c r="F65" s="16"/>
      <c r="G65" s="16"/>
      <c r="H65" s="29">
        <f>SUM(H66:H67)</f>
        <v>55489</v>
      </c>
      <c r="I65" s="29">
        <f t="shared" ref="I65:AB65" si="40">SUM(I66:I67)</f>
        <v>55000</v>
      </c>
      <c r="J65" s="278">
        <f t="shared" si="40"/>
        <v>49000</v>
      </c>
      <c r="K65" s="29">
        <f t="shared" si="40"/>
        <v>49000</v>
      </c>
      <c r="L65" s="29">
        <f t="shared" si="40"/>
        <v>0</v>
      </c>
      <c r="M65" s="29">
        <f t="shared" si="40"/>
        <v>0</v>
      </c>
      <c r="N65" s="29">
        <f t="shared" si="40"/>
        <v>0</v>
      </c>
      <c r="O65" s="29">
        <f t="shared" si="40"/>
        <v>0</v>
      </c>
      <c r="P65" s="29">
        <f t="shared" si="40"/>
        <v>0</v>
      </c>
      <c r="Q65" s="29">
        <f t="shared" si="40"/>
        <v>0</v>
      </c>
      <c r="R65" s="29">
        <f t="shared" si="40"/>
        <v>0</v>
      </c>
      <c r="S65" s="29">
        <f t="shared" si="40"/>
        <v>0</v>
      </c>
      <c r="T65" s="29">
        <f t="shared" si="40"/>
        <v>27000</v>
      </c>
      <c r="U65" s="29">
        <f t="shared" si="40"/>
        <v>0</v>
      </c>
      <c r="V65" s="29">
        <f t="shared" si="40"/>
        <v>5000</v>
      </c>
      <c r="W65" s="29">
        <f t="shared" si="40"/>
        <v>22000</v>
      </c>
      <c r="X65" s="29">
        <f t="shared" si="40"/>
        <v>22000</v>
      </c>
      <c r="Y65" s="29">
        <f t="shared" si="40"/>
        <v>13100</v>
      </c>
      <c r="Z65" s="29">
        <f t="shared" si="40"/>
        <v>0</v>
      </c>
      <c r="AA65" s="380">
        <f t="shared" si="40"/>
        <v>-7888</v>
      </c>
      <c r="AB65" s="29">
        <f t="shared" si="40"/>
        <v>5212</v>
      </c>
      <c r="AC65" s="19"/>
      <c r="AE65" s="113"/>
      <c r="AF65" s="113"/>
    </row>
    <row r="66" spans="1:36" ht="75" customHeight="1">
      <c r="A66" s="10">
        <v>1</v>
      </c>
      <c r="B66" s="115" t="s">
        <v>383</v>
      </c>
      <c r="C66" s="284" t="s">
        <v>382</v>
      </c>
      <c r="D66" s="285" t="s">
        <v>19</v>
      </c>
      <c r="E66" s="284" t="s">
        <v>384</v>
      </c>
      <c r="F66" s="284" t="s">
        <v>36</v>
      </c>
      <c r="G66" s="286" t="s">
        <v>784</v>
      </c>
      <c r="H66" s="287">
        <v>21146</v>
      </c>
      <c r="I66" s="287">
        <v>21000</v>
      </c>
      <c r="J66" s="275">
        <f>SUM(K66,L66:S66)</f>
        <v>19000</v>
      </c>
      <c r="K66" s="60">
        <v>19000</v>
      </c>
      <c r="L66" s="60"/>
      <c r="M66" s="60"/>
      <c r="N66" s="60"/>
      <c r="O66" s="60"/>
      <c r="P66" s="60"/>
      <c r="Q66" s="60"/>
      <c r="R66" s="60"/>
      <c r="S66" s="60"/>
      <c r="T66" s="80">
        <f>SUM(U66:W66)</f>
        <v>10000</v>
      </c>
      <c r="U66" s="60"/>
      <c r="V66" s="60"/>
      <c r="W66" s="276">
        <v>10000</v>
      </c>
      <c r="X66" s="54">
        <f>J66-T66</f>
        <v>9000</v>
      </c>
      <c r="Y66" s="70">
        <v>300</v>
      </c>
      <c r="Z66" s="70"/>
      <c r="AA66" s="70"/>
      <c r="AB66" s="54">
        <f>SUM(Y66:AA66)</f>
        <v>300</v>
      </c>
      <c r="AC66" s="288"/>
      <c r="AE66" s="22" t="s">
        <v>472</v>
      </c>
      <c r="AF66" s="22" t="s">
        <v>462</v>
      </c>
      <c r="AG66" s="6">
        <f t="shared" si="39"/>
        <v>300</v>
      </c>
      <c r="AH66" s="6"/>
      <c r="AI66" s="6"/>
      <c r="AJ66" s="6"/>
    </row>
    <row r="67" spans="1:36" ht="75" customHeight="1">
      <c r="A67" s="10">
        <f>+A66+1</f>
        <v>2</v>
      </c>
      <c r="B67" s="115" t="s">
        <v>385</v>
      </c>
      <c r="C67" s="23" t="s">
        <v>382</v>
      </c>
      <c r="D67" s="34" t="s">
        <v>19</v>
      </c>
      <c r="E67" s="23" t="s">
        <v>384</v>
      </c>
      <c r="F67" s="23" t="s">
        <v>36</v>
      </c>
      <c r="G67" s="34" t="s">
        <v>785</v>
      </c>
      <c r="H67" s="54">
        <v>34343</v>
      </c>
      <c r="I67" s="49">
        <v>34000</v>
      </c>
      <c r="J67" s="275">
        <f>SUM(K67,L67:S67)</f>
        <v>30000</v>
      </c>
      <c r="K67" s="48">
        <v>30000</v>
      </c>
      <c r="L67" s="48"/>
      <c r="M67" s="48"/>
      <c r="N67" s="48"/>
      <c r="O67" s="48"/>
      <c r="P67" s="48"/>
      <c r="Q67" s="48"/>
      <c r="R67" s="48"/>
      <c r="S67" s="48"/>
      <c r="T67" s="80">
        <f>SUM(U67:W67)</f>
        <v>17000</v>
      </c>
      <c r="U67" s="48"/>
      <c r="V67" s="54">
        <v>5000</v>
      </c>
      <c r="W67" s="70">
        <v>12000</v>
      </c>
      <c r="X67" s="54">
        <f>J67-T67</f>
        <v>13000</v>
      </c>
      <c r="Y67" s="70">
        <v>12800</v>
      </c>
      <c r="Z67" s="70"/>
      <c r="AA67" s="343">
        <v>-7888</v>
      </c>
      <c r="AB67" s="54">
        <f>SUM(Y67:AA67)</f>
        <v>4912</v>
      </c>
      <c r="AC67" s="288"/>
      <c r="AE67" s="22" t="s">
        <v>472</v>
      </c>
      <c r="AF67" s="22" t="s">
        <v>462</v>
      </c>
      <c r="AG67" s="6">
        <f t="shared" si="39"/>
        <v>12800</v>
      </c>
      <c r="AH67" s="6"/>
      <c r="AI67" s="6"/>
      <c r="AJ67" s="6"/>
    </row>
    <row r="68" spans="1:36" s="20" customFormat="1" ht="71.25" customHeight="1">
      <c r="A68" s="15" t="s">
        <v>435</v>
      </c>
      <c r="B68" s="16" t="s">
        <v>278</v>
      </c>
      <c r="C68" s="16"/>
      <c r="D68" s="15"/>
      <c r="E68" s="16"/>
      <c r="F68" s="16"/>
      <c r="G68" s="16"/>
      <c r="H68" s="29">
        <f>SUM(H69)</f>
        <v>10398.860659</v>
      </c>
      <c r="I68" s="29">
        <f t="shared" ref="I68:AB68" si="41">SUM(I69)</f>
        <v>7000</v>
      </c>
      <c r="J68" s="278">
        <f t="shared" si="41"/>
        <v>7000</v>
      </c>
      <c r="K68" s="29">
        <f t="shared" si="41"/>
        <v>10000</v>
      </c>
      <c r="L68" s="29">
        <f t="shared" si="41"/>
        <v>0</v>
      </c>
      <c r="M68" s="29">
        <f t="shared" si="41"/>
        <v>0</v>
      </c>
      <c r="N68" s="29">
        <f t="shared" si="41"/>
        <v>-3000</v>
      </c>
      <c r="O68" s="29">
        <f t="shared" si="41"/>
        <v>0</v>
      </c>
      <c r="P68" s="29">
        <f t="shared" si="41"/>
        <v>0</v>
      </c>
      <c r="Q68" s="29">
        <f t="shared" si="41"/>
        <v>0</v>
      </c>
      <c r="R68" s="29">
        <f t="shared" si="41"/>
        <v>0</v>
      </c>
      <c r="S68" s="29">
        <f t="shared" si="41"/>
        <v>0</v>
      </c>
      <c r="T68" s="29">
        <f t="shared" si="41"/>
        <v>6050</v>
      </c>
      <c r="U68" s="29">
        <f t="shared" si="41"/>
        <v>0</v>
      </c>
      <c r="V68" s="29">
        <f t="shared" si="41"/>
        <v>0</v>
      </c>
      <c r="W68" s="29">
        <f t="shared" si="41"/>
        <v>6050</v>
      </c>
      <c r="X68" s="29">
        <f t="shared" si="41"/>
        <v>950</v>
      </c>
      <c r="Y68" s="29">
        <f t="shared" si="41"/>
        <v>950</v>
      </c>
      <c r="Z68" s="29">
        <f t="shared" si="41"/>
        <v>0</v>
      </c>
      <c r="AA68" s="380">
        <f t="shared" si="41"/>
        <v>-950</v>
      </c>
      <c r="AB68" s="29">
        <f t="shared" si="41"/>
        <v>0</v>
      </c>
      <c r="AC68" s="19" t="s">
        <v>553</v>
      </c>
      <c r="AE68" s="113"/>
      <c r="AF68" s="113"/>
    </row>
    <row r="69" spans="1:36" ht="75.75" customHeight="1">
      <c r="A69" s="10">
        <v>1</v>
      </c>
      <c r="B69" s="115" t="s">
        <v>257</v>
      </c>
      <c r="C69" s="28" t="s">
        <v>52</v>
      </c>
      <c r="D69" s="336" t="s">
        <v>19</v>
      </c>
      <c r="E69" s="28" t="s">
        <v>258</v>
      </c>
      <c r="F69" s="28" t="s">
        <v>36</v>
      </c>
      <c r="G69" s="91" t="s">
        <v>701</v>
      </c>
      <c r="H69" s="49">
        <v>10398.860659</v>
      </c>
      <c r="I69" s="49">
        <v>7000</v>
      </c>
      <c r="J69" s="275">
        <f>SUM(K69,L69:S69)</f>
        <v>7000</v>
      </c>
      <c r="K69" s="48">
        <v>10000</v>
      </c>
      <c r="L69" s="48"/>
      <c r="M69" s="48"/>
      <c r="N69" s="48">
        <v>-3000</v>
      </c>
      <c r="O69" s="48"/>
      <c r="P69" s="48"/>
      <c r="Q69" s="48"/>
      <c r="R69" s="48"/>
      <c r="S69" s="48"/>
      <c r="T69" s="80">
        <f>SUM(U69:W69)</f>
        <v>6050</v>
      </c>
      <c r="U69" s="47"/>
      <c r="V69" s="48"/>
      <c r="W69" s="70">
        <v>6050</v>
      </c>
      <c r="X69" s="54">
        <f>J69-T69</f>
        <v>950</v>
      </c>
      <c r="Y69" s="70">
        <f>X69</f>
        <v>950</v>
      </c>
      <c r="Z69" s="70"/>
      <c r="AA69" s="343">
        <v>-950</v>
      </c>
      <c r="AB69" s="54">
        <f>SUM(Y69:AA69)</f>
        <v>0</v>
      </c>
      <c r="AC69" s="31" t="s">
        <v>478</v>
      </c>
      <c r="AE69" s="22" t="s">
        <v>472</v>
      </c>
      <c r="AF69" s="22" t="s">
        <v>464</v>
      </c>
      <c r="AG69" s="6">
        <f t="shared" si="39"/>
        <v>950</v>
      </c>
      <c r="AH69" s="6"/>
      <c r="AI69" s="6"/>
      <c r="AJ69" s="6"/>
    </row>
    <row r="70" spans="1:36" s="20" customFormat="1" ht="44.25" customHeight="1">
      <c r="A70" s="15" t="s">
        <v>437</v>
      </c>
      <c r="B70" s="16" t="s">
        <v>281</v>
      </c>
      <c r="C70" s="16"/>
      <c r="D70" s="15"/>
      <c r="E70" s="16"/>
      <c r="F70" s="16"/>
      <c r="G70" s="16"/>
      <c r="H70" s="29">
        <f t="shared" ref="H70:X70" si="42">SUM(H71:H73)</f>
        <v>147830</v>
      </c>
      <c r="I70" s="29">
        <f t="shared" si="42"/>
        <v>147382</v>
      </c>
      <c r="J70" s="278">
        <f t="shared" si="42"/>
        <v>149000</v>
      </c>
      <c r="K70" s="29">
        <f t="shared" si="42"/>
        <v>47000</v>
      </c>
      <c r="L70" s="29">
        <f t="shared" si="42"/>
        <v>0</v>
      </c>
      <c r="M70" s="29">
        <f t="shared" si="42"/>
        <v>97000</v>
      </c>
      <c r="N70" s="29">
        <f t="shared" si="42"/>
        <v>0</v>
      </c>
      <c r="O70" s="29">
        <f t="shared" si="42"/>
        <v>5000</v>
      </c>
      <c r="P70" s="29">
        <f t="shared" si="42"/>
        <v>0</v>
      </c>
      <c r="Q70" s="29">
        <f t="shared" si="42"/>
        <v>0</v>
      </c>
      <c r="R70" s="29">
        <f t="shared" si="42"/>
        <v>0</v>
      </c>
      <c r="S70" s="29">
        <f t="shared" si="42"/>
        <v>0</v>
      </c>
      <c r="T70" s="29">
        <f t="shared" si="42"/>
        <v>122000</v>
      </c>
      <c r="U70" s="29">
        <f t="shared" si="42"/>
        <v>15000</v>
      </c>
      <c r="V70" s="29">
        <f t="shared" si="42"/>
        <v>94000</v>
      </c>
      <c r="W70" s="29">
        <f t="shared" si="42"/>
        <v>13000</v>
      </c>
      <c r="X70" s="29">
        <f t="shared" si="42"/>
        <v>27000</v>
      </c>
      <c r="Y70" s="29">
        <f>SUM(Y71:Y73)</f>
        <v>27000</v>
      </c>
      <c r="Z70" s="29">
        <f>SUM(Z71:Z73)</f>
        <v>0</v>
      </c>
      <c r="AA70" s="380">
        <f>SUM(AA71:AA73)</f>
        <v>-11726</v>
      </c>
      <c r="AB70" s="29">
        <f>SUM(AB71:AB73)</f>
        <v>15274</v>
      </c>
      <c r="AC70" s="19"/>
      <c r="AE70" s="113"/>
      <c r="AF70" s="113"/>
    </row>
    <row r="71" spans="1:36" ht="75" customHeight="1">
      <c r="A71" s="10">
        <v>1</v>
      </c>
      <c r="B71" s="115" t="s">
        <v>376</v>
      </c>
      <c r="C71" s="28" t="s">
        <v>114</v>
      </c>
      <c r="D71" s="185" t="s">
        <v>19</v>
      </c>
      <c r="E71" s="28" t="s">
        <v>377</v>
      </c>
      <c r="F71" s="28" t="s">
        <v>36</v>
      </c>
      <c r="G71" s="91" t="s">
        <v>378</v>
      </c>
      <c r="H71" s="49">
        <v>33082</v>
      </c>
      <c r="I71" s="49">
        <v>33082</v>
      </c>
      <c r="J71" s="275">
        <f>SUM(K71,L71:S71)</f>
        <v>32000</v>
      </c>
      <c r="K71" s="48">
        <v>27000</v>
      </c>
      <c r="L71" s="48"/>
      <c r="M71" s="48"/>
      <c r="N71" s="48"/>
      <c r="O71" s="48">
        <v>5000</v>
      </c>
      <c r="P71" s="48"/>
      <c r="Q71" s="48"/>
      <c r="R71" s="48"/>
      <c r="S71" s="48"/>
      <c r="T71" s="80">
        <f>SUM(U71:W71)</f>
        <v>31000</v>
      </c>
      <c r="U71" s="48">
        <v>15000</v>
      </c>
      <c r="V71" s="70">
        <v>12000</v>
      </c>
      <c r="W71" s="70">
        <v>4000</v>
      </c>
      <c r="X71" s="54">
        <f>J71-T71</f>
        <v>1000</v>
      </c>
      <c r="Y71" s="70">
        <f>X71</f>
        <v>1000</v>
      </c>
      <c r="Z71" s="70"/>
      <c r="AA71" s="343">
        <v>-726</v>
      </c>
      <c r="AB71" s="54">
        <f>SUM(Y71:AA71)</f>
        <v>274</v>
      </c>
      <c r="AC71" s="35"/>
      <c r="AE71" s="22" t="s">
        <v>472</v>
      </c>
      <c r="AF71" s="22" t="s">
        <v>463</v>
      </c>
      <c r="AG71" s="6">
        <f t="shared" si="39"/>
        <v>1000</v>
      </c>
      <c r="AH71" s="6"/>
      <c r="AI71" s="6"/>
      <c r="AJ71" s="6"/>
    </row>
    <row r="72" spans="1:36" ht="75" customHeight="1">
      <c r="A72" s="10">
        <f>+A71+1</f>
        <v>2</v>
      </c>
      <c r="B72" s="115" t="s">
        <v>379</v>
      </c>
      <c r="C72" s="28" t="s">
        <v>114</v>
      </c>
      <c r="D72" s="34" t="s">
        <v>19</v>
      </c>
      <c r="E72" s="23" t="s">
        <v>380</v>
      </c>
      <c r="F72" s="23" t="s">
        <v>36</v>
      </c>
      <c r="G72" s="34" t="s">
        <v>786</v>
      </c>
      <c r="H72" s="54">
        <v>43368</v>
      </c>
      <c r="I72" s="392">
        <v>43000</v>
      </c>
      <c r="J72" s="275">
        <f>SUM(K72,L72:S72)</f>
        <v>43000</v>
      </c>
      <c r="K72" s="48">
        <v>20000</v>
      </c>
      <c r="L72" s="48"/>
      <c r="M72" s="48">
        <v>23000</v>
      </c>
      <c r="N72" s="48"/>
      <c r="O72" s="48"/>
      <c r="P72" s="48"/>
      <c r="Q72" s="48"/>
      <c r="R72" s="48"/>
      <c r="S72" s="48"/>
      <c r="T72" s="80">
        <f>SUM(U72:W72)</f>
        <v>28000</v>
      </c>
      <c r="U72" s="48"/>
      <c r="V72" s="43">
        <v>20000</v>
      </c>
      <c r="W72" s="70">
        <v>8000</v>
      </c>
      <c r="X72" s="54">
        <f>J72-T72</f>
        <v>15000</v>
      </c>
      <c r="Y72" s="70">
        <f>X72</f>
        <v>15000</v>
      </c>
      <c r="Z72" s="70"/>
      <c r="AA72" s="70"/>
      <c r="AB72" s="54">
        <f>SUM(Y72:AA72)</f>
        <v>15000</v>
      </c>
      <c r="AC72" s="35"/>
      <c r="AE72" s="22" t="s">
        <v>472</v>
      </c>
      <c r="AF72" s="22" t="s">
        <v>463</v>
      </c>
      <c r="AG72" s="6">
        <f t="shared" si="39"/>
        <v>15000</v>
      </c>
      <c r="AH72" s="6"/>
      <c r="AI72" s="6"/>
      <c r="AJ72" s="6"/>
    </row>
    <row r="73" spans="1:36" ht="75" customHeight="1">
      <c r="A73" s="10">
        <v>3</v>
      </c>
      <c r="B73" s="281" t="s">
        <v>788</v>
      </c>
      <c r="C73" s="23" t="s">
        <v>114</v>
      </c>
      <c r="D73" s="34" t="s">
        <v>20</v>
      </c>
      <c r="E73" s="23" t="s">
        <v>375</v>
      </c>
      <c r="F73" s="23" t="s">
        <v>36</v>
      </c>
      <c r="G73" s="160" t="s">
        <v>787</v>
      </c>
      <c r="H73" s="289">
        <v>71380</v>
      </c>
      <c r="I73" s="376">
        <v>71300</v>
      </c>
      <c r="J73" s="275">
        <f>SUM(K73,L73:S73)</f>
        <v>74000</v>
      </c>
      <c r="K73" s="48">
        <v>0</v>
      </c>
      <c r="L73" s="48"/>
      <c r="M73" s="48">
        <v>74000</v>
      </c>
      <c r="N73" s="48"/>
      <c r="O73" s="48"/>
      <c r="P73" s="48"/>
      <c r="Q73" s="48"/>
      <c r="R73" s="48"/>
      <c r="S73" s="48"/>
      <c r="T73" s="80">
        <f>SUM(U73:W73)</f>
        <v>63000</v>
      </c>
      <c r="U73" s="48"/>
      <c r="V73" s="32">
        <v>62000</v>
      </c>
      <c r="W73" s="276">
        <v>1000</v>
      </c>
      <c r="X73" s="54">
        <f>J73-T73</f>
        <v>11000</v>
      </c>
      <c r="Y73" s="70">
        <f>X73</f>
        <v>11000</v>
      </c>
      <c r="Z73" s="70"/>
      <c r="AA73" s="343">
        <v>-11000</v>
      </c>
      <c r="AB73" s="54">
        <f>SUM(Y73:AA73)</f>
        <v>0</v>
      </c>
      <c r="AC73" s="36" t="s">
        <v>1473</v>
      </c>
      <c r="AE73" s="22" t="s">
        <v>472</v>
      </c>
      <c r="AF73" s="22" t="s">
        <v>463</v>
      </c>
      <c r="AG73" s="6">
        <f t="shared" si="39"/>
        <v>11000</v>
      </c>
      <c r="AH73" s="6"/>
      <c r="AI73" s="6"/>
      <c r="AJ73" s="6"/>
    </row>
    <row r="74" spans="1:36" s="18" customFormat="1" ht="60" customHeight="1">
      <c r="A74" s="13" t="s">
        <v>429</v>
      </c>
      <c r="B74" s="26" t="s">
        <v>74</v>
      </c>
      <c r="C74" s="13"/>
      <c r="D74" s="13"/>
      <c r="E74" s="13"/>
      <c r="F74" s="13"/>
      <c r="G74" s="13"/>
      <c r="H74" s="8">
        <f t="shared" ref="H74:AA74" si="43">SUM(H75,H79,H92,H90,H97)</f>
        <v>1688136.2713439169</v>
      </c>
      <c r="I74" s="8">
        <f t="shared" si="43"/>
        <v>1515789</v>
      </c>
      <c r="J74" s="8">
        <f t="shared" si="43"/>
        <v>161500</v>
      </c>
      <c r="K74" s="8">
        <f t="shared" si="43"/>
        <v>108500</v>
      </c>
      <c r="L74" s="8">
        <f t="shared" si="43"/>
        <v>0</v>
      </c>
      <c r="M74" s="8">
        <f t="shared" si="43"/>
        <v>53000</v>
      </c>
      <c r="N74" s="8">
        <f t="shared" si="43"/>
        <v>0</v>
      </c>
      <c r="O74" s="8">
        <f t="shared" si="43"/>
        <v>0</v>
      </c>
      <c r="P74" s="8">
        <f t="shared" si="43"/>
        <v>0</v>
      </c>
      <c r="Q74" s="8">
        <f t="shared" si="43"/>
        <v>0</v>
      </c>
      <c r="R74" s="8">
        <f t="shared" si="43"/>
        <v>0</v>
      </c>
      <c r="S74" s="8">
        <f t="shared" si="43"/>
        <v>0</v>
      </c>
      <c r="T74" s="8">
        <f t="shared" si="43"/>
        <v>0</v>
      </c>
      <c r="U74" s="8">
        <f t="shared" si="43"/>
        <v>0</v>
      </c>
      <c r="V74" s="8">
        <f t="shared" si="43"/>
        <v>0</v>
      </c>
      <c r="W74" s="8">
        <f t="shared" si="43"/>
        <v>0</v>
      </c>
      <c r="X74" s="8">
        <f t="shared" si="43"/>
        <v>161500</v>
      </c>
      <c r="Y74" s="8">
        <f t="shared" si="43"/>
        <v>286310</v>
      </c>
      <c r="Z74" s="8">
        <f t="shared" si="43"/>
        <v>12660</v>
      </c>
      <c r="AA74" s="366">
        <f t="shared" si="43"/>
        <v>-38971</v>
      </c>
      <c r="AB74" s="8">
        <f>SUM(AB75,AB79,AB92,AB90,AB97)</f>
        <v>259999</v>
      </c>
      <c r="AC74" s="27"/>
      <c r="AE74" s="55"/>
      <c r="AF74" s="55"/>
    </row>
    <row r="75" spans="1:36" s="20" customFormat="1" ht="44.25" customHeight="1">
      <c r="A75" s="15" t="s">
        <v>17</v>
      </c>
      <c r="B75" s="16" t="s">
        <v>64</v>
      </c>
      <c r="C75" s="16"/>
      <c r="D75" s="15"/>
      <c r="E75" s="16"/>
      <c r="F75" s="16"/>
      <c r="G75" s="16"/>
      <c r="H75" s="29">
        <f>SUM(H76:H78)</f>
        <v>907119</v>
      </c>
      <c r="I75" s="29">
        <f t="shared" ref="I75:X75" si="44">SUM(I76:I78)</f>
        <v>900543</v>
      </c>
      <c r="J75" s="278">
        <f t="shared" si="44"/>
        <v>60500</v>
      </c>
      <c r="K75" s="29">
        <f t="shared" si="44"/>
        <v>7500</v>
      </c>
      <c r="L75" s="29">
        <f t="shared" si="44"/>
        <v>0</v>
      </c>
      <c r="M75" s="29">
        <f t="shared" si="44"/>
        <v>53000</v>
      </c>
      <c r="N75" s="29">
        <f t="shared" si="44"/>
        <v>0</v>
      </c>
      <c r="O75" s="29">
        <f t="shared" si="44"/>
        <v>0</v>
      </c>
      <c r="P75" s="29">
        <f t="shared" si="44"/>
        <v>0</v>
      </c>
      <c r="Q75" s="29">
        <f t="shared" si="44"/>
        <v>0</v>
      </c>
      <c r="R75" s="29">
        <f t="shared" si="44"/>
        <v>0</v>
      </c>
      <c r="S75" s="29">
        <f t="shared" si="44"/>
        <v>0</v>
      </c>
      <c r="T75" s="29">
        <f t="shared" si="44"/>
        <v>0</v>
      </c>
      <c r="U75" s="29">
        <f t="shared" si="44"/>
        <v>0</v>
      </c>
      <c r="V75" s="29">
        <f t="shared" si="44"/>
        <v>0</v>
      </c>
      <c r="W75" s="29">
        <f t="shared" si="44"/>
        <v>0</v>
      </c>
      <c r="X75" s="29">
        <f t="shared" si="44"/>
        <v>60500</v>
      </c>
      <c r="Y75" s="29">
        <f>SUM(Y76:Y78)</f>
        <v>60500</v>
      </c>
      <c r="Z75" s="29">
        <f>SUM(Z76:Z78)</f>
        <v>0</v>
      </c>
      <c r="AA75" s="29">
        <f>SUM(AA76:AA78)</f>
        <v>0</v>
      </c>
      <c r="AB75" s="29">
        <f>SUM(AB76:AB78)</f>
        <v>60500</v>
      </c>
      <c r="AC75" s="19"/>
      <c r="AE75" s="113"/>
      <c r="AF75" s="113"/>
    </row>
    <row r="76" spans="1:36" ht="73.5" customHeight="1">
      <c r="A76" s="10">
        <v>1</v>
      </c>
      <c r="B76" s="115" t="s">
        <v>373</v>
      </c>
      <c r="C76" s="23" t="s">
        <v>117</v>
      </c>
      <c r="D76" s="34" t="s">
        <v>19</v>
      </c>
      <c r="E76" s="28" t="s">
        <v>374</v>
      </c>
      <c r="F76" s="28" t="s">
        <v>36</v>
      </c>
      <c r="G76" s="91" t="s">
        <v>806</v>
      </c>
      <c r="H76" s="49">
        <v>11176</v>
      </c>
      <c r="I76" s="49">
        <v>4600</v>
      </c>
      <c r="J76" s="275">
        <f>SUM(K76,L76:S76)</f>
        <v>4600</v>
      </c>
      <c r="K76" s="49">
        <v>4600</v>
      </c>
      <c r="L76" s="49"/>
      <c r="M76" s="49"/>
      <c r="N76" s="49"/>
      <c r="O76" s="49"/>
      <c r="P76" s="49"/>
      <c r="Q76" s="49"/>
      <c r="R76" s="49"/>
      <c r="S76" s="49"/>
      <c r="T76" s="8">
        <f>SUM(U76:W76)</f>
        <v>0</v>
      </c>
      <c r="U76" s="47"/>
      <c r="V76" s="49"/>
      <c r="W76" s="70"/>
      <c r="X76" s="54">
        <f>J76-T76</f>
        <v>4600</v>
      </c>
      <c r="Y76" s="70">
        <f>X76</f>
        <v>4600</v>
      </c>
      <c r="Z76" s="70"/>
      <c r="AA76" s="70"/>
      <c r="AB76" s="54">
        <f>SUM(Y76:AA76)</f>
        <v>4600</v>
      </c>
      <c r="AC76" s="31" t="s">
        <v>485</v>
      </c>
      <c r="AE76" s="22" t="s">
        <v>473</v>
      </c>
      <c r="AF76" s="22" t="s">
        <v>474</v>
      </c>
      <c r="AG76" s="6">
        <f>Y76</f>
        <v>4600</v>
      </c>
      <c r="AH76" s="6" t="s">
        <v>629</v>
      </c>
      <c r="AI76" s="6"/>
      <c r="AJ76" s="6"/>
    </row>
    <row r="77" spans="1:36" ht="73.5" customHeight="1">
      <c r="A77" s="10">
        <f>+A76+1</f>
        <v>2</v>
      </c>
      <c r="B77" s="115" t="s">
        <v>368</v>
      </c>
      <c r="C77" s="23" t="s">
        <v>369</v>
      </c>
      <c r="D77" s="34" t="s">
        <v>19</v>
      </c>
      <c r="E77" s="23" t="s">
        <v>372</v>
      </c>
      <c r="F77" s="23" t="s">
        <v>36</v>
      </c>
      <c r="G77" s="33" t="s">
        <v>711</v>
      </c>
      <c r="H77" s="49">
        <v>3977</v>
      </c>
      <c r="I77" s="376">
        <v>3977</v>
      </c>
      <c r="J77" s="275">
        <f>SUM(K77,L77:S77)</f>
        <v>2900</v>
      </c>
      <c r="K77" s="49">
        <v>2900</v>
      </c>
      <c r="L77" s="49"/>
      <c r="M77" s="49"/>
      <c r="N77" s="49"/>
      <c r="O77" s="49"/>
      <c r="P77" s="49"/>
      <c r="Q77" s="49"/>
      <c r="R77" s="49"/>
      <c r="S77" s="49"/>
      <c r="T77" s="8">
        <f>SUM(U77:W77)</f>
        <v>0</v>
      </c>
      <c r="U77" s="48"/>
      <c r="V77" s="49"/>
      <c r="W77" s="70"/>
      <c r="X77" s="54">
        <f>J77-T77</f>
        <v>2900</v>
      </c>
      <c r="Y77" s="70">
        <f>X77</f>
        <v>2900</v>
      </c>
      <c r="Z77" s="70"/>
      <c r="AA77" s="70"/>
      <c r="AB77" s="54">
        <f>SUM(Y77:AA77)</f>
        <v>2900</v>
      </c>
      <c r="AC77" s="183" t="s">
        <v>484</v>
      </c>
      <c r="AE77" s="22" t="s">
        <v>473</v>
      </c>
      <c r="AF77" s="22" t="s">
        <v>474</v>
      </c>
      <c r="AG77" s="6">
        <f>Y77</f>
        <v>2900</v>
      </c>
      <c r="AH77" s="6" t="s">
        <v>629</v>
      </c>
      <c r="AI77" s="6"/>
      <c r="AJ77" s="6"/>
    </row>
    <row r="78" spans="1:36" ht="78.75" customHeight="1">
      <c r="A78" s="10">
        <f>+A77+1</f>
        <v>3</v>
      </c>
      <c r="B78" s="115" t="s">
        <v>548</v>
      </c>
      <c r="C78" s="28" t="s">
        <v>346</v>
      </c>
      <c r="D78" s="89" t="s">
        <v>20</v>
      </c>
      <c r="E78" s="28" t="s">
        <v>354</v>
      </c>
      <c r="F78" s="28" t="s">
        <v>116</v>
      </c>
      <c r="G78" s="33" t="s">
        <v>850</v>
      </c>
      <c r="H78" s="49">
        <v>891966</v>
      </c>
      <c r="I78" s="49">
        <v>891966</v>
      </c>
      <c r="J78" s="275">
        <f>SUM(K78,L78:S78)</f>
        <v>53000</v>
      </c>
      <c r="K78" s="49">
        <v>0</v>
      </c>
      <c r="L78" s="49"/>
      <c r="M78" s="49">
        <v>53000</v>
      </c>
      <c r="N78" s="49"/>
      <c r="O78" s="49"/>
      <c r="P78" s="49"/>
      <c r="Q78" s="49"/>
      <c r="R78" s="49"/>
      <c r="S78" s="49"/>
      <c r="T78" s="8">
        <f>SUM(U78:W78)</f>
        <v>0</v>
      </c>
      <c r="U78" s="49"/>
      <c r="V78" s="49">
        <f>K78-U78</f>
        <v>0</v>
      </c>
      <c r="W78" s="70"/>
      <c r="X78" s="54">
        <f>J78-T78</f>
        <v>53000</v>
      </c>
      <c r="Y78" s="70">
        <v>53000</v>
      </c>
      <c r="Z78" s="70"/>
      <c r="AA78" s="70"/>
      <c r="AB78" s="54">
        <f>SUM(Y78:AA78)</f>
        <v>53000</v>
      </c>
      <c r="AC78" s="183" t="s">
        <v>957</v>
      </c>
      <c r="AE78" s="22" t="s">
        <v>473</v>
      </c>
      <c r="AF78" s="22" t="s">
        <v>474</v>
      </c>
      <c r="AG78" s="6">
        <f>Y78</f>
        <v>53000</v>
      </c>
      <c r="AH78" s="6" t="s">
        <v>629</v>
      </c>
      <c r="AI78" s="6"/>
      <c r="AJ78" s="6"/>
    </row>
    <row r="79" spans="1:36" s="20" customFormat="1" ht="44.25" customHeight="1">
      <c r="A79" s="15" t="s">
        <v>25</v>
      </c>
      <c r="B79" s="16" t="s">
        <v>358</v>
      </c>
      <c r="C79" s="16"/>
      <c r="D79" s="15"/>
      <c r="E79" s="16"/>
      <c r="F79" s="16"/>
      <c r="G79" s="16"/>
      <c r="H79" s="29">
        <f>SUM(H80:H89)</f>
        <v>147830</v>
      </c>
      <c r="I79" s="29">
        <f t="shared" ref="I79:AB79" si="45">SUM(I80:I89)</f>
        <v>138641</v>
      </c>
      <c r="J79" s="29">
        <f t="shared" si="45"/>
        <v>25000</v>
      </c>
      <c r="K79" s="29">
        <f t="shared" si="45"/>
        <v>25000</v>
      </c>
      <c r="L79" s="29">
        <f t="shared" si="45"/>
        <v>0</v>
      </c>
      <c r="M79" s="29">
        <f t="shared" si="45"/>
        <v>0</v>
      </c>
      <c r="N79" s="29">
        <f t="shared" si="45"/>
        <v>0</v>
      </c>
      <c r="O79" s="29">
        <f t="shared" si="45"/>
        <v>0</v>
      </c>
      <c r="P79" s="29">
        <f t="shared" si="45"/>
        <v>0</v>
      </c>
      <c r="Q79" s="29">
        <f t="shared" si="45"/>
        <v>0</v>
      </c>
      <c r="R79" s="29">
        <f t="shared" si="45"/>
        <v>0</v>
      </c>
      <c r="S79" s="29">
        <f t="shared" si="45"/>
        <v>0</v>
      </c>
      <c r="T79" s="29">
        <f t="shared" si="45"/>
        <v>0</v>
      </c>
      <c r="U79" s="29">
        <f t="shared" si="45"/>
        <v>0</v>
      </c>
      <c r="V79" s="29">
        <f t="shared" si="45"/>
        <v>0</v>
      </c>
      <c r="W79" s="29">
        <f t="shared" si="45"/>
        <v>0</v>
      </c>
      <c r="X79" s="29">
        <f t="shared" si="45"/>
        <v>25000</v>
      </c>
      <c r="Y79" s="29">
        <f t="shared" si="45"/>
        <v>100200</v>
      </c>
      <c r="Z79" s="29">
        <f t="shared" si="45"/>
        <v>4500</v>
      </c>
      <c r="AA79" s="380">
        <f t="shared" si="45"/>
        <v>-12050</v>
      </c>
      <c r="AB79" s="29">
        <f t="shared" si="45"/>
        <v>92650</v>
      </c>
      <c r="AC79" s="19"/>
      <c r="AE79" s="113"/>
      <c r="AF79" s="113"/>
    </row>
    <row r="80" spans="1:36" ht="88.5" customHeight="1">
      <c r="A80" s="10">
        <v>1</v>
      </c>
      <c r="B80" s="4" t="s">
        <v>419</v>
      </c>
      <c r="C80" s="28" t="s">
        <v>420</v>
      </c>
      <c r="D80" s="185" t="s">
        <v>19</v>
      </c>
      <c r="E80" s="28" t="s">
        <v>421</v>
      </c>
      <c r="F80" s="28" t="s">
        <v>390</v>
      </c>
      <c r="G80" s="91" t="s">
        <v>832</v>
      </c>
      <c r="H80" s="49">
        <v>28550</v>
      </c>
      <c r="I80" s="49">
        <v>25000</v>
      </c>
      <c r="J80" s="275">
        <f>SUM(K80,L80:S80)</f>
        <v>25000</v>
      </c>
      <c r="K80" s="48">
        <v>25000</v>
      </c>
      <c r="L80" s="48"/>
      <c r="M80" s="48"/>
      <c r="N80" s="48"/>
      <c r="O80" s="48"/>
      <c r="P80" s="48"/>
      <c r="Q80" s="48"/>
      <c r="R80" s="48"/>
      <c r="S80" s="48"/>
      <c r="T80" s="8">
        <f>SUM(U80:W80)</f>
        <v>0</v>
      </c>
      <c r="U80" s="48"/>
      <c r="V80" s="48"/>
      <c r="W80" s="70">
        <v>0</v>
      </c>
      <c r="X80" s="54">
        <f>J80-T80</f>
        <v>25000</v>
      </c>
      <c r="Y80" s="70">
        <v>13500</v>
      </c>
      <c r="Z80" s="70"/>
      <c r="AA80" s="343">
        <v>-9500</v>
      </c>
      <c r="AB80" s="54">
        <f t="shared" ref="AB80:AB89" si="46">SUM(Y80:AA80)</f>
        <v>4000</v>
      </c>
      <c r="AC80" s="183" t="s">
        <v>1471</v>
      </c>
      <c r="AE80" s="22" t="s">
        <v>473</v>
      </c>
      <c r="AF80" s="22" t="s">
        <v>459</v>
      </c>
      <c r="AG80" s="6">
        <f>Y80</f>
        <v>13500</v>
      </c>
      <c r="AH80" s="6"/>
      <c r="AI80" s="6"/>
      <c r="AJ80" s="6"/>
    </row>
    <row r="81" spans="1:36" ht="88.5" customHeight="1">
      <c r="A81" s="10">
        <f t="shared" ref="A81:A89" si="47">+A80+1</f>
        <v>2</v>
      </c>
      <c r="B81" s="36" t="s">
        <v>388</v>
      </c>
      <c r="C81" s="23" t="s">
        <v>389</v>
      </c>
      <c r="D81" s="34" t="s">
        <v>19</v>
      </c>
      <c r="E81" s="23" t="s">
        <v>421</v>
      </c>
      <c r="F81" s="23" t="s">
        <v>391</v>
      </c>
      <c r="G81" s="91" t="s">
        <v>1207</v>
      </c>
      <c r="H81" s="49">
        <v>9003</v>
      </c>
      <c r="I81" s="49">
        <v>9000</v>
      </c>
      <c r="J81" s="275"/>
      <c r="K81" s="48"/>
      <c r="L81" s="48"/>
      <c r="M81" s="48"/>
      <c r="N81" s="48"/>
      <c r="O81" s="48"/>
      <c r="P81" s="48"/>
      <c r="Q81" s="48"/>
      <c r="R81" s="48"/>
      <c r="S81" s="48"/>
      <c r="T81" s="8"/>
      <c r="U81" s="48"/>
      <c r="V81" s="48"/>
      <c r="W81" s="70"/>
      <c r="X81" s="54"/>
      <c r="Y81" s="70">
        <v>9000</v>
      </c>
      <c r="Z81" s="70"/>
      <c r="AA81" s="343">
        <v>-1050</v>
      </c>
      <c r="AB81" s="54">
        <f t="shared" si="46"/>
        <v>7950</v>
      </c>
      <c r="AC81" s="183" t="s">
        <v>1481</v>
      </c>
      <c r="AG81" s="6"/>
      <c r="AH81" s="6"/>
      <c r="AI81" s="6"/>
      <c r="AJ81" s="6"/>
    </row>
    <row r="82" spans="1:36" ht="88.5" customHeight="1">
      <c r="A82" s="10">
        <f t="shared" si="47"/>
        <v>3</v>
      </c>
      <c r="B82" s="36" t="s">
        <v>395</v>
      </c>
      <c r="C82" s="23" t="s">
        <v>392</v>
      </c>
      <c r="D82" s="34" t="s">
        <v>19</v>
      </c>
      <c r="E82" s="23" t="s">
        <v>421</v>
      </c>
      <c r="F82" s="23" t="s">
        <v>391</v>
      </c>
      <c r="G82" s="91" t="s">
        <v>1210</v>
      </c>
      <c r="H82" s="49">
        <v>5852</v>
      </c>
      <c r="I82" s="49">
        <v>5852</v>
      </c>
      <c r="J82" s="275"/>
      <c r="K82" s="48"/>
      <c r="L82" s="48"/>
      <c r="M82" s="48"/>
      <c r="N82" s="48"/>
      <c r="O82" s="48"/>
      <c r="P82" s="48"/>
      <c r="Q82" s="48"/>
      <c r="R82" s="48"/>
      <c r="S82" s="48"/>
      <c r="T82" s="8"/>
      <c r="U82" s="48"/>
      <c r="V82" s="48"/>
      <c r="W82" s="70"/>
      <c r="X82" s="54"/>
      <c r="Y82" s="70">
        <v>5500</v>
      </c>
      <c r="Z82" s="70"/>
      <c r="AA82" s="70"/>
      <c r="AB82" s="54">
        <f t="shared" si="46"/>
        <v>5500</v>
      </c>
      <c r="AC82" s="183"/>
      <c r="AG82" s="6"/>
      <c r="AH82" s="6"/>
      <c r="AI82" s="6"/>
      <c r="AJ82" s="6"/>
    </row>
    <row r="83" spans="1:36" ht="88.5" customHeight="1">
      <c r="A83" s="10">
        <f t="shared" si="47"/>
        <v>4</v>
      </c>
      <c r="B83" s="36" t="s">
        <v>397</v>
      </c>
      <c r="C83" s="23" t="s">
        <v>398</v>
      </c>
      <c r="D83" s="34" t="s">
        <v>19</v>
      </c>
      <c r="E83" s="23" t="s">
        <v>421</v>
      </c>
      <c r="F83" s="23" t="s">
        <v>391</v>
      </c>
      <c r="G83" s="91" t="s">
        <v>1211</v>
      </c>
      <c r="H83" s="49">
        <v>5467</v>
      </c>
      <c r="I83" s="49">
        <v>5467</v>
      </c>
      <c r="J83" s="275"/>
      <c r="K83" s="48"/>
      <c r="L83" s="48"/>
      <c r="M83" s="48"/>
      <c r="N83" s="48"/>
      <c r="O83" s="48"/>
      <c r="P83" s="48"/>
      <c r="Q83" s="48"/>
      <c r="R83" s="48"/>
      <c r="S83" s="48"/>
      <c r="T83" s="8"/>
      <c r="U83" s="48"/>
      <c r="V83" s="48"/>
      <c r="W83" s="70"/>
      <c r="X83" s="54"/>
      <c r="Y83" s="70">
        <v>5200</v>
      </c>
      <c r="Z83" s="70"/>
      <c r="AA83" s="70"/>
      <c r="AB83" s="54">
        <f t="shared" si="46"/>
        <v>5200</v>
      </c>
      <c r="AC83" s="183"/>
      <c r="AG83" s="6"/>
      <c r="AH83" s="6"/>
      <c r="AI83" s="6"/>
      <c r="AJ83" s="6"/>
    </row>
    <row r="84" spans="1:36" ht="88.5" customHeight="1">
      <c r="A84" s="10">
        <f t="shared" si="47"/>
        <v>5</v>
      </c>
      <c r="B84" s="36" t="s">
        <v>401</v>
      </c>
      <c r="C84" s="23" t="s">
        <v>487</v>
      </c>
      <c r="D84" s="34" t="s">
        <v>19</v>
      </c>
      <c r="E84" s="23" t="s">
        <v>421</v>
      </c>
      <c r="F84" s="23" t="s">
        <v>391</v>
      </c>
      <c r="G84" s="91" t="s">
        <v>1208</v>
      </c>
      <c r="H84" s="49">
        <v>14652</v>
      </c>
      <c r="I84" s="49">
        <v>12000</v>
      </c>
      <c r="J84" s="275"/>
      <c r="K84" s="48"/>
      <c r="L84" s="48"/>
      <c r="M84" s="48"/>
      <c r="N84" s="48"/>
      <c r="O84" s="48"/>
      <c r="P84" s="48"/>
      <c r="Q84" s="48"/>
      <c r="R84" s="48"/>
      <c r="S84" s="48"/>
      <c r="T84" s="8"/>
      <c r="U84" s="48"/>
      <c r="V84" s="48"/>
      <c r="W84" s="70"/>
      <c r="X84" s="54"/>
      <c r="Y84" s="70">
        <v>12000</v>
      </c>
      <c r="Z84" s="70"/>
      <c r="AA84" s="70"/>
      <c r="AB84" s="54">
        <f t="shared" si="46"/>
        <v>12000</v>
      </c>
      <c r="AC84" s="183"/>
      <c r="AG84" s="6"/>
      <c r="AH84" s="6"/>
      <c r="AI84" s="6"/>
      <c r="AJ84" s="6"/>
    </row>
    <row r="85" spans="1:36" ht="88.5" customHeight="1">
      <c r="A85" s="10">
        <f t="shared" si="47"/>
        <v>6</v>
      </c>
      <c r="B85" s="36" t="s">
        <v>406</v>
      </c>
      <c r="C85" s="23" t="s">
        <v>488</v>
      </c>
      <c r="D85" s="34" t="s">
        <v>19</v>
      </c>
      <c r="E85" s="23" t="s">
        <v>421</v>
      </c>
      <c r="F85" s="23" t="s">
        <v>391</v>
      </c>
      <c r="G85" s="91" t="s">
        <v>1212</v>
      </c>
      <c r="H85" s="49">
        <v>19956</v>
      </c>
      <c r="I85" s="49">
        <v>19956</v>
      </c>
      <c r="J85" s="275"/>
      <c r="K85" s="48"/>
      <c r="L85" s="48"/>
      <c r="M85" s="48"/>
      <c r="N85" s="48"/>
      <c r="O85" s="48"/>
      <c r="P85" s="48"/>
      <c r="Q85" s="48"/>
      <c r="R85" s="48"/>
      <c r="S85" s="48"/>
      <c r="T85" s="8"/>
      <c r="U85" s="48"/>
      <c r="V85" s="48"/>
      <c r="W85" s="70"/>
      <c r="X85" s="54"/>
      <c r="Y85" s="70">
        <v>15000</v>
      </c>
      <c r="Z85" s="70"/>
      <c r="AA85" s="70"/>
      <c r="AB85" s="54">
        <f t="shared" si="46"/>
        <v>15000</v>
      </c>
      <c r="AC85" s="183"/>
      <c r="AG85" s="6"/>
      <c r="AH85" s="6"/>
      <c r="AI85" s="6"/>
      <c r="AJ85" s="6"/>
    </row>
    <row r="86" spans="1:36" ht="88.5" customHeight="1">
      <c r="A86" s="10">
        <f t="shared" si="47"/>
        <v>7</v>
      </c>
      <c r="B86" s="36" t="s">
        <v>409</v>
      </c>
      <c r="C86" s="23" t="s">
        <v>490</v>
      </c>
      <c r="D86" s="34" t="s">
        <v>19</v>
      </c>
      <c r="E86" s="23" t="s">
        <v>421</v>
      </c>
      <c r="F86" s="23" t="s">
        <v>391</v>
      </c>
      <c r="G86" s="91" t="s">
        <v>1213</v>
      </c>
      <c r="H86" s="49">
        <v>21743</v>
      </c>
      <c r="I86" s="49">
        <v>21743</v>
      </c>
      <c r="J86" s="275"/>
      <c r="K86" s="48"/>
      <c r="L86" s="48"/>
      <c r="M86" s="48"/>
      <c r="N86" s="48"/>
      <c r="O86" s="48"/>
      <c r="P86" s="48"/>
      <c r="Q86" s="48"/>
      <c r="R86" s="48"/>
      <c r="S86" s="48"/>
      <c r="T86" s="8"/>
      <c r="U86" s="48"/>
      <c r="V86" s="48"/>
      <c r="W86" s="70"/>
      <c r="X86" s="54"/>
      <c r="Y86" s="70">
        <v>15000</v>
      </c>
      <c r="Z86" s="70"/>
      <c r="AA86" s="70"/>
      <c r="AB86" s="54">
        <f t="shared" si="46"/>
        <v>15000</v>
      </c>
      <c r="AC86" s="183"/>
      <c r="AG86" s="6"/>
      <c r="AH86" s="6"/>
      <c r="AI86" s="6"/>
      <c r="AJ86" s="6"/>
    </row>
    <row r="87" spans="1:36" ht="88.5" customHeight="1">
      <c r="A87" s="10">
        <f t="shared" si="47"/>
        <v>8</v>
      </c>
      <c r="B87" s="36" t="s">
        <v>411</v>
      </c>
      <c r="C87" s="23" t="s">
        <v>489</v>
      </c>
      <c r="D87" s="34" t="s">
        <v>19</v>
      </c>
      <c r="E87" s="23" t="s">
        <v>421</v>
      </c>
      <c r="F87" s="23" t="s">
        <v>391</v>
      </c>
      <c r="G87" s="91" t="s">
        <v>1214</v>
      </c>
      <c r="H87" s="49">
        <v>18123</v>
      </c>
      <c r="I87" s="49">
        <v>18123</v>
      </c>
      <c r="J87" s="275"/>
      <c r="K87" s="48"/>
      <c r="L87" s="48"/>
      <c r="M87" s="48"/>
      <c r="N87" s="48"/>
      <c r="O87" s="48"/>
      <c r="P87" s="48"/>
      <c r="Q87" s="48"/>
      <c r="R87" s="48"/>
      <c r="S87" s="48"/>
      <c r="T87" s="8"/>
      <c r="U87" s="48"/>
      <c r="V87" s="48"/>
      <c r="W87" s="70"/>
      <c r="X87" s="54"/>
      <c r="Y87" s="70">
        <v>8000</v>
      </c>
      <c r="Z87" s="70"/>
      <c r="AA87" s="343">
        <v>-1500</v>
      </c>
      <c r="AB87" s="54">
        <f t="shared" si="46"/>
        <v>6500</v>
      </c>
      <c r="AC87" s="183"/>
      <c r="AG87" s="6"/>
      <c r="AH87" s="6"/>
      <c r="AI87" s="6"/>
      <c r="AJ87" s="6"/>
    </row>
    <row r="88" spans="1:36" ht="88.5" customHeight="1">
      <c r="A88" s="10">
        <f t="shared" si="47"/>
        <v>9</v>
      </c>
      <c r="B88" s="36" t="s">
        <v>413</v>
      </c>
      <c r="C88" s="23" t="s">
        <v>491</v>
      </c>
      <c r="D88" s="34" t="s">
        <v>19</v>
      </c>
      <c r="E88" s="23" t="s">
        <v>421</v>
      </c>
      <c r="F88" s="23" t="s">
        <v>391</v>
      </c>
      <c r="G88" s="91" t="s">
        <v>1209</v>
      </c>
      <c r="H88" s="49">
        <v>14583</v>
      </c>
      <c r="I88" s="49">
        <v>12000</v>
      </c>
      <c r="J88" s="275"/>
      <c r="K88" s="48"/>
      <c r="L88" s="48"/>
      <c r="M88" s="48"/>
      <c r="N88" s="48"/>
      <c r="O88" s="48"/>
      <c r="P88" s="48"/>
      <c r="Q88" s="48"/>
      <c r="R88" s="48"/>
      <c r="S88" s="48"/>
      <c r="T88" s="8"/>
      <c r="U88" s="48"/>
      <c r="V88" s="48"/>
      <c r="W88" s="70"/>
      <c r="X88" s="54"/>
      <c r="Y88" s="70">
        <v>12000</v>
      </c>
      <c r="Z88" s="70"/>
      <c r="AA88" s="70"/>
      <c r="AB88" s="54">
        <f t="shared" si="46"/>
        <v>12000</v>
      </c>
      <c r="AC88" s="183"/>
      <c r="AG88" s="6"/>
      <c r="AH88" s="6"/>
      <c r="AI88" s="6"/>
      <c r="AJ88" s="6"/>
    </row>
    <row r="89" spans="1:36" ht="88.5" customHeight="1">
      <c r="A89" s="10">
        <f t="shared" si="47"/>
        <v>10</v>
      </c>
      <c r="B89" s="36" t="s">
        <v>718</v>
      </c>
      <c r="C89" s="23" t="s">
        <v>934</v>
      </c>
      <c r="D89" s="185" t="s">
        <v>19</v>
      </c>
      <c r="E89" s="23" t="s">
        <v>935</v>
      </c>
      <c r="F89" s="23" t="s">
        <v>391</v>
      </c>
      <c r="G89" s="91" t="s">
        <v>1154</v>
      </c>
      <c r="H89" s="49">
        <v>9901</v>
      </c>
      <c r="I89" s="49">
        <v>9500</v>
      </c>
      <c r="J89" s="275"/>
      <c r="K89" s="48"/>
      <c r="L89" s="48"/>
      <c r="M89" s="48"/>
      <c r="N89" s="48"/>
      <c r="O89" s="48"/>
      <c r="P89" s="48"/>
      <c r="Q89" s="48"/>
      <c r="R89" s="48"/>
      <c r="S89" s="48"/>
      <c r="T89" s="8"/>
      <c r="U89" s="48"/>
      <c r="V89" s="48"/>
      <c r="W89" s="70"/>
      <c r="X89" s="54"/>
      <c r="Y89" s="70">
        <v>5000</v>
      </c>
      <c r="Z89" s="70">
        <v>4500</v>
      </c>
      <c r="AA89" s="70"/>
      <c r="AB89" s="54">
        <f t="shared" si="46"/>
        <v>9500</v>
      </c>
      <c r="AC89" s="183"/>
      <c r="AG89" s="6"/>
      <c r="AH89" s="6"/>
      <c r="AI89" s="6"/>
      <c r="AJ89" s="6"/>
    </row>
    <row r="90" spans="1:36" s="20" customFormat="1" ht="44.25" customHeight="1">
      <c r="A90" s="15" t="s">
        <v>30</v>
      </c>
      <c r="B90" s="365" t="s">
        <v>355</v>
      </c>
      <c r="C90" s="16"/>
      <c r="D90" s="15"/>
      <c r="E90" s="16"/>
      <c r="F90" s="16"/>
      <c r="G90" s="16"/>
      <c r="H90" s="29">
        <f t="shared" ref="H90:AA90" si="48">SUM(H91:H91)</f>
        <v>352273</v>
      </c>
      <c r="I90" s="29">
        <f t="shared" si="48"/>
        <v>352273</v>
      </c>
      <c r="J90" s="278">
        <f t="shared" si="48"/>
        <v>0</v>
      </c>
      <c r="K90" s="29">
        <f t="shared" si="48"/>
        <v>0</v>
      </c>
      <c r="L90" s="29">
        <f t="shared" si="48"/>
        <v>0</v>
      </c>
      <c r="M90" s="29">
        <f t="shared" si="48"/>
        <v>0</v>
      </c>
      <c r="N90" s="29">
        <f t="shared" si="48"/>
        <v>0</v>
      </c>
      <c r="O90" s="29">
        <f t="shared" si="48"/>
        <v>0</v>
      </c>
      <c r="P90" s="29">
        <f t="shared" si="48"/>
        <v>0</v>
      </c>
      <c r="Q90" s="29">
        <f t="shared" si="48"/>
        <v>0</v>
      </c>
      <c r="R90" s="29">
        <f t="shared" si="48"/>
        <v>0</v>
      </c>
      <c r="S90" s="29">
        <f t="shared" si="48"/>
        <v>0</v>
      </c>
      <c r="T90" s="29">
        <f t="shared" si="48"/>
        <v>0</v>
      </c>
      <c r="U90" s="29">
        <f t="shared" si="48"/>
        <v>0</v>
      </c>
      <c r="V90" s="29">
        <f t="shared" si="48"/>
        <v>0</v>
      </c>
      <c r="W90" s="29">
        <f t="shared" si="48"/>
        <v>0</v>
      </c>
      <c r="X90" s="29">
        <f t="shared" si="48"/>
        <v>0</v>
      </c>
      <c r="Y90" s="29">
        <f t="shared" si="48"/>
        <v>53610</v>
      </c>
      <c r="Z90" s="29">
        <f t="shared" si="48"/>
        <v>0</v>
      </c>
      <c r="AA90" s="367">
        <f t="shared" si="48"/>
        <v>-22600</v>
      </c>
      <c r="AB90" s="29">
        <f>SUM(AB91:AB91)</f>
        <v>31010</v>
      </c>
      <c r="AC90" s="19"/>
      <c r="AE90" s="113"/>
      <c r="AF90" s="113"/>
    </row>
    <row r="91" spans="1:36" ht="88.5" customHeight="1">
      <c r="A91" s="10">
        <v>1</v>
      </c>
      <c r="B91" s="121" t="s">
        <v>426</v>
      </c>
      <c r="C91" s="23" t="s">
        <v>132</v>
      </c>
      <c r="D91" s="185" t="s">
        <v>20</v>
      </c>
      <c r="E91" s="23" t="s">
        <v>282</v>
      </c>
      <c r="F91" s="23" t="s">
        <v>36</v>
      </c>
      <c r="G91" s="91" t="s">
        <v>1195</v>
      </c>
      <c r="H91" s="49">
        <v>352273</v>
      </c>
      <c r="I91" s="49">
        <v>352273</v>
      </c>
      <c r="J91" s="275"/>
      <c r="K91" s="49"/>
      <c r="L91" s="49"/>
      <c r="M91" s="49"/>
      <c r="N91" s="49"/>
      <c r="O91" s="49"/>
      <c r="P91" s="49"/>
      <c r="Q91" s="49"/>
      <c r="R91" s="49"/>
      <c r="S91" s="49"/>
      <c r="T91" s="8"/>
      <c r="U91" s="49"/>
      <c r="V91" s="49"/>
      <c r="W91" s="70"/>
      <c r="X91" s="54"/>
      <c r="Y91" s="70">
        <v>53610</v>
      </c>
      <c r="Z91" s="70"/>
      <c r="AA91" s="343">
        <v>-22600</v>
      </c>
      <c r="AB91" s="54">
        <f>SUM(Y91:AA91)</f>
        <v>31010</v>
      </c>
      <c r="AC91" s="183" t="s">
        <v>1471</v>
      </c>
      <c r="AG91" s="6"/>
      <c r="AH91" s="6"/>
      <c r="AI91" s="6"/>
      <c r="AJ91" s="6"/>
    </row>
    <row r="92" spans="1:36" s="20" customFormat="1" ht="44.25" customHeight="1">
      <c r="A92" s="15" t="s">
        <v>94</v>
      </c>
      <c r="B92" s="16" t="s">
        <v>65</v>
      </c>
      <c r="C92" s="16"/>
      <c r="D92" s="15"/>
      <c r="E92" s="16"/>
      <c r="F92" s="16"/>
      <c r="G92" s="16"/>
      <c r="H92" s="29">
        <f t="shared" ref="H92:AA92" si="49">SUM(H93:H96)</f>
        <v>246897</v>
      </c>
      <c r="I92" s="29">
        <f t="shared" si="49"/>
        <v>93894</v>
      </c>
      <c r="J92" s="29">
        <f t="shared" si="49"/>
        <v>50000</v>
      </c>
      <c r="K92" s="29">
        <f t="shared" si="49"/>
        <v>50000</v>
      </c>
      <c r="L92" s="29">
        <f t="shared" si="49"/>
        <v>0</v>
      </c>
      <c r="M92" s="29">
        <f t="shared" si="49"/>
        <v>0</v>
      </c>
      <c r="N92" s="29">
        <f t="shared" si="49"/>
        <v>0</v>
      </c>
      <c r="O92" s="29">
        <f t="shared" si="49"/>
        <v>0</v>
      </c>
      <c r="P92" s="29">
        <f t="shared" si="49"/>
        <v>0</v>
      </c>
      <c r="Q92" s="29">
        <f t="shared" si="49"/>
        <v>0</v>
      </c>
      <c r="R92" s="29">
        <f t="shared" si="49"/>
        <v>0</v>
      </c>
      <c r="S92" s="29">
        <f t="shared" si="49"/>
        <v>0</v>
      </c>
      <c r="T92" s="29">
        <f t="shared" si="49"/>
        <v>0</v>
      </c>
      <c r="U92" s="29">
        <f t="shared" si="49"/>
        <v>0</v>
      </c>
      <c r="V92" s="29">
        <f t="shared" si="49"/>
        <v>0</v>
      </c>
      <c r="W92" s="29">
        <f t="shared" si="49"/>
        <v>0</v>
      </c>
      <c r="X92" s="29">
        <f t="shared" si="49"/>
        <v>50000</v>
      </c>
      <c r="Y92" s="29">
        <f t="shared" si="49"/>
        <v>43700</v>
      </c>
      <c r="Z92" s="29">
        <f t="shared" si="49"/>
        <v>8000</v>
      </c>
      <c r="AA92" s="29">
        <f t="shared" si="49"/>
        <v>0</v>
      </c>
      <c r="AB92" s="29">
        <f>SUM(AB93:AB96)</f>
        <v>51700</v>
      </c>
      <c r="AC92" s="19"/>
      <c r="AE92" s="113"/>
      <c r="AF92" s="113"/>
    </row>
    <row r="93" spans="1:36" ht="88.5" customHeight="1">
      <c r="A93" s="10">
        <v>1</v>
      </c>
      <c r="B93" s="115" t="s">
        <v>56</v>
      </c>
      <c r="C93" s="10" t="s">
        <v>57</v>
      </c>
      <c r="D93" s="185" t="s">
        <v>20</v>
      </c>
      <c r="E93" s="10" t="s">
        <v>555</v>
      </c>
      <c r="F93" s="10" t="s">
        <v>36</v>
      </c>
      <c r="G93" s="5" t="s">
        <v>807</v>
      </c>
      <c r="H93" s="46">
        <v>88333</v>
      </c>
      <c r="I93" s="162">
        <v>30000</v>
      </c>
      <c r="J93" s="275">
        <f>SUM(K93,L93:S93)</f>
        <v>30000</v>
      </c>
      <c r="K93" s="61">
        <v>30000</v>
      </c>
      <c r="L93" s="48"/>
      <c r="M93" s="48"/>
      <c r="N93" s="48"/>
      <c r="O93" s="48"/>
      <c r="P93" s="48"/>
      <c r="Q93" s="48"/>
      <c r="R93" s="48"/>
      <c r="S93" s="48"/>
      <c r="T93" s="8">
        <f>SUM(U93:W93)</f>
        <v>0</v>
      </c>
      <c r="U93" s="61"/>
      <c r="V93" s="48"/>
      <c r="W93" s="70"/>
      <c r="X93" s="54">
        <f>J93-T93</f>
        <v>30000</v>
      </c>
      <c r="Y93" s="70">
        <v>15000</v>
      </c>
      <c r="Z93" s="70">
        <v>8000</v>
      </c>
      <c r="AA93" s="70"/>
      <c r="AB93" s="54">
        <f>SUM(Y93:AA93)</f>
        <v>23000</v>
      </c>
      <c r="AC93" s="17" t="s">
        <v>883</v>
      </c>
      <c r="AE93" s="22" t="s">
        <v>473</v>
      </c>
      <c r="AF93" s="22" t="s">
        <v>461</v>
      </c>
      <c r="AG93" s="6">
        <f>Y93</f>
        <v>15000</v>
      </c>
      <c r="AH93" s="6"/>
      <c r="AI93" s="6"/>
      <c r="AJ93" s="6"/>
    </row>
    <row r="94" spans="1:36" ht="88.5" customHeight="1">
      <c r="A94" s="10">
        <f>+A93+1</f>
        <v>2</v>
      </c>
      <c r="B94" s="115" t="s">
        <v>60</v>
      </c>
      <c r="C94" s="28" t="s">
        <v>59</v>
      </c>
      <c r="D94" s="185" t="s">
        <v>20</v>
      </c>
      <c r="E94" s="28" t="s">
        <v>63</v>
      </c>
      <c r="F94" s="28" t="s">
        <v>36</v>
      </c>
      <c r="G94" s="91" t="s">
        <v>834</v>
      </c>
      <c r="H94" s="49">
        <v>95882</v>
      </c>
      <c r="I94" s="49">
        <v>20000</v>
      </c>
      <c r="J94" s="275">
        <f>SUM(K94,L94:S94)</f>
        <v>20000</v>
      </c>
      <c r="K94" s="49">
        <v>20000</v>
      </c>
      <c r="L94" s="49"/>
      <c r="M94" s="49"/>
      <c r="N94" s="49"/>
      <c r="O94" s="49"/>
      <c r="P94" s="49"/>
      <c r="Q94" s="49"/>
      <c r="R94" s="49"/>
      <c r="S94" s="49"/>
      <c r="T94" s="8">
        <f>SUM(U94:W94)</f>
        <v>0</v>
      </c>
      <c r="U94" s="49"/>
      <c r="V94" s="49"/>
      <c r="W94" s="70"/>
      <c r="X94" s="54">
        <f>J94-T94</f>
        <v>20000</v>
      </c>
      <c r="Y94" s="70">
        <v>5000</v>
      </c>
      <c r="Z94" s="70"/>
      <c r="AA94" s="70"/>
      <c r="AB94" s="54">
        <f>SUM(Y94:AA94)</f>
        <v>5000</v>
      </c>
      <c r="AC94" s="17" t="s">
        <v>880</v>
      </c>
      <c r="AE94" s="22" t="s">
        <v>473</v>
      </c>
      <c r="AF94" s="22" t="s">
        <v>461</v>
      </c>
      <c r="AG94" s="6">
        <f>Y94</f>
        <v>5000</v>
      </c>
      <c r="AH94" s="6"/>
      <c r="AI94" s="6"/>
      <c r="AJ94" s="6"/>
    </row>
    <row r="95" spans="1:36" ht="88.5" customHeight="1">
      <c r="A95" s="10">
        <f>+A94+1</f>
        <v>3</v>
      </c>
      <c r="B95" s="36" t="s">
        <v>882</v>
      </c>
      <c r="C95" s="23" t="s">
        <v>748</v>
      </c>
      <c r="D95" s="34" t="s">
        <v>20</v>
      </c>
      <c r="E95" s="23" t="s">
        <v>750</v>
      </c>
      <c r="F95" s="23" t="s">
        <v>749</v>
      </c>
      <c r="G95" s="91" t="s">
        <v>1196</v>
      </c>
      <c r="H95" s="49">
        <v>58788</v>
      </c>
      <c r="I95" s="49">
        <v>40000</v>
      </c>
      <c r="J95" s="275"/>
      <c r="K95" s="49"/>
      <c r="L95" s="49"/>
      <c r="M95" s="49"/>
      <c r="N95" s="49"/>
      <c r="O95" s="49"/>
      <c r="P95" s="49"/>
      <c r="Q95" s="49"/>
      <c r="R95" s="49"/>
      <c r="S95" s="49"/>
      <c r="T95" s="8"/>
      <c r="U95" s="49"/>
      <c r="V95" s="49"/>
      <c r="W95" s="70"/>
      <c r="X95" s="54"/>
      <c r="Y95" s="70">
        <v>20000</v>
      </c>
      <c r="Z95" s="70"/>
      <c r="AA95" s="70"/>
      <c r="AB95" s="54">
        <f>SUM(Y95:AA95)</f>
        <v>20000</v>
      </c>
      <c r="AC95" s="17"/>
      <c r="AG95" s="6"/>
      <c r="AH95" s="6"/>
      <c r="AI95" s="6"/>
      <c r="AJ95" s="6"/>
    </row>
    <row r="96" spans="1:36" s="18" customFormat="1" ht="73.5" customHeight="1">
      <c r="A96" s="10">
        <v>4</v>
      </c>
      <c r="B96" s="187" t="s">
        <v>715</v>
      </c>
      <c r="C96" s="89" t="s">
        <v>747</v>
      </c>
      <c r="D96" s="163" t="s">
        <v>19</v>
      </c>
      <c r="E96" s="186" t="s">
        <v>422</v>
      </c>
      <c r="F96" s="163" t="s">
        <v>391</v>
      </c>
      <c r="G96" s="186" t="s">
        <v>1151</v>
      </c>
      <c r="H96" s="299">
        <v>3894</v>
      </c>
      <c r="I96" s="299">
        <v>3894</v>
      </c>
      <c r="J96" s="275"/>
      <c r="K96" s="291"/>
      <c r="L96" s="291"/>
      <c r="M96" s="291"/>
      <c r="N96" s="291"/>
      <c r="O96" s="48"/>
      <c r="P96" s="291"/>
      <c r="Q96" s="291"/>
      <c r="R96" s="291"/>
      <c r="S96" s="291"/>
      <c r="T96" s="8"/>
      <c r="U96" s="291"/>
      <c r="V96" s="291"/>
      <c r="W96" s="70"/>
      <c r="X96" s="54"/>
      <c r="Y96" s="70">
        <v>3700</v>
      </c>
      <c r="Z96" s="70"/>
      <c r="AA96" s="70"/>
      <c r="AB96" s="54">
        <f>SUM(Y96:AA96)</f>
        <v>3700</v>
      </c>
      <c r="AC96" s="1"/>
      <c r="AE96" s="22"/>
      <c r="AF96" s="22"/>
      <c r="AG96" s="6"/>
    </row>
    <row r="97" spans="1:36" s="20" customFormat="1" ht="63" customHeight="1">
      <c r="A97" s="15" t="s">
        <v>97</v>
      </c>
      <c r="B97" s="16" t="s">
        <v>278</v>
      </c>
      <c r="C97" s="16"/>
      <c r="D97" s="15"/>
      <c r="E97" s="16"/>
      <c r="F97" s="16"/>
      <c r="G97" s="16"/>
      <c r="H97" s="29">
        <f>SUM(H98:H103)</f>
        <v>34017.271343916982</v>
      </c>
      <c r="I97" s="29">
        <f t="shared" ref="I97:AA97" si="50">SUM(I98:I103)</f>
        <v>30438</v>
      </c>
      <c r="J97" s="29">
        <f t="shared" si="50"/>
        <v>26000</v>
      </c>
      <c r="K97" s="29">
        <f t="shared" si="50"/>
        <v>26000</v>
      </c>
      <c r="L97" s="29">
        <f t="shared" si="50"/>
        <v>0</v>
      </c>
      <c r="M97" s="29">
        <f t="shared" si="50"/>
        <v>0</v>
      </c>
      <c r="N97" s="29">
        <f t="shared" si="50"/>
        <v>0</v>
      </c>
      <c r="O97" s="29">
        <f t="shared" si="50"/>
        <v>0</v>
      </c>
      <c r="P97" s="29">
        <f t="shared" si="50"/>
        <v>0</v>
      </c>
      <c r="Q97" s="29">
        <f t="shared" si="50"/>
        <v>0</v>
      </c>
      <c r="R97" s="29">
        <f t="shared" si="50"/>
        <v>0</v>
      </c>
      <c r="S97" s="29">
        <f t="shared" si="50"/>
        <v>0</v>
      </c>
      <c r="T97" s="29">
        <f t="shared" si="50"/>
        <v>0</v>
      </c>
      <c r="U97" s="29">
        <f t="shared" si="50"/>
        <v>0</v>
      </c>
      <c r="V97" s="29">
        <f t="shared" si="50"/>
        <v>0</v>
      </c>
      <c r="W97" s="29">
        <f t="shared" si="50"/>
        <v>0</v>
      </c>
      <c r="X97" s="29">
        <f t="shared" si="50"/>
        <v>26000</v>
      </c>
      <c r="Y97" s="29">
        <f>SUM(Y98:Y103)</f>
        <v>28300</v>
      </c>
      <c r="Z97" s="29">
        <f t="shared" si="50"/>
        <v>160</v>
      </c>
      <c r="AA97" s="367">
        <f t="shared" si="50"/>
        <v>-4321</v>
      </c>
      <c r="AB97" s="29">
        <f>SUM(AB98:AB103)</f>
        <v>24139</v>
      </c>
      <c r="AC97" s="19" t="s">
        <v>553</v>
      </c>
      <c r="AE97" s="113"/>
      <c r="AF97" s="113"/>
    </row>
    <row r="98" spans="1:36" ht="90" customHeight="1">
      <c r="A98" s="10">
        <v>1</v>
      </c>
      <c r="B98" s="115" t="s">
        <v>259</v>
      </c>
      <c r="C98" s="28" t="s">
        <v>260</v>
      </c>
      <c r="D98" s="336" t="s">
        <v>19</v>
      </c>
      <c r="E98" s="28" t="s">
        <v>261</v>
      </c>
      <c r="F98" s="28" t="s">
        <v>36</v>
      </c>
      <c r="G98" s="91" t="s">
        <v>1441</v>
      </c>
      <c r="H98" s="49">
        <v>5614</v>
      </c>
      <c r="I98" s="49">
        <v>5000</v>
      </c>
      <c r="J98" s="275">
        <f>SUM(K98,L98:S98)</f>
        <v>5000</v>
      </c>
      <c r="K98" s="48">
        <v>5000</v>
      </c>
      <c r="L98" s="48"/>
      <c r="M98" s="48"/>
      <c r="N98" s="48"/>
      <c r="O98" s="48"/>
      <c r="P98" s="48"/>
      <c r="Q98" s="48"/>
      <c r="R98" s="48"/>
      <c r="S98" s="48"/>
      <c r="T98" s="8">
        <f>SUM(U98:W98)</f>
        <v>0</v>
      </c>
      <c r="U98" s="47"/>
      <c r="V98" s="48"/>
      <c r="W98" s="70"/>
      <c r="X98" s="54">
        <f>J98-T98</f>
        <v>5000</v>
      </c>
      <c r="Y98" s="70">
        <f>X98</f>
        <v>5000</v>
      </c>
      <c r="Z98" s="70"/>
      <c r="AA98" s="70"/>
      <c r="AB98" s="54">
        <f t="shared" ref="AB98:AB106" si="51">SUM(Y98:AA98)</f>
        <v>5000</v>
      </c>
      <c r="AC98" s="31"/>
      <c r="AE98" s="22" t="s">
        <v>473</v>
      </c>
      <c r="AF98" s="22" t="s">
        <v>464</v>
      </c>
      <c r="AG98" s="6">
        <f>Y98</f>
        <v>5000</v>
      </c>
      <c r="AH98" s="6"/>
      <c r="AI98" s="6"/>
      <c r="AJ98" s="6"/>
    </row>
    <row r="99" spans="1:36" ht="63.75" customHeight="1">
      <c r="A99" s="10">
        <f>+A98+1</f>
        <v>2</v>
      </c>
      <c r="B99" s="115" t="s">
        <v>262</v>
      </c>
      <c r="C99" s="28" t="s">
        <v>263</v>
      </c>
      <c r="D99" s="336" t="s">
        <v>19</v>
      </c>
      <c r="E99" s="28" t="s">
        <v>264</v>
      </c>
      <c r="F99" s="28" t="s">
        <v>36</v>
      </c>
      <c r="G99" s="91" t="s">
        <v>702</v>
      </c>
      <c r="H99" s="49">
        <v>3588.5123570000001</v>
      </c>
      <c r="I99" s="49">
        <v>3400</v>
      </c>
      <c r="J99" s="275">
        <f>SUM(K99,L99:S99)</f>
        <v>3400</v>
      </c>
      <c r="K99" s="48">
        <v>3400</v>
      </c>
      <c r="L99" s="48"/>
      <c r="M99" s="48"/>
      <c r="N99" s="48"/>
      <c r="O99" s="48"/>
      <c r="P99" s="48"/>
      <c r="Q99" s="48"/>
      <c r="R99" s="48"/>
      <c r="S99" s="48"/>
      <c r="T99" s="8">
        <f>SUM(U99:W99)</f>
        <v>0</v>
      </c>
      <c r="U99" s="47"/>
      <c r="V99" s="48"/>
      <c r="W99" s="70"/>
      <c r="X99" s="54">
        <f>J99-T99</f>
        <v>3400</v>
      </c>
      <c r="Y99" s="70">
        <f>X99</f>
        <v>3400</v>
      </c>
      <c r="Z99" s="70"/>
      <c r="AA99" s="343">
        <v>-220</v>
      </c>
      <c r="AB99" s="54">
        <f t="shared" si="51"/>
        <v>3180</v>
      </c>
      <c r="AC99" s="31"/>
      <c r="AE99" s="22" t="s">
        <v>473</v>
      </c>
      <c r="AF99" s="22" t="s">
        <v>464</v>
      </c>
      <c r="AG99" s="6">
        <f>Y99</f>
        <v>3400</v>
      </c>
      <c r="AH99" s="6"/>
      <c r="AI99" s="6"/>
      <c r="AJ99" s="6"/>
    </row>
    <row r="100" spans="1:36" ht="63.75" customHeight="1">
      <c r="A100" s="10">
        <f>+A99+1</f>
        <v>3</v>
      </c>
      <c r="B100" s="115" t="s">
        <v>265</v>
      </c>
      <c r="C100" s="28" t="s">
        <v>266</v>
      </c>
      <c r="D100" s="336" t="s">
        <v>19</v>
      </c>
      <c r="E100" s="28" t="s">
        <v>267</v>
      </c>
      <c r="F100" s="28" t="s">
        <v>36</v>
      </c>
      <c r="G100" s="91" t="s">
        <v>703</v>
      </c>
      <c r="H100" s="49">
        <v>2382</v>
      </c>
      <c r="I100" s="49">
        <v>1900</v>
      </c>
      <c r="J100" s="275">
        <f>SUM(K100,L100:S100)</f>
        <v>1900</v>
      </c>
      <c r="K100" s="49">
        <v>1900</v>
      </c>
      <c r="L100" s="49"/>
      <c r="M100" s="49"/>
      <c r="N100" s="49"/>
      <c r="O100" s="49"/>
      <c r="P100" s="49"/>
      <c r="Q100" s="49"/>
      <c r="R100" s="49"/>
      <c r="S100" s="49"/>
      <c r="T100" s="8">
        <f>SUM(U100:W100)</f>
        <v>0</v>
      </c>
      <c r="U100" s="49"/>
      <c r="V100" s="49"/>
      <c r="W100" s="70"/>
      <c r="X100" s="54">
        <f>J100-T100</f>
        <v>1900</v>
      </c>
      <c r="Y100" s="70">
        <f>X100</f>
        <v>1900</v>
      </c>
      <c r="Z100" s="70"/>
      <c r="AA100" s="70"/>
      <c r="AB100" s="54">
        <f t="shared" si="51"/>
        <v>1900</v>
      </c>
      <c r="AC100" s="31"/>
      <c r="AE100" s="22" t="s">
        <v>473</v>
      </c>
      <c r="AF100" s="22" t="s">
        <v>464</v>
      </c>
      <c r="AG100" s="6">
        <f>Y100</f>
        <v>1900</v>
      </c>
      <c r="AH100" s="6"/>
      <c r="AI100" s="6"/>
      <c r="AJ100" s="6"/>
    </row>
    <row r="101" spans="1:36" ht="63.75" customHeight="1">
      <c r="A101" s="10">
        <f>+A100+1</f>
        <v>4</v>
      </c>
      <c r="B101" s="115" t="s">
        <v>268</v>
      </c>
      <c r="C101" s="28" t="s">
        <v>269</v>
      </c>
      <c r="D101" s="336" t="s">
        <v>19</v>
      </c>
      <c r="E101" s="28" t="s">
        <v>270</v>
      </c>
      <c r="F101" s="28" t="s">
        <v>36</v>
      </c>
      <c r="G101" s="91" t="s">
        <v>857</v>
      </c>
      <c r="H101" s="49">
        <v>3838</v>
      </c>
      <c r="I101" s="49">
        <v>3838</v>
      </c>
      <c r="J101" s="275">
        <f>SUM(K101,L101:S101)</f>
        <v>3700</v>
      </c>
      <c r="K101" s="49">
        <v>3700</v>
      </c>
      <c r="L101" s="49"/>
      <c r="M101" s="49"/>
      <c r="N101" s="49"/>
      <c r="O101" s="49"/>
      <c r="P101" s="49"/>
      <c r="Q101" s="49"/>
      <c r="R101" s="49"/>
      <c r="S101" s="49"/>
      <c r="T101" s="8">
        <f>SUM(U101:W101)</f>
        <v>0</v>
      </c>
      <c r="U101" s="49"/>
      <c r="V101" s="49"/>
      <c r="W101" s="70"/>
      <c r="X101" s="54">
        <f>J101-T101</f>
        <v>3700</v>
      </c>
      <c r="Y101" s="70">
        <v>3000</v>
      </c>
      <c r="Z101" s="70"/>
      <c r="AA101" s="343">
        <v>-101</v>
      </c>
      <c r="AB101" s="54">
        <f t="shared" si="51"/>
        <v>2899</v>
      </c>
      <c r="AC101" s="31"/>
      <c r="AE101" s="22" t="s">
        <v>473</v>
      </c>
      <c r="AF101" s="22" t="s">
        <v>464</v>
      </c>
      <c r="AG101" s="6">
        <f>Y101</f>
        <v>3000</v>
      </c>
      <c r="AH101" s="6"/>
      <c r="AI101" s="6"/>
      <c r="AJ101" s="6"/>
    </row>
    <row r="102" spans="1:36" ht="86.25" customHeight="1">
      <c r="A102" s="10">
        <f>+A101+1</f>
        <v>5</v>
      </c>
      <c r="B102" s="115" t="s">
        <v>274</v>
      </c>
      <c r="C102" s="28" t="s">
        <v>275</v>
      </c>
      <c r="D102" s="336" t="s">
        <v>19</v>
      </c>
      <c r="E102" s="28" t="s">
        <v>276</v>
      </c>
      <c r="F102" s="28" t="s">
        <v>36</v>
      </c>
      <c r="G102" s="91" t="s">
        <v>1442</v>
      </c>
      <c r="H102" s="49">
        <v>14913</v>
      </c>
      <c r="I102" s="49">
        <v>12700</v>
      </c>
      <c r="J102" s="275">
        <f>SUM(K102,L102:S102)</f>
        <v>12000</v>
      </c>
      <c r="K102" s="49">
        <v>12000</v>
      </c>
      <c r="L102" s="49"/>
      <c r="M102" s="49"/>
      <c r="N102" s="49"/>
      <c r="O102" s="49"/>
      <c r="P102" s="49"/>
      <c r="Q102" s="49"/>
      <c r="R102" s="49"/>
      <c r="S102" s="49"/>
      <c r="T102" s="8">
        <f>SUM(U102:W102)</f>
        <v>0</v>
      </c>
      <c r="U102" s="49"/>
      <c r="V102" s="49"/>
      <c r="W102" s="70"/>
      <c r="X102" s="54">
        <f>J102-T102</f>
        <v>12000</v>
      </c>
      <c r="Y102" s="70">
        <f>X102</f>
        <v>12000</v>
      </c>
      <c r="Z102" s="70"/>
      <c r="AA102" s="343">
        <v>-4000</v>
      </c>
      <c r="AB102" s="54">
        <f t="shared" si="51"/>
        <v>8000</v>
      </c>
      <c r="AC102" s="31" t="s">
        <v>1146</v>
      </c>
      <c r="AE102" s="22" t="s">
        <v>473</v>
      </c>
      <c r="AF102" s="22" t="s">
        <v>464</v>
      </c>
      <c r="AG102" s="6">
        <f>Y102</f>
        <v>12000</v>
      </c>
      <c r="AH102" s="6"/>
      <c r="AI102" s="6"/>
      <c r="AJ102" s="6"/>
    </row>
    <row r="103" spans="1:36" ht="63.75" customHeight="1">
      <c r="A103" s="10">
        <f>+A102+1</f>
        <v>6</v>
      </c>
      <c r="B103" s="36" t="s">
        <v>271</v>
      </c>
      <c r="C103" s="23" t="s">
        <v>272</v>
      </c>
      <c r="D103" s="34" t="s">
        <v>19</v>
      </c>
      <c r="E103" s="23" t="s">
        <v>273</v>
      </c>
      <c r="F103" s="23" t="s">
        <v>36</v>
      </c>
      <c r="G103" s="91" t="s">
        <v>1158</v>
      </c>
      <c r="H103" s="49">
        <v>3681.7589869169801</v>
      </c>
      <c r="I103" s="49">
        <v>3600</v>
      </c>
      <c r="J103" s="275"/>
      <c r="K103" s="49"/>
      <c r="L103" s="49"/>
      <c r="M103" s="49"/>
      <c r="N103" s="49"/>
      <c r="O103" s="49"/>
      <c r="P103" s="49"/>
      <c r="Q103" s="49"/>
      <c r="R103" s="49"/>
      <c r="S103" s="49"/>
      <c r="T103" s="8"/>
      <c r="U103" s="49"/>
      <c r="V103" s="49"/>
      <c r="W103" s="70"/>
      <c r="X103" s="54"/>
      <c r="Y103" s="70">
        <v>3000</v>
      </c>
      <c r="Z103" s="70">
        <v>160</v>
      </c>
      <c r="AA103" s="70"/>
      <c r="AB103" s="54">
        <f t="shared" si="51"/>
        <v>3160</v>
      </c>
      <c r="AC103" s="31"/>
      <c r="AG103" s="6"/>
      <c r="AH103" s="6"/>
      <c r="AI103" s="6"/>
      <c r="AJ103" s="6"/>
    </row>
    <row r="104" spans="1:36" s="18" customFormat="1" ht="60" customHeight="1">
      <c r="A104" s="13" t="s">
        <v>91</v>
      </c>
      <c r="B104" s="26" t="s">
        <v>430</v>
      </c>
      <c r="C104" s="13"/>
      <c r="D104" s="13"/>
      <c r="E104" s="13"/>
      <c r="F104" s="13"/>
      <c r="G104" s="13"/>
      <c r="H104" s="8"/>
      <c r="I104" s="8"/>
      <c r="J104" s="270">
        <f>SUM(J105)</f>
        <v>70000</v>
      </c>
      <c r="K104" s="8">
        <f>SUM(K105)</f>
        <v>70000</v>
      </c>
      <c r="L104" s="8"/>
      <c r="M104" s="8"/>
      <c r="N104" s="8"/>
      <c r="O104" s="8"/>
      <c r="P104" s="8"/>
      <c r="Q104" s="8"/>
      <c r="R104" s="8"/>
      <c r="S104" s="8"/>
      <c r="T104" s="8">
        <f t="shared" ref="T104:AB104" si="52">SUM(T105)</f>
        <v>45500</v>
      </c>
      <c r="U104" s="8">
        <f t="shared" si="52"/>
        <v>15500</v>
      </c>
      <c r="V104" s="8">
        <f t="shared" si="52"/>
        <v>10000</v>
      </c>
      <c r="W104" s="8">
        <f t="shared" si="52"/>
        <v>20000</v>
      </c>
      <c r="X104" s="8">
        <f t="shared" si="52"/>
        <v>24500</v>
      </c>
      <c r="Y104" s="8">
        <f t="shared" si="52"/>
        <v>20000</v>
      </c>
      <c r="Z104" s="8">
        <f t="shared" si="52"/>
        <v>0</v>
      </c>
      <c r="AA104" s="8">
        <f t="shared" si="52"/>
        <v>0</v>
      </c>
      <c r="AB104" s="8">
        <f t="shared" si="52"/>
        <v>20000</v>
      </c>
      <c r="AC104" s="27"/>
      <c r="AE104" s="55"/>
      <c r="AF104" s="55"/>
    </row>
    <row r="105" spans="1:36" s="18" customFormat="1" ht="93.75" customHeight="1">
      <c r="A105" s="13" t="s">
        <v>92</v>
      </c>
      <c r="B105" s="26" t="s">
        <v>1486</v>
      </c>
      <c r="C105" s="13"/>
      <c r="D105" s="13"/>
      <c r="E105" s="13"/>
      <c r="F105" s="13"/>
      <c r="G105" s="13"/>
      <c r="H105" s="8"/>
      <c r="I105" s="8"/>
      <c r="J105" s="270">
        <f>SUM(K105,L105:S105)</f>
        <v>70000</v>
      </c>
      <c r="K105" s="8">
        <v>70000</v>
      </c>
      <c r="L105" s="8"/>
      <c r="M105" s="8"/>
      <c r="N105" s="8"/>
      <c r="O105" s="8"/>
      <c r="P105" s="8"/>
      <c r="Q105" s="8"/>
      <c r="R105" s="8"/>
      <c r="S105" s="8"/>
      <c r="T105" s="8">
        <f>SUM(U105:W105)</f>
        <v>45500</v>
      </c>
      <c r="U105" s="8">
        <v>15500</v>
      </c>
      <c r="V105" s="8">
        <v>10000</v>
      </c>
      <c r="W105" s="69">
        <v>20000</v>
      </c>
      <c r="X105" s="290">
        <f>J105-T105</f>
        <v>24500</v>
      </c>
      <c r="Y105" s="69">
        <v>20000</v>
      </c>
      <c r="Z105" s="69"/>
      <c r="AA105" s="69"/>
      <c r="AB105" s="69">
        <f t="shared" si="51"/>
        <v>20000</v>
      </c>
      <c r="AC105" s="1" t="s">
        <v>432</v>
      </c>
      <c r="AE105" s="55"/>
      <c r="AF105" s="55"/>
    </row>
    <row r="106" spans="1:36" s="18" customFormat="1" ht="144" customHeight="1">
      <c r="A106" s="13" t="s">
        <v>960</v>
      </c>
      <c r="B106" s="26" t="s">
        <v>915</v>
      </c>
      <c r="C106" s="13"/>
      <c r="D106" s="13"/>
      <c r="E106" s="13"/>
      <c r="F106" s="13"/>
      <c r="G106" s="13"/>
      <c r="H106" s="291"/>
      <c r="I106" s="291"/>
      <c r="J106" s="270">
        <f>SUM(K106,L106:S106)</f>
        <v>200000</v>
      </c>
      <c r="K106" s="291">
        <v>200000</v>
      </c>
      <c r="L106" s="291"/>
      <c r="M106" s="291"/>
      <c r="N106" s="291"/>
      <c r="O106" s="291"/>
      <c r="P106" s="291"/>
      <c r="Q106" s="291"/>
      <c r="R106" s="291"/>
      <c r="S106" s="291"/>
      <c r="T106" s="291"/>
      <c r="U106" s="291"/>
      <c r="V106" s="291"/>
      <c r="W106" s="291"/>
      <c r="X106" s="290">
        <f>J106-T106</f>
        <v>200000</v>
      </c>
      <c r="Y106" s="291">
        <v>1000</v>
      </c>
      <c r="Z106" s="291"/>
      <c r="AA106" s="366">
        <v>-1000</v>
      </c>
      <c r="AB106" s="69">
        <f t="shared" si="51"/>
        <v>0</v>
      </c>
      <c r="AC106" s="1" t="s">
        <v>526</v>
      </c>
      <c r="AE106" s="22" t="s">
        <v>473</v>
      </c>
      <c r="AF106" s="22" t="s">
        <v>629</v>
      </c>
      <c r="AG106" s="6">
        <f>Y106</f>
        <v>1000</v>
      </c>
    </row>
    <row r="107" spans="1:36" s="18" customFormat="1" ht="64.5" customHeight="1">
      <c r="A107" s="13" t="s">
        <v>961</v>
      </c>
      <c r="B107" s="26" t="s">
        <v>964</v>
      </c>
      <c r="C107" s="13"/>
      <c r="D107" s="13"/>
      <c r="E107" s="13"/>
      <c r="F107" s="13"/>
      <c r="G107" s="13"/>
      <c r="H107" s="8">
        <f>SUM(H108,H112)</f>
        <v>36610</v>
      </c>
      <c r="I107" s="8">
        <f t="shared" ref="I107:X107" si="53">SUM(I108,I112)</f>
        <v>35922</v>
      </c>
      <c r="J107" s="270">
        <f t="shared" si="53"/>
        <v>25100</v>
      </c>
      <c r="K107" s="8">
        <f t="shared" si="53"/>
        <v>0</v>
      </c>
      <c r="L107" s="8">
        <f t="shared" si="53"/>
        <v>0</v>
      </c>
      <c r="M107" s="8">
        <f t="shared" si="53"/>
        <v>0</v>
      </c>
      <c r="N107" s="8">
        <f t="shared" si="53"/>
        <v>0</v>
      </c>
      <c r="O107" s="8">
        <f t="shared" si="53"/>
        <v>25100</v>
      </c>
      <c r="P107" s="8">
        <f t="shared" si="53"/>
        <v>0</v>
      </c>
      <c r="Q107" s="8">
        <f t="shared" si="53"/>
        <v>0</v>
      </c>
      <c r="R107" s="8">
        <f t="shared" si="53"/>
        <v>0</v>
      </c>
      <c r="S107" s="8">
        <f t="shared" si="53"/>
        <v>0</v>
      </c>
      <c r="T107" s="8">
        <f t="shared" si="53"/>
        <v>11600</v>
      </c>
      <c r="U107" s="8">
        <f t="shared" si="53"/>
        <v>0</v>
      </c>
      <c r="V107" s="8">
        <f t="shared" si="53"/>
        <v>0</v>
      </c>
      <c r="W107" s="8">
        <f t="shared" si="53"/>
        <v>11600</v>
      </c>
      <c r="X107" s="8">
        <f t="shared" si="53"/>
        <v>13500</v>
      </c>
      <c r="Y107" s="8">
        <f>SUM(Y108,Y112)</f>
        <v>23000</v>
      </c>
      <c r="Z107" s="8">
        <f>SUM(Z108,Z112)</f>
        <v>0</v>
      </c>
      <c r="AA107" s="366">
        <f>SUM(AA108,AA112)</f>
        <v>-200</v>
      </c>
      <c r="AB107" s="8">
        <f>SUM(AB108,AB112)</f>
        <v>22800</v>
      </c>
      <c r="AC107" s="1"/>
      <c r="AE107" s="55"/>
      <c r="AF107" s="55"/>
    </row>
    <row r="108" spans="1:36" s="18" customFormat="1" ht="43.5" customHeight="1">
      <c r="A108" s="13" t="s">
        <v>977</v>
      </c>
      <c r="B108" s="26" t="s">
        <v>16</v>
      </c>
      <c r="C108" s="13"/>
      <c r="D108" s="13"/>
      <c r="E108" s="13"/>
      <c r="F108" s="13"/>
      <c r="G108" s="13"/>
      <c r="H108" s="8">
        <f>SUM(H109)</f>
        <v>19261</v>
      </c>
      <c r="I108" s="8">
        <f t="shared" ref="I108:X108" si="54">SUM(I109)</f>
        <v>18700</v>
      </c>
      <c r="J108" s="8">
        <f t="shared" si="54"/>
        <v>18700</v>
      </c>
      <c r="K108" s="8">
        <f t="shared" si="54"/>
        <v>0</v>
      </c>
      <c r="L108" s="8">
        <f t="shared" si="54"/>
        <v>0</v>
      </c>
      <c r="M108" s="8">
        <f t="shared" si="54"/>
        <v>0</v>
      </c>
      <c r="N108" s="8">
        <f t="shared" si="54"/>
        <v>0</v>
      </c>
      <c r="O108" s="8">
        <f t="shared" si="54"/>
        <v>18700</v>
      </c>
      <c r="P108" s="8">
        <f t="shared" si="54"/>
        <v>0</v>
      </c>
      <c r="Q108" s="8">
        <f t="shared" si="54"/>
        <v>0</v>
      </c>
      <c r="R108" s="8">
        <f t="shared" si="54"/>
        <v>0</v>
      </c>
      <c r="S108" s="8">
        <f t="shared" si="54"/>
        <v>0</v>
      </c>
      <c r="T108" s="8">
        <f t="shared" si="54"/>
        <v>11600</v>
      </c>
      <c r="U108" s="8">
        <f t="shared" si="54"/>
        <v>0</v>
      </c>
      <c r="V108" s="8">
        <f t="shared" si="54"/>
        <v>0</v>
      </c>
      <c r="W108" s="8">
        <f t="shared" si="54"/>
        <v>11600</v>
      </c>
      <c r="X108" s="8">
        <f t="shared" si="54"/>
        <v>7100</v>
      </c>
      <c r="Y108" s="8">
        <f>SUM(Y109)</f>
        <v>6800</v>
      </c>
      <c r="Z108" s="8">
        <f>SUM(Z109)</f>
        <v>0</v>
      </c>
      <c r="AA108" s="8">
        <f>SUM(AA109)</f>
        <v>0</v>
      </c>
      <c r="AB108" s="8">
        <f>SUM(AB109)</f>
        <v>6800</v>
      </c>
      <c r="AC108" s="1"/>
      <c r="AE108" s="55"/>
      <c r="AF108" s="55"/>
    </row>
    <row r="109" spans="1:36" s="18" customFormat="1" ht="43.5" customHeight="1">
      <c r="A109" s="292" t="s">
        <v>17</v>
      </c>
      <c r="B109" s="293" t="s">
        <v>436</v>
      </c>
      <c r="C109" s="13"/>
      <c r="D109" s="13"/>
      <c r="E109" s="13"/>
      <c r="F109" s="13"/>
      <c r="G109" s="13"/>
      <c r="H109" s="294">
        <f>SUM(H110:H111)</f>
        <v>19261</v>
      </c>
      <c r="I109" s="294">
        <f t="shared" ref="I109:Y109" si="55">SUM(I110:I111)</f>
        <v>18700</v>
      </c>
      <c r="J109" s="295">
        <f t="shared" si="55"/>
        <v>18700</v>
      </c>
      <c r="K109" s="294">
        <f t="shared" si="55"/>
        <v>0</v>
      </c>
      <c r="L109" s="294">
        <f t="shared" si="55"/>
        <v>0</v>
      </c>
      <c r="M109" s="294">
        <f t="shared" si="55"/>
        <v>0</v>
      </c>
      <c r="N109" s="294">
        <f t="shared" si="55"/>
        <v>0</v>
      </c>
      <c r="O109" s="294">
        <f t="shared" si="55"/>
        <v>18700</v>
      </c>
      <c r="P109" s="294">
        <f t="shared" si="55"/>
        <v>0</v>
      </c>
      <c r="Q109" s="294">
        <f t="shared" si="55"/>
        <v>0</v>
      </c>
      <c r="R109" s="294">
        <f t="shared" si="55"/>
        <v>0</v>
      </c>
      <c r="S109" s="294">
        <f t="shared" si="55"/>
        <v>0</v>
      </c>
      <c r="T109" s="294">
        <f t="shared" si="55"/>
        <v>11600</v>
      </c>
      <c r="U109" s="294">
        <f t="shared" si="55"/>
        <v>0</v>
      </c>
      <c r="V109" s="294">
        <f t="shared" si="55"/>
        <v>0</v>
      </c>
      <c r="W109" s="294">
        <f t="shared" si="55"/>
        <v>11600</v>
      </c>
      <c r="X109" s="294">
        <f t="shared" si="55"/>
        <v>7100</v>
      </c>
      <c r="Y109" s="294">
        <f t="shared" si="55"/>
        <v>6800</v>
      </c>
      <c r="Z109" s="294">
        <f>SUM(Z110:Z111)</f>
        <v>0</v>
      </c>
      <c r="AA109" s="294">
        <f>SUM(AA110:AA111)</f>
        <v>0</v>
      </c>
      <c r="AB109" s="294">
        <f>SUM(AB110:AB111)</f>
        <v>6800</v>
      </c>
      <c r="AC109" s="1"/>
      <c r="AE109" s="55"/>
      <c r="AF109" s="55"/>
    </row>
    <row r="110" spans="1:36" s="18" customFormat="1" ht="43.5" customHeight="1">
      <c r="A110" s="160">
        <v>1</v>
      </c>
      <c r="B110" s="282" t="s">
        <v>574</v>
      </c>
      <c r="C110" s="296" t="s">
        <v>314</v>
      </c>
      <c r="D110" s="160" t="s">
        <v>19</v>
      </c>
      <c r="E110" s="160" t="s">
        <v>202</v>
      </c>
      <c r="F110" s="160" t="s">
        <v>36</v>
      </c>
      <c r="G110" s="160" t="s">
        <v>716</v>
      </c>
      <c r="H110" s="37">
        <v>4773</v>
      </c>
      <c r="I110" s="37">
        <v>4700</v>
      </c>
      <c r="J110" s="275">
        <f>SUM(K110,L110:S110)</f>
        <v>4700</v>
      </c>
      <c r="K110" s="291"/>
      <c r="L110" s="291"/>
      <c r="M110" s="291"/>
      <c r="N110" s="291"/>
      <c r="O110" s="37">
        <v>4700</v>
      </c>
      <c r="P110" s="291"/>
      <c r="Q110" s="291"/>
      <c r="R110" s="291"/>
      <c r="S110" s="291"/>
      <c r="T110" s="8">
        <f>SUM(U110:W110)</f>
        <v>4000</v>
      </c>
      <c r="U110" s="291"/>
      <c r="V110" s="291"/>
      <c r="W110" s="70">
        <v>4000</v>
      </c>
      <c r="X110" s="54">
        <f>J110-T110</f>
        <v>700</v>
      </c>
      <c r="Y110" s="70">
        <v>500</v>
      </c>
      <c r="Z110" s="70"/>
      <c r="AA110" s="70"/>
      <c r="AB110" s="54">
        <f>SUM(Y110:AA110)</f>
        <v>500</v>
      </c>
      <c r="AC110" s="1"/>
      <c r="AE110" s="22" t="s">
        <v>472</v>
      </c>
      <c r="AF110" s="22" t="s">
        <v>459</v>
      </c>
      <c r="AG110" s="6">
        <f>Y110</f>
        <v>500</v>
      </c>
    </row>
    <row r="111" spans="1:36" s="18" customFormat="1" ht="43.5" customHeight="1">
      <c r="A111" s="10">
        <f>+A110+1</f>
        <v>2</v>
      </c>
      <c r="B111" s="282" t="s">
        <v>575</v>
      </c>
      <c r="C111" s="296" t="s">
        <v>18</v>
      </c>
      <c r="D111" s="160" t="s">
        <v>19</v>
      </c>
      <c r="E111" s="160" t="s">
        <v>202</v>
      </c>
      <c r="F111" s="160" t="s">
        <v>36</v>
      </c>
      <c r="G111" s="160" t="s">
        <v>717</v>
      </c>
      <c r="H111" s="37">
        <v>14488</v>
      </c>
      <c r="I111" s="37">
        <v>14000</v>
      </c>
      <c r="J111" s="275">
        <f>SUM(K111,L111:S111)</f>
        <v>14000</v>
      </c>
      <c r="K111" s="291"/>
      <c r="L111" s="291"/>
      <c r="M111" s="291"/>
      <c r="N111" s="291"/>
      <c r="O111" s="37">
        <v>14000</v>
      </c>
      <c r="P111" s="291"/>
      <c r="Q111" s="291"/>
      <c r="R111" s="291"/>
      <c r="S111" s="291"/>
      <c r="T111" s="8">
        <f>SUM(U111:W111)</f>
        <v>7600</v>
      </c>
      <c r="U111" s="291"/>
      <c r="V111" s="291"/>
      <c r="W111" s="70">
        <v>7600</v>
      </c>
      <c r="X111" s="54">
        <f>J111-T111</f>
        <v>6400</v>
      </c>
      <c r="Y111" s="70">
        <v>6300</v>
      </c>
      <c r="Z111" s="70"/>
      <c r="AA111" s="70"/>
      <c r="AB111" s="54">
        <f>SUM(Y111:AA111)</f>
        <v>6300</v>
      </c>
      <c r="AC111" s="1"/>
      <c r="AE111" s="22" t="s">
        <v>472</v>
      </c>
      <c r="AF111" s="22" t="s">
        <v>459</v>
      </c>
      <c r="AG111" s="6">
        <f>Y111</f>
        <v>6300</v>
      </c>
    </row>
    <row r="112" spans="1:36" s="18" customFormat="1" ht="43.5" customHeight="1">
      <c r="A112" s="13" t="s">
        <v>978</v>
      </c>
      <c r="B112" s="26" t="s">
        <v>32</v>
      </c>
      <c r="C112" s="13"/>
      <c r="D112" s="13"/>
      <c r="E112" s="13"/>
      <c r="F112" s="13"/>
      <c r="G112" s="13"/>
      <c r="H112" s="8">
        <f t="shared" ref="H112:AB112" si="56">SUM(H113,H120)</f>
        <v>17349</v>
      </c>
      <c r="I112" s="8">
        <f t="shared" si="56"/>
        <v>17222</v>
      </c>
      <c r="J112" s="270">
        <f t="shared" si="56"/>
        <v>6400</v>
      </c>
      <c r="K112" s="8">
        <f t="shared" si="56"/>
        <v>0</v>
      </c>
      <c r="L112" s="8">
        <f t="shared" si="56"/>
        <v>0</v>
      </c>
      <c r="M112" s="8">
        <f t="shared" si="56"/>
        <v>0</v>
      </c>
      <c r="N112" s="8">
        <f t="shared" si="56"/>
        <v>0</v>
      </c>
      <c r="O112" s="8">
        <f t="shared" si="56"/>
        <v>6400</v>
      </c>
      <c r="P112" s="8">
        <f t="shared" si="56"/>
        <v>0</v>
      </c>
      <c r="Q112" s="8">
        <f t="shared" si="56"/>
        <v>0</v>
      </c>
      <c r="R112" s="8">
        <f t="shared" si="56"/>
        <v>0</v>
      </c>
      <c r="S112" s="8">
        <f t="shared" si="56"/>
        <v>0</v>
      </c>
      <c r="T112" s="8">
        <f t="shared" si="56"/>
        <v>0</v>
      </c>
      <c r="U112" s="8">
        <f t="shared" si="56"/>
        <v>0</v>
      </c>
      <c r="V112" s="8">
        <f t="shared" si="56"/>
        <v>0</v>
      </c>
      <c r="W112" s="8">
        <f t="shared" si="56"/>
        <v>0</v>
      </c>
      <c r="X112" s="8">
        <f t="shared" si="56"/>
        <v>6400</v>
      </c>
      <c r="Y112" s="8">
        <f t="shared" si="56"/>
        <v>16200</v>
      </c>
      <c r="Z112" s="8">
        <f t="shared" si="56"/>
        <v>0</v>
      </c>
      <c r="AA112" s="379">
        <f t="shared" si="56"/>
        <v>-200</v>
      </c>
      <c r="AB112" s="8">
        <f t="shared" si="56"/>
        <v>16000</v>
      </c>
      <c r="AC112" s="1"/>
      <c r="AE112" s="55"/>
      <c r="AF112" s="55"/>
    </row>
    <row r="113" spans="1:33" s="18" customFormat="1" ht="43.5" customHeight="1">
      <c r="A113" s="292" t="s">
        <v>17</v>
      </c>
      <c r="B113" s="293" t="s">
        <v>436</v>
      </c>
      <c r="C113" s="13"/>
      <c r="D113" s="13"/>
      <c r="E113" s="13"/>
      <c r="F113" s="13"/>
      <c r="G113" s="13"/>
      <c r="H113" s="294">
        <f t="shared" ref="H113:AB113" si="57">SUM(H114:H119)</f>
        <v>16169</v>
      </c>
      <c r="I113" s="294">
        <f t="shared" si="57"/>
        <v>16042</v>
      </c>
      <c r="J113" s="294">
        <f t="shared" si="57"/>
        <v>5100</v>
      </c>
      <c r="K113" s="294">
        <f t="shared" si="57"/>
        <v>0</v>
      </c>
      <c r="L113" s="294">
        <f t="shared" si="57"/>
        <v>0</v>
      </c>
      <c r="M113" s="294">
        <f t="shared" si="57"/>
        <v>0</v>
      </c>
      <c r="N113" s="294">
        <f t="shared" si="57"/>
        <v>0</v>
      </c>
      <c r="O113" s="294">
        <f t="shared" si="57"/>
        <v>5100</v>
      </c>
      <c r="P113" s="294">
        <f t="shared" si="57"/>
        <v>0</v>
      </c>
      <c r="Q113" s="294">
        <f t="shared" si="57"/>
        <v>0</v>
      </c>
      <c r="R113" s="294">
        <f t="shared" si="57"/>
        <v>0</v>
      </c>
      <c r="S113" s="294">
        <f t="shared" si="57"/>
        <v>0</v>
      </c>
      <c r="T113" s="294">
        <f t="shared" si="57"/>
        <v>0</v>
      </c>
      <c r="U113" s="294">
        <f t="shared" si="57"/>
        <v>0</v>
      </c>
      <c r="V113" s="294">
        <f t="shared" si="57"/>
        <v>0</v>
      </c>
      <c r="W113" s="294">
        <f t="shared" si="57"/>
        <v>0</v>
      </c>
      <c r="X113" s="294">
        <f t="shared" si="57"/>
        <v>5100</v>
      </c>
      <c r="Y113" s="294">
        <f t="shared" si="57"/>
        <v>15100</v>
      </c>
      <c r="Z113" s="294">
        <f t="shared" si="57"/>
        <v>0</v>
      </c>
      <c r="AA113" s="380">
        <f t="shared" si="57"/>
        <v>-200</v>
      </c>
      <c r="AB113" s="294">
        <f t="shared" si="57"/>
        <v>14900</v>
      </c>
      <c r="AC113" s="1"/>
      <c r="AE113" s="55"/>
      <c r="AF113" s="55"/>
    </row>
    <row r="114" spans="1:33" s="18" customFormat="1" ht="60.75" customHeight="1">
      <c r="A114" s="10">
        <v>1</v>
      </c>
      <c r="B114" s="297" t="s">
        <v>583</v>
      </c>
      <c r="C114" s="296" t="s">
        <v>287</v>
      </c>
      <c r="D114" s="160" t="s">
        <v>19</v>
      </c>
      <c r="E114" s="160" t="s">
        <v>202</v>
      </c>
      <c r="F114" s="160" t="s">
        <v>36</v>
      </c>
      <c r="G114" s="186" t="s">
        <v>835</v>
      </c>
      <c r="H114" s="37">
        <v>5566</v>
      </c>
      <c r="I114" s="37">
        <v>5600</v>
      </c>
      <c r="J114" s="275">
        <f>SUM(K114,L114:S114)</f>
        <v>5100</v>
      </c>
      <c r="K114" s="291"/>
      <c r="L114" s="291"/>
      <c r="M114" s="291"/>
      <c r="N114" s="291"/>
      <c r="O114" s="298">
        <v>5100</v>
      </c>
      <c r="P114" s="291"/>
      <c r="Q114" s="291"/>
      <c r="R114" s="291"/>
      <c r="S114" s="291"/>
      <c r="T114" s="8">
        <f>SUM(U114:W114)</f>
        <v>0</v>
      </c>
      <c r="U114" s="291"/>
      <c r="V114" s="291"/>
      <c r="W114" s="70"/>
      <c r="X114" s="54">
        <f>J114-T114</f>
        <v>5100</v>
      </c>
      <c r="Y114" s="70">
        <f>X114</f>
        <v>5100</v>
      </c>
      <c r="Z114" s="70"/>
      <c r="AA114" s="70"/>
      <c r="AB114" s="54">
        <f t="shared" ref="AB114:AB119" si="58">SUM(Y114:AA114)</f>
        <v>5100</v>
      </c>
      <c r="AC114" s="191"/>
      <c r="AE114" s="22" t="s">
        <v>473</v>
      </c>
      <c r="AF114" s="22" t="s">
        <v>459</v>
      </c>
      <c r="AG114" s="6">
        <f>Y114</f>
        <v>5100</v>
      </c>
    </row>
    <row r="115" spans="1:33" s="18" customFormat="1" ht="60.75" customHeight="1">
      <c r="A115" s="10">
        <f>+A114+1</f>
        <v>2</v>
      </c>
      <c r="B115" s="36" t="s">
        <v>577</v>
      </c>
      <c r="C115" s="23" t="s">
        <v>95</v>
      </c>
      <c r="D115" s="34" t="s">
        <v>19</v>
      </c>
      <c r="E115" s="23" t="s">
        <v>202</v>
      </c>
      <c r="F115" s="23" t="s">
        <v>36</v>
      </c>
      <c r="G115" s="186" t="s">
        <v>1206</v>
      </c>
      <c r="H115" s="37">
        <v>3361</v>
      </c>
      <c r="I115" s="37">
        <v>3200</v>
      </c>
      <c r="J115" s="275"/>
      <c r="K115" s="291"/>
      <c r="L115" s="291"/>
      <c r="M115" s="291"/>
      <c r="N115" s="291"/>
      <c r="O115" s="298"/>
      <c r="P115" s="291"/>
      <c r="Q115" s="291"/>
      <c r="R115" s="291"/>
      <c r="S115" s="291"/>
      <c r="T115" s="8"/>
      <c r="U115" s="291"/>
      <c r="V115" s="291"/>
      <c r="W115" s="70"/>
      <c r="X115" s="54"/>
      <c r="Y115" s="70">
        <v>3200</v>
      </c>
      <c r="Z115" s="70"/>
      <c r="AA115" s="343">
        <v>-100</v>
      </c>
      <c r="AB115" s="54">
        <f t="shared" si="58"/>
        <v>3100</v>
      </c>
      <c r="AC115" s="191"/>
      <c r="AE115" s="22"/>
      <c r="AF115" s="22"/>
      <c r="AG115" s="6"/>
    </row>
    <row r="116" spans="1:33" s="18" customFormat="1" ht="60.75" customHeight="1">
      <c r="A116" s="10">
        <f>+A115+1</f>
        <v>3</v>
      </c>
      <c r="B116" s="36" t="s">
        <v>578</v>
      </c>
      <c r="C116" s="23" t="s">
        <v>73</v>
      </c>
      <c r="D116" s="34" t="s">
        <v>19</v>
      </c>
      <c r="E116" s="23" t="s">
        <v>202</v>
      </c>
      <c r="F116" s="23" t="s">
        <v>36</v>
      </c>
      <c r="G116" s="186" t="s">
        <v>1197</v>
      </c>
      <c r="H116" s="37">
        <v>3785</v>
      </c>
      <c r="I116" s="37">
        <v>3785</v>
      </c>
      <c r="J116" s="275"/>
      <c r="K116" s="291"/>
      <c r="L116" s="291"/>
      <c r="M116" s="291"/>
      <c r="N116" s="291"/>
      <c r="O116" s="298"/>
      <c r="P116" s="291"/>
      <c r="Q116" s="291"/>
      <c r="R116" s="291"/>
      <c r="S116" s="291"/>
      <c r="T116" s="8"/>
      <c r="U116" s="291"/>
      <c r="V116" s="291"/>
      <c r="W116" s="70"/>
      <c r="X116" s="54"/>
      <c r="Y116" s="70">
        <v>3600</v>
      </c>
      <c r="Z116" s="70"/>
      <c r="AA116" s="343">
        <v>-100</v>
      </c>
      <c r="AB116" s="54">
        <f t="shared" si="58"/>
        <v>3500</v>
      </c>
      <c r="AC116" s="191"/>
      <c r="AE116" s="22"/>
      <c r="AF116" s="22"/>
      <c r="AG116" s="6"/>
    </row>
    <row r="117" spans="1:33" s="18" customFormat="1" ht="60.75" customHeight="1">
      <c r="A117" s="10">
        <f>+A116+1</f>
        <v>4</v>
      </c>
      <c r="B117" s="36" t="s">
        <v>581</v>
      </c>
      <c r="C117" s="23" t="s">
        <v>315</v>
      </c>
      <c r="D117" s="34" t="s">
        <v>19</v>
      </c>
      <c r="E117" s="23" t="s">
        <v>202</v>
      </c>
      <c r="F117" s="23" t="s">
        <v>36</v>
      </c>
      <c r="G117" s="186" t="s">
        <v>1181</v>
      </c>
      <c r="H117" s="37">
        <v>1050</v>
      </c>
      <c r="I117" s="37">
        <v>1050</v>
      </c>
      <c r="J117" s="275"/>
      <c r="K117" s="291"/>
      <c r="L117" s="291"/>
      <c r="M117" s="291"/>
      <c r="N117" s="291"/>
      <c r="O117" s="298"/>
      <c r="P117" s="291"/>
      <c r="Q117" s="291"/>
      <c r="R117" s="291"/>
      <c r="S117" s="291"/>
      <c r="T117" s="8"/>
      <c r="U117" s="291"/>
      <c r="V117" s="291"/>
      <c r="W117" s="70"/>
      <c r="X117" s="54"/>
      <c r="Y117" s="70">
        <v>1000</v>
      </c>
      <c r="Z117" s="70"/>
      <c r="AA117" s="70"/>
      <c r="AB117" s="54">
        <f t="shared" si="58"/>
        <v>1000</v>
      </c>
      <c r="AC117" s="191"/>
      <c r="AE117" s="22"/>
      <c r="AF117" s="22"/>
      <c r="AG117" s="6"/>
    </row>
    <row r="118" spans="1:33" s="18" customFormat="1" ht="60.75" customHeight="1">
      <c r="A118" s="10">
        <f>+A117+1</f>
        <v>5</v>
      </c>
      <c r="B118" s="36" t="s">
        <v>582</v>
      </c>
      <c r="C118" s="23" t="s">
        <v>18</v>
      </c>
      <c r="D118" s="34" t="s">
        <v>19</v>
      </c>
      <c r="E118" s="23" t="s">
        <v>202</v>
      </c>
      <c r="F118" s="23" t="s">
        <v>36</v>
      </c>
      <c r="G118" s="186" t="s">
        <v>1182</v>
      </c>
      <c r="H118" s="37">
        <v>1226</v>
      </c>
      <c r="I118" s="37">
        <v>1226</v>
      </c>
      <c r="J118" s="275"/>
      <c r="K118" s="291"/>
      <c r="L118" s="291"/>
      <c r="M118" s="291"/>
      <c r="N118" s="291"/>
      <c r="O118" s="298"/>
      <c r="P118" s="291"/>
      <c r="Q118" s="291"/>
      <c r="R118" s="291"/>
      <c r="S118" s="291"/>
      <c r="T118" s="8"/>
      <c r="U118" s="291"/>
      <c r="V118" s="291"/>
      <c r="W118" s="70"/>
      <c r="X118" s="54"/>
      <c r="Y118" s="70">
        <v>1100</v>
      </c>
      <c r="Z118" s="70"/>
      <c r="AA118" s="70"/>
      <c r="AB118" s="54">
        <f t="shared" si="58"/>
        <v>1100</v>
      </c>
      <c r="AC118" s="191"/>
      <c r="AE118" s="22"/>
      <c r="AF118" s="22"/>
      <c r="AG118" s="6"/>
    </row>
    <row r="119" spans="1:33" s="18" customFormat="1" ht="60.75" customHeight="1">
      <c r="A119" s="10">
        <f>+A118+1</f>
        <v>6</v>
      </c>
      <c r="B119" s="36" t="s">
        <v>886</v>
      </c>
      <c r="C119" s="23" t="s">
        <v>18</v>
      </c>
      <c r="D119" s="34" t="s">
        <v>19</v>
      </c>
      <c r="E119" s="23" t="s">
        <v>202</v>
      </c>
      <c r="F119" s="23" t="s">
        <v>36</v>
      </c>
      <c r="G119" s="186" t="s">
        <v>1183</v>
      </c>
      <c r="H119" s="37">
        <v>1181</v>
      </c>
      <c r="I119" s="37">
        <v>1181</v>
      </c>
      <c r="J119" s="275"/>
      <c r="K119" s="291"/>
      <c r="L119" s="291"/>
      <c r="M119" s="291"/>
      <c r="N119" s="291"/>
      <c r="O119" s="298"/>
      <c r="P119" s="291"/>
      <c r="Q119" s="291"/>
      <c r="R119" s="291"/>
      <c r="S119" s="291"/>
      <c r="T119" s="8"/>
      <c r="U119" s="291"/>
      <c r="V119" s="291"/>
      <c r="W119" s="70"/>
      <c r="X119" s="54"/>
      <c r="Y119" s="70">
        <v>1100</v>
      </c>
      <c r="Z119" s="70"/>
      <c r="AA119" s="70"/>
      <c r="AB119" s="54">
        <f t="shared" si="58"/>
        <v>1100</v>
      </c>
      <c r="AC119" s="191"/>
      <c r="AE119" s="22"/>
      <c r="AF119" s="22"/>
      <c r="AG119" s="6"/>
    </row>
    <row r="120" spans="1:33" s="18" customFormat="1" ht="43.5" customHeight="1">
      <c r="A120" s="15" t="s">
        <v>25</v>
      </c>
      <c r="B120" s="110" t="s">
        <v>65</v>
      </c>
      <c r="C120" s="110"/>
      <c r="D120" s="15"/>
      <c r="E120" s="16"/>
      <c r="F120" s="16"/>
      <c r="G120" s="16"/>
      <c r="H120" s="29">
        <f t="shared" ref="H120:AB120" si="59">SUM(H121:H121)</f>
        <v>1180</v>
      </c>
      <c r="I120" s="29">
        <f t="shared" si="59"/>
        <v>1180</v>
      </c>
      <c r="J120" s="29">
        <f t="shared" si="59"/>
        <v>1300</v>
      </c>
      <c r="K120" s="29">
        <f t="shared" si="59"/>
        <v>0</v>
      </c>
      <c r="L120" s="29">
        <f t="shared" si="59"/>
        <v>0</v>
      </c>
      <c r="M120" s="29">
        <f t="shared" si="59"/>
        <v>0</v>
      </c>
      <c r="N120" s="29">
        <f t="shared" si="59"/>
        <v>0</v>
      </c>
      <c r="O120" s="29">
        <f t="shared" si="59"/>
        <v>1300</v>
      </c>
      <c r="P120" s="29">
        <f t="shared" si="59"/>
        <v>0</v>
      </c>
      <c r="Q120" s="29">
        <f t="shared" si="59"/>
        <v>0</v>
      </c>
      <c r="R120" s="29">
        <f t="shared" si="59"/>
        <v>0</v>
      </c>
      <c r="S120" s="29">
        <f t="shared" si="59"/>
        <v>0</v>
      </c>
      <c r="T120" s="29">
        <f t="shared" si="59"/>
        <v>0</v>
      </c>
      <c r="U120" s="29">
        <f t="shared" si="59"/>
        <v>0</v>
      </c>
      <c r="V120" s="29">
        <f t="shared" si="59"/>
        <v>0</v>
      </c>
      <c r="W120" s="29">
        <f t="shared" si="59"/>
        <v>0</v>
      </c>
      <c r="X120" s="29">
        <f t="shared" si="59"/>
        <v>1300</v>
      </c>
      <c r="Y120" s="29">
        <f t="shared" si="59"/>
        <v>1100</v>
      </c>
      <c r="Z120" s="29">
        <f t="shared" si="59"/>
        <v>0</v>
      </c>
      <c r="AA120" s="29">
        <f t="shared" si="59"/>
        <v>0</v>
      </c>
      <c r="AB120" s="29">
        <f t="shared" si="59"/>
        <v>1100</v>
      </c>
      <c r="AC120" s="1"/>
      <c r="AE120" s="55"/>
      <c r="AF120" s="55"/>
    </row>
    <row r="121" spans="1:33" s="18" customFormat="1" ht="59.1" customHeight="1">
      <c r="A121" s="10">
        <v>1</v>
      </c>
      <c r="B121" s="187" t="s">
        <v>585</v>
      </c>
      <c r="C121" s="89" t="s">
        <v>18</v>
      </c>
      <c r="D121" s="163" t="s">
        <v>19</v>
      </c>
      <c r="E121" s="186" t="s">
        <v>584</v>
      </c>
      <c r="F121" s="163" t="s">
        <v>391</v>
      </c>
      <c r="G121" s="186" t="s">
        <v>714</v>
      </c>
      <c r="H121" s="299">
        <v>1180</v>
      </c>
      <c r="I121" s="299">
        <v>1180</v>
      </c>
      <c r="J121" s="275">
        <f>SUM(K121,L121:S121)</f>
        <v>1300</v>
      </c>
      <c r="K121" s="291"/>
      <c r="L121" s="291"/>
      <c r="M121" s="291"/>
      <c r="N121" s="291"/>
      <c r="O121" s="48">
        <v>1300</v>
      </c>
      <c r="P121" s="291"/>
      <c r="Q121" s="291"/>
      <c r="R121" s="291"/>
      <c r="S121" s="291"/>
      <c r="T121" s="8">
        <f>SUM(U121:W121)</f>
        <v>0</v>
      </c>
      <c r="U121" s="291"/>
      <c r="V121" s="291"/>
      <c r="W121" s="70"/>
      <c r="X121" s="54">
        <f>J121-T121</f>
        <v>1300</v>
      </c>
      <c r="Y121" s="70">
        <v>1100</v>
      </c>
      <c r="Z121" s="70"/>
      <c r="AA121" s="70"/>
      <c r="AB121" s="54">
        <f>SUM(Y121:AA121)</f>
        <v>1100</v>
      </c>
      <c r="AC121" s="1"/>
      <c r="AE121" s="22" t="s">
        <v>473</v>
      </c>
      <c r="AF121" s="22" t="s">
        <v>461</v>
      </c>
      <c r="AG121" s="6">
        <f>Y121</f>
        <v>1100</v>
      </c>
    </row>
    <row r="122" spans="1:33" s="127" customFormat="1" ht="78" customHeight="1">
      <c r="A122" s="107" t="s">
        <v>962</v>
      </c>
      <c r="B122" s="108" t="s">
        <v>1070</v>
      </c>
      <c r="C122" s="300"/>
      <c r="D122" s="301"/>
      <c r="E122" s="246"/>
      <c r="F122" s="301"/>
      <c r="G122" s="302"/>
      <c r="H122" s="303"/>
      <c r="I122" s="303"/>
      <c r="J122" s="304"/>
      <c r="K122" s="305"/>
      <c r="L122" s="305"/>
      <c r="M122" s="305"/>
      <c r="N122" s="305"/>
      <c r="O122" s="64"/>
      <c r="P122" s="305"/>
      <c r="Q122" s="305"/>
      <c r="R122" s="305"/>
      <c r="S122" s="305"/>
      <c r="T122" s="68"/>
      <c r="U122" s="305"/>
      <c r="V122" s="305"/>
      <c r="W122" s="69"/>
      <c r="X122" s="290"/>
      <c r="Y122" s="69">
        <f>SUM(Y123:Y127)</f>
        <v>7287</v>
      </c>
      <c r="Z122" s="69">
        <f>SUM(Z123:Z127)</f>
        <v>0</v>
      </c>
      <c r="AA122" s="378">
        <f>SUM(AA123:AA127)</f>
        <v>-7287</v>
      </c>
      <c r="AB122" s="69">
        <f>SUM(AB123:AB127)</f>
        <v>0</v>
      </c>
      <c r="AC122" s="65" t="s">
        <v>884</v>
      </c>
      <c r="AE122" s="256"/>
      <c r="AF122" s="256"/>
    </row>
    <row r="123" spans="1:33" s="18" customFormat="1" ht="49.5" customHeight="1">
      <c r="A123" s="10">
        <v>1</v>
      </c>
      <c r="B123" s="115" t="s">
        <v>858</v>
      </c>
      <c r="C123" s="89"/>
      <c r="D123" s="163"/>
      <c r="E123" s="186"/>
      <c r="F123" s="163"/>
      <c r="G123" s="33"/>
      <c r="H123" s="299"/>
      <c r="I123" s="299"/>
      <c r="J123" s="275"/>
      <c r="K123" s="291"/>
      <c r="L123" s="291"/>
      <c r="M123" s="291"/>
      <c r="N123" s="291"/>
      <c r="O123" s="48"/>
      <c r="P123" s="291"/>
      <c r="Q123" s="291"/>
      <c r="R123" s="291"/>
      <c r="S123" s="291"/>
      <c r="T123" s="8"/>
      <c r="U123" s="291"/>
      <c r="V123" s="291"/>
      <c r="W123" s="70"/>
      <c r="X123" s="54"/>
      <c r="Y123" s="70">
        <v>4966</v>
      </c>
      <c r="Z123" s="70"/>
      <c r="AA123" s="343">
        <v>-4966</v>
      </c>
      <c r="AB123" s="54">
        <f t="shared" ref="AB123:AB128" si="60">SUM(Y123:AA123)</f>
        <v>0</v>
      </c>
      <c r="AC123" s="75"/>
      <c r="AE123" s="55"/>
      <c r="AF123" s="55"/>
    </row>
    <row r="124" spans="1:33" s="18" customFormat="1" ht="69" customHeight="1">
      <c r="A124" s="10">
        <v>2</v>
      </c>
      <c r="B124" s="115" t="s">
        <v>859</v>
      </c>
      <c r="C124" s="89"/>
      <c r="D124" s="163"/>
      <c r="E124" s="186"/>
      <c r="F124" s="163"/>
      <c r="G124" s="33"/>
      <c r="H124" s="299"/>
      <c r="I124" s="299"/>
      <c r="J124" s="275"/>
      <c r="K124" s="291"/>
      <c r="L124" s="291"/>
      <c r="M124" s="291"/>
      <c r="N124" s="291"/>
      <c r="O124" s="48"/>
      <c r="P124" s="291"/>
      <c r="Q124" s="291"/>
      <c r="R124" s="291"/>
      <c r="S124" s="291"/>
      <c r="T124" s="8"/>
      <c r="U124" s="291"/>
      <c r="V124" s="291"/>
      <c r="W124" s="70"/>
      <c r="X124" s="54"/>
      <c r="Y124" s="70">
        <v>600</v>
      </c>
      <c r="Z124" s="70"/>
      <c r="AA124" s="343">
        <v>-600</v>
      </c>
      <c r="AB124" s="54">
        <f t="shared" si="60"/>
        <v>0</v>
      </c>
      <c r="AC124" s="75"/>
      <c r="AE124" s="55"/>
      <c r="AF124" s="55"/>
    </row>
    <row r="125" spans="1:33" s="18" customFormat="1" ht="82.5" customHeight="1">
      <c r="A125" s="10">
        <v>3</v>
      </c>
      <c r="B125" s="115" t="s">
        <v>860</v>
      </c>
      <c r="C125" s="89"/>
      <c r="D125" s="163"/>
      <c r="E125" s="186"/>
      <c r="F125" s="163"/>
      <c r="G125" s="33"/>
      <c r="H125" s="299"/>
      <c r="I125" s="299"/>
      <c r="J125" s="275"/>
      <c r="K125" s="291"/>
      <c r="L125" s="291"/>
      <c r="M125" s="291"/>
      <c r="N125" s="291"/>
      <c r="O125" s="48"/>
      <c r="P125" s="291"/>
      <c r="Q125" s="291"/>
      <c r="R125" s="291"/>
      <c r="S125" s="291"/>
      <c r="T125" s="8"/>
      <c r="U125" s="291"/>
      <c r="V125" s="291"/>
      <c r="W125" s="70"/>
      <c r="X125" s="54"/>
      <c r="Y125" s="70">
        <v>800</v>
      </c>
      <c r="Z125" s="70"/>
      <c r="AA125" s="343">
        <v>-800</v>
      </c>
      <c r="AB125" s="54">
        <f t="shared" si="60"/>
        <v>0</v>
      </c>
      <c r="AC125" s="75"/>
      <c r="AE125" s="55"/>
      <c r="AF125" s="55"/>
    </row>
    <row r="126" spans="1:33" s="18" customFormat="1" ht="81" customHeight="1">
      <c r="A126" s="10">
        <v>4</v>
      </c>
      <c r="B126" s="115" t="s">
        <v>861</v>
      </c>
      <c r="C126" s="89"/>
      <c r="D126" s="163"/>
      <c r="E126" s="186"/>
      <c r="F126" s="163"/>
      <c r="G126" s="33"/>
      <c r="H126" s="299"/>
      <c r="I126" s="299"/>
      <c r="J126" s="275"/>
      <c r="K126" s="291"/>
      <c r="L126" s="291"/>
      <c r="M126" s="291"/>
      <c r="N126" s="291"/>
      <c r="O126" s="48"/>
      <c r="P126" s="291"/>
      <c r="Q126" s="291"/>
      <c r="R126" s="291"/>
      <c r="S126" s="291"/>
      <c r="T126" s="8"/>
      <c r="U126" s="291"/>
      <c r="V126" s="291"/>
      <c r="W126" s="70"/>
      <c r="X126" s="54"/>
      <c r="Y126" s="70">
        <v>700</v>
      </c>
      <c r="Z126" s="70"/>
      <c r="AA126" s="343">
        <v>-700</v>
      </c>
      <c r="AB126" s="54">
        <f t="shared" si="60"/>
        <v>0</v>
      </c>
      <c r="AC126" s="75"/>
      <c r="AE126" s="55"/>
      <c r="AF126" s="55"/>
    </row>
    <row r="127" spans="1:33" s="18" customFormat="1" ht="58.5" customHeight="1">
      <c r="A127" s="10">
        <v>5</v>
      </c>
      <c r="B127" s="115" t="s">
        <v>862</v>
      </c>
      <c r="C127" s="89"/>
      <c r="D127" s="163"/>
      <c r="E127" s="186"/>
      <c r="F127" s="163"/>
      <c r="G127" s="33"/>
      <c r="H127" s="299"/>
      <c r="I127" s="299"/>
      <c r="J127" s="275"/>
      <c r="K127" s="291"/>
      <c r="L127" s="291"/>
      <c r="M127" s="291"/>
      <c r="N127" s="291"/>
      <c r="O127" s="48"/>
      <c r="P127" s="291"/>
      <c r="Q127" s="291"/>
      <c r="R127" s="291"/>
      <c r="S127" s="291"/>
      <c r="T127" s="8"/>
      <c r="U127" s="291"/>
      <c r="V127" s="291"/>
      <c r="W127" s="70"/>
      <c r="X127" s="54"/>
      <c r="Y127" s="70">
        <v>221</v>
      </c>
      <c r="Z127" s="70"/>
      <c r="AA127" s="343">
        <v>-221</v>
      </c>
      <c r="AB127" s="54">
        <f t="shared" si="60"/>
        <v>0</v>
      </c>
      <c r="AC127" s="75"/>
      <c r="AE127" s="55"/>
      <c r="AF127" s="55"/>
    </row>
    <row r="128" spans="1:33" s="18" customFormat="1" ht="97.5" customHeight="1">
      <c r="A128" s="107" t="s">
        <v>979</v>
      </c>
      <c r="B128" s="26" t="s">
        <v>975</v>
      </c>
      <c r="C128" s="13"/>
      <c r="D128" s="13"/>
      <c r="E128" s="13"/>
      <c r="F128" s="13"/>
      <c r="G128" s="13"/>
      <c r="H128" s="8"/>
      <c r="I128" s="8"/>
      <c r="J128" s="270" t="e">
        <f>SUM(J104,J108,#REF!,J110,#REF!,J113)</f>
        <v>#REF!</v>
      </c>
      <c r="K128" s="8" t="e">
        <f>SUM(K104,K108,#REF!,K110,#REF!,K113)</f>
        <v>#REF!</v>
      </c>
      <c r="L128" s="8" t="e">
        <f>SUM(L104,L108,#REF!,L110,#REF!,L113)</f>
        <v>#REF!</v>
      </c>
      <c r="M128" s="8" t="e">
        <f>SUM(M104,M108,#REF!,M110,#REF!,M113)</f>
        <v>#REF!</v>
      </c>
      <c r="N128" s="8" t="e">
        <f>SUM(N104,N108,#REF!,N110,#REF!,N113)</f>
        <v>#REF!</v>
      </c>
      <c r="O128" s="8" t="e">
        <f>SUM(O104,O108,#REF!,O110,#REF!,O113)</f>
        <v>#REF!</v>
      </c>
      <c r="P128" s="8" t="e">
        <f>SUM(P104,P108,#REF!,P110,#REF!,P113)</f>
        <v>#REF!</v>
      </c>
      <c r="Q128" s="8" t="e">
        <f>SUM(Q104,Q108,#REF!,Q110,#REF!,Q113)</f>
        <v>#REF!</v>
      </c>
      <c r="R128" s="8" t="e">
        <f>SUM(R104,R108,#REF!,R110,#REF!,R113)</f>
        <v>#REF!</v>
      </c>
      <c r="S128" s="8" t="e">
        <f>SUM(S104,S108,#REF!,S110,#REF!,S113)</f>
        <v>#REF!</v>
      </c>
      <c r="T128" s="8" t="e">
        <f>SUM(T104,T108,#REF!,T110,#REF!,T113)</f>
        <v>#REF!</v>
      </c>
      <c r="U128" s="8" t="e">
        <f>SUM(U104,U108,#REF!,U110,#REF!,U113)</f>
        <v>#REF!</v>
      </c>
      <c r="V128" s="8" t="e">
        <f>SUM(V104,V108,#REF!,V110,#REF!,V113)</f>
        <v>#REF!</v>
      </c>
      <c r="W128" s="8" t="e">
        <f>SUM(W104,W108,#REF!,W110,#REF!,W113)</f>
        <v>#REF!</v>
      </c>
      <c r="X128" s="8" t="e">
        <f>SUM(X104,X108,#REF!,X110,#REF!,X113)</f>
        <v>#REF!</v>
      </c>
      <c r="Y128" s="8">
        <v>5290</v>
      </c>
      <c r="Z128" s="8"/>
      <c r="AA128" s="366">
        <v>-5290</v>
      </c>
      <c r="AB128" s="8">
        <f t="shared" si="60"/>
        <v>0</v>
      </c>
      <c r="AC128" s="1" t="s">
        <v>1474</v>
      </c>
      <c r="AE128" s="55"/>
      <c r="AF128" s="55"/>
    </row>
    <row r="130" spans="1:29" ht="122.25" customHeight="1">
      <c r="A130" s="564" t="s">
        <v>966</v>
      </c>
      <c r="B130" s="564"/>
      <c r="C130" s="564"/>
      <c r="D130" s="564"/>
      <c r="E130" s="564"/>
      <c r="F130" s="564"/>
      <c r="G130" s="564"/>
      <c r="H130" s="564"/>
      <c r="I130" s="564"/>
      <c r="J130" s="564"/>
      <c r="K130" s="564"/>
      <c r="L130" s="564"/>
      <c r="M130" s="564"/>
      <c r="N130" s="564"/>
      <c r="O130" s="564"/>
      <c r="P130" s="564"/>
      <c r="Q130" s="564"/>
      <c r="R130" s="564"/>
      <c r="S130" s="564"/>
      <c r="T130" s="564"/>
      <c r="U130" s="564"/>
      <c r="V130" s="564"/>
      <c r="W130" s="564"/>
      <c r="X130" s="564"/>
      <c r="Y130" s="564"/>
      <c r="Z130" s="564"/>
      <c r="AA130" s="564"/>
      <c r="AB130" s="564"/>
      <c r="AC130" s="564"/>
    </row>
    <row r="131" spans="1:29" ht="18">
      <c r="A131" s="141"/>
    </row>
  </sheetData>
  <mergeCells count="25">
    <mergeCell ref="A130:AC130"/>
    <mergeCell ref="T5:W5"/>
    <mergeCell ref="U6:W6"/>
    <mergeCell ref="K6:K7"/>
    <mergeCell ref="G6:G7"/>
    <mergeCell ref="H6:I6"/>
    <mergeCell ref="L6:S6"/>
    <mergeCell ref="X5:X7"/>
    <mergeCell ref="Y5:Y7"/>
    <mergeCell ref="J5:J7"/>
    <mergeCell ref="Z5:Z7"/>
    <mergeCell ref="AA5:AA7"/>
    <mergeCell ref="AB5:AB7"/>
    <mergeCell ref="A1:AC1"/>
    <mergeCell ref="A2:AC2"/>
    <mergeCell ref="A3:AC3"/>
    <mergeCell ref="A5:A7"/>
    <mergeCell ref="B5:B7"/>
    <mergeCell ref="C5:C7"/>
    <mergeCell ref="D5:D7"/>
    <mergeCell ref="E5:E7"/>
    <mergeCell ref="F5:F7"/>
    <mergeCell ref="G5:I5"/>
    <mergeCell ref="AC5:AC7"/>
    <mergeCell ref="T6:T7"/>
  </mergeCells>
  <printOptions horizontalCentered="1"/>
  <pageMargins left="0.39370078740157499" right="0.39370078740157499" top="0.39370078740157499" bottom="0.39370078740157499" header="0.196850393700787" footer="0.196850393700787"/>
  <pageSetup paperSize="9" scale="43" fitToHeight="0" orientation="landscape" r:id="rId1"/>
  <headerFooter alignWithMargins="0">
    <oddFooter>&amp;C&amp;"Times New Roman,thường"&amp;11&amp;P/&amp;N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H124"/>
  <sheetViews>
    <sheetView view="pageBreakPreview" zoomScale="60" zoomScaleNormal="50" workbookViewId="0">
      <selection activeCell="AA51" sqref="AA51"/>
    </sheetView>
  </sheetViews>
  <sheetFormatPr defaultColWidth="8.88671875" defaultRowHeight="16.8"/>
  <cols>
    <col min="1" max="1" width="8.6640625" style="56" customWidth="1"/>
    <col min="2" max="2" width="50.6640625" style="57" customWidth="1"/>
    <col min="3" max="6" width="20.6640625" style="57" customWidth="1"/>
    <col min="7" max="7" width="22.6640625" style="57" customWidth="1"/>
    <col min="8" max="9" width="20.6640625" style="72" customWidth="1"/>
    <col min="10" max="24" width="20.6640625" style="72" hidden="1" customWidth="1"/>
    <col min="25" max="28" width="20.6640625" style="72" customWidth="1"/>
    <col min="29" max="29" width="30.88671875" style="72" customWidth="1"/>
    <col min="30" max="32" width="20.6640625" style="72" hidden="1" customWidth="1"/>
    <col min="33" max="33" width="40.6640625" style="57" hidden="1" customWidth="1"/>
    <col min="34" max="34" width="11" style="57" customWidth="1"/>
    <col min="35" max="35" width="9.44140625" style="57" customWidth="1"/>
    <col min="36" max="36" width="11.44140625" style="57" customWidth="1"/>
    <col min="37" max="37" width="8.88671875" style="57"/>
    <col min="38" max="40" width="11.44140625" style="57"/>
    <col min="41" max="43" width="8.88671875" style="57"/>
    <col min="44" max="45" width="11.44140625" style="57"/>
    <col min="46" max="46" width="13.109375" style="57" customWidth="1"/>
    <col min="47" max="59" width="11.44140625" style="57"/>
    <col min="60" max="60" width="12.6640625" style="57" bestFit="1" customWidth="1"/>
    <col min="61" max="277" width="11.44140625" style="57"/>
    <col min="278" max="278" width="6.6640625" style="57" customWidth="1"/>
    <col min="279" max="279" width="59" style="57" customWidth="1"/>
    <col min="280" max="282" width="20.6640625" style="57" customWidth="1"/>
    <col min="283" max="283" width="20" style="57" customWidth="1"/>
    <col min="284" max="288" width="15.6640625" style="57" customWidth="1"/>
    <col min="289" max="289" width="20.6640625" style="57" customWidth="1"/>
    <col min="290" max="290" width="20.44140625" style="57" customWidth="1"/>
    <col min="291" max="291" width="15.6640625" style="57" customWidth="1"/>
    <col min="292" max="292" width="20.6640625" style="57" customWidth="1"/>
    <col min="293" max="293" width="27.44140625" style="57" customWidth="1"/>
    <col min="294" max="533" width="11.44140625" style="57"/>
    <col min="534" max="534" width="6.6640625" style="57" customWidth="1"/>
    <col min="535" max="535" width="59" style="57" customWidth="1"/>
    <col min="536" max="538" width="20.6640625" style="57" customWidth="1"/>
    <col min="539" max="539" width="20" style="57" customWidth="1"/>
    <col min="540" max="544" width="15.6640625" style="57" customWidth="1"/>
    <col min="545" max="545" width="20.6640625" style="57" customWidth="1"/>
    <col min="546" max="546" width="20.44140625" style="57" customWidth="1"/>
    <col min="547" max="547" width="15.6640625" style="57" customWidth="1"/>
    <col min="548" max="548" width="20.6640625" style="57" customWidth="1"/>
    <col min="549" max="549" width="27.44140625" style="57" customWidth="1"/>
    <col min="550" max="789" width="11.44140625" style="57"/>
    <col min="790" max="790" width="6.6640625" style="57" customWidth="1"/>
    <col min="791" max="791" width="59" style="57" customWidth="1"/>
    <col min="792" max="794" width="20.6640625" style="57" customWidth="1"/>
    <col min="795" max="795" width="20" style="57" customWidth="1"/>
    <col min="796" max="800" width="15.6640625" style="57" customWidth="1"/>
    <col min="801" max="801" width="20.6640625" style="57" customWidth="1"/>
    <col min="802" max="802" width="20.44140625" style="57" customWidth="1"/>
    <col min="803" max="803" width="15.6640625" style="57" customWidth="1"/>
    <col min="804" max="804" width="20.6640625" style="57" customWidth="1"/>
    <col min="805" max="805" width="27.44140625" style="57" customWidth="1"/>
    <col min="806" max="1044" width="9.109375" style="57"/>
    <col min="1045" max="1045" width="11.44140625" style="57"/>
    <col min="1046" max="1046" width="6.6640625" style="57" customWidth="1"/>
    <col min="1047" max="1047" width="59" style="57" customWidth="1"/>
    <col min="1048" max="1050" width="20.6640625" style="57" customWidth="1"/>
    <col min="1051" max="1051" width="20" style="57" customWidth="1"/>
    <col min="1052" max="1056" width="15.6640625" style="57" customWidth="1"/>
    <col min="1057" max="1057" width="20.6640625" style="57" customWidth="1"/>
    <col min="1058" max="1058" width="20.44140625" style="57" customWidth="1"/>
    <col min="1059" max="1059" width="15.6640625" style="57" customWidth="1"/>
    <col min="1060" max="1060" width="20.6640625" style="57" customWidth="1"/>
    <col min="1061" max="1061" width="27.44140625" style="57" customWidth="1"/>
    <col min="1062" max="1301" width="11.44140625" style="57"/>
    <col min="1302" max="1302" width="6.6640625" style="57" customWidth="1"/>
    <col min="1303" max="1303" width="59" style="57" customWidth="1"/>
    <col min="1304" max="1306" width="20.6640625" style="57" customWidth="1"/>
    <col min="1307" max="1307" width="20" style="57" customWidth="1"/>
    <col min="1308" max="1312" width="15.6640625" style="57" customWidth="1"/>
    <col min="1313" max="1313" width="20.6640625" style="57" customWidth="1"/>
    <col min="1314" max="1314" width="20.44140625" style="57" customWidth="1"/>
    <col min="1315" max="1315" width="15.6640625" style="57" customWidth="1"/>
    <col min="1316" max="1316" width="20.6640625" style="57" customWidth="1"/>
    <col min="1317" max="1317" width="27.44140625" style="57" customWidth="1"/>
    <col min="1318" max="1557" width="11.44140625" style="57"/>
    <col min="1558" max="1558" width="6.6640625" style="57" customWidth="1"/>
    <col min="1559" max="1559" width="59" style="57" customWidth="1"/>
    <col min="1560" max="1562" width="20.6640625" style="57" customWidth="1"/>
    <col min="1563" max="1563" width="20" style="57" customWidth="1"/>
    <col min="1564" max="1568" width="15.6640625" style="57" customWidth="1"/>
    <col min="1569" max="1569" width="20.6640625" style="57" customWidth="1"/>
    <col min="1570" max="1570" width="20.44140625" style="57" customWidth="1"/>
    <col min="1571" max="1571" width="15.6640625" style="57" customWidth="1"/>
    <col min="1572" max="1572" width="20.6640625" style="57" customWidth="1"/>
    <col min="1573" max="1573" width="27.44140625" style="57" customWidth="1"/>
    <col min="1574" max="1813" width="11.44140625" style="57"/>
    <col min="1814" max="1814" width="6.6640625" style="57" customWidth="1"/>
    <col min="1815" max="1815" width="59" style="57" customWidth="1"/>
    <col min="1816" max="1818" width="20.6640625" style="57" customWidth="1"/>
    <col min="1819" max="1819" width="20" style="57" customWidth="1"/>
    <col min="1820" max="1824" width="15.6640625" style="57" customWidth="1"/>
    <col min="1825" max="1825" width="20.6640625" style="57" customWidth="1"/>
    <col min="1826" max="1826" width="20.44140625" style="57" customWidth="1"/>
    <col min="1827" max="1827" width="15.6640625" style="57" customWidth="1"/>
    <col min="1828" max="1828" width="20.6640625" style="57" customWidth="1"/>
    <col min="1829" max="1829" width="27.44140625" style="57" customWidth="1"/>
    <col min="1830" max="2068" width="9.109375" style="57"/>
    <col min="2069" max="2069" width="11.44140625" style="57"/>
    <col min="2070" max="2070" width="6.6640625" style="57" customWidth="1"/>
    <col min="2071" max="2071" width="59" style="57" customWidth="1"/>
    <col min="2072" max="2074" width="20.6640625" style="57" customWidth="1"/>
    <col min="2075" max="2075" width="20" style="57" customWidth="1"/>
    <col min="2076" max="2080" width="15.6640625" style="57" customWidth="1"/>
    <col min="2081" max="2081" width="20.6640625" style="57" customWidth="1"/>
    <col min="2082" max="2082" width="20.44140625" style="57" customWidth="1"/>
    <col min="2083" max="2083" width="15.6640625" style="57" customWidth="1"/>
    <col min="2084" max="2084" width="20.6640625" style="57" customWidth="1"/>
    <col min="2085" max="2085" width="27.44140625" style="57" customWidth="1"/>
    <col min="2086" max="2325" width="11.44140625" style="57"/>
    <col min="2326" max="2326" width="6.6640625" style="57" customWidth="1"/>
    <col min="2327" max="2327" width="59" style="57" customWidth="1"/>
    <col min="2328" max="2330" width="20.6640625" style="57" customWidth="1"/>
    <col min="2331" max="2331" width="20" style="57" customWidth="1"/>
    <col min="2332" max="2336" width="15.6640625" style="57" customWidth="1"/>
    <col min="2337" max="2337" width="20.6640625" style="57" customWidth="1"/>
    <col min="2338" max="2338" width="20.44140625" style="57" customWidth="1"/>
    <col min="2339" max="2339" width="15.6640625" style="57" customWidth="1"/>
    <col min="2340" max="2340" width="20.6640625" style="57" customWidth="1"/>
    <col min="2341" max="2341" width="27.44140625" style="57" customWidth="1"/>
    <col min="2342" max="2581" width="11.44140625" style="57"/>
    <col min="2582" max="2582" width="6.6640625" style="57" customWidth="1"/>
    <col min="2583" max="2583" width="59" style="57" customWidth="1"/>
    <col min="2584" max="2586" width="20.6640625" style="57" customWidth="1"/>
    <col min="2587" max="2587" width="20" style="57" customWidth="1"/>
    <col min="2588" max="2592" width="15.6640625" style="57" customWidth="1"/>
    <col min="2593" max="2593" width="20.6640625" style="57" customWidth="1"/>
    <col min="2594" max="2594" width="20.44140625" style="57" customWidth="1"/>
    <col min="2595" max="2595" width="15.6640625" style="57" customWidth="1"/>
    <col min="2596" max="2596" width="20.6640625" style="57" customWidth="1"/>
    <col min="2597" max="2597" width="27.44140625" style="57" customWidth="1"/>
    <col min="2598" max="2837" width="11.44140625" style="57"/>
    <col min="2838" max="2838" width="6.6640625" style="57" customWidth="1"/>
    <col min="2839" max="2839" width="59" style="57" customWidth="1"/>
    <col min="2840" max="2842" width="20.6640625" style="57" customWidth="1"/>
    <col min="2843" max="2843" width="20" style="57" customWidth="1"/>
    <col min="2844" max="2848" width="15.6640625" style="57" customWidth="1"/>
    <col min="2849" max="2849" width="20.6640625" style="57" customWidth="1"/>
    <col min="2850" max="2850" width="20.44140625" style="57" customWidth="1"/>
    <col min="2851" max="2851" width="15.6640625" style="57" customWidth="1"/>
    <col min="2852" max="2852" width="20.6640625" style="57" customWidth="1"/>
    <col min="2853" max="2853" width="27.44140625" style="57" customWidth="1"/>
    <col min="2854" max="3092" width="9.109375" style="57"/>
    <col min="3093" max="3093" width="11.44140625" style="57"/>
    <col min="3094" max="3094" width="6.6640625" style="57" customWidth="1"/>
    <col min="3095" max="3095" width="59" style="57" customWidth="1"/>
    <col min="3096" max="3098" width="20.6640625" style="57" customWidth="1"/>
    <col min="3099" max="3099" width="20" style="57" customWidth="1"/>
    <col min="3100" max="3104" width="15.6640625" style="57" customWidth="1"/>
    <col min="3105" max="3105" width="20.6640625" style="57" customWidth="1"/>
    <col min="3106" max="3106" width="20.44140625" style="57" customWidth="1"/>
    <col min="3107" max="3107" width="15.6640625" style="57" customWidth="1"/>
    <col min="3108" max="3108" width="20.6640625" style="57" customWidth="1"/>
    <col min="3109" max="3109" width="27.44140625" style="57" customWidth="1"/>
    <col min="3110" max="3349" width="11.44140625" style="57"/>
    <col min="3350" max="3350" width="6.6640625" style="57" customWidth="1"/>
    <col min="3351" max="3351" width="59" style="57" customWidth="1"/>
    <col min="3352" max="3354" width="20.6640625" style="57" customWidth="1"/>
    <col min="3355" max="3355" width="20" style="57" customWidth="1"/>
    <col min="3356" max="3360" width="15.6640625" style="57" customWidth="1"/>
    <col min="3361" max="3361" width="20.6640625" style="57" customWidth="1"/>
    <col min="3362" max="3362" width="20.44140625" style="57" customWidth="1"/>
    <col min="3363" max="3363" width="15.6640625" style="57" customWidth="1"/>
    <col min="3364" max="3364" width="20.6640625" style="57" customWidth="1"/>
    <col min="3365" max="3365" width="27.44140625" style="57" customWidth="1"/>
    <col min="3366" max="3605" width="11.44140625" style="57"/>
    <col min="3606" max="3606" width="6.6640625" style="57" customWidth="1"/>
    <col min="3607" max="3607" width="59" style="57" customWidth="1"/>
    <col min="3608" max="3610" width="20.6640625" style="57" customWidth="1"/>
    <col min="3611" max="3611" width="20" style="57" customWidth="1"/>
    <col min="3612" max="3616" width="15.6640625" style="57" customWidth="1"/>
    <col min="3617" max="3617" width="20.6640625" style="57" customWidth="1"/>
    <col min="3618" max="3618" width="20.44140625" style="57" customWidth="1"/>
    <col min="3619" max="3619" width="15.6640625" style="57" customWidth="1"/>
    <col min="3620" max="3620" width="20.6640625" style="57" customWidth="1"/>
    <col min="3621" max="3621" width="27.44140625" style="57" customWidth="1"/>
    <col min="3622" max="3861" width="11.44140625" style="57"/>
    <col min="3862" max="3862" width="6.6640625" style="57" customWidth="1"/>
    <col min="3863" max="3863" width="59" style="57" customWidth="1"/>
    <col min="3864" max="3866" width="20.6640625" style="57" customWidth="1"/>
    <col min="3867" max="3867" width="20" style="57" customWidth="1"/>
    <col min="3868" max="3872" width="15.6640625" style="57" customWidth="1"/>
    <col min="3873" max="3873" width="20.6640625" style="57" customWidth="1"/>
    <col min="3874" max="3874" width="20.44140625" style="57" customWidth="1"/>
    <col min="3875" max="3875" width="15.6640625" style="57" customWidth="1"/>
    <col min="3876" max="3876" width="20.6640625" style="57" customWidth="1"/>
    <col min="3877" max="3877" width="27.44140625" style="57" customWidth="1"/>
    <col min="3878" max="4116" width="9.109375" style="57"/>
    <col min="4117" max="4117" width="11.44140625" style="57"/>
    <col min="4118" max="4118" width="6.6640625" style="57" customWidth="1"/>
    <col min="4119" max="4119" width="59" style="57" customWidth="1"/>
    <col min="4120" max="4122" width="20.6640625" style="57" customWidth="1"/>
    <col min="4123" max="4123" width="20" style="57" customWidth="1"/>
    <col min="4124" max="4128" width="15.6640625" style="57" customWidth="1"/>
    <col min="4129" max="4129" width="20.6640625" style="57" customWidth="1"/>
    <col min="4130" max="4130" width="20.44140625" style="57" customWidth="1"/>
    <col min="4131" max="4131" width="15.6640625" style="57" customWidth="1"/>
    <col min="4132" max="4132" width="20.6640625" style="57" customWidth="1"/>
    <col min="4133" max="4133" width="27.44140625" style="57" customWidth="1"/>
    <col min="4134" max="4373" width="11.44140625" style="57"/>
    <col min="4374" max="4374" width="6.6640625" style="57" customWidth="1"/>
    <col min="4375" max="4375" width="59" style="57" customWidth="1"/>
    <col min="4376" max="4378" width="20.6640625" style="57" customWidth="1"/>
    <col min="4379" max="4379" width="20" style="57" customWidth="1"/>
    <col min="4380" max="4384" width="15.6640625" style="57" customWidth="1"/>
    <col min="4385" max="4385" width="20.6640625" style="57" customWidth="1"/>
    <col min="4386" max="4386" width="20.44140625" style="57" customWidth="1"/>
    <col min="4387" max="4387" width="15.6640625" style="57" customWidth="1"/>
    <col min="4388" max="4388" width="20.6640625" style="57" customWidth="1"/>
    <col min="4389" max="4389" width="27.44140625" style="57" customWidth="1"/>
    <col min="4390" max="4629" width="11.44140625" style="57"/>
    <col min="4630" max="4630" width="6.6640625" style="57" customWidth="1"/>
    <col min="4631" max="4631" width="59" style="57" customWidth="1"/>
    <col min="4632" max="4634" width="20.6640625" style="57" customWidth="1"/>
    <col min="4635" max="4635" width="20" style="57" customWidth="1"/>
    <col min="4636" max="4640" width="15.6640625" style="57" customWidth="1"/>
    <col min="4641" max="4641" width="20.6640625" style="57" customWidth="1"/>
    <col min="4642" max="4642" width="20.44140625" style="57" customWidth="1"/>
    <col min="4643" max="4643" width="15.6640625" style="57" customWidth="1"/>
    <col min="4644" max="4644" width="20.6640625" style="57" customWidth="1"/>
    <col min="4645" max="4645" width="27.44140625" style="57" customWidth="1"/>
    <col min="4646" max="4885" width="11.44140625" style="57"/>
    <col min="4886" max="4886" width="6.6640625" style="57" customWidth="1"/>
    <col min="4887" max="4887" width="59" style="57" customWidth="1"/>
    <col min="4888" max="4890" width="20.6640625" style="57" customWidth="1"/>
    <col min="4891" max="4891" width="20" style="57" customWidth="1"/>
    <col min="4892" max="4896" width="15.6640625" style="57" customWidth="1"/>
    <col min="4897" max="4897" width="20.6640625" style="57" customWidth="1"/>
    <col min="4898" max="4898" width="20.44140625" style="57" customWidth="1"/>
    <col min="4899" max="4899" width="15.6640625" style="57" customWidth="1"/>
    <col min="4900" max="4900" width="20.6640625" style="57" customWidth="1"/>
    <col min="4901" max="4901" width="27.44140625" style="57" customWidth="1"/>
    <col min="4902" max="5140" width="9.109375" style="57"/>
    <col min="5141" max="5141" width="11.44140625" style="57"/>
    <col min="5142" max="5142" width="6.6640625" style="57" customWidth="1"/>
    <col min="5143" max="5143" width="59" style="57" customWidth="1"/>
    <col min="5144" max="5146" width="20.6640625" style="57" customWidth="1"/>
    <col min="5147" max="5147" width="20" style="57" customWidth="1"/>
    <col min="5148" max="5152" width="15.6640625" style="57" customWidth="1"/>
    <col min="5153" max="5153" width="20.6640625" style="57" customWidth="1"/>
    <col min="5154" max="5154" width="20.44140625" style="57" customWidth="1"/>
    <col min="5155" max="5155" width="15.6640625" style="57" customWidth="1"/>
    <col min="5156" max="5156" width="20.6640625" style="57" customWidth="1"/>
    <col min="5157" max="5157" width="27.44140625" style="57" customWidth="1"/>
    <col min="5158" max="5397" width="11.44140625" style="57"/>
    <col min="5398" max="5398" width="6.6640625" style="57" customWidth="1"/>
    <col min="5399" max="5399" width="59" style="57" customWidth="1"/>
    <col min="5400" max="5402" width="20.6640625" style="57" customWidth="1"/>
    <col min="5403" max="5403" width="20" style="57" customWidth="1"/>
    <col min="5404" max="5408" width="15.6640625" style="57" customWidth="1"/>
    <col min="5409" max="5409" width="20.6640625" style="57" customWidth="1"/>
    <col min="5410" max="5410" width="20.44140625" style="57" customWidth="1"/>
    <col min="5411" max="5411" width="15.6640625" style="57" customWidth="1"/>
    <col min="5412" max="5412" width="20.6640625" style="57" customWidth="1"/>
    <col min="5413" max="5413" width="27.44140625" style="57" customWidth="1"/>
    <col min="5414" max="5653" width="11.44140625" style="57"/>
    <col min="5654" max="5654" width="6.6640625" style="57" customWidth="1"/>
    <col min="5655" max="5655" width="59" style="57" customWidth="1"/>
    <col min="5656" max="5658" width="20.6640625" style="57" customWidth="1"/>
    <col min="5659" max="5659" width="20" style="57" customWidth="1"/>
    <col min="5660" max="5664" width="15.6640625" style="57" customWidth="1"/>
    <col min="5665" max="5665" width="20.6640625" style="57" customWidth="1"/>
    <col min="5666" max="5666" width="20.44140625" style="57" customWidth="1"/>
    <col min="5667" max="5667" width="15.6640625" style="57" customWidth="1"/>
    <col min="5668" max="5668" width="20.6640625" style="57" customWidth="1"/>
    <col min="5669" max="5669" width="27.44140625" style="57" customWidth="1"/>
    <col min="5670" max="5909" width="11.44140625" style="57"/>
    <col min="5910" max="5910" width="6.6640625" style="57" customWidth="1"/>
    <col min="5911" max="5911" width="59" style="57" customWidth="1"/>
    <col min="5912" max="5914" width="20.6640625" style="57" customWidth="1"/>
    <col min="5915" max="5915" width="20" style="57" customWidth="1"/>
    <col min="5916" max="5920" width="15.6640625" style="57" customWidth="1"/>
    <col min="5921" max="5921" width="20.6640625" style="57" customWidth="1"/>
    <col min="5922" max="5922" width="20.44140625" style="57" customWidth="1"/>
    <col min="5923" max="5923" width="15.6640625" style="57" customWidth="1"/>
    <col min="5924" max="5924" width="20.6640625" style="57" customWidth="1"/>
    <col min="5925" max="5925" width="27.44140625" style="57" customWidth="1"/>
    <col min="5926" max="6164" width="9.109375" style="57"/>
    <col min="6165" max="6165" width="11.44140625" style="57"/>
    <col min="6166" max="6166" width="6.6640625" style="57" customWidth="1"/>
    <col min="6167" max="6167" width="59" style="57" customWidth="1"/>
    <col min="6168" max="6170" width="20.6640625" style="57" customWidth="1"/>
    <col min="6171" max="6171" width="20" style="57" customWidth="1"/>
    <col min="6172" max="6176" width="15.6640625" style="57" customWidth="1"/>
    <col min="6177" max="6177" width="20.6640625" style="57" customWidth="1"/>
    <col min="6178" max="6178" width="20.44140625" style="57" customWidth="1"/>
    <col min="6179" max="6179" width="15.6640625" style="57" customWidth="1"/>
    <col min="6180" max="6180" width="20.6640625" style="57" customWidth="1"/>
    <col min="6181" max="6181" width="27.44140625" style="57" customWidth="1"/>
    <col min="6182" max="6421" width="11.44140625" style="57"/>
    <col min="6422" max="6422" width="6.6640625" style="57" customWidth="1"/>
    <col min="6423" max="6423" width="59" style="57" customWidth="1"/>
    <col min="6424" max="6426" width="20.6640625" style="57" customWidth="1"/>
    <col min="6427" max="6427" width="20" style="57" customWidth="1"/>
    <col min="6428" max="6432" width="15.6640625" style="57" customWidth="1"/>
    <col min="6433" max="6433" width="20.6640625" style="57" customWidth="1"/>
    <col min="6434" max="6434" width="20.44140625" style="57" customWidth="1"/>
    <col min="6435" max="6435" width="15.6640625" style="57" customWidth="1"/>
    <col min="6436" max="6436" width="20.6640625" style="57" customWidth="1"/>
    <col min="6437" max="6437" width="27.44140625" style="57" customWidth="1"/>
    <col min="6438" max="6677" width="11.44140625" style="57"/>
    <col min="6678" max="6678" width="6.6640625" style="57" customWidth="1"/>
    <col min="6679" max="6679" width="59" style="57" customWidth="1"/>
    <col min="6680" max="6682" width="20.6640625" style="57" customWidth="1"/>
    <col min="6683" max="6683" width="20" style="57" customWidth="1"/>
    <col min="6684" max="6688" width="15.6640625" style="57" customWidth="1"/>
    <col min="6689" max="6689" width="20.6640625" style="57" customWidth="1"/>
    <col min="6690" max="6690" width="20.44140625" style="57" customWidth="1"/>
    <col min="6691" max="6691" width="15.6640625" style="57" customWidth="1"/>
    <col min="6692" max="6692" width="20.6640625" style="57" customWidth="1"/>
    <col min="6693" max="6693" width="27.44140625" style="57" customWidth="1"/>
    <col min="6694" max="6933" width="11.44140625" style="57"/>
    <col min="6934" max="6934" width="6.6640625" style="57" customWidth="1"/>
    <col min="6935" max="6935" width="59" style="57" customWidth="1"/>
    <col min="6936" max="6938" width="20.6640625" style="57" customWidth="1"/>
    <col min="6939" max="6939" width="20" style="57" customWidth="1"/>
    <col min="6940" max="6944" width="15.6640625" style="57" customWidth="1"/>
    <col min="6945" max="6945" width="20.6640625" style="57" customWidth="1"/>
    <col min="6946" max="6946" width="20.44140625" style="57" customWidth="1"/>
    <col min="6947" max="6947" width="15.6640625" style="57" customWidth="1"/>
    <col min="6948" max="6948" width="20.6640625" style="57" customWidth="1"/>
    <col min="6949" max="6949" width="27.44140625" style="57" customWidth="1"/>
    <col min="6950" max="7188" width="9.109375" style="57"/>
    <col min="7189" max="7189" width="11.44140625" style="57"/>
    <col min="7190" max="7190" width="6.6640625" style="57" customWidth="1"/>
    <col min="7191" max="7191" width="59" style="57" customWidth="1"/>
    <col min="7192" max="7194" width="20.6640625" style="57" customWidth="1"/>
    <col min="7195" max="7195" width="20" style="57" customWidth="1"/>
    <col min="7196" max="7200" width="15.6640625" style="57" customWidth="1"/>
    <col min="7201" max="7201" width="20.6640625" style="57" customWidth="1"/>
    <col min="7202" max="7202" width="20.44140625" style="57" customWidth="1"/>
    <col min="7203" max="7203" width="15.6640625" style="57" customWidth="1"/>
    <col min="7204" max="7204" width="20.6640625" style="57" customWidth="1"/>
    <col min="7205" max="7205" width="27.44140625" style="57" customWidth="1"/>
    <col min="7206" max="7445" width="11.44140625" style="57"/>
    <col min="7446" max="7446" width="6.6640625" style="57" customWidth="1"/>
    <col min="7447" max="7447" width="59" style="57" customWidth="1"/>
    <col min="7448" max="7450" width="20.6640625" style="57" customWidth="1"/>
    <col min="7451" max="7451" width="20" style="57" customWidth="1"/>
    <col min="7452" max="7456" width="15.6640625" style="57" customWidth="1"/>
    <col min="7457" max="7457" width="20.6640625" style="57" customWidth="1"/>
    <col min="7458" max="7458" width="20.44140625" style="57" customWidth="1"/>
    <col min="7459" max="7459" width="15.6640625" style="57" customWidth="1"/>
    <col min="7460" max="7460" width="20.6640625" style="57" customWidth="1"/>
    <col min="7461" max="7461" width="27.44140625" style="57" customWidth="1"/>
    <col min="7462" max="7701" width="11.44140625" style="57"/>
    <col min="7702" max="7702" width="6.6640625" style="57" customWidth="1"/>
    <col min="7703" max="7703" width="59" style="57" customWidth="1"/>
    <col min="7704" max="7706" width="20.6640625" style="57" customWidth="1"/>
    <col min="7707" max="7707" width="20" style="57" customWidth="1"/>
    <col min="7708" max="7712" width="15.6640625" style="57" customWidth="1"/>
    <col min="7713" max="7713" width="20.6640625" style="57" customWidth="1"/>
    <col min="7714" max="7714" width="20.44140625" style="57" customWidth="1"/>
    <col min="7715" max="7715" width="15.6640625" style="57" customWidth="1"/>
    <col min="7716" max="7716" width="20.6640625" style="57" customWidth="1"/>
    <col min="7717" max="7717" width="27.44140625" style="57" customWidth="1"/>
    <col min="7718" max="7957" width="11.44140625" style="57"/>
    <col min="7958" max="7958" width="6.6640625" style="57" customWidth="1"/>
    <col min="7959" max="7959" width="59" style="57" customWidth="1"/>
    <col min="7960" max="7962" width="20.6640625" style="57" customWidth="1"/>
    <col min="7963" max="7963" width="20" style="57" customWidth="1"/>
    <col min="7964" max="7968" width="15.6640625" style="57" customWidth="1"/>
    <col min="7969" max="7969" width="20.6640625" style="57" customWidth="1"/>
    <col min="7970" max="7970" width="20.44140625" style="57" customWidth="1"/>
    <col min="7971" max="7971" width="15.6640625" style="57" customWidth="1"/>
    <col min="7972" max="7972" width="20.6640625" style="57" customWidth="1"/>
    <col min="7973" max="7973" width="27.44140625" style="57" customWidth="1"/>
    <col min="7974" max="8212" width="9.109375" style="57"/>
    <col min="8213" max="8213" width="11.44140625" style="57"/>
    <col min="8214" max="8214" width="6.6640625" style="57" customWidth="1"/>
    <col min="8215" max="8215" width="59" style="57" customWidth="1"/>
    <col min="8216" max="8218" width="20.6640625" style="57" customWidth="1"/>
    <col min="8219" max="8219" width="20" style="57" customWidth="1"/>
    <col min="8220" max="8224" width="15.6640625" style="57" customWidth="1"/>
    <col min="8225" max="8225" width="20.6640625" style="57" customWidth="1"/>
    <col min="8226" max="8226" width="20.44140625" style="57" customWidth="1"/>
    <col min="8227" max="8227" width="15.6640625" style="57" customWidth="1"/>
    <col min="8228" max="8228" width="20.6640625" style="57" customWidth="1"/>
    <col min="8229" max="8229" width="27.44140625" style="57" customWidth="1"/>
    <col min="8230" max="8469" width="11.44140625" style="57"/>
    <col min="8470" max="8470" width="6.6640625" style="57" customWidth="1"/>
    <col min="8471" max="8471" width="59" style="57" customWidth="1"/>
    <col min="8472" max="8474" width="20.6640625" style="57" customWidth="1"/>
    <col min="8475" max="8475" width="20" style="57" customWidth="1"/>
    <col min="8476" max="8480" width="15.6640625" style="57" customWidth="1"/>
    <col min="8481" max="8481" width="20.6640625" style="57" customWidth="1"/>
    <col min="8482" max="8482" width="20.44140625" style="57" customWidth="1"/>
    <col min="8483" max="8483" width="15.6640625" style="57" customWidth="1"/>
    <col min="8484" max="8484" width="20.6640625" style="57" customWidth="1"/>
    <col min="8485" max="8485" width="27.44140625" style="57" customWidth="1"/>
    <col min="8486" max="8725" width="11.44140625" style="57"/>
    <col min="8726" max="8726" width="6.6640625" style="57" customWidth="1"/>
    <col min="8727" max="8727" width="59" style="57" customWidth="1"/>
    <col min="8728" max="8730" width="20.6640625" style="57" customWidth="1"/>
    <col min="8731" max="8731" width="20" style="57" customWidth="1"/>
    <col min="8732" max="8736" width="15.6640625" style="57" customWidth="1"/>
    <col min="8737" max="8737" width="20.6640625" style="57" customWidth="1"/>
    <col min="8738" max="8738" width="20.44140625" style="57" customWidth="1"/>
    <col min="8739" max="8739" width="15.6640625" style="57" customWidth="1"/>
    <col min="8740" max="8740" width="20.6640625" style="57" customWidth="1"/>
    <col min="8741" max="8741" width="27.44140625" style="57" customWidth="1"/>
    <col min="8742" max="8981" width="11.44140625" style="57"/>
    <col min="8982" max="8982" width="6.6640625" style="57" customWidth="1"/>
    <col min="8983" max="8983" width="59" style="57" customWidth="1"/>
    <col min="8984" max="8986" width="20.6640625" style="57" customWidth="1"/>
    <col min="8987" max="8987" width="20" style="57" customWidth="1"/>
    <col min="8988" max="8992" width="15.6640625" style="57" customWidth="1"/>
    <col min="8993" max="8993" width="20.6640625" style="57" customWidth="1"/>
    <col min="8994" max="8994" width="20.44140625" style="57" customWidth="1"/>
    <col min="8995" max="8995" width="15.6640625" style="57" customWidth="1"/>
    <col min="8996" max="8996" width="20.6640625" style="57" customWidth="1"/>
    <col min="8997" max="8997" width="27.44140625" style="57" customWidth="1"/>
    <col min="8998" max="9236" width="9.109375" style="57"/>
    <col min="9237" max="9237" width="11.44140625" style="57"/>
    <col min="9238" max="9238" width="6.6640625" style="57" customWidth="1"/>
    <col min="9239" max="9239" width="59" style="57" customWidth="1"/>
    <col min="9240" max="9242" width="20.6640625" style="57" customWidth="1"/>
    <col min="9243" max="9243" width="20" style="57" customWidth="1"/>
    <col min="9244" max="9248" width="15.6640625" style="57" customWidth="1"/>
    <col min="9249" max="9249" width="20.6640625" style="57" customWidth="1"/>
    <col min="9250" max="9250" width="20.44140625" style="57" customWidth="1"/>
    <col min="9251" max="9251" width="15.6640625" style="57" customWidth="1"/>
    <col min="9252" max="9252" width="20.6640625" style="57" customWidth="1"/>
    <col min="9253" max="9253" width="27.44140625" style="57" customWidth="1"/>
    <col min="9254" max="9493" width="11.44140625" style="57"/>
    <col min="9494" max="9494" width="6.6640625" style="57" customWidth="1"/>
    <col min="9495" max="9495" width="59" style="57" customWidth="1"/>
    <col min="9496" max="9498" width="20.6640625" style="57" customWidth="1"/>
    <col min="9499" max="9499" width="20" style="57" customWidth="1"/>
    <col min="9500" max="9504" width="15.6640625" style="57" customWidth="1"/>
    <col min="9505" max="9505" width="20.6640625" style="57" customWidth="1"/>
    <col min="9506" max="9506" width="20.44140625" style="57" customWidth="1"/>
    <col min="9507" max="9507" width="15.6640625" style="57" customWidth="1"/>
    <col min="9508" max="9508" width="20.6640625" style="57" customWidth="1"/>
    <col min="9509" max="9509" width="27.44140625" style="57" customWidth="1"/>
    <col min="9510" max="9749" width="11.44140625" style="57"/>
    <col min="9750" max="9750" width="6.6640625" style="57" customWidth="1"/>
    <col min="9751" max="9751" width="59" style="57" customWidth="1"/>
    <col min="9752" max="9754" width="20.6640625" style="57" customWidth="1"/>
    <col min="9755" max="9755" width="20" style="57" customWidth="1"/>
    <col min="9756" max="9760" width="15.6640625" style="57" customWidth="1"/>
    <col min="9761" max="9761" width="20.6640625" style="57" customWidth="1"/>
    <col min="9762" max="9762" width="20.44140625" style="57" customWidth="1"/>
    <col min="9763" max="9763" width="15.6640625" style="57" customWidth="1"/>
    <col min="9764" max="9764" width="20.6640625" style="57" customWidth="1"/>
    <col min="9765" max="9765" width="27.44140625" style="57" customWidth="1"/>
    <col min="9766" max="10005" width="11.44140625" style="57"/>
    <col min="10006" max="10006" width="6.6640625" style="57" customWidth="1"/>
    <col min="10007" max="10007" width="59" style="57" customWidth="1"/>
    <col min="10008" max="10010" width="20.6640625" style="57" customWidth="1"/>
    <col min="10011" max="10011" width="20" style="57" customWidth="1"/>
    <col min="10012" max="10016" width="15.6640625" style="57" customWidth="1"/>
    <col min="10017" max="10017" width="20.6640625" style="57" customWidth="1"/>
    <col min="10018" max="10018" width="20.44140625" style="57" customWidth="1"/>
    <col min="10019" max="10019" width="15.6640625" style="57" customWidth="1"/>
    <col min="10020" max="10020" width="20.6640625" style="57" customWidth="1"/>
    <col min="10021" max="10021" width="27.44140625" style="57" customWidth="1"/>
    <col min="10022" max="10260" width="9.109375" style="57"/>
    <col min="10261" max="10261" width="11.44140625" style="57"/>
    <col min="10262" max="10262" width="6.6640625" style="57" customWidth="1"/>
    <col min="10263" max="10263" width="59" style="57" customWidth="1"/>
    <col min="10264" max="10266" width="20.6640625" style="57" customWidth="1"/>
    <col min="10267" max="10267" width="20" style="57" customWidth="1"/>
    <col min="10268" max="10272" width="15.6640625" style="57" customWidth="1"/>
    <col min="10273" max="10273" width="20.6640625" style="57" customWidth="1"/>
    <col min="10274" max="10274" width="20.44140625" style="57" customWidth="1"/>
    <col min="10275" max="10275" width="15.6640625" style="57" customWidth="1"/>
    <col min="10276" max="10276" width="20.6640625" style="57" customWidth="1"/>
    <col min="10277" max="10277" width="27.44140625" style="57" customWidth="1"/>
    <col min="10278" max="10517" width="11.44140625" style="57"/>
    <col min="10518" max="10518" width="6.6640625" style="57" customWidth="1"/>
    <col min="10519" max="10519" width="59" style="57" customWidth="1"/>
    <col min="10520" max="10522" width="20.6640625" style="57" customWidth="1"/>
    <col min="10523" max="10523" width="20" style="57" customWidth="1"/>
    <col min="10524" max="10528" width="15.6640625" style="57" customWidth="1"/>
    <col min="10529" max="10529" width="20.6640625" style="57" customWidth="1"/>
    <col min="10530" max="10530" width="20.44140625" style="57" customWidth="1"/>
    <col min="10531" max="10531" width="15.6640625" style="57" customWidth="1"/>
    <col min="10532" max="10532" width="20.6640625" style="57" customWidth="1"/>
    <col min="10533" max="10533" width="27.44140625" style="57" customWidth="1"/>
    <col min="10534" max="10773" width="11.44140625" style="57"/>
    <col min="10774" max="10774" width="6.6640625" style="57" customWidth="1"/>
    <col min="10775" max="10775" width="59" style="57" customWidth="1"/>
    <col min="10776" max="10778" width="20.6640625" style="57" customWidth="1"/>
    <col min="10779" max="10779" width="20" style="57" customWidth="1"/>
    <col min="10780" max="10784" width="15.6640625" style="57" customWidth="1"/>
    <col min="10785" max="10785" width="20.6640625" style="57" customWidth="1"/>
    <col min="10786" max="10786" width="20.44140625" style="57" customWidth="1"/>
    <col min="10787" max="10787" width="15.6640625" style="57" customWidth="1"/>
    <col min="10788" max="10788" width="20.6640625" style="57" customWidth="1"/>
    <col min="10789" max="10789" width="27.44140625" style="57" customWidth="1"/>
    <col min="10790" max="11029" width="11.44140625" style="57"/>
    <col min="11030" max="11030" width="6.6640625" style="57" customWidth="1"/>
    <col min="11031" max="11031" width="59" style="57" customWidth="1"/>
    <col min="11032" max="11034" width="20.6640625" style="57" customWidth="1"/>
    <col min="11035" max="11035" width="20" style="57" customWidth="1"/>
    <col min="11036" max="11040" width="15.6640625" style="57" customWidth="1"/>
    <col min="11041" max="11041" width="20.6640625" style="57" customWidth="1"/>
    <col min="11042" max="11042" width="20.44140625" style="57" customWidth="1"/>
    <col min="11043" max="11043" width="15.6640625" style="57" customWidth="1"/>
    <col min="11044" max="11044" width="20.6640625" style="57" customWidth="1"/>
    <col min="11045" max="11045" width="27.44140625" style="57" customWidth="1"/>
    <col min="11046" max="11284" width="9.109375" style="57"/>
    <col min="11285" max="11285" width="11.44140625" style="57"/>
    <col min="11286" max="11286" width="6.6640625" style="57" customWidth="1"/>
    <col min="11287" max="11287" width="59" style="57" customWidth="1"/>
    <col min="11288" max="11290" width="20.6640625" style="57" customWidth="1"/>
    <col min="11291" max="11291" width="20" style="57" customWidth="1"/>
    <col min="11292" max="11296" width="15.6640625" style="57" customWidth="1"/>
    <col min="11297" max="11297" width="20.6640625" style="57" customWidth="1"/>
    <col min="11298" max="11298" width="20.44140625" style="57" customWidth="1"/>
    <col min="11299" max="11299" width="15.6640625" style="57" customWidth="1"/>
    <col min="11300" max="11300" width="20.6640625" style="57" customWidth="1"/>
    <col min="11301" max="11301" width="27.44140625" style="57" customWidth="1"/>
    <col min="11302" max="11541" width="11.44140625" style="57"/>
    <col min="11542" max="11542" width="6.6640625" style="57" customWidth="1"/>
    <col min="11543" max="11543" width="59" style="57" customWidth="1"/>
    <col min="11544" max="11546" width="20.6640625" style="57" customWidth="1"/>
    <col min="11547" max="11547" width="20" style="57" customWidth="1"/>
    <col min="11548" max="11552" width="15.6640625" style="57" customWidth="1"/>
    <col min="11553" max="11553" width="20.6640625" style="57" customWidth="1"/>
    <col min="11554" max="11554" width="20.44140625" style="57" customWidth="1"/>
    <col min="11555" max="11555" width="15.6640625" style="57" customWidth="1"/>
    <col min="11556" max="11556" width="20.6640625" style="57" customWidth="1"/>
    <col min="11557" max="11557" width="27.44140625" style="57" customWidth="1"/>
    <col min="11558" max="11797" width="11.44140625" style="57"/>
    <col min="11798" max="11798" width="6.6640625" style="57" customWidth="1"/>
    <col min="11799" max="11799" width="59" style="57" customWidth="1"/>
    <col min="11800" max="11802" width="20.6640625" style="57" customWidth="1"/>
    <col min="11803" max="11803" width="20" style="57" customWidth="1"/>
    <col min="11804" max="11808" width="15.6640625" style="57" customWidth="1"/>
    <col min="11809" max="11809" width="20.6640625" style="57" customWidth="1"/>
    <col min="11810" max="11810" width="20.44140625" style="57" customWidth="1"/>
    <col min="11811" max="11811" width="15.6640625" style="57" customWidth="1"/>
    <col min="11812" max="11812" width="20.6640625" style="57" customWidth="1"/>
    <col min="11813" max="11813" width="27.44140625" style="57" customWidth="1"/>
    <col min="11814" max="12053" width="11.44140625" style="57"/>
    <col min="12054" max="12054" width="6.6640625" style="57" customWidth="1"/>
    <col min="12055" max="12055" width="59" style="57" customWidth="1"/>
    <col min="12056" max="12058" width="20.6640625" style="57" customWidth="1"/>
    <col min="12059" max="12059" width="20" style="57" customWidth="1"/>
    <col min="12060" max="12064" width="15.6640625" style="57" customWidth="1"/>
    <col min="12065" max="12065" width="20.6640625" style="57" customWidth="1"/>
    <col min="12066" max="12066" width="20.44140625" style="57" customWidth="1"/>
    <col min="12067" max="12067" width="15.6640625" style="57" customWidth="1"/>
    <col min="12068" max="12068" width="20.6640625" style="57" customWidth="1"/>
    <col min="12069" max="12069" width="27.44140625" style="57" customWidth="1"/>
    <col min="12070" max="12308" width="9.109375" style="57"/>
    <col min="12309" max="12309" width="11.44140625" style="57"/>
    <col min="12310" max="12310" width="6.6640625" style="57" customWidth="1"/>
    <col min="12311" max="12311" width="59" style="57" customWidth="1"/>
    <col min="12312" max="12314" width="20.6640625" style="57" customWidth="1"/>
    <col min="12315" max="12315" width="20" style="57" customWidth="1"/>
    <col min="12316" max="12320" width="15.6640625" style="57" customWidth="1"/>
    <col min="12321" max="12321" width="20.6640625" style="57" customWidth="1"/>
    <col min="12322" max="12322" width="20.44140625" style="57" customWidth="1"/>
    <col min="12323" max="12323" width="15.6640625" style="57" customWidth="1"/>
    <col min="12324" max="12324" width="20.6640625" style="57" customWidth="1"/>
    <col min="12325" max="12325" width="27.44140625" style="57" customWidth="1"/>
    <col min="12326" max="12565" width="11.44140625" style="57"/>
    <col min="12566" max="12566" width="6.6640625" style="57" customWidth="1"/>
    <col min="12567" max="12567" width="59" style="57" customWidth="1"/>
    <col min="12568" max="12570" width="20.6640625" style="57" customWidth="1"/>
    <col min="12571" max="12571" width="20" style="57" customWidth="1"/>
    <col min="12572" max="12576" width="15.6640625" style="57" customWidth="1"/>
    <col min="12577" max="12577" width="20.6640625" style="57" customWidth="1"/>
    <col min="12578" max="12578" width="20.44140625" style="57" customWidth="1"/>
    <col min="12579" max="12579" width="15.6640625" style="57" customWidth="1"/>
    <col min="12580" max="12580" width="20.6640625" style="57" customWidth="1"/>
    <col min="12581" max="12581" width="27.44140625" style="57" customWidth="1"/>
    <col min="12582" max="12821" width="11.44140625" style="57"/>
    <col min="12822" max="12822" width="6.6640625" style="57" customWidth="1"/>
    <col min="12823" max="12823" width="59" style="57" customWidth="1"/>
    <col min="12824" max="12826" width="20.6640625" style="57" customWidth="1"/>
    <col min="12827" max="12827" width="20" style="57" customWidth="1"/>
    <col min="12828" max="12832" width="15.6640625" style="57" customWidth="1"/>
    <col min="12833" max="12833" width="20.6640625" style="57" customWidth="1"/>
    <col min="12834" max="12834" width="20.44140625" style="57" customWidth="1"/>
    <col min="12835" max="12835" width="15.6640625" style="57" customWidth="1"/>
    <col min="12836" max="12836" width="20.6640625" style="57" customWidth="1"/>
    <col min="12837" max="12837" width="27.44140625" style="57" customWidth="1"/>
    <col min="12838" max="13077" width="11.44140625" style="57"/>
    <col min="13078" max="13078" width="6.6640625" style="57" customWidth="1"/>
    <col min="13079" max="13079" width="59" style="57" customWidth="1"/>
    <col min="13080" max="13082" width="20.6640625" style="57" customWidth="1"/>
    <col min="13083" max="13083" width="20" style="57" customWidth="1"/>
    <col min="13084" max="13088" width="15.6640625" style="57" customWidth="1"/>
    <col min="13089" max="13089" width="20.6640625" style="57" customWidth="1"/>
    <col min="13090" max="13090" width="20.44140625" style="57" customWidth="1"/>
    <col min="13091" max="13091" width="15.6640625" style="57" customWidth="1"/>
    <col min="13092" max="13092" width="20.6640625" style="57" customWidth="1"/>
    <col min="13093" max="13093" width="27.44140625" style="57" customWidth="1"/>
    <col min="13094" max="13332" width="9.109375" style="57"/>
    <col min="13333" max="13333" width="11.44140625" style="57"/>
    <col min="13334" max="13334" width="6.6640625" style="57" customWidth="1"/>
    <col min="13335" max="13335" width="59" style="57" customWidth="1"/>
    <col min="13336" max="13338" width="20.6640625" style="57" customWidth="1"/>
    <col min="13339" max="13339" width="20" style="57" customWidth="1"/>
    <col min="13340" max="13344" width="15.6640625" style="57" customWidth="1"/>
    <col min="13345" max="13345" width="20.6640625" style="57" customWidth="1"/>
    <col min="13346" max="13346" width="20.44140625" style="57" customWidth="1"/>
    <col min="13347" max="13347" width="15.6640625" style="57" customWidth="1"/>
    <col min="13348" max="13348" width="20.6640625" style="57" customWidth="1"/>
    <col min="13349" max="13349" width="27.44140625" style="57" customWidth="1"/>
    <col min="13350" max="13589" width="11.44140625" style="57"/>
    <col min="13590" max="13590" width="6.6640625" style="57" customWidth="1"/>
    <col min="13591" max="13591" width="59" style="57" customWidth="1"/>
    <col min="13592" max="13594" width="20.6640625" style="57" customWidth="1"/>
    <col min="13595" max="13595" width="20" style="57" customWidth="1"/>
    <col min="13596" max="13600" width="15.6640625" style="57" customWidth="1"/>
    <col min="13601" max="13601" width="20.6640625" style="57" customWidth="1"/>
    <col min="13602" max="13602" width="20.44140625" style="57" customWidth="1"/>
    <col min="13603" max="13603" width="15.6640625" style="57" customWidth="1"/>
    <col min="13604" max="13604" width="20.6640625" style="57" customWidth="1"/>
    <col min="13605" max="13605" width="27.44140625" style="57" customWidth="1"/>
    <col min="13606" max="13845" width="11.44140625" style="57"/>
    <col min="13846" max="13846" width="6.6640625" style="57" customWidth="1"/>
    <col min="13847" max="13847" width="59" style="57" customWidth="1"/>
    <col min="13848" max="13850" width="20.6640625" style="57" customWidth="1"/>
    <col min="13851" max="13851" width="20" style="57" customWidth="1"/>
    <col min="13852" max="13856" width="15.6640625" style="57" customWidth="1"/>
    <col min="13857" max="13857" width="20.6640625" style="57" customWidth="1"/>
    <col min="13858" max="13858" width="20.44140625" style="57" customWidth="1"/>
    <col min="13859" max="13859" width="15.6640625" style="57" customWidth="1"/>
    <col min="13860" max="13860" width="20.6640625" style="57" customWidth="1"/>
    <col min="13861" max="13861" width="27.44140625" style="57" customWidth="1"/>
    <col min="13862" max="14101" width="11.44140625" style="57"/>
    <col min="14102" max="14102" width="6.6640625" style="57" customWidth="1"/>
    <col min="14103" max="14103" width="59" style="57" customWidth="1"/>
    <col min="14104" max="14106" width="20.6640625" style="57" customWidth="1"/>
    <col min="14107" max="14107" width="20" style="57" customWidth="1"/>
    <col min="14108" max="14112" width="15.6640625" style="57" customWidth="1"/>
    <col min="14113" max="14113" width="20.6640625" style="57" customWidth="1"/>
    <col min="14114" max="14114" width="20.44140625" style="57" customWidth="1"/>
    <col min="14115" max="14115" width="15.6640625" style="57" customWidth="1"/>
    <col min="14116" max="14116" width="20.6640625" style="57" customWidth="1"/>
    <col min="14117" max="14117" width="27.44140625" style="57" customWidth="1"/>
    <col min="14118" max="14356" width="9.109375" style="57"/>
    <col min="14357" max="14357" width="11.44140625" style="57"/>
    <col min="14358" max="14358" width="6.6640625" style="57" customWidth="1"/>
    <col min="14359" max="14359" width="59" style="57" customWidth="1"/>
    <col min="14360" max="14362" width="20.6640625" style="57" customWidth="1"/>
    <col min="14363" max="14363" width="20" style="57" customWidth="1"/>
    <col min="14364" max="14368" width="15.6640625" style="57" customWidth="1"/>
    <col min="14369" max="14369" width="20.6640625" style="57" customWidth="1"/>
    <col min="14370" max="14370" width="20.44140625" style="57" customWidth="1"/>
    <col min="14371" max="14371" width="15.6640625" style="57" customWidth="1"/>
    <col min="14372" max="14372" width="20.6640625" style="57" customWidth="1"/>
    <col min="14373" max="14373" width="27.44140625" style="57" customWidth="1"/>
    <col min="14374" max="14613" width="11.44140625" style="57"/>
    <col min="14614" max="14614" width="6.6640625" style="57" customWidth="1"/>
    <col min="14615" max="14615" width="59" style="57" customWidth="1"/>
    <col min="14616" max="14618" width="20.6640625" style="57" customWidth="1"/>
    <col min="14619" max="14619" width="20" style="57" customWidth="1"/>
    <col min="14620" max="14624" width="15.6640625" style="57" customWidth="1"/>
    <col min="14625" max="14625" width="20.6640625" style="57" customWidth="1"/>
    <col min="14626" max="14626" width="20.44140625" style="57" customWidth="1"/>
    <col min="14627" max="14627" width="15.6640625" style="57" customWidth="1"/>
    <col min="14628" max="14628" width="20.6640625" style="57" customWidth="1"/>
    <col min="14629" max="14629" width="27.44140625" style="57" customWidth="1"/>
    <col min="14630" max="14869" width="11.44140625" style="57"/>
    <col min="14870" max="14870" width="6.6640625" style="57" customWidth="1"/>
    <col min="14871" max="14871" width="59" style="57" customWidth="1"/>
    <col min="14872" max="14874" width="20.6640625" style="57" customWidth="1"/>
    <col min="14875" max="14875" width="20" style="57" customWidth="1"/>
    <col min="14876" max="14880" width="15.6640625" style="57" customWidth="1"/>
    <col min="14881" max="14881" width="20.6640625" style="57" customWidth="1"/>
    <col min="14882" max="14882" width="20.44140625" style="57" customWidth="1"/>
    <col min="14883" max="14883" width="15.6640625" style="57" customWidth="1"/>
    <col min="14884" max="14884" width="20.6640625" style="57" customWidth="1"/>
    <col min="14885" max="14885" width="27.44140625" style="57" customWidth="1"/>
    <col min="14886" max="15125" width="11.44140625" style="57"/>
    <col min="15126" max="15126" width="6.6640625" style="57" customWidth="1"/>
    <col min="15127" max="15127" width="59" style="57" customWidth="1"/>
    <col min="15128" max="15130" width="20.6640625" style="57" customWidth="1"/>
    <col min="15131" max="15131" width="20" style="57" customWidth="1"/>
    <col min="15132" max="15136" width="15.6640625" style="57" customWidth="1"/>
    <col min="15137" max="15137" width="20.6640625" style="57" customWidth="1"/>
    <col min="15138" max="15138" width="20.44140625" style="57" customWidth="1"/>
    <col min="15139" max="15139" width="15.6640625" style="57" customWidth="1"/>
    <col min="15140" max="15140" width="20.6640625" style="57" customWidth="1"/>
    <col min="15141" max="15141" width="27.44140625" style="57" customWidth="1"/>
    <col min="15142" max="15380" width="9.109375" style="57"/>
    <col min="15381" max="15381" width="11.44140625" style="57"/>
    <col min="15382" max="15382" width="6.6640625" style="57" customWidth="1"/>
    <col min="15383" max="15383" width="59" style="57" customWidth="1"/>
    <col min="15384" max="15386" width="20.6640625" style="57" customWidth="1"/>
    <col min="15387" max="15387" width="20" style="57" customWidth="1"/>
    <col min="15388" max="15392" width="15.6640625" style="57" customWidth="1"/>
    <col min="15393" max="15393" width="20.6640625" style="57" customWidth="1"/>
    <col min="15394" max="15394" width="20.44140625" style="57" customWidth="1"/>
    <col min="15395" max="15395" width="15.6640625" style="57" customWidth="1"/>
    <col min="15396" max="15396" width="20.6640625" style="57" customWidth="1"/>
    <col min="15397" max="15397" width="27.44140625" style="57" customWidth="1"/>
    <col min="15398" max="15637" width="11.44140625" style="57"/>
    <col min="15638" max="15638" width="6.6640625" style="57" customWidth="1"/>
    <col min="15639" max="15639" width="59" style="57" customWidth="1"/>
    <col min="15640" max="15642" width="20.6640625" style="57" customWidth="1"/>
    <col min="15643" max="15643" width="20" style="57" customWidth="1"/>
    <col min="15644" max="15648" width="15.6640625" style="57" customWidth="1"/>
    <col min="15649" max="15649" width="20.6640625" style="57" customWidth="1"/>
    <col min="15650" max="15650" width="20.44140625" style="57" customWidth="1"/>
    <col min="15651" max="15651" width="15.6640625" style="57" customWidth="1"/>
    <col min="15652" max="15652" width="20.6640625" style="57" customWidth="1"/>
    <col min="15653" max="15653" width="27.44140625" style="57" customWidth="1"/>
    <col min="15654" max="15893" width="11.44140625" style="57"/>
    <col min="15894" max="15894" width="6.6640625" style="57" customWidth="1"/>
    <col min="15895" max="15895" width="59" style="57" customWidth="1"/>
    <col min="15896" max="15898" width="20.6640625" style="57" customWidth="1"/>
    <col min="15899" max="15899" width="20" style="57" customWidth="1"/>
    <col min="15900" max="15904" width="15.6640625" style="57" customWidth="1"/>
    <col min="15905" max="15905" width="20.6640625" style="57" customWidth="1"/>
    <col min="15906" max="15906" width="20.44140625" style="57" customWidth="1"/>
    <col min="15907" max="15907" width="15.6640625" style="57" customWidth="1"/>
    <col min="15908" max="15908" width="20.6640625" style="57" customWidth="1"/>
    <col min="15909" max="15909" width="27.44140625" style="57" customWidth="1"/>
    <col min="15910" max="16149" width="11.44140625" style="57"/>
    <col min="16150" max="16150" width="6.6640625" style="57" customWidth="1"/>
    <col min="16151" max="16151" width="59" style="57" customWidth="1"/>
    <col min="16152" max="16154" width="20.6640625" style="57" customWidth="1"/>
    <col min="16155" max="16155" width="20" style="57" customWidth="1"/>
    <col min="16156" max="16160" width="15.6640625" style="57" customWidth="1"/>
    <col min="16161" max="16161" width="20.6640625" style="57" customWidth="1"/>
    <col min="16162" max="16162" width="20.44140625" style="57" customWidth="1"/>
    <col min="16163" max="16163" width="15.6640625" style="57" customWidth="1"/>
    <col min="16164" max="16164" width="20.6640625" style="57" customWidth="1"/>
    <col min="16165" max="16165" width="27.44140625" style="57" customWidth="1"/>
    <col min="16166" max="16383" width="9.109375" style="57"/>
    <col min="16384" max="16384" width="9.109375" style="57" customWidth="1"/>
  </cols>
  <sheetData>
    <row r="1" spans="1:60" ht="28.5" customHeight="1">
      <c r="A1" s="575" t="s">
        <v>439</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306"/>
      <c r="AE1" s="306"/>
      <c r="AF1" s="306"/>
      <c r="AG1" s="306"/>
    </row>
    <row r="2" spans="1:60" ht="69.900000000000006" customHeight="1">
      <c r="A2" s="576" t="s">
        <v>1457</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307"/>
      <c r="AE2" s="307"/>
      <c r="AF2" s="307"/>
      <c r="AG2" s="307"/>
    </row>
    <row r="3" spans="1:60" ht="55.5" customHeight="1">
      <c r="A3" s="577" t="s">
        <v>475</v>
      </c>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308"/>
      <c r="AE3" s="308"/>
      <c r="AF3" s="308"/>
      <c r="AG3" s="308"/>
    </row>
    <row r="4" spans="1:60" ht="51.75" customHeight="1">
      <c r="A4" s="578" t="str">
        <f>'1. CĐNS'!A3</f>
        <v>(Ban hành kèm theo Quyết định số: 2571/QĐ-UBND ngày 12/12/2024 của Ủy ban nhân dân tỉnh)</v>
      </c>
      <c r="B4" s="578"/>
      <c r="C4" s="578"/>
      <c r="D4" s="578"/>
      <c r="E4" s="578"/>
      <c r="F4" s="578"/>
      <c r="G4" s="578"/>
      <c r="H4" s="578"/>
      <c r="I4" s="578"/>
      <c r="J4" s="578"/>
      <c r="K4" s="578"/>
      <c r="L4" s="578"/>
      <c r="M4" s="578"/>
      <c r="N4" s="578"/>
      <c r="O4" s="578"/>
      <c r="P4" s="578"/>
      <c r="Q4" s="578"/>
      <c r="R4" s="578"/>
      <c r="S4" s="578"/>
      <c r="T4" s="578"/>
      <c r="U4" s="578"/>
      <c r="V4" s="578"/>
      <c r="W4" s="578"/>
      <c r="X4" s="578"/>
      <c r="Y4" s="578"/>
      <c r="Z4" s="578"/>
      <c r="AA4" s="578"/>
      <c r="AB4" s="578"/>
      <c r="AC4" s="578"/>
      <c r="AD4" s="309"/>
      <c r="AE4" s="309"/>
      <c r="AF4" s="309"/>
      <c r="AG4" s="309"/>
    </row>
    <row r="5" spans="1:60" ht="33.75" customHeight="1">
      <c r="J5" s="71"/>
      <c r="K5" s="71"/>
      <c r="L5" s="74"/>
      <c r="M5" s="74"/>
      <c r="N5" s="74"/>
      <c r="O5" s="74"/>
      <c r="P5" s="74"/>
      <c r="Q5" s="74"/>
      <c r="R5" s="74"/>
      <c r="S5" s="74"/>
      <c r="T5" s="74"/>
      <c r="U5" s="71"/>
      <c r="V5" s="71"/>
      <c r="W5" s="74"/>
      <c r="X5" s="74"/>
      <c r="Y5" s="74"/>
      <c r="Z5" s="74"/>
      <c r="AA5" s="74"/>
      <c r="AB5" s="74"/>
      <c r="AC5" s="310" t="s">
        <v>0</v>
      </c>
      <c r="AD5" s="71"/>
      <c r="AE5" s="71"/>
      <c r="AF5" s="71"/>
      <c r="AG5" s="310" t="s">
        <v>0</v>
      </c>
    </row>
    <row r="6" spans="1:60" ht="69" customHeight="1">
      <c r="A6" s="574" t="s">
        <v>1</v>
      </c>
      <c r="B6" s="561" t="s">
        <v>513</v>
      </c>
      <c r="C6" s="574" t="s">
        <v>2</v>
      </c>
      <c r="D6" s="574" t="s">
        <v>3</v>
      </c>
      <c r="E6" s="574" t="s">
        <v>4</v>
      </c>
      <c r="F6" s="574" t="s">
        <v>5</v>
      </c>
      <c r="G6" s="574" t="s">
        <v>148</v>
      </c>
      <c r="H6" s="574"/>
      <c r="I6" s="574"/>
      <c r="J6" s="557" t="s">
        <v>512</v>
      </c>
      <c r="K6" s="566" t="s">
        <v>512</v>
      </c>
      <c r="L6" s="567"/>
      <c r="M6" s="567"/>
      <c r="N6" s="567"/>
      <c r="O6" s="567"/>
      <c r="P6" s="567"/>
      <c r="Q6" s="567"/>
      <c r="R6" s="567"/>
      <c r="S6" s="568"/>
      <c r="T6" s="565" t="s">
        <v>808</v>
      </c>
      <c r="U6" s="565"/>
      <c r="V6" s="565"/>
      <c r="W6" s="565"/>
      <c r="X6" s="557" t="s">
        <v>689</v>
      </c>
      <c r="Y6" s="557" t="s">
        <v>690</v>
      </c>
      <c r="Z6" s="557" t="s">
        <v>1072</v>
      </c>
      <c r="AA6" s="557" t="s">
        <v>1073</v>
      </c>
      <c r="AB6" s="557" t="s">
        <v>1071</v>
      </c>
      <c r="AC6" s="574" t="s">
        <v>6</v>
      </c>
      <c r="AD6" s="565" t="s">
        <v>149</v>
      </c>
      <c r="AE6" s="565"/>
      <c r="AF6" s="565"/>
      <c r="AG6" s="574" t="s">
        <v>6</v>
      </c>
      <c r="AH6" s="573" t="s">
        <v>9</v>
      </c>
      <c r="AI6" s="573" t="s">
        <v>68</v>
      </c>
      <c r="AJ6" s="573" t="s">
        <v>69</v>
      </c>
      <c r="AK6" s="56"/>
      <c r="AL6" s="56" t="s">
        <v>452</v>
      </c>
      <c r="AM6" s="56" t="s">
        <v>453</v>
      </c>
      <c r="AN6" s="57" t="s">
        <v>454</v>
      </c>
      <c r="AO6" s="57" t="s">
        <v>627</v>
      </c>
      <c r="AP6" s="57" t="s">
        <v>629</v>
      </c>
      <c r="AQ6" s="57" t="s">
        <v>628</v>
      </c>
      <c r="AS6" s="57" t="s">
        <v>455</v>
      </c>
      <c r="AT6" s="56" t="s">
        <v>456</v>
      </c>
      <c r="AU6" s="56" t="s">
        <v>474</v>
      </c>
      <c r="AV6" s="56" t="s">
        <v>629</v>
      </c>
      <c r="AW6" s="56" t="s">
        <v>459</v>
      </c>
      <c r="AX6" s="56" t="s">
        <v>460</v>
      </c>
      <c r="AY6" s="56" t="s">
        <v>461</v>
      </c>
      <c r="AZ6" s="56" t="s">
        <v>462</v>
      </c>
      <c r="BA6" s="56" t="s">
        <v>463</v>
      </c>
      <c r="BB6" s="56" t="s">
        <v>464</v>
      </c>
      <c r="BC6" s="56" t="s">
        <v>465</v>
      </c>
      <c r="BD6" s="56" t="s">
        <v>466</v>
      </c>
      <c r="BE6" s="56" t="s">
        <v>467</v>
      </c>
      <c r="BF6" s="56" t="s">
        <v>468</v>
      </c>
      <c r="BG6" s="56" t="s">
        <v>469</v>
      </c>
    </row>
    <row r="7" spans="1:60" ht="39.9" customHeight="1">
      <c r="A7" s="574"/>
      <c r="B7" s="561"/>
      <c r="C7" s="574"/>
      <c r="D7" s="574"/>
      <c r="E7" s="574"/>
      <c r="F7" s="574"/>
      <c r="G7" s="574" t="s">
        <v>150</v>
      </c>
      <c r="H7" s="565" t="s">
        <v>8</v>
      </c>
      <c r="I7" s="565"/>
      <c r="J7" s="569"/>
      <c r="K7" s="557" t="s">
        <v>558</v>
      </c>
      <c r="L7" s="566" t="s">
        <v>559</v>
      </c>
      <c r="M7" s="567"/>
      <c r="N7" s="567"/>
      <c r="O7" s="567"/>
      <c r="P7" s="567"/>
      <c r="Q7" s="567"/>
      <c r="R7" s="567"/>
      <c r="S7" s="568"/>
      <c r="T7" s="565" t="s">
        <v>9</v>
      </c>
      <c r="U7" s="565" t="s">
        <v>10</v>
      </c>
      <c r="V7" s="565"/>
      <c r="W7" s="565"/>
      <c r="X7" s="569"/>
      <c r="Y7" s="569"/>
      <c r="Z7" s="569"/>
      <c r="AA7" s="569"/>
      <c r="AB7" s="569"/>
      <c r="AC7" s="574"/>
      <c r="AD7" s="565" t="s">
        <v>9</v>
      </c>
      <c r="AE7" s="565" t="s">
        <v>10</v>
      </c>
      <c r="AF7" s="565"/>
      <c r="AG7" s="574"/>
      <c r="AH7" s="573"/>
      <c r="AI7" s="573"/>
      <c r="AJ7" s="573"/>
      <c r="AK7" s="56"/>
      <c r="AL7" s="56"/>
      <c r="AM7" s="56"/>
      <c r="AO7" s="57">
        <f>SUMIF($AO$9:$AO$798,AO6,$AN$9:$AN$798)</f>
        <v>0</v>
      </c>
      <c r="AP7" s="57">
        <f>SUMIF($AO$9:$AO$798,AP6,$AN$9:$AN$798)</f>
        <v>52000</v>
      </c>
      <c r="AQ7" s="57">
        <f>SUMIF($AO$9:$AO$798,AQ6,$AN$9:$AN$798)</f>
        <v>0</v>
      </c>
      <c r="AR7" s="58" t="s">
        <v>470</v>
      </c>
      <c r="AS7" s="57">
        <f>COUNTIF(AL9:AL930,"CT")</f>
        <v>14</v>
      </c>
      <c r="AT7" s="82">
        <f>SUMIF(AL9:AL930,"CT",AN9:AN930)</f>
        <v>58690</v>
      </c>
      <c r="AU7" s="82">
        <f t="shared" ref="AU7:BG7" si="0">SUMIFS($AN$9:$AN$1032,$AL$9:$AL$1032,"CT",$AM$9:$AM$1032,AU6)</f>
        <v>26800</v>
      </c>
      <c r="AV7" s="82">
        <f t="shared" si="0"/>
        <v>0</v>
      </c>
      <c r="AW7" s="82">
        <f t="shared" si="0"/>
        <v>27900</v>
      </c>
      <c r="AX7" s="82">
        <f t="shared" si="0"/>
        <v>0</v>
      </c>
      <c r="AY7" s="82">
        <f t="shared" si="0"/>
        <v>3990</v>
      </c>
      <c r="AZ7" s="82">
        <f t="shared" si="0"/>
        <v>0</v>
      </c>
      <c r="BA7" s="82">
        <f t="shared" si="0"/>
        <v>0</v>
      </c>
      <c r="BB7" s="82">
        <f t="shared" si="0"/>
        <v>0</v>
      </c>
      <c r="BC7" s="82">
        <f t="shared" si="0"/>
        <v>0</v>
      </c>
      <c r="BD7" s="82">
        <f t="shared" si="0"/>
        <v>0</v>
      </c>
      <c r="BE7" s="82">
        <f t="shared" si="0"/>
        <v>0</v>
      </c>
      <c r="BF7" s="82">
        <f t="shared" si="0"/>
        <v>0</v>
      </c>
      <c r="BG7" s="82">
        <f t="shared" si="0"/>
        <v>0</v>
      </c>
      <c r="BH7" s="58">
        <f>SUM(AU7:BG7)</f>
        <v>58690</v>
      </c>
    </row>
    <row r="8" spans="1:60" ht="62.25" customHeight="1">
      <c r="A8" s="574"/>
      <c r="B8" s="561"/>
      <c r="C8" s="574"/>
      <c r="D8" s="574"/>
      <c r="E8" s="574"/>
      <c r="F8" s="574"/>
      <c r="G8" s="574"/>
      <c r="H8" s="13" t="s">
        <v>66</v>
      </c>
      <c r="I8" s="85" t="s">
        <v>151</v>
      </c>
      <c r="J8" s="558"/>
      <c r="K8" s="558"/>
      <c r="L8" s="85" t="s">
        <v>560</v>
      </c>
      <c r="M8" s="85" t="s">
        <v>562</v>
      </c>
      <c r="N8" s="85" t="s">
        <v>565</v>
      </c>
      <c r="O8" s="85" t="s">
        <v>573</v>
      </c>
      <c r="P8" s="85" t="s">
        <v>586</v>
      </c>
      <c r="Q8" s="85" t="s">
        <v>589</v>
      </c>
      <c r="R8" s="85" t="s">
        <v>648</v>
      </c>
      <c r="S8" s="85" t="s">
        <v>686</v>
      </c>
      <c r="T8" s="565"/>
      <c r="U8" s="85" t="s">
        <v>13</v>
      </c>
      <c r="V8" s="85" t="s">
        <v>564</v>
      </c>
      <c r="W8" s="85" t="s">
        <v>753</v>
      </c>
      <c r="X8" s="558"/>
      <c r="Y8" s="558"/>
      <c r="Z8" s="558"/>
      <c r="AA8" s="558"/>
      <c r="AB8" s="558"/>
      <c r="AC8" s="574"/>
      <c r="AD8" s="565"/>
      <c r="AE8" s="85" t="s">
        <v>13</v>
      </c>
      <c r="AF8" s="85" t="s">
        <v>14</v>
      </c>
      <c r="AG8" s="574"/>
      <c r="AH8" s="573"/>
      <c r="AI8" s="573"/>
      <c r="AJ8" s="573"/>
      <c r="AK8" s="56"/>
      <c r="AL8" s="56"/>
      <c r="AM8" s="56"/>
      <c r="AR8" s="57" t="s">
        <v>471</v>
      </c>
      <c r="AS8" s="57">
        <f>COUNTIF(AL9:AL929,"KCM")</f>
        <v>14</v>
      </c>
      <c r="AT8" s="82">
        <f>SUMIF(AL10:AL930,"KCM",AN10:AN930)</f>
        <v>59000</v>
      </c>
      <c r="AU8" s="82">
        <f t="shared" ref="AU8:BG8" si="1">SUMIFS($AN$9:$AN$1032,$AL$9:$AL$1032,"KCM",$AM$9:$AM$1032,AU6)</f>
        <v>25200</v>
      </c>
      <c r="AV8" s="82">
        <f t="shared" si="1"/>
        <v>0</v>
      </c>
      <c r="AW8" s="82">
        <f t="shared" si="1"/>
        <v>21500</v>
      </c>
      <c r="AX8" s="82">
        <f t="shared" si="1"/>
        <v>0</v>
      </c>
      <c r="AY8" s="82">
        <f t="shared" si="1"/>
        <v>12300</v>
      </c>
      <c r="AZ8" s="82">
        <f t="shared" si="1"/>
        <v>0</v>
      </c>
      <c r="BA8" s="82">
        <f t="shared" si="1"/>
        <v>0</v>
      </c>
      <c r="BB8" s="82">
        <f t="shared" si="1"/>
        <v>0</v>
      </c>
      <c r="BC8" s="82">
        <f t="shared" si="1"/>
        <v>0</v>
      </c>
      <c r="BD8" s="82">
        <f t="shared" si="1"/>
        <v>0</v>
      </c>
      <c r="BE8" s="82">
        <f t="shared" si="1"/>
        <v>0</v>
      </c>
      <c r="BF8" s="82">
        <f t="shared" si="1"/>
        <v>0</v>
      </c>
      <c r="BG8" s="82">
        <f t="shared" si="1"/>
        <v>0</v>
      </c>
      <c r="BH8" s="58">
        <f>SUM(AU8:BG8)</f>
        <v>59000</v>
      </c>
    </row>
    <row r="9" spans="1:60" s="313" customFormat="1" ht="75.75" customHeight="1">
      <c r="A9" s="311"/>
      <c r="B9" s="311" t="s">
        <v>280</v>
      </c>
      <c r="C9" s="311"/>
      <c r="D9" s="311"/>
      <c r="E9" s="311"/>
      <c r="F9" s="311"/>
      <c r="G9" s="311"/>
      <c r="H9" s="188">
        <f t="shared" ref="H9:X9" si="2">SUM(H10,H55)</f>
        <v>1183091</v>
      </c>
      <c r="I9" s="188">
        <f t="shared" si="2"/>
        <v>634200</v>
      </c>
      <c r="J9" s="188">
        <f t="shared" si="2"/>
        <v>196100</v>
      </c>
      <c r="K9" s="188">
        <f t="shared" si="2"/>
        <v>189800</v>
      </c>
      <c r="L9" s="188">
        <f t="shared" si="2"/>
        <v>0</v>
      </c>
      <c r="M9" s="188">
        <f t="shared" si="2"/>
        <v>0</v>
      </c>
      <c r="N9" s="188">
        <f t="shared" si="2"/>
        <v>0</v>
      </c>
      <c r="O9" s="188">
        <f t="shared" si="2"/>
        <v>0</v>
      </c>
      <c r="P9" s="188">
        <f t="shared" si="2"/>
        <v>6300</v>
      </c>
      <c r="Q9" s="188">
        <f t="shared" si="2"/>
        <v>0</v>
      </c>
      <c r="R9" s="188">
        <f t="shared" si="2"/>
        <v>0</v>
      </c>
      <c r="S9" s="188">
        <f t="shared" si="2"/>
        <v>0</v>
      </c>
      <c r="T9" s="188">
        <f t="shared" si="2"/>
        <v>68410</v>
      </c>
      <c r="U9" s="188">
        <f t="shared" si="2"/>
        <v>0</v>
      </c>
      <c r="V9" s="188">
        <f t="shared" si="2"/>
        <v>0</v>
      </c>
      <c r="W9" s="188">
        <f t="shared" si="2"/>
        <v>68410</v>
      </c>
      <c r="X9" s="188">
        <f t="shared" si="2"/>
        <v>127690</v>
      </c>
      <c r="Y9" s="188">
        <f>SUM(Y10,Y55)</f>
        <v>277790</v>
      </c>
      <c r="Z9" s="188">
        <f>SUM(Z10,Z55)</f>
        <v>20500</v>
      </c>
      <c r="AA9" s="393">
        <f>SUM(AA10,AA55)</f>
        <v>-17390</v>
      </c>
      <c r="AB9" s="188">
        <f>SUM(AB10,AB55)</f>
        <v>280900</v>
      </c>
      <c r="AC9" s="228" t="s">
        <v>864</v>
      </c>
      <c r="AD9" s="190"/>
      <c r="AE9" s="190"/>
      <c r="AF9" s="190"/>
      <c r="AG9" s="311"/>
      <c r="AH9" s="312"/>
      <c r="AI9" s="312"/>
      <c r="AJ9" s="312"/>
      <c r="AK9" s="312"/>
      <c r="AL9" s="312"/>
      <c r="AM9" s="312"/>
      <c r="AR9" s="230" t="s">
        <v>470</v>
      </c>
      <c r="AS9" s="44">
        <f>SUM(AU9:BG9)</f>
        <v>14</v>
      </c>
      <c r="AT9" s="44"/>
      <c r="AU9" s="44">
        <f t="shared" ref="AU9:BG9" si="3">COUNTIFS($AL$9:$AL$930,"CT",$AM$9:$AM$930,AU6)</f>
        <v>7</v>
      </c>
      <c r="AV9" s="44">
        <f t="shared" si="3"/>
        <v>0</v>
      </c>
      <c r="AW9" s="44">
        <f t="shared" si="3"/>
        <v>5</v>
      </c>
      <c r="AX9" s="44">
        <f t="shared" si="3"/>
        <v>0</v>
      </c>
      <c r="AY9" s="44">
        <f t="shared" si="3"/>
        <v>2</v>
      </c>
      <c r="AZ9" s="44">
        <f t="shared" si="3"/>
        <v>0</v>
      </c>
      <c r="BA9" s="44">
        <f t="shared" si="3"/>
        <v>0</v>
      </c>
      <c r="BB9" s="44">
        <f t="shared" si="3"/>
        <v>0</v>
      </c>
      <c r="BC9" s="44">
        <f t="shared" si="3"/>
        <v>0</v>
      </c>
      <c r="BD9" s="44">
        <f t="shared" si="3"/>
        <v>0</v>
      </c>
      <c r="BE9" s="44">
        <f t="shared" si="3"/>
        <v>0</v>
      </c>
      <c r="BF9" s="44">
        <f t="shared" si="3"/>
        <v>0</v>
      </c>
      <c r="BG9" s="44">
        <f t="shared" si="3"/>
        <v>0</v>
      </c>
      <c r="BH9" s="45"/>
    </row>
    <row r="10" spans="1:60" ht="45" customHeight="1">
      <c r="A10" s="336" t="s">
        <v>15</v>
      </c>
      <c r="B10" s="228" t="s">
        <v>16</v>
      </c>
      <c r="C10" s="336"/>
      <c r="D10" s="336"/>
      <c r="E10" s="336"/>
      <c r="F10" s="336"/>
      <c r="G10" s="336"/>
      <c r="H10" s="229">
        <f>SUM(H11,H25,H29,H39,H44,)</f>
        <v>506065</v>
      </c>
      <c r="I10" s="229">
        <f t="shared" ref="I10:AB10" si="4">SUM(I11,I25,I29,I39,I44,)</f>
        <v>330300</v>
      </c>
      <c r="J10" s="229">
        <f t="shared" si="4"/>
        <v>127100</v>
      </c>
      <c r="K10" s="229">
        <f t="shared" si="4"/>
        <v>127100</v>
      </c>
      <c r="L10" s="229">
        <f t="shared" si="4"/>
        <v>0</v>
      </c>
      <c r="M10" s="229">
        <f t="shared" si="4"/>
        <v>0</v>
      </c>
      <c r="N10" s="229">
        <f t="shared" si="4"/>
        <v>0</v>
      </c>
      <c r="O10" s="229">
        <f t="shared" si="4"/>
        <v>0</v>
      </c>
      <c r="P10" s="229">
        <f t="shared" si="4"/>
        <v>0</v>
      </c>
      <c r="Q10" s="229">
        <f t="shared" si="4"/>
        <v>0</v>
      </c>
      <c r="R10" s="229">
        <f t="shared" si="4"/>
        <v>0</v>
      </c>
      <c r="S10" s="229">
        <f t="shared" si="4"/>
        <v>0</v>
      </c>
      <c r="T10" s="229">
        <f t="shared" si="4"/>
        <v>68410</v>
      </c>
      <c r="U10" s="229">
        <f t="shared" si="4"/>
        <v>0</v>
      </c>
      <c r="V10" s="229">
        <f t="shared" si="4"/>
        <v>0</v>
      </c>
      <c r="W10" s="229">
        <f t="shared" si="4"/>
        <v>68410</v>
      </c>
      <c r="X10" s="229">
        <f t="shared" si="4"/>
        <v>58690</v>
      </c>
      <c r="Y10" s="229">
        <f t="shared" si="4"/>
        <v>98490</v>
      </c>
      <c r="Z10" s="229">
        <f t="shared" si="4"/>
        <v>19200</v>
      </c>
      <c r="AA10" s="391">
        <f t="shared" si="4"/>
        <v>-8290</v>
      </c>
      <c r="AB10" s="229">
        <f t="shared" si="4"/>
        <v>109400</v>
      </c>
      <c r="AC10" s="85"/>
      <c r="AD10" s="85" t="e">
        <f>SUM(#REF!,#REF!,#REF!)</f>
        <v>#REF!</v>
      </c>
      <c r="AE10" s="85" t="e">
        <f>SUM(#REF!,#REF!,#REF!)</f>
        <v>#REF!</v>
      </c>
      <c r="AF10" s="85" t="e">
        <f>SUM(#REF!,#REF!,#REF!)</f>
        <v>#REF!</v>
      </c>
      <c r="AG10" s="336"/>
      <c r="AL10" s="39"/>
      <c r="AM10" s="39"/>
      <c r="AN10" s="44"/>
      <c r="AO10" s="44"/>
      <c r="AP10" s="44"/>
      <c r="AQ10" s="44"/>
      <c r="AR10" s="42" t="s">
        <v>471</v>
      </c>
      <c r="AS10" s="44">
        <f>SUM(AU10:BG10)</f>
        <v>14</v>
      </c>
      <c r="AT10" s="44"/>
      <c r="AU10" s="44">
        <f t="shared" ref="AU10:BG10" si="5">COUNTIFS($AL$9:$AL$930,"KCM",$AM$9:$AM$930,AU6)</f>
        <v>5</v>
      </c>
      <c r="AV10" s="44">
        <f t="shared" si="5"/>
        <v>0</v>
      </c>
      <c r="AW10" s="44">
        <f t="shared" si="5"/>
        <v>3</v>
      </c>
      <c r="AX10" s="44">
        <f t="shared" si="5"/>
        <v>0</v>
      </c>
      <c r="AY10" s="44">
        <f t="shared" si="5"/>
        <v>6</v>
      </c>
      <c r="AZ10" s="44">
        <f t="shared" si="5"/>
        <v>0</v>
      </c>
      <c r="BA10" s="44">
        <f t="shared" si="5"/>
        <v>0</v>
      </c>
      <c r="BB10" s="44">
        <f t="shared" si="5"/>
        <v>0</v>
      </c>
      <c r="BC10" s="44">
        <f t="shared" si="5"/>
        <v>0</v>
      </c>
      <c r="BD10" s="44">
        <f t="shared" si="5"/>
        <v>0</v>
      </c>
      <c r="BE10" s="44">
        <f t="shared" si="5"/>
        <v>0</v>
      </c>
      <c r="BF10" s="44">
        <f t="shared" si="5"/>
        <v>0</v>
      </c>
      <c r="BG10" s="44">
        <f t="shared" si="5"/>
        <v>0</v>
      </c>
      <c r="BH10" s="44"/>
    </row>
    <row r="11" spans="1:60" s="179" customFormat="1" ht="48.75" customHeight="1">
      <c r="A11" s="336" t="s">
        <v>139</v>
      </c>
      <c r="B11" s="314" t="s">
        <v>144</v>
      </c>
      <c r="C11" s="185"/>
      <c r="D11" s="185"/>
      <c r="E11" s="185"/>
      <c r="F11" s="185"/>
      <c r="G11" s="185"/>
      <c r="H11" s="47">
        <f t="shared" ref="H11:Y11" si="6">SUM(H12,H16,H21)</f>
        <v>158123</v>
      </c>
      <c r="I11" s="47">
        <f t="shared" si="6"/>
        <v>89200</v>
      </c>
      <c r="J11" s="47">
        <f t="shared" si="6"/>
        <v>35200</v>
      </c>
      <c r="K11" s="47">
        <f t="shared" si="6"/>
        <v>35200</v>
      </c>
      <c r="L11" s="47">
        <f t="shared" si="6"/>
        <v>0</v>
      </c>
      <c r="M11" s="47">
        <f t="shared" si="6"/>
        <v>0</v>
      </c>
      <c r="N11" s="47">
        <f t="shared" si="6"/>
        <v>0</v>
      </c>
      <c r="O11" s="47">
        <f t="shared" si="6"/>
        <v>0</v>
      </c>
      <c r="P11" s="47">
        <f t="shared" si="6"/>
        <v>0</v>
      </c>
      <c r="Q11" s="47">
        <f t="shared" si="6"/>
        <v>0</v>
      </c>
      <c r="R11" s="47">
        <f t="shared" si="6"/>
        <v>0</v>
      </c>
      <c r="S11" s="47">
        <f t="shared" si="6"/>
        <v>0</v>
      </c>
      <c r="T11" s="47">
        <f t="shared" si="6"/>
        <v>23210</v>
      </c>
      <c r="U11" s="47">
        <f t="shared" si="6"/>
        <v>0</v>
      </c>
      <c r="V11" s="47">
        <f t="shared" si="6"/>
        <v>0</v>
      </c>
      <c r="W11" s="47">
        <f t="shared" si="6"/>
        <v>23210</v>
      </c>
      <c r="X11" s="47">
        <f t="shared" si="6"/>
        <v>11990</v>
      </c>
      <c r="Y11" s="47">
        <f t="shared" si="6"/>
        <v>22990</v>
      </c>
      <c r="Z11" s="47">
        <f>SUM(Z12,Z16,Z21)</f>
        <v>7000</v>
      </c>
      <c r="AA11" s="391">
        <f>SUM(AA12,AA16,AA21)</f>
        <v>-3290</v>
      </c>
      <c r="AB11" s="47">
        <f>SUM(AB12,AB16,AB21)</f>
        <v>26700</v>
      </c>
      <c r="AC11" s="47"/>
      <c r="AD11" s="47" t="e">
        <f>SUM(AD12,AD16,AD21)</f>
        <v>#REF!</v>
      </c>
      <c r="AE11" s="47" t="e">
        <f>SUM(AE12,AE16,AE21)</f>
        <v>#REF!</v>
      </c>
      <c r="AF11" s="47" t="e">
        <f>SUM(AF12,AF16,AF21)</f>
        <v>#REF!</v>
      </c>
      <c r="AG11" s="231"/>
    </row>
    <row r="12" spans="1:60" s="318" customFormat="1" ht="39.75" customHeight="1">
      <c r="A12" s="315" t="s">
        <v>17</v>
      </c>
      <c r="B12" s="316" t="s">
        <v>64</v>
      </c>
      <c r="C12" s="315"/>
      <c r="D12" s="315"/>
      <c r="E12" s="315"/>
      <c r="F12" s="315"/>
      <c r="G12" s="315"/>
      <c r="H12" s="76">
        <f>SUM(H13)</f>
        <v>58450</v>
      </c>
      <c r="I12" s="76">
        <f t="shared" ref="I12:AB12" si="7">SUM(I13)</f>
        <v>37500</v>
      </c>
      <c r="J12" s="76">
        <f t="shared" si="7"/>
        <v>22200</v>
      </c>
      <c r="K12" s="76">
        <f t="shared" si="7"/>
        <v>22200</v>
      </c>
      <c r="L12" s="76">
        <f t="shared" si="7"/>
        <v>0</v>
      </c>
      <c r="M12" s="76">
        <f t="shared" si="7"/>
        <v>0</v>
      </c>
      <c r="N12" s="76">
        <f t="shared" si="7"/>
        <v>0</v>
      </c>
      <c r="O12" s="76">
        <f t="shared" si="7"/>
        <v>0</v>
      </c>
      <c r="P12" s="76">
        <f t="shared" si="7"/>
        <v>0</v>
      </c>
      <c r="Q12" s="76">
        <f t="shared" si="7"/>
        <v>0</v>
      </c>
      <c r="R12" s="76">
        <f t="shared" si="7"/>
        <v>0</v>
      </c>
      <c r="S12" s="76">
        <f t="shared" si="7"/>
        <v>0</v>
      </c>
      <c r="T12" s="76">
        <f t="shared" si="7"/>
        <v>17000</v>
      </c>
      <c r="U12" s="76">
        <f t="shared" si="7"/>
        <v>0</v>
      </c>
      <c r="V12" s="76">
        <f t="shared" si="7"/>
        <v>0</v>
      </c>
      <c r="W12" s="76">
        <f t="shared" si="7"/>
        <v>17000</v>
      </c>
      <c r="X12" s="76">
        <f t="shared" si="7"/>
        <v>5200</v>
      </c>
      <c r="Y12" s="76">
        <f t="shared" si="7"/>
        <v>5200</v>
      </c>
      <c r="Z12" s="76">
        <f t="shared" si="7"/>
        <v>0</v>
      </c>
      <c r="AA12" s="76">
        <f t="shared" si="7"/>
        <v>0</v>
      </c>
      <c r="AB12" s="76">
        <f t="shared" si="7"/>
        <v>5200</v>
      </c>
      <c r="AC12" s="76"/>
      <c r="AD12" s="76" t="e">
        <f>SUM(#REF!,#REF!,AD13,#REF!,#REF!,#REF!)</f>
        <v>#REF!</v>
      </c>
      <c r="AE12" s="76" t="e">
        <f>SUM(#REF!,#REF!,AE13,#REF!,#REF!,#REF!)</f>
        <v>#REF!</v>
      </c>
      <c r="AF12" s="76" t="e">
        <f>SUM(#REF!,#REF!,AF13,#REF!,#REF!,#REF!)</f>
        <v>#REF!</v>
      </c>
      <c r="AG12" s="317"/>
    </row>
    <row r="13" spans="1:60" s="179" customFormat="1" ht="39.75" customHeight="1">
      <c r="A13" s="185"/>
      <c r="B13" s="314" t="s">
        <v>152</v>
      </c>
      <c r="C13" s="185"/>
      <c r="D13" s="185"/>
      <c r="E13" s="185"/>
      <c r="F13" s="185"/>
      <c r="G13" s="185"/>
      <c r="H13" s="47">
        <f t="shared" ref="H13:Y13" si="8">SUM(H14:H15)</f>
        <v>58450</v>
      </c>
      <c r="I13" s="47">
        <f t="shared" si="8"/>
        <v>37500</v>
      </c>
      <c r="J13" s="47">
        <f t="shared" si="8"/>
        <v>22200</v>
      </c>
      <c r="K13" s="47">
        <f t="shared" si="8"/>
        <v>22200</v>
      </c>
      <c r="L13" s="47">
        <f t="shared" si="8"/>
        <v>0</v>
      </c>
      <c r="M13" s="47">
        <f t="shared" si="8"/>
        <v>0</v>
      </c>
      <c r="N13" s="47">
        <f t="shared" si="8"/>
        <v>0</v>
      </c>
      <c r="O13" s="47">
        <f t="shared" si="8"/>
        <v>0</v>
      </c>
      <c r="P13" s="47">
        <f t="shared" si="8"/>
        <v>0</v>
      </c>
      <c r="Q13" s="47">
        <f t="shared" si="8"/>
        <v>0</v>
      </c>
      <c r="R13" s="47">
        <f t="shared" si="8"/>
        <v>0</v>
      </c>
      <c r="S13" s="47">
        <f t="shared" si="8"/>
        <v>0</v>
      </c>
      <c r="T13" s="47">
        <f t="shared" si="8"/>
        <v>17000</v>
      </c>
      <c r="U13" s="47">
        <f t="shared" si="8"/>
        <v>0</v>
      </c>
      <c r="V13" s="47">
        <f t="shared" si="8"/>
        <v>0</v>
      </c>
      <c r="W13" s="47">
        <f t="shared" si="8"/>
        <v>17000</v>
      </c>
      <c r="X13" s="47">
        <f t="shared" si="8"/>
        <v>5200</v>
      </c>
      <c r="Y13" s="47">
        <f t="shared" si="8"/>
        <v>5200</v>
      </c>
      <c r="Z13" s="47">
        <f>SUM(Z14:Z15)</f>
        <v>0</v>
      </c>
      <c r="AA13" s="47">
        <f>SUM(AA14:AA15)</f>
        <v>0</v>
      </c>
      <c r="AB13" s="47">
        <f>SUM(AB14:AB15)</f>
        <v>5200</v>
      </c>
      <c r="AC13" s="47"/>
      <c r="AD13" s="47">
        <f>SUM(AD14:AD15)</f>
        <v>37000</v>
      </c>
      <c r="AE13" s="47">
        <f>SUM(AE14:AE15)</f>
        <v>0</v>
      </c>
      <c r="AF13" s="47">
        <f>SUM(AF14:AF15)</f>
        <v>37000</v>
      </c>
      <c r="AG13" s="231"/>
    </row>
    <row r="14" spans="1:60" s="179" customFormat="1" ht="87.75" customHeight="1">
      <c r="A14" s="185">
        <v>1</v>
      </c>
      <c r="B14" s="183" t="s">
        <v>154</v>
      </c>
      <c r="C14" s="28" t="s">
        <v>153</v>
      </c>
      <c r="D14" s="28" t="s">
        <v>19</v>
      </c>
      <c r="E14" s="28" t="s">
        <v>155</v>
      </c>
      <c r="F14" s="28" t="s">
        <v>36</v>
      </c>
      <c r="G14" s="457" t="s">
        <v>1443</v>
      </c>
      <c r="H14" s="49">
        <v>28558</v>
      </c>
      <c r="I14" s="46">
        <v>17200</v>
      </c>
      <c r="J14" s="48">
        <f>SUM(K14,L14:S14)</f>
        <v>10200</v>
      </c>
      <c r="K14" s="48">
        <v>10200</v>
      </c>
      <c r="L14" s="48"/>
      <c r="M14" s="48"/>
      <c r="N14" s="48"/>
      <c r="O14" s="48"/>
      <c r="P14" s="48"/>
      <c r="Q14" s="48"/>
      <c r="R14" s="48"/>
      <c r="S14" s="48"/>
      <c r="T14" s="48">
        <f>SUM(U14:W14)</f>
        <v>6500</v>
      </c>
      <c r="U14" s="47"/>
      <c r="V14" s="48"/>
      <c r="W14" s="32">
        <v>6500</v>
      </c>
      <c r="X14" s="32">
        <f>J14-T14</f>
        <v>3700</v>
      </c>
      <c r="Y14" s="32">
        <f>X14</f>
        <v>3700</v>
      </c>
      <c r="Z14" s="32"/>
      <c r="AA14" s="32"/>
      <c r="AB14" s="32">
        <f>SUM(Y14:AA14)</f>
        <v>3700</v>
      </c>
      <c r="AC14" s="47"/>
      <c r="AD14" s="48">
        <v>17000</v>
      </c>
      <c r="AE14" s="47"/>
      <c r="AF14" s="82">
        <f>AD14-AE14</f>
        <v>17000</v>
      </c>
      <c r="AG14" s="31"/>
      <c r="AH14" s="319">
        <f>AD14</f>
        <v>17000</v>
      </c>
      <c r="AI14" s="319">
        <f>AH14/2.5</f>
        <v>6800</v>
      </c>
      <c r="AJ14" s="319">
        <f>AH14-AI14</f>
        <v>10200</v>
      </c>
      <c r="AK14" s="319"/>
      <c r="AL14" s="179" t="s">
        <v>472</v>
      </c>
      <c r="AM14" s="179" t="s">
        <v>474</v>
      </c>
      <c r="AN14" s="58">
        <f>Y14</f>
        <v>3700</v>
      </c>
      <c r="AO14" s="58" t="s">
        <v>629</v>
      </c>
      <c r="AP14" s="58"/>
      <c r="AQ14" s="58"/>
    </row>
    <row r="15" spans="1:60" s="179" customFormat="1" ht="63.9" customHeight="1">
      <c r="A15" s="185">
        <f>A14+1</f>
        <v>2</v>
      </c>
      <c r="B15" s="183" t="s">
        <v>156</v>
      </c>
      <c r="C15" s="28" t="s">
        <v>153</v>
      </c>
      <c r="D15" s="28" t="s">
        <v>19</v>
      </c>
      <c r="E15" s="28" t="s">
        <v>157</v>
      </c>
      <c r="F15" s="28" t="s">
        <v>36</v>
      </c>
      <c r="G15" s="91" t="s">
        <v>732</v>
      </c>
      <c r="H15" s="49">
        <v>29892</v>
      </c>
      <c r="I15" s="46">
        <v>20300</v>
      </c>
      <c r="J15" s="48">
        <f>SUM(K15,L15:S15)</f>
        <v>12000</v>
      </c>
      <c r="K15" s="48">
        <v>12000</v>
      </c>
      <c r="L15" s="48"/>
      <c r="M15" s="48"/>
      <c r="N15" s="48"/>
      <c r="O15" s="48"/>
      <c r="P15" s="48"/>
      <c r="Q15" s="48"/>
      <c r="R15" s="48"/>
      <c r="S15" s="48"/>
      <c r="T15" s="48">
        <f>SUM(U15:W15)</f>
        <v>10500</v>
      </c>
      <c r="U15" s="47"/>
      <c r="V15" s="48"/>
      <c r="W15" s="32">
        <v>10500</v>
      </c>
      <c r="X15" s="32">
        <f>J15-T15</f>
        <v>1500</v>
      </c>
      <c r="Y15" s="32">
        <f>X15</f>
        <v>1500</v>
      </c>
      <c r="Z15" s="32"/>
      <c r="AA15" s="32"/>
      <c r="AB15" s="32">
        <f>SUM(Y15:AA15)</f>
        <v>1500</v>
      </c>
      <c r="AC15" s="47"/>
      <c r="AD15" s="48">
        <v>20000</v>
      </c>
      <c r="AE15" s="47"/>
      <c r="AF15" s="82">
        <f>AD15-AE15</f>
        <v>20000</v>
      </c>
      <c r="AG15" s="185"/>
      <c r="AH15" s="319">
        <f>AD15</f>
        <v>20000</v>
      </c>
      <c r="AI15" s="319">
        <f>AH15/2.5</f>
        <v>8000</v>
      </c>
      <c r="AJ15" s="319">
        <f>AH15-AI15</f>
        <v>12000</v>
      </c>
      <c r="AK15" s="319"/>
      <c r="AL15" s="179" t="s">
        <v>472</v>
      </c>
      <c r="AM15" s="179" t="s">
        <v>474</v>
      </c>
      <c r="AN15" s="58">
        <f>Y15</f>
        <v>1500</v>
      </c>
      <c r="AO15" s="58" t="s">
        <v>629</v>
      </c>
      <c r="AP15" s="58"/>
      <c r="AQ15" s="58"/>
    </row>
    <row r="16" spans="1:60" s="318" customFormat="1" ht="39.75" customHeight="1">
      <c r="A16" s="315" t="s">
        <v>25</v>
      </c>
      <c r="B16" s="316" t="s">
        <v>169</v>
      </c>
      <c r="C16" s="315"/>
      <c r="D16" s="315"/>
      <c r="E16" s="315"/>
      <c r="F16" s="315"/>
      <c r="G16" s="315"/>
      <c r="H16" s="76">
        <f>SUM(H17,H19)</f>
        <v>77366</v>
      </c>
      <c r="I16" s="76">
        <f t="shared" ref="I16:AB16" si="9">SUM(I17,I19)</f>
        <v>43200</v>
      </c>
      <c r="J16" s="76">
        <f t="shared" si="9"/>
        <v>7800</v>
      </c>
      <c r="K16" s="76">
        <f t="shared" si="9"/>
        <v>7800</v>
      </c>
      <c r="L16" s="76">
        <f t="shared" si="9"/>
        <v>0</v>
      </c>
      <c r="M16" s="76">
        <f t="shared" si="9"/>
        <v>0</v>
      </c>
      <c r="N16" s="76">
        <f t="shared" si="9"/>
        <v>0</v>
      </c>
      <c r="O16" s="76">
        <f t="shared" si="9"/>
        <v>0</v>
      </c>
      <c r="P16" s="76">
        <f t="shared" si="9"/>
        <v>0</v>
      </c>
      <c r="Q16" s="76">
        <f t="shared" si="9"/>
        <v>0</v>
      </c>
      <c r="R16" s="76">
        <f t="shared" si="9"/>
        <v>0</v>
      </c>
      <c r="S16" s="76">
        <f t="shared" si="9"/>
        <v>0</v>
      </c>
      <c r="T16" s="76">
        <f t="shared" si="9"/>
        <v>5000</v>
      </c>
      <c r="U16" s="76">
        <f t="shared" si="9"/>
        <v>0</v>
      </c>
      <c r="V16" s="76">
        <f t="shared" si="9"/>
        <v>0</v>
      </c>
      <c r="W16" s="76">
        <f t="shared" si="9"/>
        <v>5000</v>
      </c>
      <c r="X16" s="76">
        <f t="shared" si="9"/>
        <v>2800</v>
      </c>
      <c r="Y16" s="76">
        <f t="shared" si="9"/>
        <v>13800</v>
      </c>
      <c r="Z16" s="76">
        <f t="shared" si="9"/>
        <v>7000</v>
      </c>
      <c r="AA16" s="76">
        <f t="shared" si="9"/>
        <v>0</v>
      </c>
      <c r="AB16" s="76">
        <f t="shared" si="9"/>
        <v>20800</v>
      </c>
      <c r="AC16" s="76"/>
      <c r="AD16" s="76" t="e">
        <f>SUM(#REF!,#REF!,AD17,#REF!,#REF!)</f>
        <v>#REF!</v>
      </c>
      <c r="AE16" s="76" t="e">
        <f>SUM(#REF!,#REF!,AE17,#REF!,#REF!)</f>
        <v>#REF!</v>
      </c>
      <c r="AF16" s="76" t="e">
        <f>SUM(#REF!,#REF!,AF17,#REF!,#REF!)</f>
        <v>#REF!</v>
      </c>
      <c r="AG16" s="317"/>
    </row>
    <row r="17" spans="1:43" s="179" customFormat="1" ht="39.75" customHeight="1">
      <c r="A17" s="185"/>
      <c r="B17" s="314" t="s">
        <v>152</v>
      </c>
      <c r="C17" s="185"/>
      <c r="D17" s="185"/>
      <c r="E17" s="185"/>
      <c r="F17" s="185"/>
      <c r="G17" s="185"/>
      <c r="H17" s="47">
        <f t="shared" ref="H17:AB19" si="10">SUM(H18:H18)</f>
        <v>21759</v>
      </c>
      <c r="I17" s="47">
        <f t="shared" si="10"/>
        <v>13200</v>
      </c>
      <c r="J17" s="47">
        <f t="shared" si="10"/>
        <v>7800</v>
      </c>
      <c r="K17" s="47">
        <f t="shared" si="10"/>
        <v>7800</v>
      </c>
      <c r="L17" s="47">
        <f t="shared" si="10"/>
        <v>0</v>
      </c>
      <c r="M17" s="47">
        <f t="shared" si="10"/>
        <v>0</v>
      </c>
      <c r="N17" s="47">
        <f t="shared" si="10"/>
        <v>0</v>
      </c>
      <c r="O17" s="47">
        <f t="shared" si="10"/>
        <v>0</v>
      </c>
      <c r="P17" s="47">
        <f t="shared" si="10"/>
        <v>0</v>
      </c>
      <c r="Q17" s="47">
        <f t="shared" si="10"/>
        <v>0</v>
      </c>
      <c r="R17" s="47">
        <f t="shared" si="10"/>
        <v>0</v>
      </c>
      <c r="S17" s="47">
        <f t="shared" si="10"/>
        <v>0</v>
      </c>
      <c r="T17" s="47">
        <f t="shared" si="10"/>
        <v>5000</v>
      </c>
      <c r="U17" s="47">
        <f t="shared" si="10"/>
        <v>0</v>
      </c>
      <c r="V17" s="47">
        <f t="shared" si="10"/>
        <v>0</v>
      </c>
      <c r="W17" s="47">
        <f t="shared" si="10"/>
        <v>5000</v>
      </c>
      <c r="X17" s="47">
        <f t="shared" si="10"/>
        <v>2800</v>
      </c>
      <c r="Y17" s="47">
        <f t="shared" si="10"/>
        <v>2800</v>
      </c>
      <c r="Z17" s="47">
        <f t="shared" si="10"/>
        <v>0</v>
      </c>
      <c r="AA17" s="47">
        <f t="shared" si="10"/>
        <v>0</v>
      </c>
      <c r="AB17" s="47">
        <f t="shared" si="10"/>
        <v>2800</v>
      </c>
      <c r="AC17" s="47"/>
      <c r="AD17" s="47">
        <f>SUM(AD18:AD18)</f>
        <v>13000</v>
      </c>
      <c r="AE17" s="47">
        <f>SUM(AE18:AE18)</f>
        <v>0</v>
      </c>
      <c r="AF17" s="47">
        <f>SUM(AF18:AF18)</f>
        <v>13000</v>
      </c>
      <c r="AG17" s="231"/>
    </row>
    <row r="18" spans="1:43" s="179" customFormat="1" ht="57.75" customHeight="1">
      <c r="A18" s="185">
        <v>1</v>
      </c>
      <c r="B18" s="183" t="s">
        <v>170</v>
      </c>
      <c r="C18" s="28" t="s">
        <v>152</v>
      </c>
      <c r="D18" s="28" t="s">
        <v>19</v>
      </c>
      <c r="E18" s="28" t="s">
        <v>171</v>
      </c>
      <c r="F18" s="28" t="s">
        <v>36</v>
      </c>
      <c r="G18" s="91" t="s">
        <v>172</v>
      </c>
      <c r="H18" s="49">
        <v>21759</v>
      </c>
      <c r="I18" s="46">
        <v>13200</v>
      </c>
      <c r="J18" s="48">
        <f>SUM(K18,L18:S18)</f>
        <v>7800</v>
      </c>
      <c r="K18" s="48">
        <v>7800</v>
      </c>
      <c r="L18" s="48"/>
      <c r="M18" s="48"/>
      <c r="N18" s="48"/>
      <c r="O18" s="48"/>
      <c r="P18" s="48"/>
      <c r="Q18" s="48"/>
      <c r="R18" s="48"/>
      <c r="S18" s="48"/>
      <c r="T18" s="48">
        <f>SUM(U18:W18)</f>
        <v>5000</v>
      </c>
      <c r="U18" s="47"/>
      <c r="V18" s="48"/>
      <c r="W18" s="32">
        <v>5000</v>
      </c>
      <c r="X18" s="32">
        <f>J18-T18</f>
        <v>2800</v>
      </c>
      <c r="Y18" s="32">
        <f>X18</f>
        <v>2800</v>
      </c>
      <c r="Z18" s="32"/>
      <c r="AA18" s="32"/>
      <c r="AB18" s="32">
        <f>SUM(Y18:AA18)</f>
        <v>2800</v>
      </c>
      <c r="AC18" s="47"/>
      <c r="AD18" s="48">
        <v>13000</v>
      </c>
      <c r="AE18" s="47"/>
      <c r="AF18" s="48">
        <f>AD18-AE18</f>
        <v>13000</v>
      </c>
      <c r="AG18" s="185"/>
      <c r="AH18" s="319">
        <f>AD18</f>
        <v>13000</v>
      </c>
      <c r="AI18" s="319">
        <f>AH18/2.5</f>
        <v>5200</v>
      </c>
      <c r="AJ18" s="319">
        <f>AH18-AI18</f>
        <v>7800</v>
      </c>
      <c r="AK18" s="319"/>
      <c r="AL18" s="179" t="s">
        <v>472</v>
      </c>
      <c r="AM18" s="179" t="s">
        <v>459</v>
      </c>
      <c r="AN18" s="58">
        <f>Y18</f>
        <v>2800</v>
      </c>
      <c r="AO18" s="58"/>
      <c r="AP18" s="58"/>
      <c r="AQ18" s="58"/>
    </row>
    <row r="19" spans="1:43" s="179" customFormat="1" ht="39.75" customHeight="1">
      <c r="A19" s="185"/>
      <c r="B19" s="314" t="s">
        <v>152</v>
      </c>
      <c r="C19" s="185"/>
      <c r="D19" s="185"/>
      <c r="E19" s="185"/>
      <c r="F19" s="185"/>
      <c r="G19" s="185"/>
      <c r="H19" s="47">
        <f t="shared" si="10"/>
        <v>55607</v>
      </c>
      <c r="I19" s="47">
        <f t="shared" si="10"/>
        <v>30000</v>
      </c>
      <c r="J19" s="47">
        <f t="shared" si="10"/>
        <v>0</v>
      </c>
      <c r="K19" s="47">
        <f t="shared" si="10"/>
        <v>0</v>
      </c>
      <c r="L19" s="47">
        <f t="shared" si="10"/>
        <v>0</v>
      </c>
      <c r="M19" s="47">
        <f t="shared" si="10"/>
        <v>0</v>
      </c>
      <c r="N19" s="47">
        <f t="shared" si="10"/>
        <v>0</v>
      </c>
      <c r="O19" s="47">
        <f t="shared" si="10"/>
        <v>0</v>
      </c>
      <c r="P19" s="47">
        <f t="shared" si="10"/>
        <v>0</v>
      </c>
      <c r="Q19" s="47">
        <f t="shared" si="10"/>
        <v>0</v>
      </c>
      <c r="R19" s="47">
        <f t="shared" si="10"/>
        <v>0</v>
      </c>
      <c r="S19" s="47">
        <f t="shared" si="10"/>
        <v>0</v>
      </c>
      <c r="T19" s="47">
        <f t="shared" si="10"/>
        <v>0</v>
      </c>
      <c r="U19" s="47">
        <f t="shared" si="10"/>
        <v>0</v>
      </c>
      <c r="V19" s="47">
        <f t="shared" si="10"/>
        <v>0</v>
      </c>
      <c r="W19" s="47">
        <f t="shared" si="10"/>
        <v>0</v>
      </c>
      <c r="X19" s="47">
        <f t="shared" si="10"/>
        <v>0</v>
      </c>
      <c r="Y19" s="47">
        <f t="shared" si="10"/>
        <v>11000</v>
      </c>
      <c r="Z19" s="47">
        <f t="shared" si="10"/>
        <v>7000</v>
      </c>
      <c r="AA19" s="47">
        <f t="shared" si="10"/>
        <v>0</v>
      </c>
      <c r="AB19" s="47">
        <f t="shared" si="10"/>
        <v>18000</v>
      </c>
      <c r="AC19" s="47"/>
      <c r="AD19" s="47">
        <f>SUM(AD20:AD20)</f>
        <v>0</v>
      </c>
      <c r="AE19" s="47">
        <f>SUM(AE20:AE20)</f>
        <v>0</v>
      </c>
      <c r="AF19" s="47">
        <f>SUM(AF20:AF20)</f>
        <v>0</v>
      </c>
      <c r="AG19" s="231"/>
    </row>
    <row r="20" spans="1:43" s="179" customFormat="1" ht="92.1" customHeight="1">
      <c r="A20" s="10">
        <v>1</v>
      </c>
      <c r="B20" s="115" t="s">
        <v>1126</v>
      </c>
      <c r="C20" s="284" t="s">
        <v>1127</v>
      </c>
      <c r="D20" s="285" t="s">
        <v>20</v>
      </c>
      <c r="E20" s="284" t="s">
        <v>1128</v>
      </c>
      <c r="F20" s="284" t="s">
        <v>36</v>
      </c>
      <c r="G20" s="286" t="s">
        <v>1129</v>
      </c>
      <c r="H20" s="287">
        <v>55607</v>
      </c>
      <c r="I20" s="287">
        <v>30000</v>
      </c>
      <c r="J20" s="48"/>
      <c r="K20" s="48"/>
      <c r="L20" s="48"/>
      <c r="M20" s="48"/>
      <c r="N20" s="48"/>
      <c r="O20" s="48"/>
      <c r="P20" s="48"/>
      <c r="Q20" s="48"/>
      <c r="R20" s="48"/>
      <c r="S20" s="48"/>
      <c r="T20" s="48"/>
      <c r="U20" s="47"/>
      <c r="V20" s="48"/>
      <c r="W20" s="32"/>
      <c r="X20" s="32"/>
      <c r="Y20" s="32">
        <v>11000</v>
      </c>
      <c r="Z20" s="32">
        <v>7000</v>
      </c>
      <c r="AA20" s="32"/>
      <c r="AB20" s="32">
        <f>SUM(Y20:AA20)</f>
        <v>18000</v>
      </c>
      <c r="AC20" s="117" t="s">
        <v>1145</v>
      </c>
      <c r="AD20" s="48"/>
      <c r="AE20" s="47"/>
      <c r="AF20" s="48"/>
      <c r="AG20" s="185"/>
      <c r="AH20" s="319"/>
      <c r="AI20" s="319"/>
      <c r="AJ20" s="319"/>
      <c r="AK20" s="319"/>
      <c r="AN20" s="58"/>
      <c r="AO20" s="58"/>
      <c r="AP20" s="58"/>
      <c r="AQ20" s="58"/>
    </row>
    <row r="21" spans="1:43" s="318" customFormat="1" ht="39.75" customHeight="1">
      <c r="A21" s="315" t="s">
        <v>30</v>
      </c>
      <c r="B21" s="316" t="s">
        <v>65</v>
      </c>
      <c r="C21" s="315"/>
      <c r="D21" s="315"/>
      <c r="E21" s="315"/>
      <c r="F21" s="315"/>
      <c r="G21" s="315"/>
      <c r="H21" s="76">
        <f>SUM(H22)</f>
        <v>22307</v>
      </c>
      <c r="I21" s="76">
        <f t="shared" ref="I21:AB21" si="11">SUM(I22)</f>
        <v>8500</v>
      </c>
      <c r="J21" s="76">
        <f t="shared" si="11"/>
        <v>5200</v>
      </c>
      <c r="K21" s="76">
        <f t="shared" si="11"/>
        <v>5200</v>
      </c>
      <c r="L21" s="76">
        <f t="shared" si="11"/>
        <v>0</v>
      </c>
      <c r="M21" s="76">
        <f t="shared" si="11"/>
        <v>0</v>
      </c>
      <c r="N21" s="76">
        <f t="shared" si="11"/>
        <v>0</v>
      </c>
      <c r="O21" s="76">
        <f t="shared" si="11"/>
        <v>0</v>
      </c>
      <c r="P21" s="76">
        <f t="shared" si="11"/>
        <v>0</v>
      </c>
      <c r="Q21" s="76">
        <f t="shared" si="11"/>
        <v>0</v>
      </c>
      <c r="R21" s="76">
        <f t="shared" si="11"/>
        <v>0</v>
      </c>
      <c r="S21" s="76">
        <f t="shared" si="11"/>
        <v>0</v>
      </c>
      <c r="T21" s="76">
        <f t="shared" si="11"/>
        <v>1210</v>
      </c>
      <c r="U21" s="76">
        <f t="shared" si="11"/>
        <v>0</v>
      </c>
      <c r="V21" s="76">
        <f t="shared" si="11"/>
        <v>0</v>
      </c>
      <c r="W21" s="76">
        <f t="shared" si="11"/>
        <v>1210</v>
      </c>
      <c r="X21" s="76">
        <f t="shared" si="11"/>
        <v>3990</v>
      </c>
      <c r="Y21" s="76">
        <f t="shared" si="11"/>
        <v>3990</v>
      </c>
      <c r="Z21" s="76">
        <f t="shared" si="11"/>
        <v>0</v>
      </c>
      <c r="AA21" s="390">
        <f t="shared" si="11"/>
        <v>-3290</v>
      </c>
      <c r="AB21" s="76">
        <f t="shared" si="11"/>
        <v>700</v>
      </c>
      <c r="AC21" s="76"/>
      <c r="AD21" s="76" t="e">
        <f>SUM(#REF!,#REF!,AD22,#REF!,#REF!,#REF!)</f>
        <v>#REF!</v>
      </c>
      <c r="AE21" s="76" t="e">
        <f>SUM(#REF!,#REF!,AE22,#REF!,#REF!,#REF!)</f>
        <v>#REF!</v>
      </c>
      <c r="AF21" s="76" t="e">
        <f>SUM(#REF!,#REF!,AF22,#REF!,#REF!,#REF!)</f>
        <v>#REF!</v>
      </c>
      <c r="AG21" s="317"/>
    </row>
    <row r="22" spans="1:43" s="179" customFormat="1" ht="39.75" customHeight="1">
      <c r="A22" s="185"/>
      <c r="B22" s="314" t="s">
        <v>152</v>
      </c>
      <c r="C22" s="185"/>
      <c r="D22" s="185"/>
      <c r="E22" s="185"/>
      <c r="F22" s="185"/>
      <c r="G22" s="185"/>
      <c r="H22" s="47">
        <f>SUM(H23:H24)</f>
        <v>22307</v>
      </c>
      <c r="I22" s="47">
        <f>SUM(I23:I24)</f>
        <v>8500</v>
      </c>
      <c r="J22" s="47">
        <f>SUM(J23:J24)</f>
        <v>5200</v>
      </c>
      <c r="K22" s="47">
        <f>SUM(K23:K24)</f>
        <v>5200</v>
      </c>
      <c r="L22" s="47">
        <f t="shared" ref="L22:Y22" si="12">SUM(L23:L24)</f>
        <v>0</v>
      </c>
      <c r="M22" s="47">
        <f t="shared" si="12"/>
        <v>0</v>
      </c>
      <c r="N22" s="47">
        <f t="shared" si="12"/>
        <v>0</v>
      </c>
      <c r="O22" s="47">
        <f t="shared" si="12"/>
        <v>0</v>
      </c>
      <c r="P22" s="47">
        <f t="shared" si="12"/>
        <v>0</v>
      </c>
      <c r="Q22" s="47">
        <f t="shared" si="12"/>
        <v>0</v>
      </c>
      <c r="R22" s="47">
        <f t="shared" si="12"/>
        <v>0</v>
      </c>
      <c r="S22" s="47">
        <f t="shared" si="12"/>
        <v>0</v>
      </c>
      <c r="T22" s="47">
        <f t="shared" si="12"/>
        <v>1210</v>
      </c>
      <c r="U22" s="47">
        <f t="shared" si="12"/>
        <v>0</v>
      </c>
      <c r="V22" s="47">
        <f t="shared" si="12"/>
        <v>0</v>
      </c>
      <c r="W22" s="47">
        <f t="shared" si="12"/>
        <v>1210</v>
      </c>
      <c r="X22" s="47">
        <f t="shared" si="12"/>
        <v>3990</v>
      </c>
      <c r="Y22" s="47">
        <f t="shared" si="12"/>
        <v>3990</v>
      </c>
      <c r="Z22" s="47">
        <f>SUM(Z23:Z24)</f>
        <v>0</v>
      </c>
      <c r="AA22" s="391">
        <f>SUM(AA23:AA24)</f>
        <v>-3290</v>
      </c>
      <c r="AB22" s="47">
        <f>SUM(AB23:AB24)</f>
        <v>700</v>
      </c>
      <c r="AC22" s="47"/>
      <c r="AD22" s="47">
        <f>SUM(AD23:AD24)</f>
        <v>8500</v>
      </c>
      <c r="AE22" s="47">
        <f>SUM(AE23:AE24)</f>
        <v>0</v>
      </c>
      <c r="AF22" s="47">
        <f>SUM(AF23:AF24)</f>
        <v>8500</v>
      </c>
      <c r="AG22" s="231"/>
    </row>
    <row r="23" spans="1:43" s="179" customFormat="1" ht="90.9" customHeight="1">
      <c r="A23" s="185">
        <v>1</v>
      </c>
      <c r="B23" s="183" t="s">
        <v>178</v>
      </c>
      <c r="C23" s="28" t="s">
        <v>152</v>
      </c>
      <c r="D23" s="28" t="s">
        <v>19</v>
      </c>
      <c r="E23" s="28" t="s">
        <v>179</v>
      </c>
      <c r="F23" s="28" t="s">
        <v>36</v>
      </c>
      <c r="G23" s="91" t="s">
        <v>789</v>
      </c>
      <c r="H23" s="49">
        <v>14378</v>
      </c>
      <c r="I23" s="46">
        <v>5800</v>
      </c>
      <c r="J23" s="48">
        <f>SUM(K23,L23:S23)</f>
        <v>3500</v>
      </c>
      <c r="K23" s="48">
        <v>3500</v>
      </c>
      <c r="L23" s="48"/>
      <c r="M23" s="48"/>
      <c r="N23" s="48"/>
      <c r="O23" s="48"/>
      <c r="P23" s="48"/>
      <c r="Q23" s="48"/>
      <c r="R23" s="48"/>
      <c r="S23" s="48"/>
      <c r="T23" s="48">
        <f>SUM(U23:W23)</f>
        <v>210</v>
      </c>
      <c r="U23" s="48"/>
      <c r="V23" s="48"/>
      <c r="W23" s="32">
        <v>210</v>
      </c>
      <c r="X23" s="32">
        <f>J23-T23</f>
        <v>3290</v>
      </c>
      <c r="Y23" s="32">
        <f>X23</f>
        <v>3290</v>
      </c>
      <c r="Z23" s="32"/>
      <c r="AA23" s="383">
        <v>-3290</v>
      </c>
      <c r="AB23" s="32">
        <f>SUM(Y23:AA23)</f>
        <v>0</v>
      </c>
      <c r="AC23" s="465" t="s">
        <v>1476</v>
      </c>
      <c r="AD23" s="48">
        <v>5800</v>
      </c>
      <c r="AE23" s="48"/>
      <c r="AF23" s="48">
        <f>AD23-AE23</f>
        <v>5800</v>
      </c>
      <c r="AG23" s="185"/>
      <c r="AH23" s="319">
        <f>AD23</f>
        <v>5800</v>
      </c>
      <c r="AI23" s="319">
        <v>2300</v>
      </c>
      <c r="AJ23" s="319">
        <f>AH23-AI23</f>
        <v>3500</v>
      </c>
      <c r="AK23" s="319"/>
      <c r="AL23" s="179" t="s">
        <v>472</v>
      </c>
      <c r="AM23" s="179" t="s">
        <v>461</v>
      </c>
      <c r="AN23" s="58">
        <f>Y23</f>
        <v>3290</v>
      </c>
      <c r="AO23" s="58"/>
      <c r="AP23" s="58"/>
      <c r="AQ23" s="58"/>
    </row>
    <row r="24" spans="1:43" s="179" customFormat="1" ht="84.9" customHeight="1">
      <c r="A24" s="185">
        <f>+A23+1</f>
        <v>2</v>
      </c>
      <c r="B24" s="281" t="s">
        <v>638</v>
      </c>
      <c r="C24" s="28" t="s">
        <v>152</v>
      </c>
      <c r="D24" s="28" t="s">
        <v>19</v>
      </c>
      <c r="E24" s="28" t="s">
        <v>177</v>
      </c>
      <c r="F24" s="28" t="s">
        <v>36</v>
      </c>
      <c r="G24" s="91" t="s">
        <v>790</v>
      </c>
      <c r="H24" s="49">
        <v>7929</v>
      </c>
      <c r="I24" s="46">
        <v>2700</v>
      </c>
      <c r="J24" s="48">
        <f>SUM(K24,L24:S24)</f>
        <v>1700</v>
      </c>
      <c r="K24" s="48">
        <v>1700</v>
      </c>
      <c r="L24" s="48"/>
      <c r="M24" s="48"/>
      <c r="N24" s="48"/>
      <c r="O24" s="48"/>
      <c r="P24" s="48"/>
      <c r="Q24" s="48"/>
      <c r="R24" s="48"/>
      <c r="S24" s="48"/>
      <c r="T24" s="48">
        <f>SUM(U24:W24)</f>
        <v>1000</v>
      </c>
      <c r="U24" s="48"/>
      <c r="V24" s="48"/>
      <c r="W24" s="32">
        <v>1000</v>
      </c>
      <c r="X24" s="32">
        <f>J24-T24</f>
        <v>700</v>
      </c>
      <c r="Y24" s="32">
        <f>X24</f>
        <v>700</v>
      </c>
      <c r="Z24" s="32"/>
      <c r="AA24" s="32"/>
      <c r="AB24" s="32">
        <f>SUM(Y24:AA24)</f>
        <v>700</v>
      </c>
      <c r="AC24" s="183"/>
      <c r="AD24" s="48">
        <v>2700</v>
      </c>
      <c r="AE24" s="48"/>
      <c r="AF24" s="48">
        <f>AD24-AE24</f>
        <v>2700</v>
      </c>
      <c r="AG24" s="185"/>
      <c r="AH24" s="319">
        <f>AD24</f>
        <v>2700</v>
      </c>
      <c r="AI24" s="319">
        <v>1000</v>
      </c>
      <c r="AJ24" s="319">
        <f>AH24-AI24</f>
        <v>1700</v>
      </c>
      <c r="AK24" s="319"/>
      <c r="AL24" s="179" t="s">
        <v>472</v>
      </c>
      <c r="AM24" s="179" t="s">
        <v>461</v>
      </c>
      <c r="AN24" s="58">
        <f>Y24</f>
        <v>700</v>
      </c>
      <c r="AO24" s="58"/>
      <c r="AP24" s="58"/>
      <c r="AQ24" s="58"/>
    </row>
    <row r="25" spans="1:43" s="179" customFormat="1" ht="48.75" customHeight="1">
      <c r="A25" s="336" t="s">
        <v>887</v>
      </c>
      <c r="B25" s="314" t="s">
        <v>182</v>
      </c>
      <c r="C25" s="185"/>
      <c r="D25" s="185"/>
      <c r="E25" s="185"/>
      <c r="F25" s="185"/>
      <c r="G25" s="185"/>
      <c r="H25" s="47">
        <f>SUM(H26)</f>
        <v>74678</v>
      </c>
      <c r="I25" s="47">
        <f t="shared" ref="I25:AB27" si="13">SUM(I26)</f>
        <v>57200</v>
      </c>
      <c r="J25" s="47">
        <f t="shared" si="13"/>
        <v>0</v>
      </c>
      <c r="K25" s="47">
        <f t="shared" si="13"/>
        <v>0</v>
      </c>
      <c r="L25" s="47">
        <f t="shared" si="13"/>
        <v>0</v>
      </c>
      <c r="M25" s="47">
        <f t="shared" si="13"/>
        <v>0</v>
      </c>
      <c r="N25" s="47">
        <f t="shared" si="13"/>
        <v>0</v>
      </c>
      <c r="O25" s="47">
        <f t="shared" si="13"/>
        <v>0</v>
      </c>
      <c r="P25" s="47">
        <f t="shared" si="13"/>
        <v>0</v>
      </c>
      <c r="Q25" s="47">
        <f t="shared" si="13"/>
        <v>0</v>
      </c>
      <c r="R25" s="47">
        <f t="shared" si="13"/>
        <v>0</v>
      </c>
      <c r="S25" s="47">
        <f t="shared" si="13"/>
        <v>0</v>
      </c>
      <c r="T25" s="47">
        <f t="shared" si="13"/>
        <v>0</v>
      </c>
      <c r="U25" s="47">
        <f t="shared" si="13"/>
        <v>0</v>
      </c>
      <c r="V25" s="47">
        <f t="shared" si="13"/>
        <v>0</v>
      </c>
      <c r="W25" s="47">
        <f t="shared" si="13"/>
        <v>0</v>
      </c>
      <c r="X25" s="47">
        <f t="shared" si="13"/>
        <v>0</v>
      </c>
      <c r="Y25" s="47">
        <f t="shared" si="13"/>
        <v>24800</v>
      </c>
      <c r="Z25" s="47">
        <f t="shared" si="13"/>
        <v>5200</v>
      </c>
      <c r="AA25" s="47">
        <f t="shared" si="13"/>
        <v>0</v>
      </c>
      <c r="AB25" s="47">
        <f t="shared" si="13"/>
        <v>30000</v>
      </c>
      <c r="AC25" s="47"/>
      <c r="AD25" s="47"/>
      <c r="AE25" s="47"/>
      <c r="AF25" s="47"/>
      <c r="AG25" s="231"/>
    </row>
    <row r="26" spans="1:43" s="318" customFormat="1" ht="39.75" customHeight="1">
      <c r="A26" s="315" t="s">
        <v>17</v>
      </c>
      <c r="B26" s="316" t="s">
        <v>64</v>
      </c>
      <c r="C26" s="315"/>
      <c r="D26" s="315"/>
      <c r="E26" s="315"/>
      <c r="F26" s="315"/>
      <c r="G26" s="315"/>
      <c r="H26" s="76">
        <f>SUM(H27)</f>
        <v>74678</v>
      </c>
      <c r="I26" s="76">
        <f t="shared" si="13"/>
        <v>57200</v>
      </c>
      <c r="J26" s="76">
        <f t="shared" si="13"/>
        <v>0</v>
      </c>
      <c r="K26" s="76">
        <f t="shared" si="13"/>
        <v>0</v>
      </c>
      <c r="L26" s="76">
        <f t="shared" si="13"/>
        <v>0</v>
      </c>
      <c r="M26" s="76">
        <f t="shared" si="13"/>
        <v>0</v>
      </c>
      <c r="N26" s="76">
        <f t="shared" si="13"/>
        <v>0</v>
      </c>
      <c r="O26" s="76">
        <f t="shared" si="13"/>
        <v>0</v>
      </c>
      <c r="P26" s="76">
        <f t="shared" si="13"/>
        <v>0</v>
      </c>
      <c r="Q26" s="76">
        <f t="shared" si="13"/>
        <v>0</v>
      </c>
      <c r="R26" s="76">
        <f t="shared" si="13"/>
        <v>0</v>
      </c>
      <c r="S26" s="76">
        <f t="shared" si="13"/>
        <v>0</v>
      </c>
      <c r="T26" s="76">
        <f t="shared" si="13"/>
        <v>0</v>
      </c>
      <c r="U26" s="76">
        <f t="shared" si="13"/>
        <v>0</v>
      </c>
      <c r="V26" s="76">
        <f t="shared" si="13"/>
        <v>0</v>
      </c>
      <c r="W26" s="76">
        <f t="shared" si="13"/>
        <v>0</v>
      </c>
      <c r="X26" s="76">
        <f t="shared" si="13"/>
        <v>0</v>
      </c>
      <c r="Y26" s="76">
        <f t="shared" si="13"/>
        <v>24800</v>
      </c>
      <c r="Z26" s="76">
        <f t="shared" si="13"/>
        <v>5200</v>
      </c>
      <c r="AA26" s="76">
        <f t="shared" si="13"/>
        <v>0</v>
      </c>
      <c r="AB26" s="76">
        <f t="shared" si="13"/>
        <v>30000</v>
      </c>
      <c r="AC26" s="76"/>
      <c r="AD26" s="76"/>
      <c r="AE26" s="76"/>
      <c r="AF26" s="76"/>
      <c r="AG26" s="317"/>
    </row>
    <row r="27" spans="1:43" s="179" customFormat="1" ht="39.75" customHeight="1">
      <c r="A27" s="185"/>
      <c r="B27" s="314" t="s">
        <v>185</v>
      </c>
      <c r="C27" s="185"/>
      <c r="D27" s="185"/>
      <c r="E27" s="185"/>
      <c r="F27" s="185"/>
      <c r="G27" s="185"/>
      <c r="H27" s="47">
        <f>SUM(H28)</f>
        <v>74678</v>
      </c>
      <c r="I27" s="47">
        <f t="shared" si="13"/>
        <v>57200</v>
      </c>
      <c r="J27" s="47">
        <f t="shared" si="13"/>
        <v>0</v>
      </c>
      <c r="K27" s="47">
        <f t="shared" si="13"/>
        <v>0</v>
      </c>
      <c r="L27" s="47">
        <f t="shared" si="13"/>
        <v>0</v>
      </c>
      <c r="M27" s="47">
        <f t="shared" si="13"/>
        <v>0</v>
      </c>
      <c r="N27" s="47">
        <f t="shared" si="13"/>
        <v>0</v>
      </c>
      <c r="O27" s="47">
        <f t="shared" si="13"/>
        <v>0</v>
      </c>
      <c r="P27" s="47">
        <f t="shared" si="13"/>
        <v>0</v>
      </c>
      <c r="Q27" s="47">
        <f t="shared" si="13"/>
        <v>0</v>
      </c>
      <c r="R27" s="47">
        <f t="shared" si="13"/>
        <v>0</v>
      </c>
      <c r="S27" s="47">
        <f t="shared" si="13"/>
        <v>0</v>
      </c>
      <c r="T27" s="47">
        <f t="shared" si="13"/>
        <v>0</v>
      </c>
      <c r="U27" s="47">
        <f t="shared" si="13"/>
        <v>0</v>
      </c>
      <c r="V27" s="47">
        <f t="shared" si="13"/>
        <v>0</v>
      </c>
      <c r="W27" s="47">
        <f t="shared" si="13"/>
        <v>0</v>
      </c>
      <c r="X27" s="47">
        <f t="shared" si="13"/>
        <v>0</v>
      </c>
      <c r="Y27" s="47">
        <f t="shared" si="13"/>
        <v>24800</v>
      </c>
      <c r="Z27" s="47">
        <f t="shared" si="13"/>
        <v>5200</v>
      </c>
      <c r="AA27" s="47">
        <f t="shared" si="13"/>
        <v>0</v>
      </c>
      <c r="AB27" s="47">
        <f t="shared" si="13"/>
        <v>30000</v>
      </c>
      <c r="AC27" s="47"/>
      <c r="AD27" s="47"/>
      <c r="AE27" s="47"/>
      <c r="AF27" s="47"/>
      <c r="AG27" s="231"/>
    </row>
    <row r="28" spans="1:43" s="179" customFormat="1" ht="86.25" customHeight="1">
      <c r="A28" s="185">
        <v>1</v>
      </c>
      <c r="B28" s="183" t="s">
        <v>1075</v>
      </c>
      <c r="C28" s="28" t="s">
        <v>185</v>
      </c>
      <c r="D28" s="28" t="s">
        <v>19</v>
      </c>
      <c r="E28" s="28" t="s">
        <v>1076</v>
      </c>
      <c r="F28" s="28" t="s">
        <v>36</v>
      </c>
      <c r="G28" s="91" t="s">
        <v>1077</v>
      </c>
      <c r="H28" s="49">
        <v>74678</v>
      </c>
      <c r="I28" s="49">
        <v>57200</v>
      </c>
      <c r="J28" s="48"/>
      <c r="K28" s="48"/>
      <c r="L28" s="48"/>
      <c r="M28" s="48"/>
      <c r="N28" s="48"/>
      <c r="O28" s="48"/>
      <c r="P28" s="48"/>
      <c r="Q28" s="48"/>
      <c r="R28" s="48"/>
      <c r="S28" s="48"/>
      <c r="T28" s="48"/>
      <c r="U28" s="47"/>
      <c r="V28" s="48"/>
      <c r="W28" s="32"/>
      <c r="X28" s="32"/>
      <c r="Y28" s="32">
        <v>24800</v>
      </c>
      <c r="Z28" s="32">
        <v>5200</v>
      </c>
      <c r="AA28" s="32"/>
      <c r="AB28" s="32">
        <f>SUM(Y28:AA28)</f>
        <v>30000</v>
      </c>
      <c r="AC28" s="75" t="s">
        <v>1078</v>
      </c>
      <c r="AD28" s="48"/>
      <c r="AE28" s="47"/>
      <c r="AF28" s="82"/>
      <c r="AG28" s="185"/>
      <c r="AH28" s="319"/>
      <c r="AI28" s="319"/>
      <c r="AJ28" s="319"/>
      <c r="AK28" s="319"/>
      <c r="AN28" s="58"/>
      <c r="AO28" s="58"/>
      <c r="AP28" s="58"/>
      <c r="AQ28" s="58"/>
    </row>
    <row r="29" spans="1:43" s="179" customFormat="1" ht="48.75" customHeight="1">
      <c r="A29" s="336" t="s">
        <v>888</v>
      </c>
      <c r="B29" s="314" t="s">
        <v>210</v>
      </c>
      <c r="C29" s="185"/>
      <c r="D29" s="185"/>
      <c r="E29" s="185"/>
      <c r="F29" s="185"/>
      <c r="G29" s="185"/>
      <c r="H29" s="47">
        <f>SUM(H30,H35)</f>
        <v>98873</v>
      </c>
      <c r="I29" s="47">
        <f t="shared" ref="I29:X29" si="14">SUM(I30,I35)</f>
        <v>65200</v>
      </c>
      <c r="J29" s="47">
        <f t="shared" si="14"/>
        <v>38800</v>
      </c>
      <c r="K29" s="47">
        <f t="shared" si="14"/>
        <v>38800</v>
      </c>
      <c r="L29" s="47">
        <f t="shared" si="14"/>
        <v>0</v>
      </c>
      <c r="M29" s="47">
        <f t="shared" si="14"/>
        <v>0</v>
      </c>
      <c r="N29" s="47">
        <f t="shared" si="14"/>
        <v>0</v>
      </c>
      <c r="O29" s="47">
        <f t="shared" si="14"/>
        <v>0</v>
      </c>
      <c r="P29" s="47">
        <f t="shared" si="14"/>
        <v>0</v>
      </c>
      <c r="Q29" s="47">
        <f t="shared" si="14"/>
        <v>0</v>
      </c>
      <c r="R29" s="47">
        <f t="shared" si="14"/>
        <v>0</v>
      </c>
      <c r="S29" s="47">
        <f t="shared" si="14"/>
        <v>0</v>
      </c>
      <c r="T29" s="47">
        <f t="shared" si="14"/>
        <v>26000</v>
      </c>
      <c r="U29" s="47">
        <f t="shared" si="14"/>
        <v>0</v>
      </c>
      <c r="V29" s="47">
        <f t="shared" si="14"/>
        <v>0</v>
      </c>
      <c r="W29" s="47">
        <f t="shared" si="14"/>
        <v>26000</v>
      </c>
      <c r="X29" s="47">
        <f t="shared" si="14"/>
        <v>12800</v>
      </c>
      <c r="Y29" s="47">
        <f>SUM(Y30,Y35)</f>
        <v>12800</v>
      </c>
      <c r="Z29" s="47">
        <f>SUM(Z30,Z35)</f>
        <v>0</v>
      </c>
      <c r="AA29" s="47">
        <f>SUM(AA30,AA35)</f>
        <v>0</v>
      </c>
      <c r="AB29" s="47">
        <f>SUM(AB30,AB35)</f>
        <v>12800</v>
      </c>
      <c r="AC29" s="47"/>
      <c r="AD29" s="47" t="e">
        <f>SUM(AD30,AD35,#REF!)</f>
        <v>#REF!</v>
      </c>
      <c r="AE29" s="47" t="e">
        <f>SUM(AE30,AE35,#REF!)</f>
        <v>#REF!</v>
      </c>
      <c r="AF29" s="47" t="e">
        <f>SUM(AF30,AF35,#REF!)</f>
        <v>#REF!</v>
      </c>
      <c r="AG29" s="231"/>
    </row>
    <row r="30" spans="1:43" s="318" customFormat="1" ht="39.75" customHeight="1">
      <c r="A30" s="315" t="s">
        <v>17</v>
      </c>
      <c r="B30" s="316" t="s">
        <v>64</v>
      </c>
      <c r="C30" s="315"/>
      <c r="D30" s="315"/>
      <c r="E30" s="315"/>
      <c r="F30" s="315"/>
      <c r="G30" s="315"/>
      <c r="H30" s="76">
        <f>SUM(H31,H33)</f>
        <v>44539</v>
      </c>
      <c r="I30" s="76">
        <f t="shared" ref="I30:X30" si="15">SUM(I31,I33)</f>
        <v>27400</v>
      </c>
      <c r="J30" s="76">
        <f t="shared" si="15"/>
        <v>16300</v>
      </c>
      <c r="K30" s="76">
        <f t="shared" si="15"/>
        <v>16300</v>
      </c>
      <c r="L30" s="76">
        <f t="shared" si="15"/>
        <v>0</v>
      </c>
      <c r="M30" s="76">
        <f t="shared" si="15"/>
        <v>0</v>
      </c>
      <c r="N30" s="76">
        <f t="shared" si="15"/>
        <v>0</v>
      </c>
      <c r="O30" s="76">
        <f t="shared" si="15"/>
        <v>0</v>
      </c>
      <c r="P30" s="76">
        <f t="shared" si="15"/>
        <v>0</v>
      </c>
      <c r="Q30" s="76">
        <f t="shared" si="15"/>
        <v>0</v>
      </c>
      <c r="R30" s="76">
        <f t="shared" si="15"/>
        <v>0</v>
      </c>
      <c r="S30" s="76">
        <f t="shared" si="15"/>
        <v>0</v>
      </c>
      <c r="T30" s="76">
        <f t="shared" si="15"/>
        <v>9100</v>
      </c>
      <c r="U30" s="76">
        <f t="shared" si="15"/>
        <v>0</v>
      </c>
      <c r="V30" s="76">
        <f t="shared" si="15"/>
        <v>0</v>
      </c>
      <c r="W30" s="76">
        <f t="shared" si="15"/>
        <v>9100</v>
      </c>
      <c r="X30" s="76">
        <f t="shared" si="15"/>
        <v>7200</v>
      </c>
      <c r="Y30" s="76">
        <f>SUM(Y31,Y33)</f>
        <v>7200</v>
      </c>
      <c r="Z30" s="76">
        <f>SUM(Z31,Z33)</f>
        <v>0</v>
      </c>
      <c r="AA30" s="76">
        <f>SUM(AA31,AA33)</f>
        <v>0</v>
      </c>
      <c r="AB30" s="76">
        <f>SUM(AB31,AB33)</f>
        <v>7200</v>
      </c>
      <c r="AC30" s="76"/>
      <c r="AD30" s="76" t="e">
        <f>SUM(#REF!,#REF!,AD31,AD33,#REF!,#REF!)</f>
        <v>#REF!</v>
      </c>
      <c r="AE30" s="76" t="e">
        <f>SUM(#REF!,#REF!,AE31,AE33,#REF!,#REF!)</f>
        <v>#REF!</v>
      </c>
      <c r="AF30" s="76" t="e">
        <f>SUM(#REF!,#REF!,AF31,AF33,#REF!,#REF!)</f>
        <v>#REF!</v>
      </c>
      <c r="AG30" s="317"/>
    </row>
    <row r="31" spans="1:43" s="179" customFormat="1" ht="39.75" customHeight="1">
      <c r="A31" s="185"/>
      <c r="B31" s="314" t="s">
        <v>212</v>
      </c>
      <c r="C31" s="185"/>
      <c r="D31" s="185"/>
      <c r="E31" s="185"/>
      <c r="F31" s="185"/>
      <c r="G31" s="185"/>
      <c r="H31" s="47">
        <f t="shared" ref="H31:AB31" si="16">SUM(H32:H32)</f>
        <v>19877</v>
      </c>
      <c r="I31" s="47">
        <f t="shared" si="16"/>
        <v>11700</v>
      </c>
      <c r="J31" s="47">
        <f t="shared" si="16"/>
        <v>6900</v>
      </c>
      <c r="K31" s="47">
        <f t="shared" si="16"/>
        <v>6900</v>
      </c>
      <c r="L31" s="47">
        <f t="shared" si="16"/>
        <v>0</v>
      </c>
      <c r="M31" s="47">
        <f t="shared" si="16"/>
        <v>0</v>
      </c>
      <c r="N31" s="47">
        <f t="shared" si="16"/>
        <v>0</v>
      </c>
      <c r="O31" s="47">
        <f t="shared" si="16"/>
        <v>0</v>
      </c>
      <c r="P31" s="47">
        <f t="shared" si="16"/>
        <v>0</v>
      </c>
      <c r="Q31" s="47">
        <f t="shared" si="16"/>
        <v>0</v>
      </c>
      <c r="R31" s="47">
        <f t="shared" si="16"/>
        <v>0</v>
      </c>
      <c r="S31" s="47">
        <f t="shared" si="16"/>
        <v>0</v>
      </c>
      <c r="T31" s="47">
        <f t="shared" si="16"/>
        <v>6000</v>
      </c>
      <c r="U31" s="47">
        <f t="shared" si="16"/>
        <v>0</v>
      </c>
      <c r="V31" s="47">
        <f t="shared" si="16"/>
        <v>0</v>
      </c>
      <c r="W31" s="47">
        <f t="shared" si="16"/>
        <v>6000</v>
      </c>
      <c r="X31" s="47">
        <f t="shared" si="16"/>
        <v>900</v>
      </c>
      <c r="Y31" s="47">
        <f t="shared" si="16"/>
        <v>900</v>
      </c>
      <c r="Z31" s="47">
        <f t="shared" si="16"/>
        <v>0</v>
      </c>
      <c r="AA31" s="47">
        <f t="shared" si="16"/>
        <v>0</v>
      </c>
      <c r="AB31" s="47">
        <f t="shared" si="16"/>
        <v>900</v>
      </c>
      <c r="AC31" s="47"/>
      <c r="AD31" s="47">
        <f>SUM(AD32:AD32)</f>
        <v>11500</v>
      </c>
      <c r="AE31" s="47">
        <f>SUM(AE32:AE32)</f>
        <v>0</v>
      </c>
      <c r="AF31" s="47">
        <f>SUM(AF32:AF32)</f>
        <v>11500</v>
      </c>
      <c r="AG31" s="231"/>
    </row>
    <row r="32" spans="1:43" s="179" customFormat="1" ht="57.75" customHeight="1">
      <c r="A32" s="185">
        <v>1</v>
      </c>
      <c r="B32" s="183" t="s">
        <v>633</v>
      </c>
      <c r="C32" s="28" t="s">
        <v>212</v>
      </c>
      <c r="D32" s="28" t="s">
        <v>19</v>
      </c>
      <c r="E32" s="28" t="s">
        <v>213</v>
      </c>
      <c r="F32" s="28" t="s">
        <v>36</v>
      </c>
      <c r="G32" s="91" t="s">
        <v>214</v>
      </c>
      <c r="H32" s="49">
        <v>19877</v>
      </c>
      <c r="I32" s="46">
        <v>11700</v>
      </c>
      <c r="J32" s="48">
        <f>SUM(K32,L32:S32)</f>
        <v>6900</v>
      </c>
      <c r="K32" s="48">
        <v>6900</v>
      </c>
      <c r="L32" s="48"/>
      <c r="M32" s="48"/>
      <c r="N32" s="48"/>
      <c r="O32" s="48"/>
      <c r="P32" s="48"/>
      <c r="Q32" s="48"/>
      <c r="R32" s="48"/>
      <c r="S32" s="48"/>
      <c r="T32" s="48">
        <f>SUM(U32:W32)</f>
        <v>6000</v>
      </c>
      <c r="U32" s="47"/>
      <c r="V32" s="48"/>
      <c r="W32" s="32">
        <v>6000</v>
      </c>
      <c r="X32" s="32">
        <f>J32-T32</f>
        <v>900</v>
      </c>
      <c r="Y32" s="32">
        <f>X32</f>
        <v>900</v>
      </c>
      <c r="Z32" s="32"/>
      <c r="AA32" s="32"/>
      <c r="AB32" s="32">
        <f>SUM(Y32:AA32)</f>
        <v>900</v>
      </c>
      <c r="AC32" s="47"/>
      <c r="AD32" s="48">
        <v>11500</v>
      </c>
      <c r="AE32" s="47"/>
      <c r="AF32" s="82">
        <f>AD32-AE32</f>
        <v>11500</v>
      </c>
      <c r="AG32" s="185"/>
      <c r="AH32" s="319">
        <f>AD32</f>
        <v>11500</v>
      </c>
      <c r="AI32" s="319">
        <f>AH32/2.5</f>
        <v>4600</v>
      </c>
      <c r="AJ32" s="319">
        <f>AH32-AI32</f>
        <v>6900</v>
      </c>
      <c r="AK32" s="319"/>
      <c r="AL32" s="179" t="s">
        <v>472</v>
      </c>
      <c r="AM32" s="179" t="s">
        <v>474</v>
      </c>
      <c r="AN32" s="58">
        <f>Y32</f>
        <v>900</v>
      </c>
      <c r="AO32" s="58" t="s">
        <v>629</v>
      </c>
      <c r="AP32" s="58"/>
      <c r="AQ32" s="58"/>
    </row>
    <row r="33" spans="1:43" s="179" customFormat="1" ht="39.75" customHeight="1">
      <c r="A33" s="185"/>
      <c r="B33" s="314" t="s">
        <v>215</v>
      </c>
      <c r="C33" s="185"/>
      <c r="D33" s="185"/>
      <c r="E33" s="185"/>
      <c r="F33" s="185"/>
      <c r="G33" s="185"/>
      <c r="H33" s="47">
        <f>SUM(H34)</f>
        <v>24662</v>
      </c>
      <c r="I33" s="47">
        <f t="shared" ref="I33:AF33" si="17">SUM(I34)</f>
        <v>15700</v>
      </c>
      <c r="J33" s="47">
        <f t="shared" si="17"/>
        <v>9400</v>
      </c>
      <c r="K33" s="47">
        <f t="shared" si="17"/>
        <v>9400</v>
      </c>
      <c r="L33" s="47">
        <f t="shared" si="17"/>
        <v>0</v>
      </c>
      <c r="M33" s="47">
        <f t="shared" si="17"/>
        <v>0</v>
      </c>
      <c r="N33" s="47">
        <f t="shared" si="17"/>
        <v>0</v>
      </c>
      <c r="O33" s="47">
        <f t="shared" si="17"/>
        <v>0</v>
      </c>
      <c r="P33" s="47">
        <f t="shared" si="17"/>
        <v>0</v>
      </c>
      <c r="Q33" s="47">
        <f t="shared" si="17"/>
        <v>0</v>
      </c>
      <c r="R33" s="47">
        <f t="shared" si="17"/>
        <v>0</v>
      </c>
      <c r="S33" s="47">
        <f t="shared" si="17"/>
        <v>0</v>
      </c>
      <c r="T33" s="47">
        <f t="shared" si="17"/>
        <v>3100</v>
      </c>
      <c r="U33" s="47">
        <f t="shared" si="17"/>
        <v>0</v>
      </c>
      <c r="V33" s="47">
        <f t="shared" si="17"/>
        <v>0</v>
      </c>
      <c r="W33" s="47">
        <f t="shared" si="17"/>
        <v>3100</v>
      </c>
      <c r="X33" s="47">
        <f t="shared" si="17"/>
        <v>6300</v>
      </c>
      <c r="Y33" s="47">
        <f t="shared" si="17"/>
        <v>6300</v>
      </c>
      <c r="Z33" s="47">
        <f t="shared" si="17"/>
        <v>0</v>
      </c>
      <c r="AA33" s="47">
        <f t="shared" si="17"/>
        <v>0</v>
      </c>
      <c r="AB33" s="47">
        <f t="shared" si="17"/>
        <v>6300</v>
      </c>
      <c r="AC33" s="47"/>
      <c r="AD33" s="47">
        <f t="shared" si="17"/>
        <v>15700</v>
      </c>
      <c r="AE33" s="47">
        <f t="shared" si="17"/>
        <v>0</v>
      </c>
      <c r="AF33" s="47">
        <f t="shared" si="17"/>
        <v>15700</v>
      </c>
      <c r="AG33" s="231"/>
    </row>
    <row r="34" spans="1:43" s="179" customFormat="1" ht="57.75" customHeight="1">
      <c r="A34" s="185">
        <v>1</v>
      </c>
      <c r="B34" s="183" t="s">
        <v>634</v>
      </c>
      <c r="C34" s="28" t="s">
        <v>215</v>
      </c>
      <c r="D34" s="28" t="s">
        <v>19</v>
      </c>
      <c r="E34" s="28" t="s">
        <v>183</v>
      </c>
      <c r="F34" s="28" t="s">
        <v>36</v>
      </c>
      <c r="G34" s="91" t="s">
        <v>708</v>
      </c>
      <c r="H34" s="49">
        <v>24662</v>
      </c>
      <c r="I34" s="46">
        <v>15700</v>
      </c>
      <c r="J34" s="48">
        <f>SUM(K34,L34:S34)</f>
        <v>9400</v>
      </c>
      <c r="K34" s="48">
        <v>9400</v>
      </c>
      <c r="L34" s="48"/>
      <c r="M34" s="48"/>
      <c r="N34" s="48"/>
      <c r="O34" s="48"/>
      <c r="P34" s="48"/>
      <c r="Q34" s="48"/>
      <c r="R34" s="48"/>
      <c r="S34" s="48"/>
      <c r="T34" s="48">
        <f>SUM(U34:W34)</f>
        <v>3100</v>
      </c>
      <c r="U34" s="47"/>
      <c r="V34" s="48"/>
      <c r="W34" s="32">
        <v>3100</v>
      </c>
      <c r="X34" s="32">
        <f>J34-T34</f>
        <v>6300</v>
      </c>
      <c r="Y34" s="32">
        <f>X34</f>
        <v>6300</v>
      </c>
      <c r="Z34" s="32"/>
      <c r="AA34" s="32"/>
      <c r="AB34" s="32">
        <f>SUM(Y34:AA34)</f>
        <v>6300</v>
      </c>
      <c r="AC34" s="47"/>
      <c r="AD34" s="48">
        <v>15700</v>
      </c>
      <c r="AE34" s="47"/>
      <c r="AF34" s="82">
        <f>AD34-AE34</f>
        <v>15700</v>
      </c>
      <c r="AG34" s="185"/>
      <c r="AH34" s="319">
        <f>AD34</f>
        <v>15700</v>
      </c>
      <c r="AI34" s="319">
        <v>6300</v>
      </c>
      <c r="AJ34" s="319">
        <f>AH34-AI34</f>
        <v>9400</v>
      </c>
      <c r="AK34" s="319"/>
      <c r="AL34" s="179" t="s">
        <v>472</v>
      </c>
      <c r="AM34" s="179" t="s">
        <v>474</v>
      </c>
      <c r="AN34" s="58">
        <f>Y34</f>
        <v>6300</v>
      </c>
      <c r="AO34" s="58" t="s">
        <v>629</v>
      </c>
      <c r="AP34" s="58"/>
      <c r="AQ34" s="58"/>
    </row>
    <row r="35" spans="1:43" s="318" customFormat="1" ht="39.75" customHeight="1">
      <c r="A35" s="315" t="s">
        <v>25</v>
      </c>
      <c r="B35" s="316" t="s">
        <v>169</v>
      </c>
      <c r="C35" s="315"/>
      <c r="D35" s="315"/>
      <c r="E35" s="315"/>
      <c r="F35" s="315"/>
      <c r="G35" s="315"/>
      <c r="H35" s="76">
        <f>SUM(H36)</f>
        <v>54334</v>
      </c>
      <c r="I35" s="76">
        <f t="shared" ref="I35:X35" si="18">SUM(I36)</f>
        <v>37800</v>
      </c>
      <c r="J35" s="76">
        <f t="shared" si="18"/>
        <v>22500</v>
      </c>
      <c r="K35" s="76">
        <f t="shared" si="18"/>
        <v>22500</v>
      </c>
      <c r="L35" s="76">
        <f t="shared" si="18"/>
        <v>0</v>
      </c>
      <c r="M35" s="76">
        <f t="shared" si="18"/>
        <v>0</v>
      </c>
      <c r="N35" s="76">
        <f t="shared" si="18"/>
        <v>0</v>
      </c>
      <c r="O35" s="76">
        <f t="shared" si="18"/>
        <v>0</v>
      </c>
      <c r="P35" s="76">
        <f t="shared" si="18"/>
        <v>0</v>
      </c>
      <c r="Q35" s="76">
        <f t="shared" si="18"/>
        <v>0</v>
      </c>
      <c r="R35" s="76">
        <f t="shared" si="18"/>
        <v>0</v>
      </c>
      <c r="S35" s="76">
        <f t="shared" si="18"/>
        <v>0</v>
      </c>
      <c r="T35" s="76">
        <f t="shared" si="18"/>
        <v>16900</v>
      </c>
      <c r="U35" s="76">
        <f t="shared" si="18"/>
        <v>0</v>
      </c>
      <c r="V35" s="76">
        <f t="shared" si="18"/>
        <v>0</v>
      </c>
      <c r="W35" s="76">
        <f t="shared" si="18"/>
        <v>16900</v>
      </c>
      <c r="X35" s="76">
        <f t="shared" si="18"/>
        <v>5600</v>
      </c>
      <c r="Y35" s="76">
        <f>SUM(Y36)</f>
        <v>5600</v>
      </c>
      <c r="Z35" s="76">
        <f>SUM(Z36)</f>
        <v>0</v>
      </c>
      <c r="AA35" s="76">
        <f>SUM(AA36)</f>
        <v>0</v>
      </c>
      <c r="AB35" s="76">
        <f>SUM(AB36)</f>
        <v>5600</v>
      </c>
      <c r="AC35" s="76"/>
      <c r="AD35" s="76" t="e">
        <f>SUM(#REF!,#REF!,#REF!,AD36,#REF!,#REF!,#REF!)</f>
        <v>#REF!</v>
      </c>
      <c r="AE35" s="76" t="e">
        <f>SUM(#REF!,#REF!,#REF!,AE36,#REF!,#REF!,#REF!)</f>
        <v>#REF!</v>
      </c>
      <c r="AF35" s="76" t="e">
        <f>SUM(#REF!,#REF!,#REF!,AF36,#REF!,#REF!,#REF!)</f>
        <v>#REF!</v>
      </c>
      <c r="AG35" s="317"/>
    </row>
    <row r="36" spans="1:43" s="179" customFormat="1" ht="39.75" customHeight="1">
      <c r="A36" s="185"/>
      <c r="B36" s="314" t="s">
        <v>212</v>
      </c>
      <c r="C36" s="185"/>
      <c r="D36" s="185"/>
      <c r="E36" s="185"/>
      <c r="F36" s="185"/>
      <c r="G36" s="185"/>
      <c r="H36" s="47">
        <f t="shared" ref="H36:Y36" si="19">SUM(H37:H38)</f>
        <v>54334</v>
      </c>
      <c r="I36" s="47">
        <f t="shared" si="19"/>
        <v>37800</v>
      </c>
      <c r="J36" s="47">
        <f t="shared" si="19"/>
        <v>22500</v>
      </c>
      <c r="K36" s="47">
        <f t="shared" si="19"/>
        <v>22500</v>
      </c>
      <c r="L36" s="47">
        <f t="shared" si="19"/>
        <v>0</v>
      </c>
      <c r="M36" s="47">
        <f t="shared" si="19"/>
        <v>0</v>
      </c>
      <c r="N36" s="47">
        <f t="shared" si="19"/>
        <v>0</v>
      </c>
      <c r="O36" s="47">
        <f t="shared" si="19"/>
        <v>0</v>
      </c>
      <c r="P36" s="47">
        <f t="shared" si="19"/>
        <v>0</v>
      </c>
      <c r="Q36" s="47">
        <f t="shared" si="19"/>
        <v>0</v>
      </c>
      <c r="R36" s="47">
        <f t="shared" si="19"/>
        <v>0</v>
      </c>
      <c r="S36" s="47">
        <f t="shared" si="19"/>
        <v>0</v>
      </c>
      <c r="T36" s="47">
        <f t="shared" si="19"/>
        <v>16900</v>
      </c>
      <c r="U36" s="47">
        <f t="shared" si="19"/>
        <v>0</v>
      </c>
      <c r="V36" s="47">
        <f t="shared" si="19"/>
        <v>0</v>
      </c>
      <c r="W36" s="47">
        <f t="shared" si="19"/>
        <v>16900</v>
      </c>
      <c r="X36" s="47">
        <f t="shared" si="19"/>
        <v>5600</v>
      </c>
      <c r="Y36" s="47">
        <f t="shared" si="19"/>
        <v>5600</v>
      </c>
      <c r="Z36" s="47">
        <f>SUM(Z37:Z38)</f>
        <v>0</v>
      </c>
      <c r="AA36" s="47">
        <f>SUM(AA37:AA38)</f>
        <v>0</v>
      </c>
      <c r="AB36" s="47">
        <f>SUM(AB37:AB38)</f>
        <v>5600</v>
      </c>
      <c r="AC36" s="47"/>
      <c r="AD36" s="47">
        <f>SUM(AD37:AD38)</f>
        <v>37500</v>
      </c>
      <c r="AE36" s="47">
        <f>SUM(AE37:AE38)</f>
        <v>0</v>
      </c>
      <c r="AF36" s="47">
        <f>SUM(AF37:AF38)</f>
        <v>37500</v>
      </c>
      <c r="AG36" s="231"/>
    </row>
    <row r="37" spans="1:43" s="179" customFormat="1" ht="57.75" customHeight="1">
      <c r="A37" s="185">
        <v>1</v>
      </c>
      <c r="B37" s="183" t="s">
        <v>224</v>
      </c>
      <c r="C37" s="28" t="s">
        <v>212</v>
      </c>
      <c r="D37" s="28" t="s">
        <v>19</v>
      </c>
      <c r="E37" s="28" t="s">
        <v>225</v>
      </c>
      <c r="F37" s="28" t="s">
        <v>36</v>
      </c>
      <c r="G37" s="91" t="s">
        <v>791</v>
      </c>
      <c r="H37" s="49">
        <v>26669</v>
      </c>
      <c r="I37" s="46">
        <v>16800</v>
      </c>
      <c r="J37" s="48">
        <f>SUM(K37,L37:S37)</f>
        <v>9900</v>
      </c>
      <c r="K37" s="48">
        <v>9900</v>
      </c>
      <c r="L37" s="48"/>
      <c r="M37" s="48"/>
      <c r="N37" s="48"/>
      <c r="O37" s="48"/>
      <c r="P37" s="48"/>
      <c r="Q37" s="48"/>
      <c r="R37" s="48"/>
      <c r="S37" s="48"/>
      <c r="T37" s="48">
        <f>SUM(U37:W37)</f>
        <v>6900</v>
      </c>
      <c r="U37" s="47"/>
      <c r="V37" s="48"/>
      <c r="W37" s="32">
        <v>6900</v>
      </c>
      <c r="X37" s="32">
        <f>J37-T37</f>
        <v>3000</v>
      </c>
      <c r="Y37" s="32">
        <f>X37</f>
        <v>3000</v>
      </c>
      <c r="Z37" s="32"/>
      <c r="AA37" s="32"/>
      <c r="AB37" s="32">
        <f>SUM(Y37:AA37)</f>
        <v>3000</v>
      </c>
      <c r="AC37" s="47"/>
      <c r="AD37" s="48">
        <v>16500</v>
      </c>
      <c r="AE37" s="47"/>
      <c r="AF37" s="82">
        <f>AD37-AE37</f>
        <v>16500</v>
      </c>
      <c r="AG37" s="185"/>
      <c r="AH37" s="319">
        <f>AD37</f>
        <v>16500</v>
      </c>
      <c r="AI37" s="319">
        <f>AH37/2.5</f>
        <v>6600</v>
      </c>
      <c r="AJ37" s="319">
        <f>AH37-AI37</f>
        <v>9900</v>
      </c>
      <c r="AK37" s="319"/>
      <c r="AL37" s="179" t="s">
        <v>472</v>
      </c>
      <c r="AM37" s="179" t="s">
        <v>459</v>
      </c>
      <c r="AN37" s="58">
        <f>Y37</f>
        <v>3000</v>
      </c>
      <c r="AO37" s="58"/>
      <c r="AP37" s="58"/>
      <c r="AQ37" s="58"/>
    </row>
    <row r="38" spans="1:43" s="179" customFormat="1" ht="60.9" customHeight="1">
      <c r="A38" s="185">
        <f>+A37+1</f>
        <v>2</v>
      </c>
      <c r="B38" s="281" t="s">
        <v>637</v>
      </c>
      <c r="C38" s="28" t="s">
        <v>212</v>
      </c>
      <c r="D38" s="28" t="s">
        <v>19</v>
      </c>
      <c r="E38" s="28" t="s">
        <v>226</v>
      </c>
      <c r="F38" s="28" t="s">
        <v>36</v>
      </c>
      <c r="G38" s="91" t="s">
        <v>792</v>
      </c>
      <c r="H38" s="49">
        <v>27665</v>
      </c>
      <c r="I38" s="46">
        <v>21000</v>
      </c>
      <c r="J38" s="48">
        <f>SUM(K38,L38:S38)</f>
        <v>12600</v>
      </c>
      <c r="K38" s="48">
        <v>12600</v>
      </c>
      <c r="L38" s="48"/>
      <c r="M38" s="48"/>
      <c r="N38" s="48"/>
      <c r="O38" s="48"/>
      <c r="P38" s="48"/>
      <c r="Q38" s="48"/>
      <c r="R38" s="48"/>
      <c r="S38" s="48"/>
      <c r="T38" s="48">
        <f>SUM(U38:W38)</f>
        <v>10000</v>
      </c>
      <c r="U38" s="47"/>
      <c r="V38" s="48"/>
      <c r="W38" s="32">
        <v>10000</v>
      </c>
      <c r="X38" s="32">
        <f>J38-T38</f>
        <v>2600</v>
      </c>
      <c r="Y38" s="32">
        <f>X38</f>
        <v>2600</v>
      </c>
      <c r="Z38" s="32"/>
      <c r="AA38" s="32"/>
      <c r="AB38" s="32">
        <f>SUM(Y38:AA38)</f>
        <v>2600</v>
      </c>
      <c r="AC38" s="47"/>
      <c r="AD38" s="48">
        <v>21000</v>
      </c>
      <c r="AE38" s="47"/>
      <c r="AF38" s="82">
        <f>AD38-AE38</f>
        <v>21000</v>
      </c>
      <c r="AG38" s="185"/>
      <c r="AH38" s="319">
        <f>AD38</f>
        <v>21000</v>
      </c>
      <c r="AI38" s="319">
        <f>AH38/2.5</f>
        <v>8400</v>
      </c>
      <c r="AJ38" s="319">
        <f>AH38-AI38</f>
        <v>12600</v>
      </c>
      <c r="AK38" s="319"/>
      <c r="AL38" s="179" t="s">
        <v>472</v>
      </c>
      <c r="AM38" s="179" t="s">
        <v>459</v>
      </c>
      <c r="AN38" s="58">
        <f>Y38</f>
        <v>2600</v>
      </c>
      <c r="AO38" s="58"/>
      <c r="AP38" s="58"/>
      <c r="AQ38" s="58"/>
    </row>
    <row r="39" spans="1:43" s="179" customFormat="1" ht="48.75" customHeight="1">
      <c r="A39" s="336" t="s">
        <v>889</v>
      </c>
      <c r="B39" s="314" t="s">
        <v>237</v>
      </c>
      <c r="C39" s="185"/>
      <c r="D39" s="185"/>
      <c r="E39" s="185"/>
      <c r="F39" s="185"/>
      <c r="G39" s="185"/>
      <c r="H39" s="47">
        <f>SUM(H40)</f>
        <v>43738</v>
      </c>
      <c r="I39" s="47">
        <f t="shared" ref="I39:X39" si="20">SUM(I40)</f>
        <v>27500</v>
      </c>
      <c r="J39" s="47">
        <f t="shared" si="20"/>
        <v>16200</v>
      </c>
      <c r="K39" s="47">
        <f t="shared" si="20"/>
        <v>16200</v>
      </c>
      <c r="L39" s="47">
        <f t="shared" si="20"/>
        <v>0</v>
      </c>
      <c r="M39" s="47">
        <f t="shared" si="20"/>
        <v>0</v>
      </c>
      <c r="N39" s="47">
        <f t="shared" si="20"/>
        <v>0</v>
      </c>
      <c r="O39" s="47">
        <f t="shared" si="20"/>
        <v>0</v>
      </c>
      <c r="P39" s="47">
        <f t="shared" si="20"/>
        <v>0</v>
      </c>
      <c r="Q39" s="47">
        <f t="shared" si="20"/>
        <v>0</v>
      </c>
      <c r="R39" s="47">
        <f t="shared" si="20"/>
        <v>0</v>
      </c>
      <c r="S39" s="47">
        <f t="shared" si="20"/>
        <v>0</v>
      </c>
      <c r="T39" s="47">
        <f t="shared" si="20"/>
        <v>9700</v>
      </c>
      <c r="U39" s="47">
        <f t="shared" si="20"/>
        <v>0</v>
      </c>
      <c r="V39" s="47">
        <f t="shared" si="20"/>
        <v>0</v>
      </c>
      <c r="W39" s="47">
        <f t="shared" si="20"/>
        <v>9700</v>
      </c>
      <c r="X39" s="47">
        <f t="shared" si="20"/>
        <v>6500</v>
      </c>
      <c r="Y39" s="47">
        <f>SUM(Y40)</f>
        <v>6500</v>
      </c>
      <c r="Z39" s="47">
        <f>SUM(Z40)</f>
        <v>0</v>
      </c>
      <c r="AA39" s="391">
        <f>SUM(AA40)</f>
        <v>-400</v>
      </c>
      <c r="AB39" s="47">
        <f>SUM(AB40)</f>
        <v>6100</v>
      </c>
      <c r="AC39" s="47"/>
      <c r="AD39" s="47" t="e">
        <f>SUM(AD40,#REF!,#REF!)</f>
        <v>#REF!</v>
      </c>
      <c r="AE39" s="47" t="e">
        <f>SUM(AE40,#REF!,#REF!)</f>
        <v>#REF!</v>
      </c>
      <c r="AF39" s="47" t="e">
        <f>SUM(AF40,#REF!,#REF!)</f>
        <v>#REF!</v>
      </c>
      <c r="AG39" s="231"/>
    </row>
    <row r="40" spans="1:43" s="318" customFormat="1" ht="39.75" customHeight="1">
      <c r="A40" s="315" t="s">
        <v>17</v>
      </c>
      <c r="B40" s="316" t="s">
        <v>64</v>
      </c>
      <c r="C40" s="315"/>
      <c r="D40" s="315"/>
      <c r="E40" s="315"/>
      <c r="F40" s="315"/>
      <c r="G40" s="315"/>
      <c r="H40" s="76">
        <f>SUM(H41)</f>
        <v>43738</v>
      </c>
      <c r="I40" s="76">
        <f t="shared" ref="I40:AB40" si="21">SUM(I41)</f>
        <v>27500</v>
      </c>
      <c r="J40" s="76">
        <f t="shared" si="21"/>
        <v>16200</v>
      </c>
      <c r="K40" s="76">
        <f t="shared" si="21"/>
        <v>16200</v>
      </c>
      <c r="L40" s="76">
        <f t="shared" si="21"/>
        <v>0</v>
      </c>
      <c r="M40" s="76">
        <f t="shared" si="21"/>
        <v>0</v>
      </c>
      <c r="N40" s="76">
        <f t="shared" si="21"/>
        <v>0</v>
      </c>
      <c r="O40" s="76">
        <f t="shared" si="21"/>
        <v>0</v>
      </c>
      <c r="P40" s="76">
        <f t="shared" si="21"/>
        <v>0</v>
      </c>
      <c r="Q40" s="76">
        <f t="shared" si="21"/>
        <v>0</v>
      </c>
      <c r="R40" s="76">
        <f t="shared" si="21"/>
        <v>0</v>
      </c>
      <c r="S40" s="76">
        <f t="shared" si="21"/>
        <v>0</v>
      </c>
      <c r="T40" s="76">
        <f t="shared" si="21"/>
        <v>9700</v>
      </c>
      <c r="U40" s="76">
        <f t="shared" si="21"/>
        <v>0</v>
      </c>
      <c r="V40" s="76">
        <f t="shared" si="21"/>
        <v>0</v>
      </c>
      <c r="W40" s="76">
        <f t="shared" si="21"/>
        <v>9700</v>
      </c>
      <c r="X40" s="76">
        <f t="shared" si="21"/>
        <v>6500</v>
      </c>
      <c r="Y40" s="76">
        <f t="shared" si="21"/>
        <v>6500</v>
      </c>
      <c r="Z40" s="76">
        <f t="shared" si="21"/>
        <v>0</v>
      </c>
      <c r="AA40" s="390">
        <f t="shared" si="21"/>
        <v>-400</v>
      </c>
      <c r="AB40" s="76">
        <f t="shared" si="21"/>
        <v>6100</v>
      </c>
      <c r="AC40" s="76"/>
      <c r="AD40" s="76" t="e">
        <f>SUM(#REF!,#REF!,AD41)</f>
        <v>#REF!</v>
      </c>
      <c r="AE40" s="76" t="e">
        <f>SUM(#REF!,#REF!,AE41)</f>
        <v>#REF!</v>
      </c>
      <c r="AF40" s="76" t="e">
        <f>SUM(#REF!,#REF!,AF41)</f>
        <v>#REF!</v>
      </c>
      <c r="AG40" s="317"/>
    </row>
    <row r="41" spans="1:43" s="179" customFormat="1" ht="39.75" customHeight="1">
      <c r="A41" s="185"/>
      <c r="B41" s="314" t="s">
        <v>239</v>
      </c>
      <c r="C41" s="185"/>
      <c r="D41" s="185"/>
      <c r="E41" s="185"/>
      <c r="F41" s="185"/>
      <c r="G41" s="185"/>
      <c r="H41" s="47">
        <f t="shared" ref="H41:Y41" si="22">SUM(H42:H43)</f>
        <v>43738</v>
      </c>
      <c r="I41" s="47">
        <f t="shared" si="22"/>
        <v>27500</v>
      </c>
      <c r="J41" s="47">
        <f t="shared" si="22"/>
        <v>16200</v>
      </c>
      <c r="K41" s="47">
        <f t="shared" si="22"/>
        <v>16200</v>
      </c>
      <c r="L41" s="47">
        <f t="shared" si="22"/>
        <v>0</v>
      </c>
      <c r="M41" s="47">
        <f t="shared" si="22"/>
        <v>0</v>
      </c>
      <c r="N41" s="47">
        <f t="shared" si="22"/>
        <v>0</v>
      </c>
      <c r="O41" s="47">
        <f t="shared" si="22"/>
        <v>0</v>
      </c>
      <c r="P41" s="47">
        <f t="shared" si="22"/>
        <v>0</v>
      </c>
      <c r="Q41" s="47">
        <f t="shared" si="22"/>
        <v>0</v>
      </c>
      <c r="R41" s="47">
        <f t="shared" si="22"/>
        <v>0</v>
      </c>
      <c r="S41" s="47">
        <f t="shared" si="22"/>
        <v>0</v>
      </c>
      <c r="T41" s="47">
        <f t="shared" si="22"/>
        <v>9700</v>
      </c>
      <c r="U41" s="47">
        <f t="shared" si="22"/>
        <v>0</v>
      </c>
      <c r="V41" s="47">
        <f t="shared" si="22"/>
        <v>0</v>
      </c>
      <c r="W41" s="47">
        <f t="shared" si="22"/>
        <v>9700</v>
      </c>
      <c r="X41" s="47">
        <f t="shared" si="22"/>
        <v>6500</v>
      </c>
      <c r="Y41" s="47">
        <f t="shared" si="22"/>
        <v>6500</v>
      </c>
      <c r="Z41" s="47">
        <f>SUM(Z42:Z43)</f>
        <v>0</v>
      </c>
      <c r="AA41" s="391">
        <f>SUM(AA42:AA43)</f>
        <v>-400</v>
      </c>
      <c r="AB41" s="47">
        <f>SUM(AB42:AB43)</f>
        <v>6100</v>
      </c>
      <c r="AC41" s="47"/>
      <c r="AD41" s="47">
        <f>SUM(AD42:AD43)</f>
        <v>27000</v>
      </c>
      <c r="AE41" s="47">
        <f>SUM(AE42:AE43)</f>
        <v>0</v>
      </c>
      <c r="AF41" s="47">
        <f>SUM(AF42:AF43)</f>
        <v>27000</v>
      </c>
      <c r="AG41" s="231"/>
    </row>
    <row r="42" spans="1:43" s="179" customFormat="1" ht="57.75" customHeight="1">
      <c r="A42" s="185">
        <v>1</v>
      </c>
      <c r="B42" s="183" t="s">
        <v>635</v>
      </c>
      <c r="C42" s="28" t="s">
        <v>239</v>
      </c>
      <c r="D42" s="28" t="s">
        <v>19</v>
      </c>
      <c r="E42" s="28" t="s">
        <v>240</v>
      </c>
      <c r="F42" s="28" t="s">
        <v>36</v>
      </c>
      <c r="G42" s="91" t="s">
        <v>793</v>
      </c>
      <c r="H42" s="49">
        <v>16613</v>
      </c>
      <c r="I42" s="46">
        <v>10100</v>
      </c>
      <c r="J42" s="48">
        <f>SUM(K42,L42:S42)</f>
        <v>6000</v>
      </c>
      <c r="K42" s="48">
        <v>6000</v>
      </c>
      <c r="L42" s="48"/>
      <c r="M42" s="48"/>
      <c r="N42" s="48"/>
      <c r="O42" s="48"/>
      <c r="P42" s="48"/>
      <c r="Q42" s="48"/>
      <c r="R42" s="48"/>
      <c r="S42" s="48"/>
      <c r="T42" s="48">
        <f>SUM(U42:W42)</f>
        <v>4000</v>
      </c>
      <c r="U42" s="47"/>
      <c r="V42" s="48"/>
      <c r="W42" s="32">
        <v>4000</v>
      </c>
      <c r="X42" s="32">
        <f>J42-T42</f>
        <v>2000</v>
      </c>
      <c r="Y42" s="32">
        <f>X42</f>
        <v>2000</v>
      </c>
      <c r="Z42" s="32"/>
      <c r="AA42" s="383">
        <v>-400</v>
      </c>
      <c r="AB42" s="32">
        <f>SUM(Y42:AA42)</f>
        <v>1600</v>
      </c>
      <c r="AC42" s="47"/>
      <c r="AD42" s="48">
        <v>10000</v>
      </c>
      <c r="AE42" s="47"/>
      <c r="AF42" s="48">
        <f>AD42-AE42</f>
        <v>10000</v>
      </c>
      <c r="AG42" s="185"/>
      <c r="AH42" s="319">
        <f>AD42</f>
        <v>10000</v>
      </c>
      <c r="AI42" s="319">
        <f>AH42/2.5</f>
        <v>4000</v>
      </c>
      <c r="AJ42" s="319">
        <f>AH42-AI42</f>
        <v>6000</v>
      </c>
      <c r="AK42" s="319"/>
      <c r="AL42" s="179" t="s">
        <v>472</v>
      </c>
      <c r="AM42" s="179" t="s">
        <v>474</v>
      </c>
      <c r="AN42" s="58">
        <f>Y42</f>
        <v>2000</v>
      </c>
      <c r="AO42" s="58" t="s">
        <v>629</v>
      </c>
      <c r="AP42" s="58"/>
      <c r="AQ42" s="58"/>
    </row>
    <row r="43" spans="1:43" s="179" customFormat="1" ht="66.75" customHeight="1">
      <c r="A43" s="185">
        <v>2</v>
      </c>
      <c r="B43" s="183" t="s">
        <v>636</v>
      </c>
      <c r="C43" s="28" t="s">
        <v>239</v>
      </c>
      <c r="D43" s="28" t="s">
        <v>19</v>
      </c>
      <c r="E43" s="28" t="s">
        <v>241</v>
      </c>
      <c r="F43" s="28" t="s">
        <v>36</v>
      </c>
      <c r="G43" s="91" t="s">
        <v>794</v>
      </c>
      <c r="H43" s="49">
        <v>27125</v>
      </c>
      <c r="I43" s="46">
        <v>17400</v>
      </c>
      <c r="J43" s="48">
        <f>SUM(K43,L43:S43)</f>
        <v>10200</v>
      </c>
      <c r="K43" s="48">
        <v>10200</v>
      </c>
      <c r="L43" s="48"/>
      <c r="M43" s="48"/>
      <c r="N43" s="48"/>
      <c r="O43" s="48"/>
      <c r="P43" s="48"/>
      <c r="Q43" s="48"/>
      <c r="R43" s="48"/>
      <c r="S43" s="48"/>
      <c r="T43" s="48">
        <f>SUM(U43:W43)</f>
        <v>5700</v>
      </c>
      <c r="U43" s="47"/>
      <c r="V43" s="48"/>
      <c r="W43" s="32">
        <v>5700</v>
      </c>
      <c r="X43" s="32">
        <f>J43-T43</f>
        <v>4500</v>
      </c>
      <c r="Y43" s="32">
        <f>X43</f>
        <v>4500</v>
      </c>
      <c r="Z43" s="32"/>
      <c r="AA43" s="383"/>
      <c r="AB43" s="32">
        <f>SUM(Y43:AA43)</f>
        <v>4500</v>
      </c>
      <c r="AC43" s="47"/>
      <c r="AD43" s="48">
        <v>17000</v>
      </c>
      <c r="AE43" s="47"/>
      <c r="AF43" s="48">
        <f>AD43-AE43</f>
        <v>17000</v>
      </c>
      <c r="AG43" s="185"/>
      <c r="AH43" s="319">
        <f>AD43</f>
        <v>17000</v>
      </c>
      <c r="AI43" s="319">
        <f>AH43/2.5</f>
        <v>6800</v>
      </c>
      <c r="AJ43" s="319">
        <f>AH43-AI43</f>
        <v>10200</v>
      </c>
      <c r="AK43" s="319"/>
      <c r="AL43" s="179" t="s">
        <v>472</v>
      </c>
      <c r="AM43" s="179" t="s">
        <v>474</v>
      </c>
      <c r="AN43" s="58">
        <f>Y43</f>
        <v>4500</v>
      </c>
      <c r="AO43" s="58" t="s">
        <v>629</v>
      </c>
      <c r="AP43" s="58"/>
      <c r="AQ43" s="58"/>
    </row>
    <row r="44" spans="1:43" s="179" customFormat="1" ht="48.75" customHeight="1">
      <c r="A44" s="336" t="s">
        <v>1074</v>
      </c>
      <c r="B44" s="314" t="s">
        <v>242</v>
      </c>
      <c r="C44" s="185"/>
      <c r="D44" s="185"/>
      <c r="E44" s="185"/>
      <c r="F44" s="185"/>
      <c r="G44" s="185"/>
      <c r="H44" s="47">
        <f t="shared" ref="H44:X44" si="23">SUM(H45,H48)</f>
        <v>130653</v>
      </c>
      <c r="I44" s="47">
        <f t="shared" si="23"/>
        <v>91200</v>
      </c>
      <c r="J44" s="47">
        <f t="shared" si="23"/>
        <v>36900</v>
      </c>
      <c r="K44" s="47">
        <f t="shared" si="23"/>
        <v>36900</v>
      </c>
      <c r="L44" s="47">
        <f t="shared" si="23"/>
        <v>0</v>
      </c>
      <c r="M44" s="47">
        <f t="shared" si="23"/>
        <v>0</v>
      </c>
      <c r="N44" s="47">
        <f t="shared" si="23"/>
        <v>0</v>
      </c>
      <c r="O44" s="47">
        <f t="shared" si="23"/>
        <v>0</v>
      </c>
      <c r="P44" s="47">
        <f t="shared" si="23"/>
        <v>0</v>
      </c>
      <c r="Q44" s="47">
        <f t="shared" si="23"/>
        <v>0</v>
      </c>
      <c r="R44" s="47">
        <f t="shared" si="23"/>
        <v>0</v>
      </c>
      <c r="S44" s="47">
        <f t="shared" si="23"/>
        <v>0</v>
      </c>
      <c r="T44" s="47">
        <f t="shared" si="23"/>
        <v>9500</v>
      </c>
      <c r="U44" s="47">
        <f t="shared" si="23"/>
        <v>0</v>
      </c>
      <c r="V44" s="47">
        <f t="shared" si="23"/>
        <v>0</v>
      </c>
      <c r="W44" s="47">
        <f t="shared" si="23"/>
        <v>9500</v>
      </c>
      <c r="X44" s="47">
        <f t="shared" si="23"/>
        <v>27400</v>
      </c>
      <c r="Y44" s="47">
        <f>SUM(Y45,Y48)</f>
        <v>31400</v>
      </c>
      <c r="Z44" s="47">
        <f>SUM(Z45,Z48)</f>
        <v>7000</v>
      </c>
      <c r="AA44" s="391">
        <f>SUM(AA45,AA48)</f>
        <v>-4600</v>
      </c>
      <c r="AB44" s="47">
        <f>SUM(AB45,AB48)</f>
        <v>33800</v>
      </c>
      <c r="AC44" s="47"/>
      <c r="AD44" s="47" t="e">
        <f>SUM(AD45,AD48,#REF!)</f>
        <v>#REF!</v>
      </c>
      <c r="AE44" s="47" t="e">
        <f>SUM(AE45,AE48,#REF!)</f>
        <v>#REF!</v>
      </c>
      <c r="AF44" s="47" t="e">
        <f>SUM(AF45,AF48,#REF!)</f>
        <v>#REF!</v>
      </c>
      <c r="AG44" s="231"/>
    </row>
    <row r="45" spans="1:43" s="318" customFormat="1" ht="39.75" customHeight="1">
      <c r="A45" s="315" t="s">
        <v>17</v>
      </c>
      <c r="B45" s="316" t="s">
        <v>64</v>
      </c>
      <c r="C45" s="315"/>
      <c r="D45" s="315"/>
      <c r="E45" s="315"/>
      <c r="F45" s="315"/>
      <c r="G45" s="315"/>
      <c r="H45" s="76">
        <f>SUM(H46)</f>
        <v>32188</v>
      </c>
      <c r="I45" s="76">
        <f t="shared" ref="I45:AB45" si="24">SUM(I46)</f>
        <v>21900</v>
      </c>
      <c r="J45" s="76">
        <f t="shared" si="24"/>
        <v>12900</v>
      </c>
      <c r="K45" s="76">
        <f t="shared" si="24"/>
        <v>12900</v>
      </c>
      <c r="L45" s="76">
        <f t="shared" si="24"/>
        <v>0</v>
      </c>
      <c r="M45" s="76">
        <f t="shared" si="24"/>
        <v>0</v>
      </c>
      <c r="N45" s="76">
        <f t="shared" si="24"/>
        <v>0</v>
      </c>
      <c r="O45" s="76">
        <f t="shared" si="24"/>
        <v>0</v>
      </c>
      <c r="P45" s="76">
        <f t="shared" si="24"/>
        <v>0</v>
      </c>
      <c r="Q45" s="76">
        <f t="shared" si="24"/>
        <v>0</v>
      </c>
      <c r="R45" s="76">
        <f t="shared" si="24"/>
        <v>0</v>
      </c>
      <c r="S45" s="76">
        <f t="shared" si="24"/>
        <v>0</v>
      </c>
      <c r="T45" s="76">
        <f t="shared" si="24"/>
        <v>5000</v>
      </c>
      <c r="U45" s="76">
        <f t="shared" si="24"/>
        <v>0</v>
      </c>
      <c r="V45" s="76">
        <f t="shared" si="24"/>
        <v>0</v>
      </c>
      <c r="W45" s="76">
        <f t="shared" si="24"/>
        <v>5000</v>
      </c>
      <c r="X45" s="76">
        <f t="shared" si="24"/>
        <v>7900</v>
      </c>
      <c r="Y45" s="76">
        <f t="shared" si="24"/>
        <v>7900</v>
      </c>
      <c r="Z45" s="76">
        <f t="shared" si="24"/>
        <v>0</v>
      </c>
      <c r="AA45" s="76">
        <f t="shared" si="24"/>
        <v>0</v>
      </c>
      <c r="AB45" s="76">
        <f t="shared" si="24"/>
        <v>7900</v>
      </c>
      <c r="AC45" s="76"/>
      <c r="AD45" s="76" t="e">
        <f>SUM(#REF!,#REF!,AD46,#REF!)</f>
        <v>#REF!</v>
      </c>
      <c r="AE45" s="76" t="e">
        <f>SUM(#REF!,#REF!,AE46,#REF!)</f>
        <v>#REF!</v>
      </c>
      <c r="AF45" s="76" t="e">
        <f>SUM(#REF!,#REF!,AF46,#REF!)</f>
        <v>#REF!</v>
      </c>
      <c r="AG45" s="317"/>
    </row>
    <row r="46" spans="1:43" s="179" customFormat="1" ht="39.75" customHeight="1">
      <c r="A46" s="185"/>
      <c r="B46" s="314" t="s">
        <v>243</v>
      </c>
      <c r="C46" s="185"/>
      <c r="D46" s="185"/>
      <c r="E46" s="185"/>
      <c r="F46" s="185"/>
      <c r="G46" s="185"/>
      <c r="H46" s="47">
        <f t="shared" ref="H46:AB46" si="25">SUM(H47:H47)</f>
        <v>32188</v>
      </c>
      <c r="I46" s="47">
        <f t="shared" si="25"/>
        <v>21900</v>
      </c>
      <c r="J46" s="47">
        <f t="shared" si="25"/>
        <v>12900</v>
      </c>
      <c r="K46" s="47">
        <f t="shared" si="25"/>
        <v>12900</v>
      </c>
      <c r="L46" s="47">
        <f t="shared" si="25"/>
        <v>0</v>
      </c>
      <c r="M46" s="47">
        <f t="shared" si="25"/>
        <v>0</v>
      </c>
      <c r="N46" s="47">
        <f t="shared" si="25"/>
        <v>0</v>
      </c>
      <c r="O46" s="47">
        <f t="shared" si="25"/>
        <v>0</v>
      </c>
      <c r="P46" s="47">
        <f t="shared" si="25"/>
        <v>0</v>
      </c>
      <c r="Q46" s="47">
        <f t="shared" si="25"/>
        <v>0</v>
      </c>
      <c r="R46" s="47">
        <f t="shared" si="25"/>
        <v>0</v>
      </c>
      <c r="S46" s="47">
        <f t="shared" si="25"/>
        <v>0</v>
      </c>
      <c r="T46" s="47">
        <f t="shared" si="25"/>
        <v>5000</v>
      </c>
      <c r="U46" s="47">
        <f t="shared" si="25"/>
        <v>0</v>
      </c>
      <c r="V46" s="47">
        <f t="shared" si="25"/>
        <v>0</v>
      </c>
      <c r="W46" s="47">
        <f t="shared" si="25"/>
        <v>5000</v>
      </c>
      <c r="X46" s="47">
        <f t="shared" si="25"/>
        <v>7900</v>
      </c>
      <c r="Y46" s="47">
        <f t="shared" si="25"/>
        <v>7900</v>
      </c>
      <c r="Z46" s="47">
        <f t="shared" si="25"/>
        <v>0</v>
      </c>
      <c r="AA46" s="47">
        <f t="shared" si="25"/>
        <v>0</v>
      </c>
      <c r="AB46" s="47">
        <f t="shared" si="25"/>
        <v>7900</v>
      </c>
      <c r="AC46" s="47"/>
      <c r="AD46" s="47">
        <f>SUM(AD47:AD47)</f>
        <v>21500</v>
      </c>
      <c r="AE46" s="47">
        <f>SUM(AE47:AE47)</f>
        <v>0</v>
      </c>
      <c r="AF46" s="47">
        <f>SUM(AF47:AF47)</f>
        <v>21500</v>
      </c>
      <c r="AG46" s="231"/>
    </row>
    <row r="47" spans="1:43" ht="64.5" customHeight="1">
      <c r="A47" s="185">
        <v>1</v>
      </c>
      <c r="B47" s="320" t="s">
        <v>244</v>
      </c>
      <c r="C47" s="185" t="s">
        <v>245</v>
      </c>
      <c r="D47" s="185" t="s">
        <v>19</v>
      </c>
      <c r="E47" s="185" t="s">
        <v>246</v>
      </c>
      <c r="F47" s="185" t="s">
        <v>36</v>
      </c>
      <c r="G47" s="160" t="s">
        <v>795</v>
      </c>
      <c r="H47" s="162">
        <v>32188</v>
      </c>
      <c r="I47" s="46">
        <v>21900</v>
      </c>
      <c r="J47" s="48">
        <f>SUM(K47,L47:S47)</f>
        <v>12900</v>
      </c>
      <c r="K47" s="162">
        <v>12900</v>
      </c>
      <c r="L47" s="162"/>
      <c r="M47" s="162"/>
      <c r="N47" s="162"/>
      <c r="O47" s="162"/>
      <c r="P47" s="162"/>
      <c r="Q47" s="162"/>
      <c r="R47" s="162"/>
      <c r="S47" s="162"/>
      <c r="T47" s="48">
        <f>SUM(U47:W47)</f>
        <v>5000</v>
      </c>
      <c r="U47" s="162"/>
      <c r="V47" s="162"/>
      <c r="W47" s="32">
        <v>5000</v>
      </c>
      <c r="X47" s="32">
        <f>J47-T47</f>
        <v>7900</v>
      </c>
      <c r="Y47" s="32">
        <f>X47</f>
        <v>7900</v>
      </c>
      <c r="Z47" s="32"/>
      <c r="AA47" s="32"/>
      <c r="AB47" s="32">
        <f>SUM(Y47:AA47)</f>
        <v>7900</v>
      </c>
      <c r="AC47" s="321"/>
      <c r="AD47" s="48">
        <v>21500</v>
      </c>
      <c r="AE47" s="321"/>
      <c r="AF47" s="48">
        <f>AD47-AE47</f>
        <v>21500</v>
      </c>
      <c r="AG47" s="183"/>
      <c r="AH47" s="319">
        <f>AD47</f>
        <v>21500</v>
      </c>
      <c r="AI47" s="319">
        <f>AH47/2.5</f>
        <v>8600</v>
      </c>
      <c r="AJ47" s="319">
        <f>AH47-AI47</f>
        <v>12900</v>
      </c>
      <c r="AK47" s="319"/>
      <c r="AL47" s="179" t="s">
        <v>472</v>
      </c>
      <c r="AM47" s="179" t="s">
        <v>474</v>
      </c>
      <c r="AN47" s="58">
        <f>Y47</f>
        <v>7900</v>
      </c>
      <c r="AO47" s="58" t="s">
        <v>629</v>
      </c>
      <c r="AP47" s="58"/>
      <c r="AQ47" s="58"/>
    </row>
    <row r="48" spans="1:43" s="318" customFormat="1" ht="39.75" customHeight="1">
      <c r="A48" s="315" t="s">
        <v>25</v>
      </c>
      <c r="B48" s="316" t="s">
        <v>169</v>
      </c>
      <c r="C48" s="315"/>
      <c r="D48" s="315"/>
      <c r="E48" s="315"/>
      <c r="F48" s="315"/>
      <c r="G48" s="315"/>
      <c r="H48" s="76">
        <f>SUM(H49,H51,H53)</f>
        <v>98465</v>
      </c>
      <c r="I48" s="76">
        <f t="shared" ref="I48:AB48" si="26">SUM(I49,I51,I53)</f>
        <v>69300</v>
      </c>
      <c r="J48" s="76">
        <f t="shared" si="26"/>
        <v>24000</v>
      </c>
      <c r="K48" s="76">
        <f t="shared" si="26"/>
        <v>24000</v>
      </c>
      <c r="L48" s="76">
        <f t="shared" si="26"/>
        <v>0</v>
      </c>
      <c r="M48" s="76">
        <f t="shared" si="26"/>
        <v>0</v>
      </c>
      <c r="N48" s="76">
        <f t="shared" si="26"/>
        <v>0</v>
      </c>
      <c r="O48" s="76">
        <f t="shared" si="26"/>
        <v>0</v>
      </c>
      <c r="P48" s="76">
        <f t="shared" si="26"/>
        <v>0</v>
      </c>
      <c r="Q48" s="76">
        <f t="shared" si="26"/>
        <v>0</v>
      </c>
      <c r="R48" s="76">
        <f t="shared" si="26"/>
        <v>0</v>
      </c>
      <c r="S48" s="76">
        <f t="shared" si="26"/>
        <v>0</v>
      </c>
      <c r="T48" s="76">
        <f t="shared" si="26"/>
        <v>4500</v>
      </c>
      <c r="U48" s="76">
        <f t="shared" si="26"/>
        <v>0</v>
      </c>
      <c r="V48" s="76">
        <f t="shared" si="26"/>
        <v>0</v>
      </c>
      <c r="W48" s="76">
        <f t="shared" si="26"/>
        <v>4500</v>
      </c>
      <c r="X48" s="76">
        <f t="shared" si="26"/>
        <v>19500</v>
      </c>
      <c r="Y48" s="76">
        <f t="shared" si="26"/>
        <v>23500</v>
      </c>
      <c r="Z48" s="76">
        <f t="shared" si="26"/>
        <v>7000</v>
      </c>
      <c r="AA48" s="390">
        <f t="shared" si="26"/>
        <v>-4600</v>
      </c>
      <c r="AB48" s="76">
        <f t="shared" si="26"/>
        <v>25900</v>
      </c>
      <c r="AC48" s="76"/>
      <c r="AD48" s="76" t="e">
        <f>SUM(#REF!,#REF!,AD49,#REF!,)</f>
        <v>#REF!</v>
      </c>
      <c r="AE48" s="76" t="e">
        <f>SUM(#REF!,#REF!,AE49,#REF!,)</f>
        <v>#REF!</v>
      </c>
      <c r="AF48" s="76" t="e">
        <f>SUM(#REF!,#REF!,AF49,#REF!,)</f>
        <v>#REF!</v>
      </c>
      <c r="AG48" s="317"/>
    </row>
    <row r="49" spans="1:43" s="179" customFormat="1" ht="39.75" customHeight="1">
      <c r="A49" s="185"/>
      <c r="B49" s="314" t="s">
        <v>243</v>
      </c>
      <c r="C49" s="185"/>
      <c r="D49" s="185"/>
      <c r="E49" s="185"/>
      <c r="F49" s="185"/>
      <c r="G49" s="185"/>
      <c r="H49" s="47">
        <f>SUM(H50)</f>
        <v>20870</v>
      </c>
      <c r="I49" s="47">
        <f t="shared" ref="I49:AB49" si="27">SUM(I50)</f>
        <v>14900</v>
      </c>
      <c r="J49" s="47">
        <f t="shared" si="27"/>
        <v>9000</v>
      </c>
      <c r="K49" s="47">
        <f t="shared" si="27"/>
        <v>9000</v>
      </c>
      <c r="L49" s="47">
        <f t="shared" si="27"/>
        <v>0</v>
      </c>
      <c r="M49" s="47">
        <f t="shared" si="27"/>
        <v>0</v>
      </c>
      <c r="N49" s="47">
        <f t="shared" si="27"/>
        <v>0</v>
      </c>
      <c r="O49" s="47">
        <f t="shared" si="27"/>
        <v>0</v>
      </c>
      <c r="P49" s="47">
        <f t="shared" si="27"/>
        <v>0</v>
      </c>
      <c r="Q49" s="47">
        <f t="shared" si="27"/>
        <v>0</v>
      </c>
      <c r="R49" s="47">
        <f t="shared" si="27"/>
        <v>0</v>
      </c>
      <c r="S49" s="47">
        <f t="shared" si="27"/>
        <v>0</v>
      </c>
      <c r="T49" s="47">
        <f t="shared" si="27"/>
        <v>4500</v>
      </c>
      <c r="U49" s="47">
        <f t="shared" si="27"/>
        <v>0</v>
      </c>
      <c r="V49" s="47">
        <f t="shared" si="27"/>
        <v>0</v>
      </c>
      <c r="W49" s="47">
        <f t="shared" si="27"/>
        <v>4500</v>
      </c>
      <c r="X49" s="47">
        <f t="shared" si="27"/>
        <v>4500</v>
      </c>
      <c r="Y49" s="47">
        <f t="shared" si="27"/>
        <v>4500</v>
      </c>
      <c r="Z49" s="47">
        <f t="shared" si="27"/>
        <v>0</v>
      </c>
      <c r="AA49" s="47">
        <f t="shared" si="27"/>
        <v>0</v>
      </c>
      <c r="AB49" s="47">
        <f t="shared" si="27"/>
        <v>4500</v>
      </c>
      <c r="AC49" s="47"/>
      <c r="AD49" s="47">
        <f>SUM(AD50:AD50)</f>
        <v>14900</v>
      </c>
      <c r="AE49" s="47">
        <f>SUM(AE50:AE50)</f>
        <v>0</v>
      </c>
      <c r="AF49" s="47">
        <f>SUM(AF50:AF50)</f>
        <v>14900</v>
      </c>
      <c r="AG49" s="231"/>
    </row>
    <row r="50" spans="1:43" s="179" customFormat="1" ht="63.75" customHeight="1">
      <c r="A50" s="185">
        <v>1</v>
      </c>
      <c r="B50" s="183" t="s">
        <v>249</v>
      </c>
      <c r="C50" s="28" t="s">
        <v>243</v>
      </c>
      <c r="D50" s="28" t="s">
        <v>19</v>
      </c>
      <c r="E50" s="28" t="s">
        <v>221</v>
      </c>
      <c r="F50" s="28" t="s">
        <v>36</v>
      </c>
      <c r="G50" s="160" t="s">
        <v>796</v>
      </c>
      <c r="H50" s="49">
        <v>20870</v>
      </c>
      <c r="I50" s="46">
        <v>14900</v>
      </c>
      <c r="J50" s="48">
        <f>SUM(K50,L50:S50)</f>
        <v>9000</v>
      </c>
      <c r="K50" s="48">
        <v>9000</v>
      </c>
      <c r="L50" s="48"/>
      <c r="M50" s="48"/>
      <c r="N50" s="48"/>
      <c r="O50" s="48"/>
      <c r="P50" s="48"/>
      <c r="Q50" s="48"/>
      <c r="R50" s="48"/>
      <c r="S50" s="48"/>
      <c r="T50" s="48">
        <f>SUM(U50:W50)</f>
        <v>4500</v>
      </c>
      <c r="U50" s="47"/>
      <c r="V50" s="48"/>
      <c r="W50" s="32">
        <v>4500</v>
      </c>
      <c r="X50" s="32">
        <f>J50-T50</f>
        <v>4500</v>
      </c>
      <c r="Y50" s="32">
        <f>X50</f>
        <v>4500</v>
      </c>
      <c r="Z50" s="32"/>
      <c r="AA50" s="383"/>
      <c r="AB50" s="32">
        <f>SUM(Y50:AA50)</f>
        <v>4500</v>
      </c>
      <c r="AC50" s="47"/>
      <c r="AD50" s="48">
        <v>14900</v>
      </c>
      <c r="AE50" s="47"/>
      <c r="AF50" s="48">
        <f>AD50-AE50</f>
        <v>14900</v>
      </c>
      <c r="AG50" s="185"/>
      <c r="AH50" s="319">
        <f>AD50</f>
        <v>14900</v>
      </c>
      <c r="AI50" s="319">
        <v>5900</v>
      </c>
      <c r="AJ50" s="319">
        <f>AH50-AI50</f>
        <v>9000</v>
      </c>
      <c r="AK50" s="319"/>
      <c r="AL50" s="179" t="s">
        <v>472</v>
      </c>
      <c r="AM50" s="179" t="s">
        <v>459</v>
      </c>
      <c r="AN50" s="58">
        <f>Y50</f>
        <v>4500</v>
      </c>
      <c r="AO50" s="58"/>
      <c r="AP50" s="58"/>
      <c r="AQ50" s="58"/>
    </row>
    <row r="51" spans="1:43" s="179" customFormat="1" ht="39.75" customHeight="1">
      <c r="A51" s="185"/>
      <c r="B51" s="314" t="s">
        <v>250</v>
      </c>
      <c r="C51" s="185"/>
      <c r="D51" s="185"/>
      <c r="E51" s="185"/>
      <c r="F51" s="185"/>
      <c r="G51" s="185"/>
      <c r="H51" s="47">
        <f>SUM(H52)</f>
        <v>39990</v>
      </c>
      <c r="I51" s="47">
        <f t="shared" ref="I51:AB51" si="28">SUM(I52)</f>
        <v>24600</v>
      </c>
      <c r="J51" s="47">
        <f t="shared" si="28"/>
        <v>15000</v>
      </c>
      <c r="K51" s="47">
        <f t="shared" si="28"/>
        <v>15000</v>
      </c>
      <c r="L51" s="47">
        <f t="shared" si="28"/>
        <v>0</v>
      </c>
      <c r="M51" s="47">
        <f t="shared" si="28"/>
        <v>0</v>
      </c>
      <c r="N51" s="47">
        <f t="shared" si="28"/>
        <v>0</v>
      </c>
      <c r="O51" s="47">
        <f t="shared" si="28"/>
        <v>0</v>
      </c>
      <c r="P51" s="47">
        <f t="shared" si="28"/>
        <v>0</v>
      </c>
      <c r="Q51" s="47">
        <f t="shared" si="28"/>
        <v>0</v>
      </c>
      <c r="R51" s="47">
        <f t="shared" si="28"/>
        <v>0</v>
      </c>
      <c r="S51" s="47">
        <f t="shared" si="28"/>
        <v>0</v>
      </c>
      <c r="T51" s="47">
        <f t="shared" si="28"/>
        <v>0</v>
      </c>
      <c r="U51" s="47">
        <f t="shared" si="28"/>
        <v>0</v>
      </c>
      <c r="V51" s="47">
        <f t="shared" si="28"/>
        <v>0</v>
      </c>
      <c r="W51" s="47">
        <f t="shared" si="28"/>
        <v>0</v>
      </c>
      <c r="X51" s="47">
        <f t="shared" si="28"/>
        <v>15000</v>
      </c>
      <c r="Y51" s="47">
        <f t="shared" si="28"/>
        <v>15000</v>
      </c>
      <c r="Z51" s="47">
        <f t="shared" si="28"/>
        <v>0</v>
      </c>
      <c r="AA51" s="390">
        <f t="shared" si="28"/>
        <v>-4600</v>
      </c>
      <c r="AB51" s="47">
        <f t="shared" si="28"/>
        <v>10400</v>
      </c>
      <c r="AC51" s="47"/>
      <c r="AD51" s="47"/>
      <c r="AE51" s="47"/>
      <c r="AF51" s="47"/>
      <c r="AG51" s="231"/>
    </row>
    <row r="52" spans="1:43" s="179" customFormat="1" ht="63.75" customHeight="1">
      <c r="A52" s="185">
        <v>2</v>
      </c>
      <c r="B52" s="183" t="s">
        <v>255</v>
      </c>
      <c r="C52" s="28" t="s">
        <v>250</v>
      </c>
      <c r="D52" s="28" t="s">
        <v>19</v>
      </c>
      <c r="E52" s="28" t="s">
        <v>176</v>
      </c>
      <c r="F52" s="28" t="s">
        <v>36</v>
      </c>
      <c r="G52" s="91" t="s">
        <v>837</v>
      </c>
      <c r="H52" s="49">
        <v>39990</v>
      </c>
      <c r="I52" s="46">
        <v>24600</v>
      </c>
      <c r="J52" s="48">
        <f>SUM(K52,L52:S52)</f>
        <v>15000</v>
      </c>
      <c r="K52" s="48">
        <v>15000</v>
      </c>
      <c r="L52" s="48"/>
      <c r="M52" s="48"/>
      <c r="N52" s="48"/>
      <c r="O52" s="48"/>
      <c r="P52" s="48"/>
      <c r="Q52" s="48"/>
      <c r="R52" s="48"/>
      <c r="S52" s="48"/>
      <c r="T52" s="48">
        <f>SUM(U52:W52)</f>
        <v>0</v>
      </c>
      <c r="U52" s="47"/>
      <c r="V52" s="48"/>
      <c r="W52" s="32"/>
      <c r="X52" s="32">
        <f>J52-T52</f>
        <v>15000</v>
      </c>
      <c r="Y52" s="32">
        <f>X52</f>
        <v>15000</v>
      </c>
      <c r="Z52" s="32"/>
      <c r="AA52" s="383">
        <v>-4600</v>
      </c>
      <c r="AB52" s="32">
        <f>SUM(Y52:AA52)</f>
        <v>10400</v>
      </c>
      <c r="AC52" s="47"/>
      <c r="AD52" s="48">
        <v>25000</v>
      </c>
      <c r="AE52" s="47"/>
      <c r="AF52" s="48">
        <f>AD52-AE52</f>
        <v>25000</v>
      </c>
      <c r="AG52" s="185"/>
      <c r="AH52" s="319">
        <f>AD52</f>
        <v>25000</v>
      </c>
      <c r="AI52" s="319">
        <f>AH52/2.5</f>
        <v>10000</v>
      </c>
      <c r="AJ52" s="319">
        <f>AH52-AI52</f>
        <v>15000</v>
      </c>
      <c r="AK52" s="319"/>
      <c r="AL52" s="179" t="s">
        <v>472</v>
      </c>
      <c r="AM52" s="179" t="s">
        <v>459</v>
      </c>
      <c r="AN52" s="58">
        <f>Y52</f>
        <v>15000</v>
      </c>
      <c r="AO52" s="58"/>
      <c r="AP52" s="58"/>
      <c r="AQ52" s="58"/>
    </row>
    <row r="53" spans="1:43" s="179" customFormat="1" ht="39.75" customHeight="1">
      <c r="A53" s="185"/>
      <c r="B53" s="314" t="s">
        <v>1079</v>
      </c>
      <c r="C53" s="185"/>
      <c r="D53" s="185"/>
      <c r="E53" s="185"/>
      <c r="F53" s="185"/>
      <c r="G53" s="185"/>
      <c r="H53" s="47">
        <f>SUM(H54)</f>
        <v>37605</v>
      </c>
      <c r="I53" s="47">
        <f t="shared" ref="I53:AB53" si="29">SUM(I54)</f>
        <v>29800</v>
      </c>
      <c r="J53" s="47">
        <f t="shared" si="29"/>
        <v>0</v>
      </c>
      <c r="K53" s="47">
        <f t="shared" si="29"/>
        <v>0</v>
      </c>
      <c r="L53" s="47">
        <f t="shared" si="29"/>
        <v>0</v>
      </c>
      <c r="M53" s="47">
        <f t="shared" si="29"/>
        <v>0</v>
      </c>
      <c r="N53" s="47">
        <f t="shared" si="29"/>
        <v>0</v>
      </c>
      <c r="O53" s="47">
        <f t="shared" si="29"/>
        <v>0</v>
      </c>
      <c r="P53" s="47">
        <f t="shared" si="29"/>
        <v>0</v>
      </c>
      <c r="Q53" s="47">
        <f t="shared" si="29"/>
        <v>0</v>
      </c>
      <c r="R53" s="47">
        <f t="shared" si="29"/>
        <v>0</v>
      </c>
      <c r="S53" s="47">
        <f t="shared" si="29"/>
        <v>0</v>
      </c>
      <c r="T53" s="47">
        <f t="shared" si="29"/>
        <v>0</v>
      </c>
      <c r="U53" s="47">
        <f t="shared" si="29"/>
        <v>0</v>
      </c>
      <c r="V53" s="47">
        <f t="shared" si="29"/>
        <v>0</v>
      </c>
      <c r="W53" s="47">
        <f t="shared" si="29"/>
        <v>0</v>
      </c>
      <c r="X53" s="47">
        <f t="shared" si="29"/>
        <v>0</v>
      </c>
      <c r="Y53" s="47">
        <f t="shared" si="29"/>
        <v>4000</v>
      </c>
      <c r="Z53" s="47">
        <f t="shared" si="29"/>
        <v>7000</v>
      </c>
      <c r="AA53" s="47">
        <f t="shared" si="29"/>
        <v>0</v>
      </c>
      <c r="AB53" s="47">
        <f t="shared" si="29"/>
        <v>11000</v>
      </c>
      <c r="AC53" s="47"/>
      <c r="AD53" s="47"/>
      <c r="AE53" s="47"/>
      <c r="AF53" s="47"/>
      <c r="AG53" s="231"/>
    </row>
    <row r="54" spans="1:43" s="179" customFormat="1" ht="120" customHeight="1">
      <c r="A54" s="185">
        <v>1</v>
      </c>
      <c r="B54" s="183" t="s">
        <v>1080</v>
      </c>
      <c r="C54" s="28" t="s">
        <v>1079</v>
      </c>
      <c r="D54" s="28" t="s">
        <v>19</v>
      </c>
      <c r="E54" s="28" t="s">
        <v>1081</v>
      </c>
      <c r="F54" s="28" t="s">
        <v>36</v>
      </c>
      <c r="G54" s="160" t="s">
        <v>1082</v>
      </c>
      <c r="H54" s="49">
        <v>37605</v>
      </c>
      <c r="I54" s="46">
        <v>29800</v>
      </c>
      <c r="J54" s="48"/>
      <c r="K54" s="48"/>
      <c r="L54" s="48"/>
      <c r="M54" s="48"/>
      <c r="N54" s="48"/>
      <c r="O54" s="48"/>
      <c r="P54" s="48"/>
      <c r="Q54" s="48"/>
      <c r="R54" s="48"/>
      <c r="S54" s="48"/>
      <c r="T54" s="48"/>
      <c r="U54" s="47"/>
      <c r="V54" s="48"/>
      <c r="W54" s="32"/>
      <c r="X54" s="32"/>
      <c r="Y54" s="32">
        <v>4000</v>
      </c>
      <c r="Z54" s="32">
        <v>7000</v>
      </c>
      <c r="AA54" s="32"/>
      <c r="AB54" s="32">
        <f>SUM(Y54:AA54)</f>
        <v>11000</v>
      </c>
      <c r="AC54" s="75" t="s">
        <v>1078</v>
      </c>
      <c r="AD54" s="48"/>
      <c r="AE54" s="47"/>
      <c r="AF54" s="48"/>
      <c r="AG54" s="185"/>
      <c r="AH54" s="319"/>
      <c r="AI54" s="319"/>
      <c r="AJ54" s="319"/>
      <c r="AK54" s="319"/>
      <c r="AN54" s="58"/>
      <c r="AO54" s="58"/>
      <c r="AP54" s="58"/>
      <c r="AQ54" s="58"/>
    </row>
    <row r="55" spans="1:43" s="179" customFormat="1" ht="58.5" customHeight="1">
      <c r="A55" s="336" t="s">
        <v>31</v>
      </c>
      <c r="B55" s="26" t="s">
        <v>32</v>
      </c>
      <c r="C55" s="336"/>
      <c r="D55" s="336"/>
      <c r="E55" s="336"/>
      <c r="F55" s="336"/>
      <c r="G55" s="336"/>
      <c r="H55" s="47">
        <f t="shared" ref="H55:Y55" si="30">SUM(H56,H72,H94,H114)</f>
        <v>677026</v>
      </c>
      <c r="I55" s="47">
        <f t="shared" si="30"/>
        <v>303900</v>
      </c>
      <c r="J55" s="47">
        <f t="shared" si="30"/>
        <v>69000</v>
      </c>
      <c r="K55" s="47">
        <f t="shared" si="30"/>
        <v>62700</v>
      </c>
      <c r="L55" s="47">
        <f t="shared" si="30"/>
        <v>0</v>
      </c>
      <c r="M55" s="47">
        <f t="shared" si="30"/>
        <v>0</v>
      </c>
      <c r="N55" s="47">
        <f t="shared" si="30"/>
        <v>0</v>
      </c>
      <c r="O55" s="47">
        <f t="shared" si="30"/>
        <v>0</v>
      </c>
      <c r="P55" s="47">
        <f t="shared" si="30"/>
        <v>6300</v>
      </c>
      <c r="Q55" s="47">
        <f t="shared" si="30"/>
        <v>0</v>
      </c>
      <c r="R55" s="47">
        <f t="shared" si="30"/>
        <v>0</v>
      </c>
      <c r="S55" s="47">
        <f t="shared" si="30"/>
        <v>0</v>
      </c>
      <c r="T55" s="47">
        <f t="shared" si="30"/>
        <v>0</v>
      </c>
      <c r="U55" s="47">
        <f t="shared" si="30"/>
        <v>0</v>
      </c>
      <c r="V55" s="47">
        <f t="shared" si="30"/>
        <v>0</v>
      </c>
      <c r="W55" s="47">
        <f t="shared" si="30"/>
        <v>0</v>
      </c>
      <c r="X55" s="47">
        <f t="shared" si="30"/>
        <v>69000</v>
      </c>
      <c r="Y55" s="47">
        <f t="shared" si="30"/>
        <v>179300</v>
      </c>
      <c r="Z55" s="47">
        <f>SUM(Z56,Z72,Z94,Z114)</f>
        <v>1300</v>
      </c>
      <c r="AA55" s="391">
        <f>SUM(AA56,AA72,AA94,AA114)</f>
        <v>-9100</v>
      </c>
      <c r="AB55" s="47">
        <f>SUM(AB56,AB72,AB94,AB114)</f>
        <v>171500</v>
      </c>
      <c r="AC55" s="47"/>
      <c r="AD55" s="47" t="e">
        <f>SUM(AD56,AD72,AD94,#REF!,AD114,#REF!)</f>
        <v>#REF!</v>
      </c>
      <c r="AE55" s="47" t="e">
        <f>SUM(AE56,AE72,AE94,#REF!,AE114,#REF!)</f>
        <v>#REF!</v>
      </c>
      <c r="AF55" s="47" t="e">
        <f>SUM(AF56,AF72,AF94,#REF!,AF114,#REF!)</f>
        <v>#REF!</v>
      </c>
      <c r="AG55" s="231"/>
    </row>
    <row r="56" spans="1:43" s="179" customFormat="1" ht="48.75" customHeight="1">
      <c r="A56" s="336" t="s">
        <v>479</v>
      </c>
      <c r="B56" s="314" t="s">
        <v>144</v>
      </c>
      <c r="C56" s="185"/>
      <c r="D56" s="185"/>
      <c r="E56" s="185"/>
      <c r="F56" s="185"/>
      <c r="G56" s="185"/>
      <c r="H56" s="47">
        <f t="shared" ref="H56:Y56" si="31">SUM(H57,H64,H68)</f>
        <v>168470</v>
      </c>
      <c r="I56" s="47">
        <f t="shared" si="31"/>
        <v>70900</v>
      </c>
      <c r="J56" s="47">
        <f t="shared" si="31"/>
        <v>19000</v>
      </c>
      <c r="K56" s="47">
        <f t="shared" si="31"/>
        <v>19000</v>
      </c>
      <c r="L56" s="47">
        <f t="shared" si="31"/>
        <v>0</v>
      </c>
      <c r="M56" s="47">
        <f t="shared" si="31"/>
        <v>0</v>
      </c>
      <c r="N56" s="47">
        <f t="shared" si="31"/>
        <v>0</v>
      </c>
      <c r="O56" s="47">
        <f t="shared" si="31"/>
        <v>0</v>
      </c>
      <c r="P56" s="47">
        <f t="shared" si="31"/>
        <v>0</v>
      </c>
      <c r="Q56" s="47">
        <f t="shared" si="31"/>
        <v>0</v>
      </c>
      <c r="R56" s="47">
        <f t="shared" si="31"/>
        <v>0</v>
      </c>
      <c r="S56" s="47">
        <f t="shared" si="31"/>
        <v>0</v>
      </c>
      <c r="T56" s="47">
        <f t="shared" si="31"/>
        <v>0</v>
      </c>
      <c r="U56" s="47">
        <f t="shared" si="31"/>
        <v>0</v>
      </c>
      <c r="V56" s="47">
        <f t="shared" si="31"/>
        <v>0</v>
      </c>
      <c r="W56" s="47">
        <f t="shared" si="31"/>
        <v>0</v>
      </c>
      <c r="X56" s="47">
        <f t="shared" si="31"/>
        <v>19000</v>
      </c>
      <c r="Y56" s="47">
        <f t="shared" si="31"/>
        <v>43900</v>
      </c>
      <c r="Z56" s="47">
        <f>SUM(Z57,Z64,Z68)</f>
        <v>1300</v>
      </c>
      <c r="AA56" s="391">
        <f>SUM(AA57,AA64,AA68)</f>
        <v>-1800</v>
      </c>
      <c r="AB56" s="47">
        <f>SUM(AB57,AB64,AB68)</f>
        <v>43400</v>
      </c>
      <c r="AC56" s="47"/>
      <c r="AD56" s="47" t="e">
        <f>SUM(AD57,AD64,AD68)</f>
        <v>#REF!</v>
      </c>
      <c r="AE56" s="47" t="e">
        <f>SUM(AE57,AE64,AE68)</f>
        <v>#REF!</v>
      </c>
      <c r="AF56" s="47" t="e">
        <f>SUM(AF57,AF64,AF68)</f>
        <v>#REF!</v>
      </c>
      <c r="AG56" s="231"/>
    </row>
    <row r="57" spans="1:43" s="318" customFormat="1" ht="39.75" customHeight="1">
      <c r="A57" s="315" t="s">
        <v>17</v>
      </c>
      <c r="B57" s="316" t="s">
        <v>64</v>
      </c>
      <c r="C57" s="315"/>
      <c r="D57" s="315"/>
      <c r="E57" s="315"/>
      <c r="F57" s="315"/>
      <c r="G57" s="315"/>
      <c r="H57" s="76">
        <f>SUM(H58,H62)</f>
        <v>88968</v>
      </c>
      <c r="I57" s="76">
        <f t="shared" ref="I57:AA57" si="32">SUM(I58,I62)</f>
        <v>38200</v>
      </c>
      <c r="J57" s="76">
        <f t="shared" si="32"/>
        <v>7200</v>
      </c>
      <c r="K57" s="76">
        <f t="shared" si="32"/>
        <v>7200</v>
      </c>
      <c r="L57" s="76">
        <f t="shared" si="32"/>
        <v>0</v>
      </c>
      <c r="M57" s="76">
        <f t="shared" si="32"/>
        <v>0</v>
      </c>
      <c r="N57" s="76">
        <f t="shared" si="32"/>
        <v>0</v>
      </c>
      <c r="O57" s="76">
        <f t="shared" si="32"/>
        <v>0</v>
      </c>
      <c r="P57" s="76">
        <f t="shared" si="32"/>
        <v>0</v>
      </c>
      <c r="Q57" s="76">
        <f t="shared" si="32"/>
        <v>0</v>
      </c>
      <c r="R57" s="76">
        <f t="shared" si="32"/>
        <v>0</v>
      </c>
      <c r="S57" s="76">
        <f t="shared" si="32"/>
        <v>0</v>
      </c>
      <c r="T57" s="76">
        <f t="shared" si="32"/>
        <v>0</v>
      </c>
      <c r="U57" s="76">
        <f t="shared" si="32"/>
        <v>0</v>
      </c>
      <c r="V57" s="76">
        <f t="shared" si="32"/>
        <v>0</v>
      </c>
      <c r="W57" s="76">
        <f t="shared" si="32"/>
        <v>0</v>
      </c>
      <c r="X57" s="76">
        <f t="shared" si="32"/>
        <v>7200</v>
      </c>
      <c r="Y57" s="76">
        <f t="shared" si="32"/>
        <v>23100</v>
      </c>
      <c r="Z57" s="76">
        <f t="shared" si="32"/>
        <v>0</v>
      </c>
      <c r="AA57" s="76">
        <f t="shared" si="32"/>
        <v>0</v>
      </c>
      <c r="AB57" s="76">
        <f>SUM(AB58,AB62)</f>
        <v>23100</v>
      </c>
      <c r="AC57" s="76"/>
      <c r="AD57" s="76" t="e">
        <f>SUM(#REF!,#REF!,#REF!,#REF!,#REF!,AD58)</f>
        <v>#REF!</v>
      </c>
      <c r="AE57" s="76" t="e">
        <f>SUM(#REF!,#REF!,#REF!,#REF!,#REF!,AE58)</f>
        <v>#REF!</v>
      </c>
      <c r="AF57" s="76" t="e">
        <f>SUM(#REF!,#REF!,#REF!,#REF!,#REF!,AF58)</f>
        <v>#REF!</v>
      </c>
      <c r="AG57" s="317"/>
    </row>
    <row r="58" spans="1:43" s="179" customFormat="1" ht="39.75" customHeight="1">
      <c r="A58" s="185"/>
      <c r="B58" s="314" t="s">
        <v>161</v>
      </c>
      <c r="C58" s="185"/>
      <c r="D58" s="185"/>
      <c r="E58" s="185"/>
      <c r="F58" s="185"/>
      <c r="G58" s="185"/>
      <c r="H58" s="47">
        <f>SUM(H59:H61)</f>
        <v>48348</v>
      </c>
      <c r="I58" s="47">
        <f t="shared" ref="I58:AB58" si="33">SUM(I59:I61)</f>
        <v>22700</v>
      </c>
      <c r="J58" s="47">
        <f t="shared" si="33"/>
        <v>7200</v>
      </c>
      <c r="K58" s="47">
        <f t="shared" si="33"/>
        <v>7200</v>
      </c>
      <c r="L58" s="47">
        <f t="shared" si="33"/>
        <v>0</v>
      </c>
      <c r="M58" s="47">
        <f t="shared" si="33"/>
        <v>0</v>
      </c>
      <c r="N58" s="47">
        <f t="shared" si="33"/>
        <v>0</v>
      </c>
      <c r="O58" s="47">
        <f t="shared" si="33"/>
        <v>0</v>
      </c>
      <c r="P58" s="47">
        <f t="shared" si="33"/>
        <v>0</v>
      </c>
      <c r="Q58" s="47">
        <f t="shared" si="33"/>
        <v>0</v>
      </c>
      <c r="R58" s="47">
        <f t="shared" si="33"/>
        <v>0</v>
      </c>
      <c r="S58" s="47">
        <f t="shared" si="33"/>
        <v>0</v>
      </c>
      <c r="T58" s="47">
        <f t="shared" si="33"/>
        <v>0</v>
      </c>
      <c r="U58" s="47">
        <f t="shared" si="33"/>
        <v>0</v>
      </c>
      <c r="V58" s="47">
        <f t="shared" si="33"/>
        <v>0</v>
      </c>
      <c r="W58" s="47">
        <f t="shared" si="33"/>
        <v>0</v>
      </c>
      <c r="X58" s="47">
        <f t="shared" si="33"/>
        <v>7200</v>
      </c>
      <c r="Y58" s="47">
        <f t="shared" si="33"/>
        <v>13800</v>
      </c>
      <c r="Z58" s="47">
        <f t="shared" si="33"/>
        <v>0</v>
      </c>
      <c r="AA58" s="47">
        <f t="shared" si="33"/>
        <v>0</v>
      </c>
      <c r="AB58" s="47">
        <f t="shared" si="33"/>
        <v>13800</v>
      </c>
      <c r="AC58" s="47"/>
      <c r="AD58" s="47">
        <f>SUM(AD59:AD60)</f>
        <v>12000</v>
      </c>
      <c r="AE58" s="47">
        <f>SUM(AE59:AE60)</f>
        <v>0</v>
      </c>
      <c r="AF58" s="47">
        <f>SUM(AF59:AF60)</f>
        <v>12000</v>
      </c>
      <c r="AG58" s="231"/>
    </row>
    <row r="59" spans="1:43" s="179" customFormat="1" ht="57.75" customHeight="1">
      <c r="A59" s="185">
        <v>1</v>
      </c>
      <c r="B59" s="183" t="s">
        <v>164</v>
      </c>
      <c r="C59" s="28" t="s">
        <v>161</v>
      </c>
      <c r="D59" s="28" t="s">
        <v>19</v>
      </c>
      <c r="E59" s="28" t="s">
        <v>165</v>
      </c>
      <c r="F59" s="28" t="s">
        <v>36</v>
      </c>
      <c r="G59" s="91" t="s">
        <v>705</v>
      </c>
      <c r="H59" s="49">
        <v>7523</v>
      </c>
      <c r="I59" s="46">
        <v>5500</v>
      </c>
      <c r="J59" s="48">
        <f>SUM(K59,L59:S59)</f>
        <v>3000</v>
      </c>
      <c r="K59" s="48">
        <v>3000</v>
      </c>
      <c r="L59" s="48"/>
      <c r="M59" s="48"/>
      <c r="N59" s="48"/>
      <c r="O59" s="48"/>
      <c r="P59" s="48"/>
      <c r="Q59" s="48"/>
      <c r="R59" s="48"/>
      <c r="S59" s="48"/>
      <c r="T59" s="48">
        <f>SUM(U59:W59)</f>
        <v>0</v>
      </c>
      <c r="U59" s="47"/>
      <c r="V59" s="48"/>
      <c r="W59" s="32"/>
      <c r="X59" s="32">
        <f>J59-T59</f>
        <v>3000</v>
      </c>
      <c r="Y59" s="32">
        <v>3000</v>
      </c>
      <c r="Z59" s="32"/>
      <c r="AA59" s="32"/>
      <c r="AB59" s="32">
        <f>SUM(Y59:AA59)</f>
        <v>3000</v>
      </c>
      <c r="AC59" s="47"/>
      <c r="AD59" s="48">
        <v>5000</v>
      </c>
      <c r="AE59" s="47"/>
      <c r="AF59" s="48">
        <f>AD59-AE59</f>
        <v>5000</v>
      </c>
      <c r="AG59" s="185"/>
      <c r="AH59" s="319">
        <f>AD59</f>
        <v>5000</v>
      </c>
      <c r="AI59" s="319">
        <f>AH59/2.5</f>
        <v>2000</v>
      </c>
      <c r="AJ59" s="319">
        <f>AH59-AI59</f>
        <v>3000</v>
      </c>
      <c r="AK59" s="319"/>
      <c r="AL59" s="179" t="s">
        <v>473</v>
      </c>
      <c r="AM59" s="179" t="s">
        <v>474</v>
      </c>
      <c r="AN59" s="58">
        <f>Y59</f>
        <v>3000</v>
      </c>
      <c r="AO59" s="58" t="s">
        <v>629</v>
      </c>
      <c r="AP59" s="58"/>
      <c r="AQ59" s="58"/>
    </row>
    <row r="60" spans="1:43" s="179" customFormat="1" ht="57.75" customHeight="1">
      <c r="A60" s="185">
        <v>2</v>
      </c>
      <c r="B60" s="183" t="s">
        <v>166</v>
      </c>
      <c r="C60" s="28" t="s">
        <v>167</v>
      </c>
      <c r="D60" s="28" t="s">
        <v>19</v>
      </c>
      <c r="E60" s="28" t="s">
        <v>168</v>
      </c>
      <c r="F60" s="28" t="s">
        <v>36</v>
      </c>
      <c r="G60" s="91" t="s">
        <v>706</v>
      </c>
      <c r="H60" s="49">
        <v>14834</v>
      </c>
      <c r="I60" s="46">
        <v>6200</v>
      </c>
      <c r="J60" s="48">
        <f>SUM(K60,L60:S60)</f>
        <v>4200</v>
      </c>
      <c r="K60" s="48">
        <v>4200</v>
      </c>
      <c r="L60" s="48"/>
      <c r="M60" s="48"/>
      <c r="N60" s="48"/>
      <c r="O60" s="48"/>
      <c r="P60" s="48"/>
      <c r="Q60" s="48"/>
      <c r="R60" s="48"/>
      <c r="S60" s="48"/>
      <c r="T60" s="48">
        <f>SUM(U60:W60)</f>
        <v>0</v>
      </c>
      <c r="U60" s="47"/>
      <c r="V60" s="48"/>
      <c r="W60" s="32"/>
      <c r="X60" s="32">
        <f>J60-T60</f>
        <v>4200</v>
      </c>
      <c r="Y60" s="32">
        <v>4200</v>
      </c>
      <c r="Z60" s="32"/>
      <c r="AA60" s="32"/>
      <c r="AB60" s="32">
        <f>SUM(Y60:AA60)</f>
        <v>4200</v>
      </c>
      <c r="AC60" s="47"/>
      <c r="AD60" s="48">
        <v>7000</v>
      </c>
      <c r="AE60" s="47"/>
      <c r="AF60" s="48">
        <f>AD60-AE60</f>
        <v>7000</v>
      </c>
      <c r="AG60" s="185"/>
      <c r="AH60" s="319">
        <f>AD60</f>
        <v>7000</v>
      </c>
      <c r="AI60" s="319">
        <f>AH60/2.5</f>
        <v>2800</v>
      </c>
      <c r="AJ60" s="319">
        <f>AH60-AI60</f>
        <v>4200</v>
      </c>
      <c r="AK60" s="319"/>
      <c r="AL60" s="179" t="s">
        <v>473</v>
      </c>
      <c r="AM60" s="179" t="s">
        <v>474</v>
      </c>
      <c r="AN60" s="58">
        <f>Y60</f>
        <v>4200</v>
      </c>
      <c r="AO60" s="58" t="s">
        <v>629</v>
      </c>
      <c r="AP60" s="58"/>
      <c r="AQ60" s="58"/>
    </row>
    <row r="61" spans="1:43" s="179" customFormat="1" ht="57.75" customHeight="1">
      <c r="A61" s="185">
        <v>3</v>
      </c>
      <c r="B61" s="183" t="s">
        <v>162</v>
      </c>
      <c r="C61" s="28" t="s">
        <v>161</v>
      </c>
      <c r="D61" s="28" t="s">
        <v>19</v>
      </c>
      <c r="E61" s="28" t="s">
        <v>163</v>
      </c>
      <c r="F61" s="28" t="s">
        <v>36</v>
      </c>
      <c r="G61" s="91" t="s">
        <v>1177</v>
      </c>
      <c r="H61" s="49">
        <v>25991</v>
      </c>
      <c r="I61" s="46">
        <v>11000</v>
      </c>
      <c r="J61" s="48"/>
      <c r="K61" s="48"/>
      <c r="L61" s="48"/>
      <c r="M61" s="48"/>
      <c r="N61" s="48"/>
      <c r="O61" s="48"/>
      <c r="P61" s="48"/>
      <c r="Q61" s="48"/>
      <c r="R61" s="48"/>
      <c r="S61" s="48"/>
      <c r="T61" s="48"/>
      <c r="U61" s="47"/>
      <c r="V61" s="48"/>
      <c r="W61" s="32"/>
      <c r="X61" s="32"/>
      <c r="Y61" s="32">
        <v>6600</v>
      </c>
      <c r="Z61" s="32"/>
      <c r="AA61" s="32"/>
      <c r="AB61" s="32">
        <f>SUM(Y61:AA61)</f>
        <v>6600</v>
      </c>
      <c r="AC61" s="47"/>
      <c r="AD61" s="48"/>
      <c r="AE61" s="47"/>
      <c r="AF61" s="48"/>
      <c r="AG61" s="185"/>
      <c r="AH61" s="319"/>
      <c r="AI61" s="319"/>
      <c r="AJ61" s="319"/>
      <c r="AK61" s="319"/>
      <c r="AN61" s="58"/>
      <c r="AO61" s="58"/>
      <c r="AP61" s="58"/>
      <c r="AQ61" s="58"/>
    </row>
    <row r="62" spans="1:43" s="179" customFormat="1" ht="39.75" customHeight="1">
      <c r="A62" s="185"/>
      <c r="B62" s="314" t="s">
        <v>158</v>
      </c>
      <c r="C62" s="185"/>
      <c r="D62" s="185"/>
      <c r="E62" s="185"/>
      <c r="F62" s="185"/>
      <c r="G62" s="185"/>
      <c r="H62" s="47">
        <f>SUM(H63:H63)</f>
        <v>40620</v>
      </c>
      <c r="I62" s="47">
        <f t="shared" ref="I62:AB62" si="34">SUM(I63:I63)</f>
        <v>15500</v>
      </c>
      <c r="J62" s="47">
        <f t="shared" si="34"/>
        <v>0</v>
      </c>
      <c r="K62" s="47">
        <f t="shared" si="34"/>
        <v>0</v>
      </c>
      <c r="L62" s="47">
        <f t="shared" si="34"/>
        <v>0</v>
      </c>
      <c r="M62" s="47">
        <f t="shared" si="34"/>
        <v>0</v>
      </c>
      <c r="N62" s="47">
        <f t="shared" si="34"/>
        <v>0</v>
      </c>
      <c r="O62" s="47">
        <f t="shared" si="34"/>
        <v>0</v>
      </c>
      <c r="P62" s="47">
        <f t="shared" si="34"/>
        <v>0</v>
      </c>
      <c r="Q62" s="47">
        <f t="shared" si="34"/>
        <v>0</v>
      </c>
      <c r="R62" s="47">
        <f t="shared" si="34"/>
        <v>0</v>
      </c>
      <c r="S62" s="47">
        <f t="shared" si="34"/>
        <v>0</v>
      </c>
      <c r="T62" s="47">
        <f t="shared" si="34"/>
        <v>0</v>
      </c>
      <c r="U62" s="47">
        <f t="shared" si="34"/>
        <v>0</v>
      </c>
      <c r="V62" s="47">
        <f t="shared" si="34"/>
        <v>0</v>
      </c>
      <c r="W62" s="47">
        <f t="shared" si="34"/>
        <v>0</v>
      </c>
      <c r="X62" s="47">
        <f t="shared" si="34"/>
        <v>0</v>
      </c>
      <c r="Y62" s="47">
        <f t="shared" si="34"/>
        <v>9300</v>
      </c>
      <c r="Z62" s="47">
        <f t="shared" si="34"/>
        <v>0</v>
      </c>
      <c r="AA62" s="47">
        <f t="shared" si="34"/>
        <v>0</v>
      </c>
      <c r="AB62" s="47">
        <f t="shared" si="34"/>
        <v>9300</v>
      </c>
      <c r="AC62" s="47"/>
      <c r="AD62" s="47"/>
      <c r="AE62" s="47"/>
      <c r="AF62" s="47"/>
      <c r="AG62" s="231"/>
    </row>
    <row r="63" spans="1:43" s="179" customFormat="1" ht="57.75" customHeight="1">
      <c r="A63" s="185">
        <v>1</v>
      </c>
      <c r="B63" s="183" t="s">
        <v>159</v>
      </c>
      <c r="C63" s="28" t="s">
        <v>158</v>
      </c>
      <c r="D63" s="28" t="s">
        <v>19</v>
      </c>
      <c r="E63" s="28" t="s">
        <v>160</v>
      </c>
      <c r="F63" s="28" t="s">
        <v>36</v>
      </c>
      <c r="G63" s="91" t="s">
        <v>1159</v>
      </c>
      <c r="H63" s="49">
        <v>40620</v>
      </c>
      <c r="I63" s="46">
        <v>15500</v>
      </c>
      <c r="J63" s="48"/>
      <c r="K63" s="48"/>
      <c r="L63" s="48"/>
      <c r="M63" s="48"/>
      <c r="N63" s="48"/>
      <c r="O63" s="48"/>
      <c r="P63" s="48"/>
      <c r="Q63" s="48"/>
      <c r="R63" s="48"/>
      <c r="S63" s="48"/>
      <c r="T63" s="48"/>
      <c r="U63" s="47"/>
      <c r="V63" s="48"/>
      <c r="W63" s="32"/>
      <c r="X63" s="32"/>
      <c r="Y63" s="32">
        <v>9300</v>
      </c>
      <c r="Z63" s="32"/>
      <c r="AA63" s="32"/>
      <c r="AB63" s="32">
        <f>SUM(Y63:AA63)</f>
        <v>9300</v>
      </c>
      <c r="AC63" s="47"/>
      <c r="AD63" s="48"/>
      <c r="AE63" s="47"/>
      <c r="AF63" s="48"/>
      <c r="AG63" s="185"/>
      <c r="AH63" s="319"/>
      <c r="AI63" s="319"/>
      <c r="AJ63" s="319"/>
      <c r="AK63" s="319"/>
      <c r="AN63" s="58"/>
      <c r="AO63" s="58"/>
      <c r="AP63" s="58"/>
      <c r="AQ63" s="58"/>
    </row>
    <row r="64" spans="1:43" s="318" customFormat="1" ht="39.75" customHeight="1">
      <c r="A64" s="315" t="s">
        <v>25</v>
      </c>
      <c r="B64" s="316" t="s">
        <v>169</v>
      </c>
      <c r="C64" s="315"/>
      <c r="D64" s="315"/>
      <c r="E64" s="315"/>
      <c r="F64" s="315"/>
      <c r="G64" s="315"/>
      <c r="H64" s="76">
        <f>SUM(H65)</f>
        <v>53131</v>
      </c>
      <c r="I64" s="76">
        <f t="shared" ref="I64:X64" si="35">SUM(I65)</f>
        <v>26800</v>
      </c>
      <c r="J64" s="76">
        <f t="shared" si="35"/>
        <v>10200</v>
      </c>
      <c r="K64" s="76">
        <f t="shared" si="35"/>
        <v>10200</v>
      </c>
      <c r="L64" s="76">
        <f t="shared" si="35"/>
        <v>0</v>
      </c>
      <c r="M64" s="76">
        <f t="shared" si="35"/>
        <v>0</v>
      </c>
      <c r="N64" s="76">
        <f t="shared" si="35"/>
        <v>0</v>
      </c>
      <c r="O64" s="76">
        <f t="shared" si="35"/>
        <v>0</v>
      </c>
      <c r="P64" s="76">
        <f t="shared" si="35"/>
        <v>0</v>
      </c>
      <c r="Q64" s="76">
        <f t="shared" si="35"/>
        <v>0</v>
      </c>
      <c r="R64" s="76">
        <f t="shared" si="35"/>
        <v>0</v>
      </c>
      <c r="S64" s="76">
        <f t="shared" si="35"/>
        <v>0</v>
      </c>
      <c r="T64" s="76">
        <f t="shared" si="35"/>
        <v>0</v>
      </c>
      <c r="U64" s="76">
        <f t="shared" si="35"/>
        <v>0</v>
      </c>
      <c r="V64" s="76">
        <f t="shared" si="35"/>
        <v>0</v>
      </c>
      <c r="W64" s="76">
        <f t="shared" si="35"/>
        <v>0</v>
      </c>
      <c r="X64" s="76">
        <f t="shared" si="35"/>
        <v>10200</v>
      </c>
      <c r="Y64" s="76">
        <f>SUM(Y65)</f>
        <v>15900</v>
      </c>
      <c r="Z64" s="76">
        <f>SUM(Z65)</f>
        <v>1300</v>
      </c>
      <c r="AA64" s="76">
        <f>SUM(AA65)</f>
        <v>0</v>
      </c>
      <c r="AB64" s="76">
        <f>SUM(AB65)</f>
        <v>17200</v>
      </c>
      <c r="AC64" s="76"/>
      <c r="AD64" s="76" t="e">
        <f>SUM(#REF!,#REF!,#REF!,AD65,#REF!)</f>
        <v>#REF!</v>
      </c>
      <c r="AE64" s="76" t="e">
        <f>SUM(#REF!,#REF!,#REF!,AE65,#REF!)</f>
        <v>#REF!</v>
      </c>
      <c r="AF64" s="76" t="e">
        <f>SUM(#REF!,#REF!,#REF!,AF65,#REF!)</f>
        <v>#REF!</v>
      </c>
      <c r="AG64" s="317"/>
    </row>
    <row r="65" spans="1:43" s="179" customFormat="1" ht="39.75" customHeight="1">
      <c r="A65" s="185"/>
      <c r="B65" s="314" t="s">
        <v>158</v>
      </c>
      <c r="C65" s="185"/>
      <c r="D65" s="185"/>
      <c r="E65" s="185"/>
      <c r="F65" s="185"/>
      <c r="G65" s="185"/>
      <c r="H65" s="47">
        <f>SUM(H66:H67)</f>
        <v>53131</v>
      </c>
      <c r="I65" s="47">
        <f t="shared" ref="I65:AB65" si="36">SUM(I66:I67)</f>
        <v>26800</v>
      </c>
      <c r="J65" s="47">
        <f t="shared" si="36"/>
        <v>10200</v>
      </c>
      <c r="K65" s="47">
        <f t="shared" si="36"/>
        <v>10200</v>
      </c>
      <c r="L65" s="47">
        <f t="shared" si="36"/>
        <v>0</v>
      </c>
      <c r="M65" s="47">
        <f t="shared" si="36"/>
        <v>0</v>
      </c>
      <c r="N65" s="47">
        <f t="shared" si="36"/>
        <v>0</v>
      </c>
      <c r="O65" s="47">
        <f t="shared" si="36"/>
        <v>0</v>
      </c>
      <c r="P65" s="47">
        <f t="shared" si="36"/>
        <v>0</v>
      </c>
      <c r="Q65" s="47">
        <f t="shared" si="36"/>
        <v>0</v>
      </c>
      <c r="R65" s="47">
        <f t="shared" si="36"/>
        <v>0</v>
      </c>
      <c r="S65" s="47">
        <f t="shared" si="36"/>
        <v>0</v>
      </c>
      <c r="T65" s="47">
        <f t="shared" si="36"/>
        <v>0</v>
      </c>
      <c r="U65" s="47">
        <f t="shared" si="36"/>
        <v>0</v>
      </c>
      <c r="V65" s="47">
        <f t="shared" si="36"/>
        <v>0</v>
      </c>
      <c r="W65" s="47">
        <f t="shared" si="36"/>
        <v>0</v>
      </c>
      <c r="X65" s="47">
        <f t="shared" si="36"/>
        <v>10200</v>
      </c>
      <c r="Y65" s="47">
        <f t="shared" si="36"/>
        <v>15900</v>
      </c>
      <c r="Z65" s="47">
        <f t="shared" si="36"/>
        <v>1300</v>
      </c>
      <c r="AA65" s="47">
        <f t="shared" si="36"/>
        <v>0</v>
      </c>
      <c r="AB65" s="47">
        <f t="shared" si="36"/>
        <v>17200</v>
      </c>
      <c r="AC65" s="191"/>
      <c r="AD65" s="47">
        <f>SUM(AD66:AD66)</f>
        <v>17000</v>
      </c>
      <c r="AE65" s="47">
        <f>SUM(AE66:AE66)</f>
        <v>0</v>
      </c>
      <c r="AF65" s="47">
        <f>SUM(AF66:AF66)</f>
        <v>17000</v>
      </c>
      <c r="AG65" s="231"/>
    </row>
    <row r="66" spans="1:43" s="179" customFormat="1" ht="57.75" customHeight="1">
      <c r="A66" s="185">
        <v>1</v>
      </c>
      <c r="B66" s="183" t="s">
        <v>175</v>
      </c>
      <c r="C66" s="28" t="s">
        <v>158</v>
      </c>
      <c r="D66" s="28" t="s">
        <v>19</v>
      </c>
      <c r="E66" s="28" t="s">
        <v>176</v>
      </c>
      <c r="F66" s="28" t="s">
        <v>36</v>
      </c>
      <c r="G66" s="91" t="s">
        <v>733</v>
      </c>
      <c r="H66" s="49">
        <v>27660</v>
      </c>
      <c r="I66" s="46">
        <v>17500</v>
      </c>
      <c r="J66" s="48">
        <f>SUM(K66,L66:S66)</f>
        <v>10200</v>
      </c>
      <c r="K66" s="48">
        <v>10200</v>
      </c>
      <c r="L66" s="48"/>
      <c r="M66" s="48"/>
      <c r="N66" s="48"/>
      <c r="O66" s="48"/>
      <c r="P66" s="48"/>
      <c r="Q66" s="48"/>
      <c r="R66" s="48"/>
      <c r="S66" s="48"/>
      <c r="T66" s="48">
        <f>SUM(U66:W66)</f>
        <v>0</v>
      </c>
      <c r="U66" s="47"/>
      <c r="V66" s="48"/>
      <c r="W66" s="32"/>
      <c r="X66" s="32">
        <f>J66-T66</f>
        <v>10200</v>
      </c>
      <c r="Y66" s="32">
        <v>8900</v>
      </c>
      <c r="Z66" s="32">
        <v>1300</v>
      </c>
      <c r="AA66" s="32"/>
      <c r="AB66" s="32">
        <f>SUM(Y66:AA66)</f>
        <v>10200</v>
      </c>
      <c r="AC66" s="117" t="s">
        <v>1145</v>
      </c>
      <c r="AD66" s="48">
        <v>17000</v>
      </c>
      <c r="AE66" s="47"/>
      <c r="AF66" s="48">
        <f>AD66-AE66</f>
        <v>17000</v>
      </c>
      <c r="AG66" s="185"/>
      <c r="AH66" s="319">
        <f>AD66</f>
        <v>17000</v>
      </c>
      <c r="AI66" s="319">
        <f>AH66/2.5</f>
        <v>6800</v>
      </c>
      <c r="AJ66" s="319">
        <f>AH66-AI66</f>
        <v>10200</v>
      </c>
      <c r="AK66" s="319"/>
      <c r="AL66" s="179" t="s">
        <v>473</v>
      </c>
      <c r="AM66" s="179" t="s">
        <v>459</v>
      </c>
      <c r="AN66" s="58">
        <f>Y66</f>
        <v>8900</v>
      </c>
      <c r="AO66" s="58"/>
      <c r="AP66" s="58" t="s">
        <v>954</v>
      </c>
      <c r="AQ66" s="58"/>
    </row>
    <row r="67" spans="1:43" s="179" customFormat="1" ht="57.75" customHeight="1">
      <c r="A67" s="185">
        <v>2</v>
      </c>
      <c r="B67" s="183" t="s">
        <v>173</v>
      </c>
      <c r="C67" s="28" t="s">
        <v>158</v>
      </c>
      <c r="D67" s="28" t="s">
        <v>19</v>
      </c>
      <c r="E67" s="28" t="s">
        <v>174</v>
      </c>
      <c r="F67" s="28" t="s">
        <v>36</v>
      </c>
      <c r="G67" s="371" t="s">
        <v>1160</v>
      </c>
      <c r="H67" s="372">
        <v>25471</v>
      </c>
      <c r="I67" s="374">
        <v>9300</v>
      </c>
      <c r="J67" s="48"/>
      <c r="K67" s="48"/>
      <c r="L67" s="48"/>
      <c r="M67" s="48"/>
      <c r="N67" s="48"/>
      <c r="O67" s="48"/>
      <c r="P67" s="48"/>
      <c r="Q67" s="48"/>
      <c r="R67" s="48"/>
      <c r="S67" s="48"/>
      <c r="T67" s="48"/>
      <c r="U67" s="47"/>
      <c r="V67" s="48"/>
      <c r="W67" s="32"/>
      <c r="X67" s="32"/>
      <c r="Y67" s="32">
        <v>7000</v>
      </c>
      <c r="Z67" s="32"/>
      <c r="AA67" s="32"/>
      <c r="AB67" s="32">
        <f>SUM(Y67:AA67)</f>
        <v>7000</v>
      </c>
      <c r="AC67" s="117"/>
      <c r="AD67" s="48"/>
      <c r="AE67" s="47"/>
      <c r="AF67" s="48"/>
      <c r="AG67" s="185"/>
      <c r="AH67" s="319"/>
      <c r="AI67" s="319"/>
      <c r="AJ67" s="319"/>
      <c r="AK67" s="319"/>
      <c r="AN67" s="58"/>
      <c r="AO67" s="58"/>
      <c r="AP67" s="58"/>
      <c r="AQ67" s="58"/>
    </row>
    <row r="68" spans="1:43" s="318" customFormat="1" ht="39.75" customHeight="1">
      <c r="A68" s="315" t="s">
        <v>30</v>
      </c>
      <c r="B68" s="316" t="s">
        <v>65</v>
      </c>
      <c r="C68" s="315"/>
      <c r="D68" s="315"/>
      <c r="E68" s="315"/>
      <c r="F68" s="315"/>
      <c r="G68" s="315"/>
      <c r="H68" s="76">
        <f>SUM(H69)</f>
        <v>26371</v>
      </c>
      <c r="I68" s="76">
        <f t="shared" ref="I68:X68" si="37">SUM(I69)</f>
        <v>5900</v>
      </c>
      <c r="J68" s="76">
        <f t="shared" si="37"/>
        <v>1600</v>
      </c>
      <c r="K68" s="76">
        <f t="shared" si="37"/>
        <v>1600</v>
      </c>
      <c r="L68" s="76">
        <f t="shared" si="37"/>
        <v>0</v>
      </c>
      <c r="M68" s="76">
        <f t="shared" si="37"/>
        <v>0</v>
      </c>
      <c r="N68" s="76">
        <f t="shared" si="37"/>
        <v>0</v>
      </c>
      <c r="O68" s="76">
        <f t="shared" si="37"/>
        <v>0</v>
      </c>
      <c r="P68" s="76">
        <f t="shared" si="37"/>
        <v>0</v>
      </c>
      <c r="Q68" s="76">
        <f t="shared" si="37"/>
        <v>0</v>
      </c>
      <c r="R68" s="76">
        <f t="shared" si="37"/>
        <v>0</v>
      </c>
      <c r="S68" s="76">
        <f t="shared" si="37"/>
        <v>0</v>
      </c>
      <c r="T68" s="76">
        <f t="shared" si="37"/>
        <v>0</v>
      </c>
      <c r="U68" s="76">
        <f t="shared" si="37"/>
        <v>0</v>
      </c>
      <c r="V68" s="76">
        <f t="shared" si="37"/>
        <v>0</v>
      </c>
      <c r="W68" s="76">
        <f t="shared" si="37"/>
        <v>0</v>
      </c>
      <c r="X68" s="76">
        <f t="shared" si="37"/>
        <v>1600</v>
      </c>
      <c r="Y68" s="76">
        <f>SUM(Y69)</f>
        <v>4900</v>
      </c>
      <c r="Z68" s="76">
        <f>SUM(Z69)</f>
        <v>0</v>
      </c>
      <c r="AA68" s="390">
        <f>SUM(AA69)</f>
        <v>-1800</v>
      </c>
      <c r="AB68" s="76">
        <f>SUM(AB69)</f>
        <v>3100</v>
      </c>
      <c r="AC68" s="192"/>
      <c r="AD68" s="76" t="e">
        <f>SUM(#REF!,#REF!,#REF!,AD69,#REF!,#REF!)</f>
        <v>#REF!</v>
      </c>
      <c r="AE68" s="76" t="e">
        <f>SUM(#REF!,#REF!,#REF!,AE69,#REF!,#REF!)</f>
        <v>#REF!</v>
      </c>
      <c r="AF68" s="76" t="e">
        <f>SUM(#REF!,#REF!,#REF!,AF69,#REF!,#REF!)</f>
        <v>#REF!</v>
      </c>
      <c r="AG68" s="317"/>
    </row>
    <row r="69" spans="1:43" s="179" customFormat="1" ht="39.75" customHeight="1">
      <c r="A69" s="185"/>
      <c r="B69" s="314" t="s">
        <v>158</v>
      </c>
      <c r="C69" s="185"/>
      <c r="D69" s="185"/>
      <c r="E69" s="185"/>
      <c r="F69" s="185"/>
      <c r="G69" s="185"/>
      <c r="H69" s="47">
        <f>SUM(H70:H71)</f>
        <v>26371</v>
      </c>
      <c r="I69" s="47">
        <f t="shared" ref="I69:AB69" si="38">SUM(I70:I71)</f>
        <v>5900</v>
      </c>
      <c r="J69" s="47">
        <f t="shared" si="38"/>
        <v>1600</v>
      </c>
      <c r="K69" s="47">
        <f t="shared" si="38"/>
        <v>1600</v>
      </c>
      <c r="L69" s="47">
        <f t="shared" si="38"/>
        <v>0</v>
      </c>
      <c r="M69" s="47">
        <f t="shared" si="38"/>
        <v>0</v>
      </c>
      <c r="N69" s="47">
        <f t="shared" si="38"/>
        <v>0</v>
      </c>
      <c r="O69" s="47">
        <f t="shared" si="38"/>
        <v>0</v>
      </c>
      <c r="P69" s="47">
        <f t="shared" si="38"/>
        <v>0</v>
      </c>
      <c r="Q69" s="47">
        <f t="shared" si="38"/>
        <v>0</v>
      </c>
      <c r="R69" s="47">
        <f t="shared" si="38"/>
        <v>0</v>
      </c>
      <c r="S69" s="47">
        <f t="shared" si="38"/>
        <v>0</v>
      </c>
      <c r="T69" s="47">
        <f t="shared" si="38"/>
        <v>0</v>
      </c>
      <c r="U69" s="47">
        <f t="shared" si="38"/>
        <v>0</v>
      </c>
      <c r="V69" s="47">
        <f t="shared" si="38"/>
        <v>0</v>
      </c>
      <c r="W69" s="47">
        <f t="shared" si="38"/>
        <v>0</v>
      </c>
      <c r="X69" s="47">
        <f t="shared" si="38"/>
        <v>1600</v>
      </c>
      <c r="Y69" s="47">
        <f t="shared" si="38"/>
        <v>4900</v>
      </c>
      <c r="Z69" s="47">
        <f t="shared" si="38"/>
        <v>0</v>
      </c>
      <c r="AA69" s="391">
        <f t="shared" si="38"/>
        <v>-1800</v>
      </c>
      <c r="AB69" s="47">
        <f t="shared" si="38"/>
        <v>3100</v>
      </c>
      <c r="AC69" s="191"/>
      <c r="AD69" s="47">
        <f>SUM(AD70:AD70)</f>
        <v>2600</v>
      </c>
      <c r="AE69" s="47">
        <f>SUM(AE70:AE70)</f>
        <v>0</v>
      </c>
      <c r="AF69" s="47">
        <f>SUM(AF70:AF70)</f>
        <v>2600</v>
      </c>
      <c r="AG69" s="231"/>
    </row>
    <row r="70" spans="1:43" s="179" customFormat="1" ht="57.75" customHeight="1">
      <c r="A70" s="185">
        <v>1</v>
      </c>
      <c r="B70" s="183" t="s">
        <v>735</v>
      </c>
      <c r="C70" s="28" t="s">
        <v>158</v>
      </c>
      <c r="D70" s="28" t="s">
        <v>19</v>
      </c>
      <c r="E70" s="28" t="s">
        <v>181</v>
      </c>
      <c r="F70" s="28" t="s">
        <v>36</v>
      </c>
      <c r="G70" s="91" t="s">
        <v>734</v>
      </c>
      <c r="H70" s="49">
        <v>4598</v>
      </c>
      <c r="I70" s="46">
        <v>2600</v>
      </c>
      <c r="J70" s="48">
        <f>SUM(K70,L70:S70)</f>
        <v>1600</v>
      </c>
      <c r="K70" s="48">
        <v>1600</v>
      </c>
      <c r="L70" s="48"/>
      <c r="M70" s="48"/>
      <c r="N70" s="48"/>
      <c r="O70" s="48"/>
      <c r="P70" s="48"/>
      <c r="Q70" s="48"/>
      <c r="R70" s="48"/>
      <c r="S70" s="48"/>
      <c r="T70" s="48">
        <f>SUM(U70:W70)</f>
        <v>0</v>
      </c>
      <c r="U70" s="47"/>
      <c r="V70" s="48"/>
      <c r="W70" s="32"/>
      <c r="X70" s="32">
        <f>J70-T70</f>
        <v>1600</v>
      </c>
      <c r="Y70" s="32">
        <f>X70</f>
        <v>1600</v>
      </c>
      <c r="Z70" s="32"/>
      <c r="AA70" s="383"/>
      <c r="AB70" s="32">
        <f>SUM(Y70:AA70)</f>
        <v>1600</v>
      </c>
      <c r="AC70" s="47"/>
      <c r="AD70" s="48">
        <v>2600</v>
      </c>
      <c r="AE70" s="47"/>
      <c r="AF70" s="48">
        <f>AD70-AE70</f>
        <v>2600</v>
      </c>
      <c r="AG70" s="185"/>
      <c r="AH70" s="319">
        <f>AD70</f>
        <v>2600</v>
      </c>
      <c r="AI70" s="319">
        <v>1000</v>
      </c>
      <c r="AJ70" s="319">
        <f>AH70-AI70</f>
        <v>1600</v>
      </c>
      <c r="AK70" s="319"/>
      <c r="AL70" s="179" t="s">
        <v>473</v>
      </c>
      <c r="AM70" s="179" t="s">
        <v>461</v>
      </c>
      <c r="AN70" s="58">
        <f>Y70</f>
        <v>1600</v>
      </c>
      <c r="AO70" s="58"/>
      <c r="AP70" s="58"/>
      <c r="AQ70" s="58"/>
    </row>
    <row r="71" spans="1:43" s="179" customFormat="1" ht="57.75" customHeight="1">
      <c r="A71" s="185">
        <v>2</v>
      </c>
      <c r="B71" s="36" t="s">
        <v>180</v>
      </c>
      <c r="C71" s="23" t="s">
        <v>158</v>
      </c>
      <c r="D71" s="34" t="s">
        <v>19</v>
      </c>
      <c r="E71" s="23" t="s">
        <v>277</v>
      </c>
      <c r="F71" s="23" t="s">
        <v>36</v>
      </c>
      <c r="G71" s="371" t="s">
        <v>1161</v>
      </c>
      <c r="H71" s="372">
        <v>21773</v>
      </c>
      <c r="I71" s="374">
        <v>3300</v>
      </c>
      <c r="J71" s="48"/>
      <c r="K71" s="48"/>
      <c r="L71" s="48"/>
      <c r="M71" s="48"/>
      <c r="N71" s="48"/>
      <c r="O71" s="48"/>
      <c r="P71" s="48"/>
      <c r="Q71" s="48"/>
      <c r="R71" s="48"/>
      <c r="S71" s="48"/>
      <c r="T71" s="48"/>
      <c r="U71" s="47"/>
      <c r="V71" s="48"/>
      <c r="W71" s="32"/>
      <c r="X71" s="32"/>
      <c r="Y71" s="32">
        <v>3300</v>
      </c>
      <c r="Z71" s="32"/>
      <c r="AA71" s="383">
        <v>-1800</v>
      </c>
      <c r="AB71" s="32">
        <f>SUM(Y71:AA71)</f>
        <v>1500</v>
      </c>
      <c r="AC71" s="47"/>
      <c r="AD71" s="48"/>
      <c r="AE71" s="47"/>
      <c r="AF71" s="48"/>
      <c r="AG71" s="185"/>
      <c r="AH71" s="319"/>
      <c r="AI71" s="319"/>
      <c r="AJ71" s="319"/>
      <c r="AK71" s="319"/>
      <c r="AN71" s="58"/>
      <c r="AO71" s="58"/>
      <c r="AP71" s="58"/>
      <c r="AQ71" s="58"/>
    </row>
    <row r="72" spans="1:43" s="179" customFormat="1" ht="48.75" customHeight="1">
      <c r="A72" s="336" t="s">
        <v>480</v>
      </c>
      <c r="B72" s="314" t="s">
        <v>182</v>
      </c>
      <c r="C72" s="185"/>
      <c r="D72" s="185"/>
      <c r="E72" s="185"/>
      <c r="F72" s="185"/>
      <c r="G72" s="185"/>
      <c r="H72" s="47">
        <f>SUM(H73,H80,H87)</f>
        <v>268644</v>
      </c>
      <c r="I72" s="47">
        <f>SUM(I73,I80,I87)</f>
        <v>100800</v>
      </c>
      <c r="J72" s="47">
        <f t="shared" ref="J72:AB72" si="39">SUM(J73,J80,J87)</f>
        <v>12900</v>
      </c>
      <c r="K72" s="47">
        <f t="shared" si="39"/>
        <v>12900</v>
      </c>
      <c r="L72" s="47">
        <f t="shared" si="39"/>
        <v>0</v>
      </c>
      <c r="M72" s="47">
        <f t="shared" si="39"/>
        <v>0</v>
      </c>
      <c r="N72" s="47">
        <f t="shared" si="39"/>
        <v>0</v>
      </c>
      <c r="O72" s="47">
        <f t="shared" si="39"/>
        <v>0</v>
      </c>
      <c r="P72" s="47">
        <f t="shared" si="39"/>
        <v>0</v>
      </c>
      <c r="Q72" s="47">
        <f t="shared" si="39"/>
        <v>0</v>
      </c>
      <c r="R72" s="47">
        <f t="shared" si="39"/>
        <v>0</v>
      </c>
      <c r="S72" s="47">
        <f t="shared" si="39"/>
        <v>0</v>
      </c>
      <c r="T72" s="47">
        <f t="shared" si="39"/>
        <v>0</v>
      </c>
      <c r="U72" s="47">
        <f t="shared" si="39"/>
        <v>0</v>
      </c>
      <c r="V72" s="47">
        <f t="shared" si="39"/>
        <v>0</v>
      </c>
      <c r="W72" s="47">
        <f t="shared" si="39"/>
        <v>0</v>
      </c>
      <c r="X72" s="47">
        <f t="shared" si="39"/>
        <v>12900</v>
      </c>
      <c r="Y72" s="47">
        <f t="shared" si="39"/>
        <v>69700</v>
      </c>
      <c r="Z72" s="47">
        <f t="shared" si="39"/>
        <v>0</v>
      </c>
      <c r="AA72" s="47">
        <f t="shared" si="39"/>
        <v>0</v>
      </c>
      <c r="AB72" s="47">
        <f t="shared" si="39"/>
        <v>69700</v>
      </c>
      <c r="AC72" s="47"/>
      <c r="AD72" s="47" t="e">
        <f>SUM(AD73,#REF!,AD87)</f>
        <v>#REF!</v>
      </c>
      <c r="AE72" s="47" t="e">
        <f>SUM(AE73,#REF!,AE87)</f>
        <v>#REF!</v>
      </c>
      <c r="AF72" s="47" t="e">
        <f>SUM(AF73,#REF!,AF87)</f>
        <v>#REF!</v>
      </c>
      <c r="AG72" s="231"/>
    </row>
    <row r="73" spans="1:43" s="318" customFormat="1" ht="39.75" customHeight="1">
      <c r="A73" s="315" t="s">
        <v>17</v>
      </c>
      <c r="B73" s="316" t="s">
        <v>64</v>
      </c>
      <c r="C73" s="315"/>
      <c r="D73" s="315"/>
      <c r="E73" s="315"/>
      <c r="F73" s="315"/>
      <c r="G73" s="315"/>
      <c r="H73" s="76">
        <f>SUM(H74,H77)</f>
        <v>118114</v>
      </c>
      <c r="I73" s="76">
        <f t="shared" ref="I73:AB73" si="40">SUM(I74,I77)</f>
        <v>46600</v>
      </c>
      <c r="J73" s="76">
        <f t="shared" si="40"/>
        <v>8400</v>
      </c>
      <c r="K73" s="76">
        <f t="shared" si="40"/>
        <v>8400</v>
      </c>
      <c r="L73" s="76">
        <f t="shared" si="40"/>
        <v>0</v>
      </c>
      <c r="M73" s="76">
        <f t="shared" si="40"/>
        <v>0</v>
      </c>
      <c r="N73" s="76">
        <f t="shared" si="40"/>
        <v>0</v>
      </c>
      <c r="O73" s="76">
        <f t="shared" si="40"/>
        <v>0</v>
      </c>
      <c r="P73" s="76">
        <f t="shared" si="40"/>
        <v>0</v>
      </c>
      <c r="Q73" s="76">
        <f t="shared" si="40"/>
        <v>0</v>
      </c>
      <c r="R73" s="76">
        <f t="shared" si="40"/>
        <v>0</v>
      </c>
      <c r="S73" s="76">
        <f t="shared" si="40"/>
        <v>0</v>
      </c>
      <c r="T73" s="76">
        <f t="shared" si="40"/>
        <v>0</v>
      </c>
      <c r="U73" s="76">
        <f t="shared" si="40"/>
        <v>0</v>
      </c>
      <c r="V73" s="76">
        <f t="shared" si="40"/>
        <v>0</v>
      </c>
      <c r="W73" s="76">
        <f t="shared" si="40"/>
        <v>0</v>
      </c>
      <c r="X73" s="76">
        <f t="shared" si="40"/>
        <v>8400</v>
      </c>
      <c r="Y73" s="76">
        <f t="shared" si="40"/>
        <v>29400</v>
      </c>
      <c r="Z73" s="76">
        <f t="shared" si="40"/>
        <v>0</v>
      </c>
      <c r="AA73" s="76">
        <f t="shared" si="40"/>
        <v>0</v>
      </c>
      <c r="AB73" s="76">
        <f t="shared" si="40"/>
        <v>29400</v>
      </c>
      <c r="AC73" s="76"/>
      <c r="AD73" s="76" t="e">
        <f>SUM(#REF!,#REF!,#REF!,#REF!,AD74)</f>
        <v>#REF!</v>
      </c>
      <c r="AE73" s="76" t="e">
        <f>SUM(#REF!,#REF!,#REF!,#REF!,AE74)</f>
        <v>#REF!</v>
      </c>
      <c r="AF73" s="76" t="e">
        <f>SUM(#REF!,#REF!,#REF!,#REF!,AF74)</f>
        <v>#REF!</v>
      </c>
      <c r="AG73" s="317"/>
    </row>
    <row r="74" spans="1:43" s="179" customFormat="1" ht="39.75" customHeight="1">
      <c r="A74" s="185"/>
      <c r="B74" s="314" t="s">
        <v>189</v>
      </c>
      <c r="C74" s="185"/>
      <c r="D74" s="185"/>
      <c r="E74" s="185"/>
      <c r="F74" s="185"/>
      <c r="G74" s="185"/>
      <c r="H74" s="47">
        <f>SUM(H75:H76)</f>
        <v>40773</v>
      </c>
      <c r="I74" s="47">
        <f t="shared" ref="I74:AB74" si="41">SUM(I75:I76)</f>
        <v>22000</v>
      </c>
      <c r="J74" s="47">
        <f t="shared" si="41"/>
        <v>8400</v>
      </c>
      <c r="K74" s="47">
        <f t="shared" si="41"/>
        <v>8400</v>
      </c>
      <c r="L74" s="47">
        <f t="shared" si="41"/>
        <v>0</v>
      </c>
      <c r="M74" s="47">
        <f t="shared" si="41"/>
        <v>0</v>
      </c>
      <c r="N74" s="47">
        <f t="shared" si="41"/>
        <v>0</v>
      </c>
      <c r="O74" s="47">
        <f t="shared" si="41"/>
        <v>0</v>
      </c>
      <c r="P74" s="47">
        <f t="shared" si="41"/>
        <v>0</v>
      </c>
      <c r="Q74" s="47">
        <f t="shared" si="41"/>
        <v>0</v>
      </c>
      <c r="R74" s="47">
        <f t="shared" si="41"/>
        <v>0</v>
      </c>
      <c r="S74" s="47">
        <f t="shared" si="41"/>
        <v>0</v>
      </c>
      <c r="T74" s="47">
        <f t="shared" si="41"/>
        <v>0</v>
      </c>
      <c r="U74" s="47">
        <f t="shared" si="41"/>
        <v>0</v>
      </c>
      <c r="V74" s="47">
        <f t="shared" si="41"/>
        <v>0</v>
      </c>
      <c r="W74" s="47">
        <f t="shared" si="41"/>
        <v>0</v>
      </c>
      <c r="X74" s="47">
        <f t="shared" si="41"/>
        <v>8400</v>
      </c>
      <c r="Y74" s="47">
        <f t="shared" si="41"/>
        <v>10800</v>
      </c>
      <c r="Z74" s="47">
        <f t="shared" si="41"/>
        <v>0</v>
      </c>
      <c r="AA74" s="47">
        <f t="shared" si="41"/>
        <v>0</v>
      </c>
      <c r="AB74" s="47">
        <f t="shared" si="41"/>
        <v>10800</v>
      </c>
      <c r="AC74" s="32"/>
      <c r="AD74" s="47">
        <f>SUM(AD75:AD75)</f>
        <v>14000</v>
      </c>
      <c r="AE74" s="47">
        <f>SUM(AE75:AE75)</f>
        <v>0</v>
      </c>
      <c r="AF74" s="47">
        <f>SUM(AF75:AF75)</f>
        <v>14000</v>
      </c>
      <c r="AG74" s="231"/>
    </row>
    <row r="75" spans="1:43" s="179" customFormat="1" ht="66.900000000000006" customHeight="1">
      <c r="A75" s="185">
        <v>1</v>
      </c>
      <c r="B75" s="183" t="s">
        <v>192</v>
      </c>
      <c r="C75" s="28" t="s">
        <v>190</v>
      </c>
      <c r="D75" s="28" t="s">
        <v>19</v>
      </c>
      <c r="E75" s="28" t="s">
        <v>184</v>
      </c>
      <c r="F75" s="28" t="s">
        <v>36</v>
      </c>
      <c r="G75" s="91" t="s">
        <v>728</v>
      </c>
      <c r="H75" s="49">
        <v>14957</v>
      </c>
      <c r="I75" s="46">
        <v>14000</v>
      </c>
      <c r="J75" s="48">
        <f>SUM(K75,L75:S75)</f>
        <v>8400</v>
      </c>
      <c r="K75" s="48">
        <v>8400</v>
      </c>
      <c r="L75" s="48"/>
      <c r="M75" s="48"/>
      <c r="N75" s="48"/>
      <c r="O75" s="48"/>
      <c r="P75" s="48"/>
      <c r="Q75" s="48"/>
      <c r="R75" s="48"/>
      <c r="S75" s="48"/>
      <c r="T75" s="48">
        <f>SUM(U75:W75)</f>
        <v>0</v>
      </c>
      <c r="U75" s="47"/>
      <c r="V75" s="48"/>
      <c r="W75" s="32"/>
      <c r="X75" s="32">
        <f>J75-T75</f>
        <v>8400</v>
      </c>
      <c r="Y75" s="32">
        <v>6000</v>
      </c>
      <c r="Z75" s="32"/>
      <c r="AA75" s="32"/>
      <c r="AB75" s="32">
        <f>SUM(Y75:AA75)</f>
        <v>6000</v>
      </c>
      <c r="AC75" s="191" t="s">
        <v>898</v>
      </c>
      <c r="AD75" s="48">
        <v>14000</v>
      </c>
      <c r="AE75" s="47"/>
      <c r="AF75" s="82">
        <f>AD75-AE75</f>
        <v>14000</v>
      </c>
      <c r="AG75" s="185"/>
      <c r="AH75" s="319">
        <f>AD75</f>
        <v>14000</v>
      </c>
      <c r="AI75" s="319">
        <f>AH75/2.5</f>
        <v>5600</v>
      </c>
      <c r="AJ75" s="319">
        <f>AH75-AI75</f>
        <v>8400</v>
      </c>
      <c r="AK75" s="319"/>
      <c r="AL75" s="179" t="s">
        <v>473</v>
      </c>
      <c r="AM75" s="179" t="s">
        <v>474</v>
      </c>
      <c r="AN75" s="58">
        <f>Y75</f>
        <v>6000</v>
      </c>
      <c r="AO75" s="58" t="s">
        <v>629</v>
      </c>
      <c r="AP75" s="58"/>
      <c r="AQ75" s="58"/>
    </row>
    <row r="76" spans="1:43" s="179" customFormat="1" ht="57.75" customHeight="1">
      <c r="A76" s="185">
        <v>2</v>
      </c>
      <c r="B76" s="183" t="s">
        <v>894</v>
      </c>
      <c r="C76" s="28" t="s">
        <v>190</v>
      </c>
      <c r="D76" s="28" t="s">
        <v>19</v>
      </c>
      <c r="E76" s="28" t="s">
        <v>191</v>
      </c>
      <c r="F76" s="28" t="s">
        <v>36</v>
      </c>
      <c r="G76" s="91" t="s">
        <v>1180</v>
      </c>
      <c r="H76" s="49">
        <v>25816</v>
      </c>
      <c r="I76" s="46">
        <v>8000</v>
      </c>
      <c r="J76" s="48"/>
      <c r="K76" s="48"/>
      <c r="L76" s="48"/>
      <c r="M76" s="48"/>
      <c r="N76" s="48"/>
      <c r="O76" s="48"/>
      <c r="P76" s="48"/>
      <c r="Q76" s="48"/>
      <c r="R76" s="48"/>
      <c r="S76" s="48"/>
      <c r="T76" s="48"/>
      <c r="U76" s="47"/>
      <c r="V76" s="48"/>
      <c r="W76" s="32"/>
      <c r="X76" s="32"/>
      <c r="Y76" s="32">
        <v>4800</v>
      </c>
      <c r="Z76" s="32"/>
      <c r="AA76" s="32"/>
      <c r="AB76" s="32">
        <f>SUM(Y76:AA76)</f>
        <v>4800</v>
      </c>
      <c r="AC76" s="191"/>
      <c r="AD76" s="48"/>
      <c r="AE76" s="47"/>
      <c r="AF76" s="82"/>
      <c r="AG76" s="185"/>
      <c r="AH76" s="319"/>
      <c r="AI76" s="319"/>
      <c r="AJ76" s="319"/>
      <c r="AK76" s="319"/>
      <c r="AN76" s="58"/>
      <c r="AO76" s="58"/>
      <c r="AP76" s="58"/>
      <c r="AQ76" s="58"/>
    </row>
    <row r="77" spans="1:43" s="179" customFormat="1" ht="39.75" customHeight="1">
      <c r="A77" s="185"/>
      <c r="B77" s="314" t="s">
        <v>185</v>
      </c>
      <c r="C77" s="185"/>
      <c r="D77" s="185"/>
      <c r="E77" s="185"/>
      <c r="F77" s="185"/>
      <c r="G77" s="47"/>
      <c r="H77" s="47">
        <f>SUM(H78:H79)</f>
        <v>77341</v>
      </c>
      <c r="I77" s="47">
        <f t="shared" ref="I77:AA77" si="42">SUM(I78:I79)</f>
        <v>24600</v>
      </c>
      <c r="J77" s="47">
        <f t="shared" si="42"/>
        <v>0</v>
      </c>
      <c r="K77" s="47">
        <f t="shared" si="42"/>
        <v>0</v>
      </c>
      <c r="L77" s="47">
        <f t="shared" si="42"/>
        <v>0</v>
      </c>
      <c r="M77" s="47">
        <f t="shared" si="42"/>
        <v>0</v>
      </c>
      <c r="N77" s="47">
        <f t="shared" si="42"/>
        <v>0</v>
      </c>
      <c r="O77" s="47">
        <f t="shared" si="42"/>
        <v>0</v>
      </c>
      <c r="P77" s="47">
        <f t="shared" si="42"/>
        <v>0</v>
      </c>
      <c r="Q77" s="47">
        <f t="shared" si="42"/>
        <v>0</v>
      </c>
      <c r="R77" s="47">
        <f t="shared" si="42"/>
        <v>0</v>
      </c>
      <c r="S77" s="47">
        <f t="shared" si="42"/>
        <v>0</v>
      </c>
      <c r="T77" s="47">
        <f t="shared" si="42"/>
        <v>0</v>
      </c>
      <c r="U77" s="47">
        <f t="shared" si="42"/>
        <v>0</v>
      </c>
      <c r="V77" s="47">
        <f t="shared" si="42"/>
        <v>0</v>
      </c>
      <c r="W77" s="47">
        <f t="shared" si="42"/>
        <v>0</v>
      </c>
      <c r="X77" s="47">
        <f t="shared" si="42"/>
        <v>0</v>
      </c>
      <c r="Y77" s="47">
        <f t="shared" si="42"/>
        <v>18600</v>
      </c>
      <c r="Z77" s="47">
        <f t="shared" si="42"/>
        <v>0</v>
      </c>
      <c r="AA77" s="47">
        <f t="shared" si="42"/>
        <v>0</v>
      </c>
      <c r="AB77" s="47">
        <f>SUM(AB78:AB79)</f>
        <v>18600</v>
      </c>
      <c r="AC77" s="32"/>
      <c r="AD77" s="47"/>
      <c r="AE77" s="47"/>
      <c r="AF77" s="47"/>
      <c r="AG77" s="231"/>
    </row>
    <row r="78" spans="1:43" s="179" customFormat="1" ht="57.75" customHeight="1">
      <c r="A78" s="185">
        <v>1</v>
      </c>
      <c r="B78" s="183" t="s">
        <v>186</v>
      </c>
      <c r="C78" s="28" t="s">
        <v>187</v>
      </c>
      <c r="D78" s="28" t="s">
        <v>19</v>
      </c>
      <c r="E78" s="28" t="s">
        <v>184</v>
      </c>
      <c r="F78" s="28" t="s">
        <v>36</v>
      </c>
      <c r="G78" s="91" t="s">
        <v>1178</v>
      </c>
      <c r="H78" s="49">
        <v>40508</v>
      </c>
      <c r="I78" s="46">
        <v>12600</v>
      </c>
      <c r="J78" s="48"/>
      <c r="K78" s="48"/>
      <c r="L78" s="48"/>
      <c r="M78" s="48"/>
      <c r="N78" s="48"/>
      <c r="O78" s="48"/>
      <c r="P78" s="48"/>
      <c r="Q78" s="48"/>
      <c r="R78" s="48"/>
      <c r="S78" s="48"/>
      <c r="T78" s="48"/>
      <c r="U78" s="47"/>
      <c r="V78" s="48"/>
      <c r="W78" s="32"/>
      <c r="X78" s="32"/>
      <c r="Y78" s="32">
        <v>9600</v>
      </c>
      <c r="Z78" s="32"/>
      <c r="AA78" s="32"/>
      <c r="AB78" s="32">
        <f>SUM(Y78:AA78)</f>
        <v>9600</v>
      </c>
      <c r="AC78" s="191"/>
      <c r="AD78" s="48"/>
      <c r="AE78" s="47"/>
      <c r="AF78" s="82"/>
      <c r="AG78" s="185"/>
      <c r="AH78" s="319"/>
      <c r="AI78" s="319"/>
      <c r="AJ78" s="319"/>
      <c r="AK78" s="319"/>
      <c r="AN78" s="58"/>
      <c r="AO78" s="58"/>
      <c r="AP78" s="58"/>
      <c r="AQ78" s="58"/>
    </row>
    <row r="79" spans="1:43" s="179" customFormat="1" ht="57.75" customHeight="1">
      <c r="A79" s="185">
        <v>2</v>
      </c>
      <c r="B79" s="183" t="s">
        <v>188</v>
      </c>
      <c r="C79" s="28" t="s">
        <v>185</v>
      </c>
      <c r="D79" s="28" t="s">
        <v>19</v>
      </c>
      <c r="E79" s="28" t="s">
        <v>183</v>
      </c>
      <c r="F79" s="28" t="s">
        <v>36</v>
      </c>
      <c r="G79" s="91" t="s">
        <v>1179</v>
      </c>
      <c r="H79" s="49">
        <v>36833</v>
      </c>
      <c r="I79" s="46">
        <v>12000</v>
      </c>
      <c r="J79" s="48"/>
      <c r="K79" s="48"/>
      <c r="L79" s="48"/>
      <c r="M79" s="48"/>
      <c r="N79" s="48"/>
      <c r="O79" s="48"/>
      <c r="P79" s="48"/>
      <c r="Q79" s="48"/>
      <c r="R79" s="48"/>
      <c r="S79" s="48"/>
      <c r="T79" s="48"/>
      <c r="U79" s="47"/>
      <c r="V79" s="48"/>
      <c r="W79" s="32"/>
      <c r="X79" s="32"/>
      <c r="Y79" s="32">
        <v>9000</v>
      </c>
      <c r="Z79" s="32"/>
      <c r="AA79" s="32"/>
      <c r="AB79" s="32">
        <f>SUM(Y79:AA79)</f>
        <v>9000</v>
      </c>
      <c r="AC79" s="191"/>
      <c r="AD79" s="48"/>
      <c r="AE79" s="47"/>
      <c r="AF79" s="82"/>
      <c r="AG79" s="185"/>
      <c r="AH79" s="319"/>
      <c r="AI79" s="319"/>
      <c r="AJ79" s="319"/>
      <c r="AK79" s="319"/>
      <c r="AN79" s="58"/>
      <c r="AO79" s="58"/>
      <c r="AP79" s="58"/>
      <c r="AQ79" s="58"/>
    </row>
    <row r="80" spans="1:43" s="318" customFormat="1" ht="39.75" customHeight="1">
      <c r="A80" s="315" t="s">
        <v>25</v>
      </c>
      <c r="B80" s="316" t="s">
        <v>169</v>
      </c>
      <c r="C80" s="315"/>
      <c r="D80" s="315"/>
      <c r="E80" s="315"/>
      <c r="F80" s="315"/>
      <c r="G80" s="315"/>
      <c r="H80" s="76">
        <f>SUM(H81,H84)</f>
        <v>115178</v>
      </c>
      <c r="I80" s="76">
        <f t="shared" ref="I80:AB80" si="43">SUM(I81,I84)</f>
        <v>42500</v>
      </c>
      <c r="J80" s="76">
        <f t="shared" si="43"/>
        <v>0</v>
      </c>
      <c r="K80" s="76">
        <f t="shared" si="43"/>
        <v>0</v>
      </c>
      <c r="L80" s="76">
        <f t="shared" si="43"/>
        <v>0</v>
      </c>
      <c r="M80" s="76">
        <f t="shared" si="43"/>
        <v>0</v>
      </c>
      <c r="N80" s="76">
        <f t="shared" si="43"/>
        <v>0</v>
      </c>
      <c r="O80" s="76">
        <f t="shared" si="43"/>
        <v>0</v>
      </c>
      <c r="P80" s="76">
        <f t="shared" si="43"/>
        <v>0</v>
      </c>
      <c r="Q80" s="76">
        <f t="shared" si="43"/>
        <v>0</v>
      </c>
      <c r="R80" s="76">
        <f t="shared" si="43"/>
        <v>0</v>
      </c>
      <c r="S80" s="76">
        <f t="shared" si="43"/>
        <v>0</v>
      </c>
      <c r="T80" s="76">
        <f t="shared" si="43"/>
        <v>0</v>
      </c>
      <c r="U80" s="76">
        <f t="shared" si="43"/>
        <v>0</v>
      </c>
      <c r="V80" s="76">
        <f t="shared" si="43"/>
        <v>0</v>
      </c>
      <c r="W80" s="76">
        <f t="shared" si="43"/>
        <v>0</v>
      </c>
      <c r="X80" s="76">
        <f t="shared" si="43"/>
        <v>0</v>
      </c>
      <c r="Y80" s="76">
        <f t="shared" si="43"/>
        <v>31500</v>
      </c>
      <c r="Z80" s="76">
        <f t="shared" si="43"/>
        <v>0</v>
      </c>
      <c r="AA80" s="76">
        <f t="shared" si="43"/>
        <v>0</v>
      </c>
      <c r="AB80" s="76">
        <f t="shared" si="43"/>
        <v>31500</v>
      </c>
      <c r="AC80" s="76"/>
      <c r="AD80" s="76"/>
      <c r="AE80" s="76"/>
      <c r="AF80" s="76"/>
      <c r="AG80" s="317"/>
    </row>
    <row r="81" spans="1:43" s="179" customFormat="1" ht="39.75" customHeight="1">
      <c r="A81" s="185"/>
      <c r="B81" s="314" t="s">
        <v>185</v>
      </c>
      <c r="C81" s="185"/>
      <c r="D81" s="185"/>
      <c r="E81" s="185"/>
      <c r="F81" s="185"/>
      <c r="G81" s="185"/>
      <c r="H81" s="47">
        <f t="shared" ref="H81:AB81" si="44">SUM(H82:H83)</f>
        <v>61178</v>
      </c>
      <c r="I81" s="47">
        <f t="shared" si="44"/>
        <v>22300</v>
      </c>
      <c r="J81" s="47">
        <f t="shared" si="44"/>
        <v>0</v>
      </c>
      <c r="K81" s="47">
        <f t="shared" si="44"/>
        <v>0</v>
      </c>
      <c r="L81" s="47">
        <f t="shared" si="44"/>
        <v>0</v>
      </c>
      <c r="M81" s="47">
        <f t="shared" si="44"/>
        <v>0</v>
      </c>
      <c r="N81" s="47">
        <f t="shared" si="44"/>
        <v>0</v>
      </c>
      <c r="O81" s="47">
        <f t="shared" si="44"/>
        <v>0</v>
      </c>
      <c r="P81" s="47">
        <f t="shared" si="44"/>
        <v>0</v>
      </c>
      <c r="Q81" s="47">
        <f t="shared" si="44"/>
        <v>0</v>
      </c>
      <c r="R81" s="47">
        <f t="shared" si="44"/>
        <v>0</v>
      </c>
      <c r="S81" s="47">
        <f t="shared" si="44"/>
        <v>0</v>
      </c>
      <c r="T81" s="47">
        <f t="shared" si="44"/>
        <v>0</v>
      </c>
      <c r="U81" s="47">
        <f t="shared" si="44"/>
        <v>0</v>
      </c>
      <c r="V81" s="47">
        <f t="shared" si="44"/>
        <v>0</v>
      </c>
      <c r="W81" s="47">
        <f t="shared" si="44"/>
        <v>0</v>
      </c>
      <c r="X81" s="47">
        <f t="shared" si="44"/>
        <v>0</v>
      </c>
      <c r="Y81" s="47">
        <f t="shared" si="44"/>
        <v>16500</v>
      </c>
      <c r="Z81" s="47">
        <f t="shared" si="44"/>
        <v>0</v>
      </c>
      <c r="AA81" s="47">
        <f t="shared" si="44"/>
        <v>0</v>
      </c>
      <c r="AB81" s="47">
        <f t="shared" si="44"/>
        <v>16500</v>
      </c>
      <c r="AC81" s="32"/>
      <c r="AD81" s="47"/>
      <c r="AE81" s="47"/>
      <c r="AF81" s="47"/>
      <c r="AG81" s="231"/>
    </row>
    <row r="82" spans="1:43" s="179" customFormat="1" ht="57.75" customHeight="1">
      <c r="A82" s="185">
        <v>1</v>
      </c>
      <c r="B82" s="183" t="s">
        <v>194</v>
      </c>
      <c r="C82" s="28" t="s">
        <v>185</v>
      </c>
      <c r="D82" s="28" t="s">
        <v>19</v>
      </c>
      <c r="E82" s="28" t="s">
        <v>195</v>
      </c>
      <c r="F82" s="28" t="s">
        <v>36</v>
      </c>
      <c r="G82" s="91" t="s">
        <v>1192</v>
      </c>
      <c r="H82" s="49">
        <v>26465</v>
      </c>
      <c r="I82" s="46">
        <v>13900</v>
      </c>
      <c r="J82" s="48"/>
      <c r="K82" s="48"/>
      <c r="L82" s="48"/>
      <c r="M82" s="48"/>
      <c r="N82" s="48"/>
      <c r="O82" s="48"/>
      <c r="P82" s="48"/>
      <c r="Q82" s="48"/>
      <c r="R82" s="48"/>
      <c r="S82" s="48"/>
      <c r="T82" s="48"/>
      <c r="U82" s="47"/>
      <c r="V82" s="48"/>
      <c r="W82" s="32"/>
      <c r="X82" s="32"/>
      <c r="Y82" s="32">
        <v>8100</v>
      </c>
      <c r="Z82" s="32"/>
      <c r="AA82" s="32"/>
      <c r="AB82" s="32">
        <f>SUM(Y82:AA82)</f>
        <v>8100</v>
      </c>
      <c r="AC82" s="191"/>
      <c r="AD82" s="48"/>
      <c r="AE82" s="47"/>
      <c r="AF82" s="82"/>
      <c r="AG82" s="185"/>
      <c r="AH82" s="319"/>
      <c r="AI82" s="319"/>
      <c r="AJ82" s="319"/>
      <c r="AK82" s="319"/>
      <c r="AN82" s="58"/>
      <c r="AO82" s="58"/>
      <c r="AP82" s="58"/>
      <c r="AQ82" s="58"/>
    </row>
    <row r="83" spans="1:43" s="179" customFormat="1" ht="57.75" customHeight="1">
      <c r="A83" s="185">
        <v>2</v>
      </c>
      <c r="B83" s="183" t="s">
        <v>196</v>
      </c>
      <c r="C83" s="28" t="s">
        <v>185</v>
      </c>
      <c r="D83" s="28" t="s">
        <v>19</v>
      </c>
      <c r="E83" s="28" t="s">
        <v>197</v>
      </c>
      <c r="F83" s="28" t="s">
        <v>36</v>
      </c>
      <c r="G83" s="91" t="s">
        <v>1204</v>
      </c>
      <c r="H83" s="49">
        <v>34713</v>
      </c>
      <c r="I83" s="46">
        <v>8400</v>
      </c>
      <c r="J83" s="48"/>
      <c r="K83" s="48"/>
      <c r="L83" s="48"/>
      <c r="M83" s="48"/>
      <c r="N83" s="48"/>
      <c r="O83" s="48"/>
      <c r="P83" s="48"/>
      <c r="Q83" s="48"/>
      <c r="R83" s="48"/>
      <c r="S83" s="48"/>
      <c r="T83" s="48"/>
      <c r="U83" s="47"/>
      <c r="V83" s="48"/>
      <c r="W83" s="32"/>
      <c r="X83" s="32"/>
      <c r="Y83" s="32">
        <v>8400</v>
      </c>
      <c r="Z83" s="32"/>
      <c r="AA83" s="32"/>
      <c r="AB83" s="32">
        <f>SUM(Y83:AA83)</f>
        <v>8400</v>
      </c>
      <c r="AC83" s="191"/>
      <c r="AD83" s="48"/>
      <c r="AE83" s="47"/>
      <c r="AF83" s="82"/>
      <c r="AG83" s="185"/>
      <c r="AH83" s="319"/>
      <c r="AI83" s="319"/>
      <c r="AJ83" s="319"/>
      <c r="AK83" s="319"/>
      <c r="AN83" s="58"/>
      <c r="AO83" s="58"/>
      <c r="AP83" s="58"/>
      <c r="AQ83" s="58"/>
    </row>
    <row r="84" spans="1:43" s="179" customFormat="1" ht="39.75" customHeight="1">
      <c r="A84" s="185"/>
      <c r="B84" s="314" t="s">
        <v>189</v>
      </c>
      <c r="C84" s="185"/>
      <c r="D84" s="185"/>
      <c r="E84" s="185"/>
      <c r="F84" s="185"/>
      <c r="G84" s="185"/>
      <c r="H84" s="47">
        <f t="shared" ref="H84:AB84" si="45">SUM(H85:H86)</f>
        <v>54000</v>
      </c>
      <c r="I84" s="47">
        <f t="shared" si="45"/>
        <v>20200</v>
      </c>
      <c r="J84" s="47">
        <f t="shared" si="45"/>
        <v>0</v>
      </c>
      <c r="K84" s="47">
        <f t="shared" si="45"/>
        <v>0</v>
      </c>
      <c r="L84" s="47">
        <f t="shared" si="45"/>
        <v>0</v>
      </c>
      <c r="M84" s="47">
        <f t="shared" si="45"/>
        <v>0</v>
      </c>
      <c r="N84" s="47">
        <f t="shared" si="45"/>
        <v>0</v>
      </c>
      <c r="O84" s="47">
        <f t="shared" si="45"/>
        <v>0</v>
      </c>
      <c r="P84" s="47">
        <f t="shared" si="45"/>
        <v>0</v>
      </c>
      <c r="Q84" s="47">
        <f t="shared" si="45"/>
        <v>0</v>
      </c>
      <c r="R84" s="47">
        <f t="shared" si="45"/>
        <v>0</v>
      </c>
      <c r="S84" s="47">
        <f t="shared" si="45"/>
        <v>0</v>
      </c>
      <c r="T84" s="47">
        <f t="shared" si="45"/>
        <v>0</v>
      </c>
      <c r="U84" s="47">
        <f t="shared" si="45"/>
        <v>0</v>
      </c>
      <c r="V84" s="47">
        <f t="shared" si="45"/>
        <v>0</v>
      </c>
      <c r="W84" s="47">
        <f t="shared" si="45"/>
        <v>0</v>
      </c>
      <c r="X84" s="47">
        <f t="shared" si="45"/>
        <v>0</v>
      </c>
      <c r="Y84" s="47">
        <f t="shared" si="45"/>
        <v>15000</v>
      </c>
      <c r="Z84" s="47">
        <f t="shared" si="45"/>
        <v>0</v>
      </c>
      <c r="AA84" s="47">
        <f t="shared" si="45"/>
        <v>0</v>
      </c>
      <c r="AB84" s="47">
        <f t="shared" si="45"/>
        <v>15000</v>
      </c>
      <c r="AC84" s="32"/>
      <c r="AD84" s="47"/>
      <c r="AE84" s="47"/>
      <c r="AF84" s="47"/>
      <c r="AG84" s="231"/>
    </row>
    <row r="85" spans="1:43" s="179" customFormat="1" ht="57.75" customHeight="1">
      <c r="A85" s="185">
        <v>1</v>
      </c>
      <c r="B85" s="183" t="s">
        <v>198</v>
      </c>
      <c r="C85" s="28" t="s">
        <v>189</v>
      </c>
      <c r="D85" s="28" t="s">
        <v>19</v>
      </c>
      <c r="E85" s="28" t="s">
        <v>199</v>
      </c>
      <c r="F85" s="28" t="s">
        <v>36</v>
      </c>
      <c r="G85" s="91" t="s">
        <v>1205</v>
      </c>
      <c r="H85" s="49">
        <v>29200</v>
      </c>
      <c r="I85" s="46">
        <v>7200</v>
      </c>
      <c r="J85" s="48"/>
      <c r="K85" s="48"/>
      <c r="L85" s="48"/>
      <c r="M85" s="48"/>
      <c r="N85" s="48"/>
      <c r="O85" s="48"/>
      <c r="P85" s="48"/>
      <c r="Q85" s="48"/>
      <c r="R85" s="48"/>
      <c r="S85" s="48"/>
      <c r="T85" s="48"/>
      <c r="U85" s="47"/>
      <c r="V85" s="48"/>
      <c r="W85" s="32"/>
      <c r="X85" s="32"/>
      <c r="Y85" s="32">
        <v>7200</v>
      </c>
      <c r="Z85" s="32"/>
      <c r="AA85" s="32"/>
      <c r="AB85" s="32">
        <f>SUM(Y85:AA85)</f>
        <v>7200</v>
      </c>
      <c r="AC85" s="191"/>
      <c r="AD85" s="48"/>
      <c r="AE85" s="47"/>
      <c r="AF85" s="82"/>
      <c r="AG85" s="185"/>
      <c r="AH85" s="319"/>
      <c r="AI85" s="319"/>
      <c r="AJ85" s="319"/>
      <c r="AK85" s="319"/>
      <c r="AN85" s="58"/>
      <c r="AO85" s="58"/>
      <c r="AP85" s="58"/>
      <c r="AQ85" s="58"/>
    </row>
    <row r="86" spans="1:43" s="179" customFormat="1" ht="57.75" customHeight="1">
      <c r="A86" s="185">
        <v>2</v>
      </c>
      <c r="B86" s="183" t="s">
        <v>200</v>
      </c>
      <c r="C86" s="28" t="s">
        <v>189</v>
      </c>
      <c r="D86" s="28" t="s">
        <v>19</v>
      </c>
      <c r="E86" s="28" t="s">
        <v>201</v>
      </c>
      <c r="F86" s="28" t="s">
        <v>36</v>
      </c>
      <c r="G86" s="91" t="s">
        <v>1193</v>
      </c>
      <c r="H86" s="49">
        <v>24800</v>
      </c>
      <c r="I86" s="46">
        <v>13000</v>
      </c>
      <c r="J86" s="48"/>
      <c r="K86" s="48"/>
      <c r="L86" s="48"/>
      <c r="M86" s="48"/>
      <c r="N86" s="48"/>
      <c r="O86" s="48"/>
      <c r="P86" s="48"/>
      <c r="Q86" s="48"/>
      <c r="R86" s="48"/>
      <c r="S86" s="48"/>
      <c r="T86" s="48"/>
      <c r="U86" s="47"/>
      <c r="V86" s="48"/>
      <c r="W86" s="32"/>
      <c r="X86" s="32"/>
      <c r="Y86" s="32">
        <v>7800</v>
      </c>
      <c r="Z86" s="32"/>
      <c r="AA86" s="32"/>
      <c r="AB86" s="32">
        <f>SUM(Y86:AA86)</f>
        <v>7800</v>
      </c>
      <c r="AC86" s="191"/>
      <c r="AD86" s="48"/>
      <c r="AE86" s="47"/>
      <c r="AF86" s="82"/>
      <c r="AG86" s="185"/>
      <c r="AH86" s="319"/>
      <c r="AI86" s="319"/>
      <c r="AJ86" s="319"/>
      <c r="AK86" s="319"/>
      <c r="AN86" s="58"/>
      <c r="AO86" s="58"/>
      <c r="AP86" s="58"/>
      <c r="AQ86" s="58"/>
    </row>
    <row r="87" spans="1:43" s="318" customFormat="1" ht="39.75" customHeight="1">
      <c r="A87" s="315" t="s">
        <v>25</v>
      </c>
      <c r="B87" s="316" t="s">
        <v>65</v>
      </c>
      <c r="C87" s="315"/>
      <c r="D87" s="315"/>
      <c r="E87" s="315"/>
      <c r="F87" s="315"/>
      <c r="G87" s="315"/>
      <c r="H87" s="76">
        <f>SUM(H88,H91)</f>
        <v>35352</v>
      </c>
      <c r="I87" s="76">
        <f t="shared" ref="I87:AB87" si="46">SUM(I88,I91)</f>
        <v>11700</v>
      </c>
      <c r="J87" s="76">
        <f t="shared" si="46"/>
        <v>4500</v>
      </c>
      <c r="K87" s="76">
        <f t="shared" si="46"/>
        <v>4500</v>
      </c>
      <c r="L87" s="76">
        <f t="shared" si="46"/>
        <v>0</v>
      </c>
      <c r="M87" s="76">
        <f t="shared" si="46"/>
        <v>0</v>
      </c>
      <c r="N87" s="76">
        <f t="shared" si="46"/>
        <v>0</v>
      </c>
      <c r="O87" s="76">
        <f t="shared" si="46"/>
        <v>0</v>
      </c>
      <c r="P87" s="76">
        <f t="shared" si="46"/>
        <v>0</v>
      </c>
      <c r="Q87" s="76">
        <f t="shared" si="46"/>
        <v>0</v>
      </c>
      <c r="R87" s="76">
        <f t="shared" si="46"/>
        <v>0</v>
      </c>
      <c r="S87" s="76">
        <f t="shared" si="46"/>
        <v>0</v>
      </c>
      <c r="T87" s="76">
        <f t="shared" si="46"/>
        <v>0</v>
      </c>
      <c r="U87" s="76">
        <f t="shared" si="46"/>
        <v>0</v>
      </c>
      <c r="V87" s="76">
        <f t="shared" si="46"/>
        <v>0</v>
      </c>
      <c r="W87" s="76">
        <f t="shared" si="46"/>
        <v>0</v>
      </c>
      <c r="X87" s="76">
        <f t="shared" si="46"/>
        <v>4500</v>
      </c>
      <c r="Y87" s="76">
        <f t="shared" si="46"/>
        <v>8800</v>
      </c>
      <c r="Z87" s="76">
        <f t="shared" si="46"/>
        <v>0</v>
      </c>
      <c r="AA87" s="76">
        <f t="shared" si="46"/>
        <v>0</v>
      </c>
      <c r="AB87" s="76">
        <f t="shared" si="46"/>
        <v>8800</v>
      </c>
      <c r="AC87" s="76"/>
      <c r="AD87" s="76" t="e">
        <f>SUM(#REF!,#REF!,#REF!,AD88,#REF!)</f>
        <v>#REF!</v>
      </c>
      <c r="AE87" s="76" t="e">
        <f>SUM(#REF!,#REF!,#REF!,AE88,#REF!)</f>
        <v>#REF!</v>
      </c>
      <c r="AF87" s="76" t="e">
        <f>SUM(#REF!,#REF!,#REF!,AF88,#REF!)</f>
        <v>#REF!</v>
      </c>
      <c r="AG87" s="317"/>
    </row>
    <row r="88" spans="1:43" s="179" customFormat="1" ht="39.75" customHeight="1">
      <c r="A88" s="185"/>
      <c r="B88" s="314" t="s">
        <v>185</v>
      </c>
      <c r="C88" s="185"/>
      <c r="D88" s="185"/>
      <c r="E88" s="185"/>
      <c r="F88" s="185"/>
      <c r="G88" s="185"/>
      <c r="H88" s="47">
        <f t="shared" ref="H88:AF88" si="47">SUM(H89:H90)</f>
        <v>18950</v>
      </c>
      <c r="I88" s="47">
        <f t="shared" si="47"/>
        <v>7400</v>
      </c>
      <c r="J88" s="47">
        <f t="shared" si="47"/>
        <v>4500</v>
      </c>
      <c r="K88" s="47">
        <f t="shared" si="47"/>
        <v>4500</v>
      </c>
      <c r="L88" s="47">
        <f t="shared" si="47"/>
        <v>0</v>
      </c>
      <c r="M88" s="47">
        <f t="shared" si="47"/>
        <v>0</v>
      </c>
      <c r="N88" s="47">
        <f t="shared" si="47"/>
        <v>0</v>
      </c>
      <c r="O88" s="47">
        <f t="shared" si="47"/>
        <v>0</v>
      </c>
      <c r="P88" s="47">
        <f t="shared" si="47"/>
        <v>0</v>
      </c>
      <c r="Q88" s="47">
        <f t="shared" si="47"/>
        <v>0</v>
      </c>
      <c r="R88" s="47">
        <f t="shared" si="47"/>
        <v>0</v>
      </c>
      <c r="S88" s="47">
        <f t="shared" si="47"/>
        <v>0</v>
      </c>
      <c r="T88" s="47">
        <f t="shared" si="47"/>
        <v>0</v>
      </c>
      <c r="U88" s="47">
        <f t="shared" si="47"/>
        <v>0</v>
      </c>
      <c r="V88" s="47">
        <f t="shared" si="47"/>
        <v>0</v>
      </c>
      <c r="W88" s="47">
        <f t="shared" si="47"/>
        <v>0</v>
      </c>
      <c r="X88" s="47">
        <f t="shared" si="47"/>
        <v>4500</v>
      </c>
      <c r="Y88" s="47">
        <f>SUM(Y89:Y90)</f>
        <v>4500</v>
      </c>
      <c r="Z88" s="47">
        <f>SUM(Z89:Z90)</f>
        <v>0</v>
      </c>
      <c r="AA88" s="47">
        <f>SUM(AA89:AA90)</f>
        <v>0</v>
      </c>
      <c r="AB88" s="47">
        <f>SUM(AB89:AB90)</f>
        <v>4500</v>
      </c>
      <c r="AC88" s="47"/>
      <c r="AD88" s="47">
        <f t="shared" si="47"/>
        <v>7400</v>
      </c>
      <c r="AE88" s="47">
        <f t="shared" si="47"/>
        <v>0</v>
      </c>
      <c r="AF88" s="47">
        <f t="shared" si="47"/>
        <v>7400</v>
      </c>
      <c r="AG88" s="231"/>
    </row>
    <row r="89" spans="1:43" s="179" customFormat="1" ht="57.75" customHeight="1">
      <c r="A89" s="185">
        <v>1</v>
      </c>
      <c r="B89" s="183" t="s">
        <v>204</v>
      </c>
      <c r="C89" s="28" t="s">
        <v>185</v>
      </c>
      <c r="D89" s="28" t="s">
        <v>19</v>
      </c>
      <c r="E89" s="28" t="s">
        <v>203</v>
      </c>
      <c r="F89" s="28" t="s">
        <v>36</v>
      </c>
      <c r="G89" s="91" t="s">
        <v>729</v>
      </c>
      <c r="H89" s="49">
        <v>11010</v>
      </c>
      <c r="I89" s="46">
        <v>4600</v>
      </c>
      <c r="J89" s="48">
        <f>SUM(K89,L89:S89)</f>
        <v>2800</v>
      </c>
      <c r="K89" s="48">
        <v>2800</v>
      </c>
      <c r="L89" s="48"/>
      <c r="M89" s="48"/>
      <c r="N89" s="48"/>
      <c r="O89" s="48"/>
      <c r="P89" s="48"/>
      <c r="Q89" s="48"/>
      <c r="R89" s="48"/>
      <c r="S89" s="48"/>
      <c r="T89" s="48">
        <f>SUM(U89:W89)</f>
        <v>0</v>
      </c>
      <c r="U89" s="47"/>
      <c r="V89" s="48"/>
      <c r="W89" s="32"/>
      <c r="X89" s="32">
        <f>J89-T89</f>
        <v>2800</v>
      </c>
      <c r="Y89" s="32">
        <f>X89</f>
        <v>2800</v>
      </c>
      <c r="Z89" s="32"/>
      <c r="AA89" s="32"/>
      <c r="AB89" s="32">
        <f>SUM(Y89:AA89)</f>
        <v>2800</v>
      </c>
      <c r="AC89" s="32"/>
      <c r="AD89" s="48">
        <v>4600</v>
      </c>
      <c r="AE89" s="47"/>
      <c r="AF89" s="82">
        <f>AD89-AE89</f>
        <v>4600</v>
      </c>
      <c r="AG89" s="185"/>
      <c r="AH89" s="319">
        <f>AD89</f>
        <v>4600</v>
      </c>
      <c r="AI89" s="319">
        <v>1800</v>
      </c>
      <c r="AJ89" s="319">
        <f>AH89-AI89</f>
        <v>2800</v>
      </c>
      <c r="AK89" s="319"/>
      <c r="AL89" s="179" t="s">
        <v>473</v>
      </c>
      <c r="AM89" s="179" t="s">
        <v>461</v>
      </c>
      <c r="AN89" s="58">
        <f>Y89</f>
        <v>2800</v>
      </c>
      <c r="AO89" s="58"/>
      <c r="AP89" s="58"/>
      <c r="AQ89" s="58"/>
    </row>
    <row r="90" spans="1:43" s="179" customFormat="1" ht="57.75" customHeight="1">
      <c r="A90" s="185">
        <f>+A89+1</f>
        <v>2</v>
      </c>
      <c r="B90" s="183" t="s">
        <v>205</v>
      </c>
      <c r="C90" s="28" t="s">
        <v>185</v>
      </c>
      <c r="D90" s="28" t="s">
        <v>19</v>
      </c>
      <c r="E90" s="28" t="s">
        <v>206</v>
      </c>
      <c r="F90" s="28" t="s">
        <v>36</v>
      </c>
      <c r="G90" s="91" t="s">
        <v>849</v>
      </c>
      <c r="H90" s="49">
        <v>7940</v>
      </c>
      <c r="I90" s="46">
        <v>2800</v>
      </c>
      <c r="J90" s="48">
        <f>SUM(K90,L90:S90)</f>
        <v>1700</v>
      </c>
      <c r="K90" s="48">
        <v>1700</v>
      </c>
      <c r="L90" s="48"/>
      <c r="M90" s="48"/>
      <c r="N90" s="48"/>
      <c r="O90" s="48"/>
      <c r="P90" s="48"/>
      <c r="Q90" s="48"/>
      <c r="R90" s="48"/>
      <c r="S90" s="48"/>
      <c r="T90" s="48">
        <f>SUM(U90:W90)</f>
        <v>0</v>
      </c>
      <c r="U90" s="47"/>
      <c r="V90" s="48"/>
      <c r="W90" s="32"/>
      <c r="X90" s="32">
        <f>J90-T90</f>
        <v>1700</v>
      </c>
      <c r="Y90" s="32">
        <f>X90</f>
        <v>1700</v>
      </c>
      <c r="Z90" s="32"/>
      <c r="AA90" s="32"/>
      <c r="AB90" s="32">
        <f>SUM(Y90:AA90)</f>
        <v>1700</v>
      </c>
      <c r="AC90" s="32"/>
      <c r="AD90" s="48">
        <v>2800</v>
      </c>
      <c r="AE90" s="47"/>
      <c r="AF90" s="82">
        <f>AD90-AE90</f>
        <v>2800</v>
      </c>
      <c r="AG90" s="185"/>
      <c r="AH90" s="319">
        <f>AD90</f>
        <v>2800</v>
      </c>
      <c r="AI90" s="319">
        <v>1100</v>
      </c>
      <c r="AJ90" s="319">
        <f>AH90-AI90</f>
        <v>1700</v>
      </c>
      <c r="AK90" s="319"/>
      <c r="AL90" s="179" t="s">
        <v>473</v>
      </c>
      <c r="AM90" s="179" t="s">
        <v>461</v>
      </c>
      <c r="AN90" s="58">
        <f>Y90</f>
        <v>1700</v>
      </c>
      <c r="AO90" s="58"/>
      <c r="AP90" s="58"/>
      <c r="AQ90" s="58"/>
    </row>
    <row r="91" spans="1:43" s="179" customFormat="1" ht="39.75" customHeight="1">
      <c r="A91" s="185"/>
      <c r="B91" s="314" t="s">
        <v>189</v>
      </c>
      <c r="C91" s="185"/>
      <c r="D91" s="185"/>
      <c r="E91" s="185"/>
      <c r="F91" s="185"/>
      <c r="G91" s="185"/>
      <c r="H91" s="47">
        <f>SUM(H92:H93)</f>
        <v>16402</v>
      </c>
      <c r="I91" s="47">
        <f t="shared" ref="I91:AF91" si="48">SUM(I92:I93)</f>
        <v>4300</v>
      </c>
      <c r="J91" s="47">
        <f t="shared" si="48"/>
        <v>0</v>
      </c>
      <c r="K91" s="47">
        <f t="shared" si="48"/>
        <v>0</v>
      </c>
      <c r="L91" s="47">
        <f t="shared" si="48"/>
        <v>0</v>
      </c>
      <c r="M91" s="47">
        <f t="shared" si="48"/>
        <v>0</v>
      </c>
      <c r="N91" s="47">
        <f t="shared" si="48"/>
        <v>0</v>
      </c>
      <c r="O91" s="47">
        <f t="shared" si="48"/>
        <v>0</v>
      </c>
      <c r="P91" s="47">
        <f t="shared" si="48"/>
        <v>0</v>
      </c>
      <c r="Q91" s="47">
        <f t="shared" si="48"/>
        <v>0</v>
      </c>
      <c r="R91" s="47">
        <f t="shared" si="48"/>
        <v>0</v>
      </c>
      <c r="S91" s="47">
        <f t="shared" si="48"/>
        <v>0</v>
      </c>
      <c r="T91" s="47">
        <f t="shared" si="48"/>
        <v>0</v>
      </c>
      <c r="U91" s="47">
        <f t="shared" si="48"/>
        <v>0</v>
      </c>
      <c r="V91" s="47">
        <f t="shared" si="48"/>
        <v>0</v>
      </c>
      <c r="W91" s="47">
        <f t="shared" si="48"/>
        <v>0</v>
      </c>
      <c r="X91" s="47">
        <f t="shared" si="48"/>
        <v>0</v>
      </c>
      <c r="Y91" s="47">
        <f>SUM(Y92:Y93)</f>
        <v>4300</v>
      </c>
      <c r="Z91" s="47">
        <f>SUM(Z92:Z93)</f>
        <v>0</v>
      </c>
      <c r="AA91" s="47">
        <f>SUM(AA92:AA93)</f>
        <v>0</v>
      </c>
      <c r="AB91" s="47">
        <f>SUM(AB92:AB93)</f>
        <v>4300</v>
      </c>
      <c r="AC91" s="47"/>
      <c r="AD91" s="47">
        <f t="shared" si="48"/>
        <v>0</v>
      </c>
      <c r="AE91" s="47">
        <f t="shared" si="48"/>
        <v>0</v>
      </c>
      <c r="AF91" s="47">
        <f t="shared" si="48"/>
        <v>0</v>
      </c>
      <c r="AG91" s="231"/>
    </row>
    <row r="92" spans="1:43" s="179" customFormat="1" ht="57.75" customHeight="1">
      <c r="A92" s="185">
        <v>1</v>
      </c>
      <c r="B92" s="36" t="s">
        <v>207</v>
      </c>
      <c r="C92" s="23" t="s">
        <v>189</v>
      </c>
      <c r="D92" s="34" t="s">
        <v>19</v>
      </c>
      <c r="E92" s="23" t="s">
        <v>208</v>
      </c>
      <c r="F92" s="23" t="s">
        <v>36</v>
      </c>
      <c r="G92" s="91" t="s">
        <v>1169</v>
      </c>
      <c r="H92" s="49">
        <v>11008</v>
      </c>
      <c r="I92" s="46">
        <v>2800</v>
      </c>
      <c r="J92" s="48"/>
      <c r="K92" s="48"/>
      <c r="L92" s="48"/>
      <c r="M92" s="48"/>
      <c r="N92" s="48"/>
      <c r="O92" s="48"/>
      <c r="P92" s="48"/>
      <c r="Q92" s="48"/>
      <c r="R92" s="48"/>
      <c r="S92" s="48"/>
      <c r="T92" s="48"/>
      <c r="U92" s="47"/>
      <c r="V92" s="48"/>
      <c r="W92" s="32"/>
      <c r="X92" s="32"/>
      <c r="Y92" s="32">
        <v>2800</v>
      </c>
      <c r="Z92" s="32"/>
      <c r="AA92" s="32"/>
      <c r="AB92" s="32">
        <f>SUM(Y92:AA92)</f>
        <v>2800</v>
      </c>
      <c r="AC92" s="32"/>
      <c r="AD92" s="48"/>
      <c r="AE92" s="47"/>
      <c r="AF92" s="82"/>
      <c r="AG92" s="185"/>
      <c r="AH92" s="319"/>
      <c r="AI92" s="319"/>
      <c r="AJ92" s="319"/>
      <c r="AK92" s="319"/>
      <c r="AN92" s="58"/>
      <c r="AO92" s="58"/>
      <c r="AP92" s="58"/>
      <c r="AQ92" s="58"/>
    </row>
    <row r="93" spans="1:43" s="179" customFormat="1" ht="57.75" customHeight="1">
      <c r="A93" s="185">
        <v>2</v>
      </c>
      <c r="B93" s="36" t="s">
        <v>209</v>
      </c>
      <c r="C93" s="23" t="s">
        <v>189</v>
      </c>
      <c r="D93" s="34" t="s">
        <v>19</v>
      </c>
      <c r="E93" s="23" t="s">
        <v>177</v>
      </c>
      <c r="F93" s="23" t="s">
        <v>36</v>
      </c>
      <c r="G93" s="91" t="s">
        <v>1170</v>
      </c>
      <c r="H93" s="49">
        <v>5394</v>
      </c>
      <c r="I93" s="46">
        <v>1500</v>
      </c>
      <c r="J93" s="48"/>
      <c r="K93" s="48"/>
      <c r="L93" s="48"/>
      <c r="M93" s="48"/>
      <c r="N93" s="48"/>
      <c r="O93" s="48"/>
      <c r="P93" s="48"/>
      <c r="Q93" s="48"/>
      <c r="R93" s="48"/>
      <c r="S93" s="48"/>
      <c r="T93" s="48"/>
      <c r="U93" s="47"/>
      <c r="V93" s="48"/>
      <c r="W93" s="32"/>
      <c r="X93" s="32"/>
      <c r="Y93" s="32">
        <v>1500</v>
      </c>
      <c r="Z93" s="32"/>
      <c r="AA93" s="32"/>
      <c r="AB93" s="32">
        <f>SUM(Y93:AA93)</f>
        <v>1500</v>
      </c>
      <c r="AC93" s="32"/>
      <c r="AD93" s="48"/>
      <c r="AE93" s="47"/>
      <c r="AF93" s="82"/>
      <c r="AG93" s="185"/>
      <c r="AH93" s="319"/>
      <c r="AI93" s="319"/>
      <c r="AJ93" s="319"/>
      <c r="AK93" s="319"/>
      <c r="AN93" s="58"/>
      <c r="AO93" s="58"/>
      <c r="AP93" s="58"/>
      <c r="AQ93" s="58"/>
    </row>
    <row r="94" spans="1:43" s="179" customFormat="1" ht="48.75" customHeight="1">
      <c r="A94" s="336" t="s">
        <v>481</v>
      </c>
      <c r="B94" s="314" t="s">
        <v>210</v>
      </c>
      <c r="C94" s="185"/>
      <c r="D94" s="185"/>
      <c r="E94" s="185"/>
      <c r="F94" s="185"/>
      <c r="G94" s="185"/>
      <c r="H94" s="47">
        <f t="shared" ref="H94:Y94" si="49">SUM(H95,H99,H107)</f>
        <v>147014</v>
      </c>
      <c r="I94" s="47">
        <f t="shared" si="49"/>
        <v>69900</v>
      </c>
      <c r="J94" s="47">
        <f t="shared" si="49"/>
        <v>15700</v>
      </c>
      <c r="K94" s="47">
        <f t="shared" si="49"/>
        <v>9400</v>
      </c>
      <c r="L94" s="47">
        <f t="shared" si="49"/>
        <v>0</v>
      </c>
      <c r="M94" s="47">
        <f t="shared" si="49"/>
        <v>0</v>
      </c>
      <c r="N94" s="47">
        <f t="shared" si="49"/>
        <v>0</v>
      </c>
      <c r="O94" s="47">
        <f t="shared" si="49"/>
        <v>0</v>
      </c>
      <c r="P94" s="47">
        <f t="shared" si="49"/>
        <v>6300</v>
      </c>
      <c r="Q94" s="47">
        <f t="shared" si="49"/>
        <v>0</v>
      </c>
      <c r="R94" s="47">
        <f t="shared" si="49"/>
        <v>0</v>
      </c>
      <c r="S94" s="47">
        <f t="shared" si="49"/>
        <v>0</v>
      </c>
      <c r="T94" s="47">
        <f t="shared" si="49"/>
        <v>0</v>
      </c>
      <c r="U94" s="47">
        <f t="shared" si="49"/>
        <v>0</v>
      </c>
      <c r="V94" s="47">
        <f t="shared" si="49"/>
        <v>0</v>
      </c>
      <c r="W94" s="47">
        <f t="shared" si="49"/>
        <v>0</v>
      </c>
      <c r="X94" s="47">
        <f t="shared" si="49"/>
        <v>15700</v>
      </c>
      <c r="Y94" s="47">
        <f t="shared" si="49"/>
        <v>42800</v>
      </c>
      <c r="Z94" s="47">
        <f>SUM(Z95,Z99,Z107)</f>
        <v>0</v>
      </c>
      <c r="AA94" s="391">
        <f>SUM(AA95,AA99,AA107)</f>
        <v>-800</v>
      </c>
      <c r="AB94" s="47">
        <f>SUM(AB95,AB99,AB107)</f>
        <v>42000</v>
      </c>
      <c r="AC94" s="47"/>
      <c r="AD94" s="47" t="e">
        <f>SUM(AD95,AD99,AD107)</f>
        <v>#REF!</v>
      </c>
      <c r="AE94" s="47" t="e">
        <f>SUM(AE95,AE99,AE107)</f>
        <v>#REF!</v>
      </c>
      <c r="AF94" s="47" t="e">
        <f>SUM(AF95,AF99,AF107)</f>
        <v>#REF!</v>
      </c>
      <c r="AG94" s="231"/>
    </row>
    <row r="95" spans="1:43" s="318" customFormat="1" ht="39.75" customHeight="1">
      <c r="A95" s="315" t="s">
        <v>17</v>
      </c>
      <c r="B95" s="316" t="s">
        <v>64</v>
      </c>
      <c r="C95" s="315"/>
      <c r="D95" s="315"/>
      <c r="E95" s="315"/>
      <c r="F95" s="315"/>
      <c r="G95" s="315"/>
      <c r="H95" s="76">
        <f>SUM(H96)</f>
        <v>56143</v>
      </c>
      <c r="I95" s="76">
        <f t="shared" ref="I95:X95" si="50">SUM(I96)</f>
        <v>21500</v>
      </c>
      <c r="J95" s="76">
        <f t="shared" si="50"/>
        <v>6600</v>
      </c>
      <c r="K95" s="76">
        <f t="shared" si="50"/>
        <v>6600</v>
      </c>
      <c r="L95" s="76">
        <f t="shared" si="50"/>
        <v>0</v>
      </c>
      <c r="M95" s="76">
        <f t="shared" si="50"/>
        <v>0</v>
      </c>
      <c r="N95" s="76">
        <f t="shared" si="50"/>
        <v>0</v>
      </c>
      <c r="O95" s="76">
        <f t="shared" si="50"/>
        <v>0</v>
      </c>
      <c r="P95" s="76">
        <f t="shared" si="50"/>
        <v>0</v>
      </c>
      <c r="Q95" s="76">
        <f t="shared" si="50"/>
        <v>0</v>
      </c>
      <c r="R95" s="76">
        <f t="shared" si="50"/>
        <v>0</v>
      </c>
      <c r="S95" s="76">
        <f t="shared" si="50"/>
        <v>0</v>
      </c>
      <c r="T95" s="76">
        <f t="shared" si="50"/>
        <v>0</v>
      </c>
      <c r="U95" s="76">
        <f t="shared" si="50"/>
        <v>0</v>
      </c>
      <c r="V95" s="76">
        <f t="shared" si="50"/>
        <v>0</v>
      </c>
      <c r="W95" s="76">
        <f t="shared" si="50"/>
        <v>0</v>
      </c>
      <c r="X95" s="76">
        <f t="shared" si="50"/>
        <v>6600</v>
      </c>
      <c r="Y95" s="76">
        <f>SUM(Y96)</f>
        <v>12600</v>
      </c>
      <c r="Z95" s="76">
        <f>SUM(Z96)</f>
        <v>0</v>
      </c>
      <c r="AA95" s="76">
        <f>SUM(AA96)</f>
        <v>0</v>
      </c>
      <c r="AB95" s="76">
        <f>SUM(AB96)</f>
        <v>12600</v>
      </c>
      <c r="AC95" s="76"/>
      <c r="AD95" s="76" t="e">
        <f>SUM(#REF!,#REF!,#REF!,#REF!,#REF!,AD96)</f>
        <v>#REF!</v>
      </c>
      <c r="AE95" s="76" t="e">
        <f>SUM(#REF!,#REF!,#REF!,#REF!,#REF!,AE96)</f>
        <v>#REF!</v>
      </c>
      <c r="AF95" s="76" t="e">
        <f>SUM(#REF!,#REF!,#REF!,#REF!,#REF!,AF96)</f>
        <v>#REF!</v>
      </c>
      <c r="AG95" s="317"/>
    </row>
    <row r="96" spans="1:43" s="179" customFormat="1" ht="39.75" customHeight="1">
      <c r="A96" s="185"/>
      <c r="B96" s="314" t="s">
        <v>216</v>
      </c>
      <c r="C96" s="185"/>
      <c r="D96" s="185"/>
      <c r="E96" s="185"/>
      <c r="F96" s="185"/>
      <c r="G96" s="185"/>
      <c r="H96" s="47">
        <f>SUM(H97:H98)</f>
        <v>56143</v>
      </c>
      <c r="I96" s="47">
        <f t="shared" ref="I96:AB96" si="51">SUM(I97:I98)</f>
        <v>21500</v>
      </c>
      <c r="J96" s="47">
        <f t="shared" si="51"/>
        <v>6600</v>
      </c>
      <c r="K96" s="47">
        <f t="shared" si="51"/>
        <v>6600</v>
      </c>
      <c r="L96" s="47">
        <f t="shared" si="51"/>
        <v>0</v>
      </c>
      <c r="M96" s="47">
        <f t="shared" si="51"/>
        <v>0</v>
      </c>
      <c r="N96" s="47">
        <f t="shared" si="51"/>
        <v>0</v>
      </c>
      <c r="O96" s="47">
        <f t="shared" si="51"/>
        <v>0</v>
      </c>
      <c r="P96" s="47">
        <f t="shared" si="51"/>
        <v>0</v>
      </c>
      <c r="Q96" s="47">
        <f t="shared" si="51"/>
        <v>0</v>
      </c>
      <c r="R96" s="47">
        <f t="shared" si="51"/>
        <v>0</v>
      </c>
      <c r="S96" s="47">
        <f t="shared" si="51"/>
        <v>0</v>
      </c>
      <c r="T96" s="47">
        <f t="shared" si="51"/>
        <v>0</v>
      </c>
      <c r="U96" s="47">
        <f t="shared" si="51"/>
        <v>0</v>
      </c>
      <c r="V96" s="47">
        <f t="shared" si="51"/>
        <v>0</v>
      </c>
      <c r="W96" s="47">
        <f t="shared" si="51"/>
        <v>0</v>
      </c>
      <c r="X96" s="47">
        <f t="shared" si="51"/>
        <v>6600</v>
      </c>
      <c r="Y96" s="47">
        <f t="shared" si="51"/>
        <v>12600</v>
      </c>
      <c r="Z96" s="47">
        <f t="shared" si="51"/>
        <v>0</v>
      </c>
      <c r="AA96" s="47">
        <f t="shared" si="51"/>
        <v>0</v>
      </c>
      <c r="AB96" s="47">
        <f t="shared" si="51"/>
        <v>12600</v>
      </c>
      <c r="AC96" s="47"/>
      <c r="AD96" s="47">
        <f>SUM(AD97:AD97)</f>
        <v>11000</v>
      </c>
      <c r="AE96" s="47">
        <f>SUM(AE97:AE97)</f>
        <v>0</v>
      </c>
      <c r="AF96" s="47">
        <f>SUM(AF97:AF97)</f>
        <v>11000</v>
      </c>
      <c r="AG96" s="231"/>
    </row>
    <row r="97" spans="1:43" s="179" customFormat="1" ht="82.5" customHeight="1">
      <c r="A97" s="185">
        <v>1</v>
      </c>
      <c r="B97" s="183" t="s">
        <v>219</v>
      </c>
      <c r="C97" s="28" t="s">
        <v>216</v>
      </c>
      <c r="D97" s="28" t="s">
        <v>19</v>
      </c>
      <c r="E97" s="28" t="s">
        <v>220</v>
      </c>
      <c r="F97" s="28" t="s">
        <v>36</v>
      </c>
      <c r="G97" s="91" t="s">
        <v>922</v>
      </c>
      <c r="H97" s="49">
        <v>31344</v>
      </c>
      <c r="I97" s="46">
        <v>11300</v>
      </c>
      <c r="J97" s="48">
        <f>SUM(K97,L97:S97)</f>
        <v>6600</v>
      </c>
      <c r="K97" s="48">
        <v>6600</v>
      </c>
      <c r="L97" s="48"/>
      <c r="M97" s="48"/>
      <c r="N97" s="48"/>
      <c r="O97" s="48"/>
      <c r="P97" s="48"/>
      <c r="Q97" s="48"/>
      <c r="R97" s="48"/>
      <c r="S97" s="48"/>
      <c r="T97" s="48">
        <f>SUM(U97:W97)</f>
        <v>0</v>
      </c>
      <c r="U97" s="47"/>
      <c r="V97" s="48"/>
      <c r="W97" s="32"/>
      <c r="X97" s="32">
        <f>J97-T97</f>
        <v>6600</v>
      </c>
      <c r="Y97" s="32">
        <f>X97</f>
        <v>6600</v>
      </c>
      <c r="Z97" s="32"/>
      <c r="AA97" s="32"/>
      <c r="AB97" s="32">
        <f>SUM(Y97:AA97)</f>
        <v>6600</v>
      </c>
      <c r="AC97" s="191"/>
      <c r="AD97" s="48">
        <v>11000</v>
      </c>
      <c r="AE97" s="47"/>
      <c r="AF97" s="82">
        <f>AD97-AE97</f>
        <v>11000</v>
      </c>
      <c r="AG97" s="185"/>
      <c r="AH97" s="319">
        <f>AD97</f>
        <v>11000</v>
      </c>
      <c r="AI97" s="319">
        <f>AH97/2.5</f>
        <v>4400</v>
      </c>
      <c r="AJ97" s="319">
        <f>AH97-AI97</f>
        <v>6600</v>
      </c>
      <c r="AK97" s="319"/>
      <c r="AL97" s="179" t="s">
        <v>473</v>
      </c>
      <c r="AM97" s="179" t="s">
        <v>474</v>
      </c>
      <c r="AN97" s="58">
        <f>Y97</f>
        <v>6600</v>
      </c>
      <c r="AO97" s="58" t="s">
        <v>629</v>
      </c>
      <c r="AP97" s="58"/>
      <c r="AQ97" s="58"/>
    </row>
    <row r="98" spans="1:43" s="179" customFormat="1" ht="82.5" customHeight="1">
      <c r="A98" s="185">
        <v>2</v>
      </c>
      <c r="B98" s="183" t="s">
        <v>217</v>
      </c>
      <c r="C98" s="28" t="s">
        <v>216</v>
      </c>
      <c r="D98" s="28" t="s">
        <v>19</v>
      </c>
      <c r="E98" s="28" t="s">
        <v>218</v>
      </c>
      <c r="F98" s="28" t="s">
        <v>36</v>
      </c>
      <c r="G98" s="91" t="s">
        <v>1163</v>
      </c>
      <c r="H98" s="49">
        <v>24799</v>
      </c>
      <c r="I98" s="46">
        <v>10200</v>
      </c>
      <c r="J98" s="48"/>
      <c r="K98" s="48"/>
      <c r="L98" s="48"/>
      <c r="M98" s="48"/>
      <c r="N98" s="48"/>
      <c r="O98" s="48"/>
      <c r="P98" s="48"/>
      <c r="Q98" s="48"/>
      <c r="R98" s="48"/>
      <c r="S98" s="48"/>
      <c r="T98" s="48"/>
      <c r="U98" s="47"/>
      <c r="V98" s="48"/>
      <c r="W98" s="32"/>
      <c r="X98" s="32"/>
      <c r="Y98" s="32">
        <v>6000</v>
      </c>
      <c r="Z98" s="32"/>
      <c r="AA98" s="32"/>
      <c r="AB98" s="32">
        <f>SUM(Y98:AA98)</f>
        <v>6000</v>
      </c>
      <c r="AC98" s="191"/>
      <c r="AD98" s="48"/>
      <c r="AE98" s="47"/>
      <c r="AF98" s="82"/>
      <c r="AG98" s="185"/>
      <c r="AH98" s="319"/>
      <c r="AI98" s="319"/>
      <c r="AJ98" s="319"/>
      <c r="AK98" s="319"/>
      <c r="AN98" s="58"/>
      <c r="AO98" s="58"/>
      <c r="AP98" s="58"/>
      <c r="AQ98" s="58"/>
    </row>
    <row r="99" spans="1:43" s="318" customFormat="1" ht="39.75" customHeight="1">
      <c r="A99" s="315" t="s">
        <v>25</v>
      </c>
      <c r="B99" s="316" t="s">
        <v>169</v>
      </c>
      <c r="C99" s="315"/>
      <c r="D99" s="315"/>
      <c r="E99" s="315"/>
      <c r="F99" s="315"/>
      <c r="G99" s="315"/>
      <c r="H99" s="76">
        <f>SUM(H100,H102,H104)</f>
        <v>78653</v>
      </c>
      <c r="I99" s="76">
        <f t="shared" ref="I99:AB99" si="52">SUM(I100,I102,I104)</f>
        <v>41800</v>
      </c>
      <c r="J99" s="76">
        <f t="shared" si="52"/>
        <v>6300</v>
      </c>
      <c r="K99" s="76">
        <f t="shared" si="52"/>
        <v>0</v>
      </c>
      <c r="L99" s="76">
        <f t="shared" si="52"/>
        <v>0</v>
      </c>
      <c r="M99" s="76">
        <f t="shared" si="52"/>
        <v>0</v>
      </c>
      <c r="N99" s="76">
        <f t="shared" si="52"/>
        <v>0</v>
      </c>
      <c r="O99" s="76">
        <f t="shared" si="52"/>
        <v>0</v>
      </c>
      <c r="P99" s="76">
        <f t="shared" si="52"/>
        <v>6300</v>
      </c>
      <c r="Q99" s="76">
        <f t="shared" si="52"/>
        <v>0</v>
      </c>
      <c r="R99" s="76">
        <f t="shared" si="52"/>
        <v>0</v>
      </c>
      <c r="S99" s="76">
        <f t="shared" si="52"/>
        <v>0</v>
      </c>
      <c r="T99" s="76">
        <f t="shared" si="52"/>
        <v>0</v>
      </c>
      <c r="U99" s="76">
        <f t="shared" si="52"/>
        <v>0</v>
      </c>
      <c r="V99" s="76">
        <f t="shared" si="52"/>
        <v>0</v>
      </c>
      <c r="W99" s="76">
        <f t="shared" si="52"/>
        <v>0</v>
      </c>
      <c r="X99" s="76">
        <f t="shared" si="52"/>
        <v>6300</v>
      </c>
      <c r="Y99" s="76">
        <f t="shared" si="52"/>
        <v>25600</v>
      </c>
      <c r="Z99" s="76">
        <f t="shared" si="52"/>
        <v>0</v>
      </c>
      <c r="AA99" s="76">
        <f t="shared" si="52"/>
        <v>0</v>
      </c>
      <c r="AB99" s="76">
        <f t="shared" si="52"/>
        <v>25600</v>
      </c>
      <c r="AC99" s="76"/>
      <c r="AD99" s="76" t="e">
        <f>SUM(#REF!,#REF!,#REF!,#REF!,#REF!,#REF!,#REF!)</f>
        <v>#REF!</v>
      </c>
      <c r="AE99" s="76" t="e">
        <f>SUM(#REF!,#REF!,#REF!,#REF!,#REF!,#REF!,#REF!)</f>
        <v>#REF!</v>
      </c>
      <c r="AF99" s="76" t="e">
        <f>SUM(#REF!,#REF!,#REF!,#REF!,#REF!,#REF!,#REF!)</f>
        <v>#REF!</v>
      </c>
      <c r="AG99" s="317"/>
    </row>
    <row r="100" spans="1:43" s="179" customFormat="1" ht="39.75" customHeight="1">
      <c r="A100" s="185"/>
      <c r="B100" s="314" t="s">
        <v>279</v>
      </c>
      <c r="C100" s="185"/>
      <c r="D100" s="185"/>
      <c r="E100" s="185"/>
      <c r="F100" s="185"/>
      <c r="G100" s="185"/>
      <c r="H100" s="47">
        <f>SUM(H101)</f>
        <v>14998</v>
      </c>
      <c r="I100" s="47">
        <f t="shared" ref="I100:X100" si="53">SUM(I101)</f>
        <v>12500</v>
      </c>
      <c r="J100" s="47">
        <f t="shared" si="53"/>
        <v>6300</v>
      </c>
      <c r="K100" s="47">
        <f t="shared" si="53"/>
        <v>0</v>
      </c>
      <c r="L100" s="47">
        <f t="shared" si="53"/>
        <v>0</v>
      </c>
      <c r="M100" s="47">
        <f t="shared" si="53"/>
        <v>0</v>
      </c>
      <c r="N100" s="47">
        <f t="shared" si="53"/>
        <v>0</v>
      </c>
      <c r="O100" s="47">
        <f t="shared" si="53"/>
        <v>0</v>
      </c>
      <c r="P100" s="47">
        <f t="shared" si="53"/>
        <v>6300</v>
      </c>
      <c r="Q100" s="47">
        <f t="shared" si="53"/>
        <v>0</v>
      </c>
      <c r="R100" s="47">
        <f t="shared" si="53"/>
        <v>0</v>
      </c>
      <c r="S100" s="47">
        <f t="shared" si="53"/>
        <v>0</v>
      </c>
      <c r="T100" s="47">
        <f t="shared" si="53"/>
        <v>0</v>
      </c>
      <c r="U100" s="47">
        <f t="shared" si="53"/>
        <v>0</v>
      </c>
      <c r="V100" s="47">
        <f t="shared" si="53"/>
        <v>0</v>
      </c>
      <c r="W100" s="47">
        <f t="shared" si="53"/>
        <v>0</v>
      </c>
      <c r="X100" s="47">
        <f t="shared" si="53"/>
        <v>6300</v>
      </c>
      <c r="Y100" s="47">
        <f>SUM(Y101)</f>
        <v>6300</v>
      </c>
      <c r="Z100" s="47">
        <f>SUM(Z101)</f>
        <v>0</v>
      </c>
      <c r="AA100" s="47">
        <f>SUM(AA101)</f>
        <v>0</v>
      </c>
      <c r="AB100" s="47">
        <f>SUM(AB101)</f>
        <v>6300</v>
      </c>
      <c r="AC100" s="47"/>
      <c r="AD100" s="47"/>
      <c r="AE100" s="47"/>
      <c r="AF100" s="47"/>
      <c r="AG100" s="231"/>
    </row>
    <row r="101" spans="1:43" s="179" customFormat="1" ht="57.75" customHeight="1">
      <c r="A101" s="185">
        <v>1</v>
      </c>
      <c r="B101" s="183" t="s">
        <v>587</v>
      </c>
      <c r="C101" s="28" t="s">
        <v>279</v>
      </c>
      <c r="D101" s="28" t="s">
        <v>19</v>
      </c>
      <c r="E101" s="28" t="s">
        <v>588</v>
      </c>
      <c r="F101" s="28" t="s">
        <v>36</v>
      </c>
      <c r="G101" s="91" t="s">
        <v>967</v>
      </c>
      <c r="H101" s="49">
        <v>14998</v>
      </c>
      <c r="I101" s="46">
        <v>12500</v>
      </c>
      <c r="J101" s="48">
        <f>SUM(K101,L101:S101)</f>
        <v>6300</v>
      </c>
      <c r="K101" s="48"/>
      <c r="L101" s="48"/>
      <c r="M101" s="48"/>
      <c r="N101" s="48"/>
      <c r="O101" s="48"/>
      <c r="P101" s="48">
        <v>6300</v>
      </c>
      <c r="Q101" s="48"/>
      <c r="R101" s="48"/>
      <c r="S101" s="48"/>
      <c r="T101" s="48">
        <f>SUM(U101:W101)</f>
        <v>0</v>
      </c>
      <c r="U101" s="47"/>
      <c r="V101" s="48"/>
      <c r="W101" s="32"/>
      <c r="X101" s="32">
        <f>J101-T101</f>
        <v>6300</v>
      </c>
      <c r="Y101" s="32">
        <f>X101</f>
        <v>6300</v>
      </c>
      <c r="Z101" s="32"/>
      <c r="AA101" s="32"/>
      <c r="AB101" s="32">
        <f>SUM(Y101:AA101)</f>
        <v>6300</v>
      </c>
      <c r="AC101" s="47"/>
      <c r="AD101" s="48"/>
      <c r="AE101" s="47"/>
      <c r="AF101" s="82"/>
      <c r="AG101" s="185"/>
      <c r="AH101" s="319"/>
      <c r="AI101" s="319"/>
      <c r="AJ101" s="319"/>
      <c r="AK101" s="319"/>
      <c r="AL101" s="179" t="s">
        <v>473</v>
      </c>
      <c r="AM101" s="179" t="s">
        <v>459</v>
      </c>
      <c r="AN101" s="58">
        <f>Y101</f>
        <v>6300</v>
      </c>
      <c r="AO101" s="58"/>
      <c r="AP101" s="58"/>
      <c r="AQ101" s="58"/>
    </row>
    <row r="102" spans="1:43" s="179" customFormat="1" ht="39.75" customHeight="1">
      <c r="A102" s="185"/>
      <c r="B102" s="314" t="s">
        <v>211</v>
      </c>
      <c r="C102" s="185"/>
      <c r="D102" s="185"/>
      <c r="E102" s="185"/>
      <c r="F102" s="185"/>
      <c r="G102" s="185"/>
      <c r="H102" s="47">
        <f>SUM(H103)</f>
        <v>6883</v>
      </c>
      <c r="I102" s="47">
        <f t="shared" ref="I102:AB102" si="54">SUM(I103)</f>
        <v>3200</v>
      </c>
      <c r="J102" s="47">
        <f t="shared" si="54"/>
        <v>0</v>
      </c>
      <c r="K102" s="47">
        <f t="shared" si="54"/>
        <v>0</v>
      </c>
      <c r="L102" s="47">
        <f t="shared" si="54"/>
        <v>0</v>
      </c>
      <c r="M102" s="47">
        <f t="shared" si="54"/>
        <v>0</v>
      </c>
      <c r="N102" s="47">
        <f t="shared" si="54"/>
        <v>0</v>
      </c>
      <c r="O102" s="47">
        <f t="shared" si="54"/>
        <v>0</v>
      </c>
      <c r="P102" s="47">
        <f t="shared" si="54"/>
        <v>0</v>
      </c>
      <c r="Q102" s="47">
        <f t="shared" si="54"/>
        <v>0</v>
      </c>
      <c r="R102" s="47">
        <f t="shared" si="54"/>
        <v>0</v>
      </c>
      <c r="S102" s="47">
        <f t="shared" si="54"/>
        <v>0</v>
      </c>
      <c r="T102" s="47">
        <f t="shared" si="54"/>
        <v>0</v>
      </c>
      <c r="U102" s="47">
        <f t="shared" si="54"/>
        <v>0</v>
      </c>
      <c r="V102" s="47">
        <f t="shared" si="54"/>
        <v>0</v>
      </c>
      <c r="W102" s="47">
        <f t="shared" si="54"/>
        <v>0</v>
      </c>
      <c r="X102" s="47">
        <f t="shared" si="54"/>
        <v>0</v>
      </c>
      <c r="Y102" s="47">
        <f t="shared" si="54"/>
        <v>3200</v>
      </c>
      <c r="Z102" s="47">
        <f t="shared" si="54"/>
        <v>0</v>
      </c>
      <c r="AA102" s="47">
        <f t="shared" si="54"/>
        <v>0</v>
      </c>
      <c r="AB102" s="47">
        <f t="shared" si="54"/>
        <v>3200</v>
      </c>
      <c r="AC102" s="47"/>
      <c r="AD102" s="47"/>
      <c r="AE102" s="47"/>
      <c r="AF102" s="47"/>
      <c r="AG102" s="231"/>
    </row>
    <row r="103" spans="1:43" s="179" customFormat="1" ht="57.75" customHeight="1">
      <c r="A103" s="185">
        <v>1</v>
      </c>
      <c r="B103" s="183" t="s">
        <v>222</v>
      </c>
      <c r="C103" s="28" t="s">
        <v>211</v>
      </c>
      <c r="D103" s="28" t="s">
        <v>19</v>
      </c>
      <c r="E103" s="28" t="s">
        <v>223</v>
      </c>
      <c r="F103" s="28" t="s">
        <v>36</v>
      </c>
      <c r="G103" s="91" t="s">
        <v>1164</v>
      </c>
      <c r="H103" s="49">
        <v>6883</v>
      </c>
      <c r="I103" s="46">
        <v>3200</v>
      </c>
      <c r="J103" s="48"/>
      <c r="K103" s="48"/>
      <c r="L103" s="48"/>
      <c r="M103" s="48"/>
      <c r="N103" s="48"/>
      <c r="O103" s="48"/>
      <c r="P103" s="48"/>
      <c r="Q103" s="48"/>
      <c r="R103" s="48"/>
      <c r="S103" s="48"/>
      <c r="T103" s="48"/>
      <c r="U103" s="47"/>
      <c r="V103" s="48"/>
      <c r="W103" s="32"/>
      <c r="X103" s="32"/>
      <c r="Y103" s="32">
        <v>3200</v>
      </c>
      <c r="Z103" s="32"/>
      <c r="AA103" s="32"/>
      <c r="AB103" s="32">
        <f>SUM(Y103:AA103)</f>
        <v>3200</v>
      </c>
      <c r="AC103" s="47"/>
      <c r="AD103" s="48"/>
      <c r="AE103" s="47"/>
      <c r="AF103" s="82"/>
      <c r="AG103" s="185"/>
      <c r="AH103" s="319"/>
      <c r="AI103" s="319"/>
      <c r="AJ103" s="319"/>
      <c r="AK103" s="319"/>
      <c r="AN103" s="58"/>
      <c r="AO103" s="58"/>
      <c r="AP103" s="58"/>
      <c r="AQ103" s="58"/>
    </row>
    <row r="104" spans="1:43" s="179" customFormat="1" ht="39.75" customHeight="1">
      <c r="A104" s="185"/>
      <c r="B104" s="314" t="s">
        <v>216</v>
      </c>
      <c r="C104" s="185"/>
      <c r="D104" s="185"/>
      <c r="E104" s="185"/>
      <c r="F104" s="185"/>
      <c r="G104" s="185"/>
      <c r="H104" s="47">
        <f>SUM(H105:H106)</f>
        <v>56772</v>
      </c>
      <c r="I104" s="47">
        <f t="shared" ref="I104:AB104" si="55">SUM(I105:I106)</f>
        <v>26100</v>
      </c>
      <c r="J104" s="47">
        <f t="shared" si="55"/>
        <v>0</v>
      </c>
      <c r="K104" s="47">
        <f t="shared" si="55"/>
        <v>0</v>
      </c>
      <c r="L104" s="47">
        <f t="shared" si="55"/>
        <v>0</v>
      </c>
      <c r="M104" s="47">
        <f t="shared" si="55"/>
        <v>0</v>
      </c>
      <c r="N104" s="47">
        <f t="shared" si="55"/>
        <v>0</v>
      </c>
      <c r="O104" s="47">
        <f t="shared" si="55"/>
        <v>0</v>
      </c>
      <c r="P104" s="47">
        <f t="shared" si="55"/>
        <v>0</v>
      </c>
      <c r="Q104" s="47">
        <f t="shared" si="55"/>
        <v>0</v>
      </c>
      <c r="R104" s="47">
        <f t="shared" si="55"/>
        <v>0</v>
      </c>
      <c r="S104" s="47">
        <f t="shared" si="55"/>
        <v>0</v>
      </c>
      <c r="T104" s="47">
        <f t="shared" si="55"/>
        <v>0</v>
      </c>
      <c r="U104" s="47">
        <f t="shared" si="55"/>
        <v>0</v>
      </c>
      <c r="V104" s="47">
        <f t="shared" si="55"/>
        <v>0</v>
      </c>
      <c r="W104" s="47">
        <f t="shared" si="55"/>
        <v>0</v>
      </c>
      <c r="X104" s="47">
        <f t="shared" si="55"/>
        <v>0</v>
      </c>
      <c r="Y104" s="47">
        <f t="shared" si="55"/>
        <v>16100</v>
      </c>
      <c r="Z104" s="47">
        <f t="shared" si="55"/>
        <v>0</v>
      </c>
      <c r="AA104" s="47">
        <f t="shared" si="55"/>
        <v>0</v>
      </c>
      <c r="AB104" s="47">
        <f t="shared" si="55"/>
        <v>16100</v>
      </c>
      <c r="AC104" s="47"/>
      <c r="AD104" s="47"/>
      <c r="AE104" s="47"/>
      <c r="AF104" s="47"/>
      <c r="AG104" s="231"/>
    </row>
    <row r="105" spans="1:43" s="179" customFormat="1" ht="57.75" customHeight="1">
      <c r="A105" s="185">
        <v>1</v>
      </c>
      <c r="B105" s="183" t="s">
        <v>227</v>
      </c>
      <c r="C105" s="28" t="s">
        <v>216</v>
      </c>
      <c r="D105" s="28" t="s">
        <v>19</v>
      </c>
      <c r="E105" s="28" t="s">
        <v>228</v>
      </c>
      <c r="F105" s="28" t="s">
        <v>36</v>
      </c>
      <c r="G105" s="91" t="s">
        <v>1165</v>
      </c>
      <c r="H105" s="49">
        <v>13171</v>
      </c>
      <c r="I105" s="46">
        <v>7500</v>
      </c>
      <c r="J105" s="48"/>
      <c r="K105" s="48"/>
      <c r="L105" s="48"/>
      <c r="M105" s="48"/>
      <c r="N105" s="48"/>
      <c r="O105" s="48"/>
      <c r="P105" s="48"/>
      <c r="Q105" s="48"/>
      <c r="R105" s="48"/>
      <c r="S105" s="48"/>
      <c r="T105" s="48"/>
      <c r="U105" s="47"/>
      <c r="V105" s="48"/>
      <c r="W105" s="32"/>
      <c r="X105" s="32"/>
      <c r="Y105" s="32">
        <v>7500</v>
      </c>
      <c r="Z105" s="32"/>
      <c r="AA105" s="32"/>
      <c r="AB105" s="32">
        <f>SUM(Y105:AA105)</f>
        <v>7500</v>
      </c>
      <c r="AC105" s="47"/>
      <c r="AD105" s="48"/>
      <c r="AE105" s="47"/>
      <c r="AF105" s="82"/>
      <c r="AG105" s="185"/>
      <c r="AH105" s="319"/>
      <c r="AI105" s="319"/>
      <c r="AJ105" s="319"/>
      <c r="AK105" s="319"/>
      <c r="AN105" s="58"/>
      <c r="AO105" s="58"/>
      <c r="AP105" s="58"/>
      <c r="AQ105" s="58"/>
    </row>
    <row r="106" spans="1:43" s="179" customFormat="1" ht="57.75" customHeight="1">
      <c r="A106" s="185">
        <v>2</v>
      </c>
      <c r="B106" s="183" t="s">
        <v>230</v>
      </c>
      <c r="C106" s="28" t="s">
        <v>216</v>
      </c>
      <c r="D106" s="28" t="s">
        <v>19</v>
      </c>
      <c r="E106" s="28" t="s">
        <v>231</v>
      </c>
      <c r="F106" s="28" t="s">
        <v>36</v>
      </c>
      <c r="G106" s="91" t="s">
        <v>1166</v>
      </c>
      <c r="H106" s="49">
        <v>43601</v>
      </c>
      <c r="I106" s="46">
        <v>18600</v>
      </c>
      <c r="J106" s="48"/>
      <c r="K106" s="48"/>
      <c r="L106" s="48"/>
      <c r="M106" s="48"/>
      <c r="N106" s="48"/>
      <c r="O106" s="48"/>
      <c r="P106" s="48"/>
      <c r="Q106" s="48"/>
      <c r="R106" s="48"/>
      <c r="S106" s="48"/>
      <c r="T106" s="48"/>
      <c r="U106" s="47"/>
      <c r="V106" s="48"/>
      <c r="W106" s="32"/>
      <c r="X106" s="32"/>
      <c r="Y106" s="32">
        <v>8600</v>
      </c>
      <c r="Z106" s="32"/>
      <c r="AA106" s="32"/>
      <c r="AB106" s="32">
        <f>SUM(Y106:AA106)</f>
        <v>8600</v>
      </c>
      <c r="AC106" s="47"/>
      <c r="AD106" s="48"/>
      <c r="AE106" s="47"/>
      <c r="AF106" s="82"/>
      <c r="AG106" s="185"/>
      <c r="AH106" s="319"/>
      <c r="AI106" s="319"/>
      <c r="AJ106" s="319"/>
      <c r="AK106" s="319"/>
      <c r="AN106" s="58"/>
      <c r="AO106" s="58"/>
      <c r="AP106" s="58"/>
      <c r="AQ106" s="58"/>
    </row>
    <row r="107" spans="1:43" s="318" customFormat="1" ht="39.75" customHeight="1">
      <c r="A107" s="315" t="s">
        <v>30</v>
      </c>
      <c r="B107" s="316" t="s">
        <v>65</v>
      </c>
      <c r="C107" s="315"/>
      <c r="D107" s="315"/>
      <c r="E107" s="315"/>
      <c r="F107" s="315"/>
      <c r="G107" s="315"/>
      <c r="H107" s="76">
        <f>SUM(H108,H111)</f>
        <v>12218</v>
      </c>
      <c r="I107" s="76">
        <f t="shared" ref="I107:X107" si="56">SUM(I108,I111)</f>
        <v>6600</v>
      </c>
      <c r="J107" s="76">
        <f t="shared" si="56"/>
        <v>2800</v>
      </c>
      <c r="K107" s="76">
        <f t="shared" si="56"/>
        <v>2800</v>
      </c>
      <c r="L107" s="76">
        <f t="shared" si="56"/>
        <v>0</v>
      </c>
      <c r="M107" s="76">
        <f t="shared" si="56"/>
        <v>0</v>
      </c>
      <c r="N107" s="76">
        <f t="shared" si="56"/>
        <v>0</v>
      </c>
      <c r="O107" s="76">
        <f t="shared" si="56"/>
        <v>0</v>
      </c>
      <c r="P107" s="76">
        <f t="shared" si="56"/>
        <v>0</v>
      </c>
      <c r="Q107" s="76">
        <f t="shared" si="56"/>
        <v>0</v>
      </c>
      <c r="R107" s="76">
        <f t="shared" si="56"/>
        <v>0</v>
      </c>
      <c r="S107" s="76">
        <f t="shared" si="56"/>
        <v>0</v>
      </c>
      <c r="T107" s="76">
        <f t="shared" si="56"/>
        <v>0</v>
      </c>
      <c r="U107" s="76">
        <f t="shared" si="56"/>
        <v>0</v>
      </c>
      <c r="V107" s="76">
        <f t="shared" si="56"/>
        <v>0</v>
      </c>
      <c r="W107" s="76">
        <f t="shared" si="56"/>
        <v>0</v>
      </c>
      <c r="X107" s="76">
        <f t="shared" si="56"/>
        <v>2800</v>
      </c>
      <c r="Y107" s="76">
        <f>SUM(Y108,Y111)</f>
        <v>4600</v>
      </c>
      <c r="Z107" s="76">
        <f>SUM(Z108,Z111)</f>
        <v>0</v>
      </c>
      <c r="AA107" s="390">
        <f>SUM(AA108,AA111)</f>
        <v>-800</v>
      </c>
      <c r="AB107" s="76">
        <f>SUM(AB108,AB111)</f>
        <v>3800</v>
      </c>
      <c r="AC107" s="76"/>
      <c r="AD107" s="76" t="e">
        <f>SUM(#REF!,#REF!,#REF!,#REF!,AD108,#REF!,#REF!)</f>
        <v>#REF!</v>
      </c>
      <c r="AE107" s="76" t="e">
        <f>SUM(#REF!,#REF!,#REF!,#REF!,AE108,#REF!,#REF!)</f>
        <v>#REF!</v>
      </c>
      <c r="AF107" s="76" t="e">
        <f>SUM(#REF!,#REF!,#REF!,#REF!,AF108,#REF!,#REF!)</f>
        <v>#REF!</v>
      </c>
      <c r="AG107" s="317"/>
    </row>
    <row r="108" spans="1:43" s="179" customFormat="1" ht="39.75" customHeight="1">
      <c r="A108" s="185"/>
      <c r="B108" s="314" t="s">
        <v>215</v>
      </c>
      <c r="C108" s="185"/>
      <c r="D108" s="185"/>
      <c r="E108" s="185"/>
      <c r="F108" s="185"/>
      <c r="G108" s="185"/>
      <c r="H108" s="47">
        <f>SUM(H109:H110)</f>
        <v>5520</v>
      </c>
      <c r="I108" s="47">
        <f t="shared" ref="I108:AB108" si="57">SUM(I109:I110)</f>
        <v>3100</v>
      </c>
      <c r="J108" s="47">
        <f t="shared" si="57"/>
        <v>1200</v>
      </c>
      <c r="K108" s="47">
        <f t="shared" si="57"/>
        <v>1200</v>
      </c>
      <c r="L108" s="47">
        <f t="shared" si="57"/>
        <v>0</v>
      </c>
      <c r="M108" s="47">
        <f t="shared" si="57"/>
        <v>0</v>
      </c>
      <c r="N108" s="47">
        <f t="shared" si="57"/>
        <v>0</v>
      </c>
      <c r="O108" s="47">
        <f t="shared" si="57"/>
        <v>0</v>
      </c>
      <c r="P108" s="47">
        <f t="shared" si="57"/>
        <v>0</v>
      </c>
      <c r="Q108" s="47">
        <f t="shared" si="57"/>
        <v>0</v>
      </c>
      <c r="R108" s="47">
        <f t="shared" si="57"/>
        <v>0</v>
      </c>
      <c r="S108" s="47">
        <f t="shared" si="57"/>
        <v>0</v>
      </c>
      <c r="T108" s="47">
        <f t="shared" si="57"/>
        <v>0</v>
      </c>
      <c r="U108" s="47">
        <f t="shared" si="57"/>
        <v>0</v>
      </c>
      <c r="V108" s="47">
        <f t="shared" si="57"/>
        <v>0</v>
      </c>
      <c r="W108" s="47">
        <f t="shared" si="57"/>
        <v>0</v>
      </c>
      <c r="X108" s="47">
        <f t="shared" si="57"/>
        <v>1200</v>
      </c>
      <c r="Y108" s="47">
        <f t="shared" si="57"/>
        <v>2200</v>
      </c>
      <c r="Z108" s="47">
        <f t="shared" si="57"/>
        <v>0</v>
      </c>
      <c r="AA108" s="47">
        <f t="shared" si="57"/>
        <v>0</v>
      </c>
      <c r="AB108" s="47">
        <f t="shared" si="57"/>
        <v>2200</v>
      </c>
      <c r="AC108" s="47"/>
      <c r="AD108" s="47">
        <f>SUM(AD109:AD109)</f>
        <v>2000</v>
      </c>
      <c r="AE108" s="47">
        <f>SUM(AE109:AE109)</f>
        <v>0</v>
      </c>
      <c r="AF108" s="47">
        <f>SUM(AF109:AF109)</f>
        <v>2000</v>
      </c>
      <c r="AG108" s="231"/>
    </row>
    <row r="109" spans="1:43" s="179" customFormat="1" ht="57.75" customHeight="1">
      <c r="A109" s="185">
        <v>1</v>
      </c>
      <c r="B109" s="183" t="s">
        <v>234</v>
      </c>
      <c r="C109" s="28" t="s">
        <v>215</v>
      </c>
      <c r="D109" s="28" t="s">
        <v>19</v>
      </c>
      <c r="E109" s="28" t="s">
        <v>233</v>
      </c>
      <c r="F109" s="28" t="s">
        <v>36</v>
      </c>
      <c r="G109" s="91" t="s">
        <v>836</v>
      </c>
      <c r="H109" s="49">
        <v>2728</v>
      </c>
      <c r="I109" s="46">
        <v>2100</v>
      </c>
      <c r="J109" s="48">
        <f>SUM(K109,L109:S109)</f>
        <v>1200</v>
      </c>
      <c r="K109" s="48">
        <v>1200</v>
      </c>
      <c r="L109" s="48"/>
      <c r="M109" s="48"/>
      <c r="N109" s="48"/>
      <c r="O109" s="48"/>
      <c r="P109" s="48"/>
      <c r="Q109" s="48"/>
      <c r="R109" s="48"/>
      <c r="S109" s="48"/>
      <c r="T109" s="48">
        <f>SUM(U109:W109)</f>
        <v>0</v>
      </c>
      <c r="U109" s="47"/>
      <c r="V109" s="48"/>
      <c r="W109" s="32"/>
      <c r="X109" s="32">
        <f>J109-T109</f>
        <v>1200</v>
      </c>
      <c r="Y109" s="32">
        <v>1200</v>
      </c>
      <c r="Z109" s="32"/>
      <c r="AA109" s="32"/>
      <c r="AB109" s="32">
        <f>SUM(Y109:AA109)</f>
        <v>1200</v>
      </c>
      <c r="AC109" s="47"/>
      <c r="AD109" s="48">
        <v>2000</v>
      </c>
      <c r="AE109" s="47"/>
      <c r="AF109" s="48">
        <f>AD109-AE109</f>
        <v>2000</v>
      </c>
      <c r="AG109" s="185"/>
      <c r="AH109" s="319">
        <f>AD109</f>
        <v>2000</v>
      </c>
      <c r="AI109" s="319">
        <f>AH109/2.5</f>
        <v>800</v>
      </c>
      <c r="AJ109" s="319">
        <f>AH109-AI109</f>
        <v>1200</v>
      </c>
      <c r="AK109" s="319"/>
      <c r="AL109" s="179" t="s">
        <v>473</v>
      </c>
      <c r="AM109" s="179" t="s">
        <v>461</v>
      </c>
      <c r="AN109" s="58">
        <f>Y109</f>
        <v>1200</v>
      </c>
      <c r="AO109" s="58"/>
      <c r="AP109" s="58"/>
      <c r="AQ109" s="58"/>
    </row>
    <row r="110" spans="1:43" s="179" customFormat="1" ht="57.75" customHeight="1">
      <c r="A110" s="185">
        <v>2</v>
      </c>
      <c r="B110" s="183" t="s">
        <v>844</v>
      </c>
      <c r="C110" s="28" t="s">
        <v>215</v>
      </c>
      <c r="D110" s="28" t="s">
        <v>19</v>
      </c>
      <c r="E110" s="28" t="s">
        <v>206</v>
      </c>
      <c r="F110" s="28" t="s">
        <v>36</v>
      </c>
      <c r="G110" s="91" t="s">
        <v>1167</v>
      </c>
      <c r="H110" s="49">
        <v>2792</v>
      </c>
      <c r="I110" s="46">
        <v>1000</v>
      </c>
      <c r="J110" s="48"/>
      <c r="K110" s="48"/>
      <c r="L110" s="48"/>
      <c r="M110" s="48"/>
      <c r="N110" s="48"/>
      <c r="O110" s="48"/>
      <c r="P110" s="48"/>
      <c r="Q110" s="48"/>
      <c r="R110" s="48"/>
      <c r="S110" s="48"/>
      <c r="T110" s="48"/>
      <c r="U110" s="47"/>
      <c r="V110" s="48"/>
      <c r="W110" s="32"/>
      <c r="X110" s="32"/>
      <c r="Y110" s="32">
        <v>1000</v>
      </c>
      <c r="Z110" s="32"/>
      <c r="AA110" s="32"/>
      <c r="AB110" s="32">
        <f>SUM(Y110:AA110)</f>
        <v>1000</v>
      </c>
      <c r="AC110" s="47"/>
      <c r="AD110" s="48"/>
      <c r="AE110" s="47"/>
      <c r="AF110" s="48"/>
      <c r="AG110" s="185"/>
      <c r="AH110" s="319"/>
      <c r="AI110" s="319"/>
      <c r="AJ110" s="319"/>
      <c r="AK110" s="319"/>
      <c r="AN110" s="58"/>
      <c r="AO110" s="58"/>
      <c r="AP110" s="58"/>
      <c r="AQ110" s="58"/>
    </row>
    <row r="111" spans="1:43" s="179" customFormat="1" ht="39.75" customHeight="1">
      <c r="A111" s="185"/>
      <c r="B111" s="314" t="s">
        <v>216</v>
      </c>
      <c r="C111" s="185"/>
      <c r="D111" s="185"/>
      <c r="E111" s="185"/>
      <c r="F111" s="185"/>
      <c r="G111" s="185"/>
      <c r="H111" s="47">
        <f>SUM(H112:H113)</f>
        <v>6698</v>
      </c>
      <c r="I111" s="47">
        <f t="shared" ref="I111:AB111" si="58">SUM(I112:I113)</f>
        <v>3500</v>
      </c>
      <c r="J111" s="47">
        <f t="shared" si="58"/>
        <v>1600</v>
      </c>
      <c r="K111" s="47">
        <f t="shared" si="58"/>
        <v>1600</v>
      </c>
      <c r="L111" s="47">
        <f t="shared" si="58"/>
        <v>0</v>
      </c>
      <c r="M111" s="47">
        <f t="shared" si="58"/>
        <v>0</v>
      </c>
      <c r="N111" s="47">
        <f t="shared" si="58"/>
        <v>0</v>
      </c>
      <c r="O111" s="47">
        <f t="shared" si="58"/>
        <v>0</v>
      </c>
      <c r="P111" s="47">
        <f t="shared" si="58"/>
        <v>0</v>
      </c>
      <c r="Q111" s="47">
        <f t="shared" si="58"/>
        <v>0</v>
      </c>
      <c r="R111" s="47">
        <f t="shared" si="58"/>
        <v>0</v>
      </c>
      <c r="S111" s="47">
        <f t="shared" si="58"/>
        <v>0</v>
      </c>
      <c r="T111" s="47">
        <f t="shared" si="58"/>
        <v>0</v>
      </c>
      <c r="U111" s="47">
        <f t="shared" si="58"/>
        <v>0</v>
      </c>
      <c r="V111" s="47">
        <f t="shared" si="58"/>
        <v>0</v>
      </c>
      <c r="W111" s="47">
        <f t="shared" si="58"/>
        <v>0</v>
      </c>
      <c r="X111" s="47">
        <f t="shared" si="58"/>
        <v>1600</v>
      </c>
      <c r="Y111" s="47">
        <f t="shared" si="58"/>
        <v>2400</v>
      </c>
      <c r="Z111" s="47">
        <f t="shared" si="58"/>
        <v>0</v>
      </c>
      <c r="AA111" s="391">
        <f t="shared" si="58"/>
        <v>-800</v>
      </c>
      <c r="AB111" s="47">
        <f t="shared" si="58"/>
        <v>1600</v>
      </c>
      <c r="AC111" s="47"/>
      <c r="AD111" s="47">
        <f>SUM(AD112:AD112)</f>
        <v>2700</v>
      </c>
      <c r="AE111" s="47">
        <f>SUM(AE112:AE112)</f>
        <v>0</v>
      </c>
      <c r="AF111" s="47">
        <f>SUM(AF112:AF112)</f>
        <v>2700</v>
      </c>
      <c r="AG111" s="231"/>
    </row>
    <row r="112" spans="1:43" s="179" customFormat="1" ht="57.75" customHeight="1">
      <c r="A112" s="185">
        <v>1</v>
      </c>
      <c r="B112" s="183" t="s">
        <v>236</v>
      </c>
      <c r="C112" s="28" t="s">
        <v>216</v>
      </c>
      <c r="D112" s="28" t="s">
        <v>19</v>
      </c>
      <c r="E112" s="28" t="s">
        <v>206</v>
      </c>
      <c r="F112" s="28" t="s">
        <v>36</v>
      </c>
      <c r="G112" s="91" t="s">
        <v>976</v>
      </c>
      <c r="H112" s="49">
        <v>2751</v>
      </c>
      <c r="I112" s="46">
        <v>2700</v>
      </c>
      <c r="J112" s="48">
        <f>SUM(K112,L112:S112)</f>
        <v>1600</v>
      </c>
      <c r="K112" s="48">
        <v>1600</v>
      </c>
      <c r="L112" s="48"/>
      <c r="M112" s="48"/>
      <c r="N112" s="48"/>
      <c r="O112" s="48"/>
      <c r="P112" s="48"/>
      <c r="Q112" s="48"/>
      <c r="R112" s="48"/>
      <c r="S112" s="48"/>
      <c r="T112" s="48">
        <f>SUM(U112:W112)</f>
        <v>0</v>
      </c>
      <c r="U112" s="47"/>
      <c r="V112" s="48"/>
      <c r="W112" s="32"/>
      <c r="X112" s="32">
        <f>J112-T112</f>
        <v>1600</v>
      </c>
      <c r="Y112" s="32">
        <f>X112</f>
        <v>1600</v>
      </c>
      <c r="Z112" s="32"/>
      <c r="AA112" s="32"/>
      <c r="AB112" s="32">
        <f>SUM(Y112:AA112)</f>
        <v>1600</v>
      </c>
      <c r="AC112" s="47"/>
      <c r="AD112" s="48">
        <v>2700</v>
      </c>
      <c r="AE112" s="47"/>
      <c r="AF112" s="48">
        <f>AD112-AE112</f>
        <v>2700</v>
      </c>
      <c r="AG112" s="185"/>
      <c r="AH112" s="319">
        <f>AD112</f>
        <v>2700</v>
      </c>
      <c r="AI112" s="319">
        <v>1100</v>
      </c>
      <c r="AJ112" s="319">
        <f>AH112-AI112</f>
        <v>1600</v>
      </c>
      <c r="AK112" s="319"/>
      <c r="AL112" s="179" t="s">
        <v>473</v>
      </c>
      <c r="AM112" s="179" t="s">
        <v>461</v>
      </c>
      <c r="AN112" s="58">
        <f>Y112</f>
        <v>1600</v>
      </c>
      <c r="AO112" s="58"/>
      <c r="AP112" s="58"/>
      <c r="AQ112" s="58"/>
    </row>
    <row r="113" spans="1:43" s="179" customFormat="1" ht="57.75" customHeight="1">
      <c r="A113" s="185">
        <v>2</v>
      </c>
      <c r="B113" s="183" t="s">
        <v>235</v>
      </c>
      <c r="C113" s="28" t="s">
        <v>216</v>
      </c>
      <c r="D113" s="28" t="s">
        <v>19</v>
      </c>
      <c r="E113" s="28" t="s">
        <v>208</v>
      </c>
      <c r="F113" s="28" t="s">
        <v>36</v>
      </c>
      <c r="G113" s="91" t="s">
        <v>1168</v>
      </c>
      <c r="H113" s="49">
        <v>3947</v>
      </c>
      <c r="I113" s="46">
        <v>800</v>
      </c>
      <c r="J113" s="48"/>
      <c r="K113" s="48"/>
      <c r="L113" s="48"/>
      <c r="M113" s="48"/>
      <c r="N113" s="48"/>
      <c r="O113" s="48"/>
      <c r="P113" s="48"/>
      <c r="Q113" s="48"/>
      <c r="R113" s="48"/>
      <c r="S113" s="48"/>
      <c r="T113" s="48"/>
      <c r="U113" s="47"/>
      <c r="V113" s="48"/>
      <c r="W113" s="32"/>
      <c r="X113" s="32"/>
      <c r="Y113" s="32">
        <v>800</v>
      </c>
      <c r="Z113" s="32"/>
      <c r="AA113" s="383">
        <v>-800</v>
      </c>
      <c r="AB113" s="32">
        <f>SUM(Y113:AA113)</f>
        <v>0</v>
      </c>
      <c r="AC113" s="47"/>
      <c r="AD113" s="48"/>
      <c r="AE113" s="47"/>
      <c r="AF113" s="48"/>
      <c r="AG113" s="185"/>
      <c r="AH113" s="319"/>
      <c r="AI113" s="319"/>
      <c r="AJ113" s="319"/>
      <c r="AK113" s="319"/>
      <c r="AN113" s="58"/>
      <c r="AO113" s="58"/>
      <c r="AP113" s="58"/>
      <c r="AQ113" s="58"/>
    </row>
    <row r="114" spans="1:43" s="179" customFormat="1" ht="48.75" customHeight="1">
      <c r="A114" s="336" t="s">
        <v>482</v>
      </c>
      <c r="B114" s="314" t="s">
        <v>242</v>
      </c>
      <c r="C114" s="185"/>
      <c r="D114" s="185"/>
      <c r="E114" s="185"/>
      <c r="F114" s="185"/>
      <c r="G114" s="185"/>
      <c r="H114" s="47">
        <f t="shared" ref="H114:Y114" si="59">SUM(H115,H118,H122)</f>
        <v>92898</v>
      </c>
      <c r="I114" s="47">
        <f t="shared" si="59"/>
        <v>62300</v>
      </c>
      <c r="J114" s="47">
        <f t="shared" si="59"/>
        <v>21400</v>
      </c>
      <c r="K114" s="47">
        <f t="shared" si="59"/>
        <v>21400</v>
      </c>
      <c r="L114" s="47">
        <f t="shared" si="59"/>
        <v>0</v>
      </c>
      <c r="M114" s="47">
        <f t="shared" si="59"/>
        <v>0</v>
      </c>
      <c r="N114" s="47">
        <f t="shared" si="59"/>
        <v>0</v>
      </c>
      <c r="O114" s="47">
        <f t="shared" si="59"/>
        <v>0</v>
      </c>
      <c r="P114" s="47">
        <f t="shared" si="59"/>
        <v>0</v>
      </c>
      <c r="Q114" s="47">
        <f t="shared" si="59"/>
        <v>0</v>
      </c>
      <c r="R114" s="47">
        <f t="shared" si="59"/>
        <v>0</v>
      </c>
      <c r="S114" s="47">
        <f t="shared" si="59"/>
        <v>0</v>
      </c>
      <c r="T114" s="47">
        <f t="shared" si="59"/>
        <v>0</v>
      </c>
      <c r="U114" s="47">
        <f t="shared" si="59"/>
        <v>0</v>
      </c>
      <c r="V114" s="47">
        <f t="shared" si="59"/>
        <v>0</v>
      </c>
      <c r="W114" s="47">
        <f t="shared" si="59"/>
        <v>0</v>
      </c>
      <c r="X114" s="47">
        <f t="shared" si="59"/>
        <v>21400</v>
      </c>
      <c r="Y114" s="47">
        <f t="shared" si="59"/>
        <v>22900</v>
      </c>
      <c r="Z114" s="47">
        <f>SUM(Z115,Z118,Z122)</f>
        <v>0</v>
      </c>
      <c r="AA114" s="391">
        <f>SUM(AA115,AA118,AA122)</f>
        <v>-6500</v>
      </c>
      <c r="AB114" s="47">
        <f>SUM(AB115,AB118,AB122)</f>
        <v>16400</v>
      </c>
      <c r="AC114" s="47"/>
      <c r="AD114" s="47" t="e">
        <f>SUM(AD115,AD118,AD122)</f>
        <v>#REF!</v>
      </c>
      <c r="AE114" s="47" t="e">
        <f>SUM(AE115,AE118,AE122)</f>
        <v>#REF!</v>
      </c>
      <c r="AF114" s="47" t="e">
        <f>SUM(AF115,AF118,AF122)</f>
        <v>#REF!</v>
      </c>
      <c r="AG114" s="231"/>
    </row>
    <row r="115" spans="1:43" s="318" customFormat="1" ht="39.75" customHeight="1">
      <c r="A115" s="315" t="s">
        <v>17</v>
      </c>
      <c r="B115" s="316" t="s">
        <v>64</v>
      </c>
      <c r="C115" s="315"/>
      <c r="D115" s="315"/>
      <c r="E115" s="315"/>
      <c r="F115" s="315"/>
      <c r="G115" s="315"/>
      <c r="H115" s="76">
        <f>SUM(H116)</f>
        <v>13702</v>
      </c>
      <c r="I115" s="76">
        <f t="shared" ref="I115:AB115" si="60">SUM(I116)</f>
        <v>9000</v>
      </c>
      <c r="J115" s="76">
        <f t="shared" si="60"/>
        <v>5400</v>
      </c>
      <c r="K115" s="76">
        <f t="shared" si="60"/>
        <v>5400</v>
      </c>
      <c r="L115" s="76">
        <f t="shared" si="60"/>
        <v>0</v>
      </c>
      <c r="M115" s="76">
        <f t="shared" si="60"/>
        <v>0</v>
      </c>
      <c r="N115" s="76">
        <f t="shared" si="60"/>
        <v>0</v>
      </c>
      <c r="O115" s="76">
        <f t="shared" si="60"/>
        <v>0</v>
      </c>
      <c r="P115" s="76">
        <f t="shared" si="60"/>
        <v>0</v>
      </c>
      <c r="Q115" s="76">
        <f t="shared" si="60"/>
        <v>0</v>
      </c>
      <c r="R115" s="76">
        <f t="shared" si="60"/>
        <v>0</v>
      </c>
      <c r="S115" s="76">
        <f t="shared" si="60"/>
        <v>0</v>
      </c>
      <c r="T115" s="76">
        <f t="shared" si="60"/>
        <v>0</v>
      </c>
      <c r="U115" s="76">
        <f t="shared" si="60"/>
        <v>0</v>
      </c>
      <c r="V115" s="76">
        <f t="shared" si="60"/>
        <v>0</v>
      </c>
      <c r="W115" s="76">
        <f t="shared" si="60"/>
        <v>0</v>
      </c>
      <c r="X115" s="76">
        <f t="shared" si="60"/>
        <v>5400</v>
      </c>
      <c r="Y115" s="76">
        <f t="shared" si="60"/>
        <v>5400</v>
      </c>
      <c r="Z115" s="76">
        <f t="shared" si="60"/>
        <v>0</v>
      </c>
      <c r="AA115" s="76">
        <f t="shared" si="60"/>
        <v>0</v>
      </c>
      <c r="AB115" s="76">
        <f t="shared" si="60"/>
        <v>5400</v>
      </c>
      <c r="AC115" s="76"/>
      <c r="AD115" s="76" t="e">
        <f>SUM(#REF!,#REF!,AD116,#REF!)</f>
        <v>#REF!</v>
      </c>
      <c r="AE115" s="76" t="e">
        <f>SUM(#REF!,#REF!,AE116,#REF!)</f>
        <v>#REF!</v>
      </c>
      <c r="AF115" s="76" t="e">
        <f>SUM(#REF!,#REF!,AF116,#REF!)</f>
        <v>#REF!</v>
      </c>
      <c r="AG115" s="317"/>
    </row>
    <row r="116" spans="1:43" s="179" customFormat="1" ht="39.75" customHeight="1">
      <c r="A116" s="185"/>
      <c r="B116" s="314" t="s">
        <v>243</v>
      </c>
      <c r="C116" s="185"/>
      <c r="D116" s="185"/>
      <c r="E116" s="185"/>
      <c r="F116" s="185"/>
      <c r="G116" s="185"/>
      <c r="H116" s="47">
        <f t="shared" ref="H116:X116" si="61">SUM(H117:H117)</f>
        <v>13702</v>
      </c>
      <c r="I116" s="47">
        <f t="shared" si="61"/>
        <v>9000</v>
      </c>
      <c r="J116" s="47">
        <f t="shared" si="61"/>
        <v>5400</v>
      </c>
      <c r="K116" s="47">
        <f t="shared" si="61"/>
        <v>5400</v>
      </c>
      <c r="L116" s="47">
        <f t="shared" si="61"/>
        <v>0</v>
      </c>
      <c r="M116" s="47">
        <f t="shared" si="61"/>
        <v>0</v>
      </c>
      <c r="N116" s="47">
        <f t="shared" si="61"/>
        <v>0</v>
      </c>
      <c r="O116" s="47">
        <f t="shared" si="61"/>
        <v>0</v>
      </c>
      <c r="P116" s="47">
        <f t="shared" si="61"/>
        <v>0</v>
      </c>
      <c r="Q116" s="47">
        <f t="shared" si="61"/>
        <v>0</v>
      </c>
      <c r="R116" s="47">
        <f t="shared" si="61"/>
        <v>0</v>
      </c>
      <c r="S116" s="47">
        <f t="shared" si="61"/>
        <v>0</v>
      </c>
      <c r="T116" s="47">
        <f t="shared" si="61"/>
        <v>0</v>
      </c>
      <c r="U116" s="47">
        <f t="shared" si="61"/>
        <v>0</v>
      </c>
      <c r="V116" s="47">
        <f t="shared" si="61"/>
        <v>0</v>
      </c>
      <c r="W116" s="47">
        <f t="shared" si="61"/>
        <v>0</v>
      </c>
      <c r="X116" s="47">
        <f t="shared" si="61"/>
        <v>5400</v>
      </c>
      <c r="Y116" s="47">
        <f>SUM(Y117:Y117)</f>
        <v>5400</v>
      </c>
      <c r="Z116" s="47">
        <f>SUM(Z117:Z117)</f>
        <v>0</v>
      </c>
      <c r="AA116" s="47">
        <f>SUM(AA117:AA117)</f>
        <v>0</v>
      </c>
      <c r="AB116" s="47">
        <f>SUM(AB117:AB117)</f>
        <v>5400</v>
      </c>
      <c r="AC116" s="47"/>
      <c r="AD116" s="47">
        <f>SUM(AD117:AD117)</f>
        <v>9000</v>
      </c>
      <c r="AE116" s="47">
        <f>SUM(AE117:AE117)</f>
        <v>0</v>
      </c>
      <c r="AF116" s="47">
        <f>SUM(AF117:AF117)</f>
        <v>9000</v>
      </c>
      <c r="AG116" s="231"/>
    </row>
    <row r="117" spans="1:43" ht="51.75" customHeight="1">
      <c r="A117" s="185">
        <v>1</v>
      </c>
      <c r="B117" s="320" t="s">
        <v>247</v>
      </c>
      <c r="C117" s="185" t="s">
        <v>248</v>
      </c>
      <c r="D117" s="185" t="s">
        <v>19</v>
      </c>
      <c r="E117" s="185" t="s">
        <v>168</v>
      </c>
      <c r="F117" s="185" t="s">
        <v>36</v>
      </c>
      <c r="G117" s="185" t="s">
        <v>712</v>
      </c>
      <c r="H117" s="162">
        <v>13702</v>
      </c>
      <c r="I117" s="46">
        <v>9000</v>
      </c>
      <c r="J117" s="48">
        <f>SUM(K117,L117:S117)</f>
        <v>5400</v>
      </c>
      <c r="K117" s="162">
        <v>5400</v>
      </c>
      <c r="L117" s="162"/>
      <c r="M117" s="162"/>
      <c r="N117" s="162"/>
      <c r="O117" s="162"/>
      <c r="P117" s="162"/>
      <c r="Q117" s="162"/>
      <c r="R117" s="162"/>
      <c r="S117" s="162"/>
      <c r="T117" s="48">
        <f>SUM(U117:W117)</f>
        <v>0</v>
      </c>
      <c r="U117" s="162"/>
      <c r="V117" s="162"/>
      <c r="W117" s="32"/>
      <c r="X117" s="32">
        <f>J117-T117</f>
        <v>5400</v>
      </c>
      <c r="Y117" s="32">
        <f>X117</f>
        <v>5400</v>
      </c>
      <c r="Z117" s="32"/>
      <c r="AA117" s="32"/>
      <c r="AB117" s="32">
        <f>SUM(Y117:AA117)</f>
        <v>5400</v>
      </c>
      <c r="AC117" s="321" t="s">
        <v>713</v>
      </c>
      <c r="AD117" s="48">
        <v>9000</v>
      </c>
      <c r="AE117" s="321"/>
      <c r="AF117" s="48">
        <f>AD117-AE117</f>
        <v>9000</v>
      </c>
      <c r="AG117" s="183"/>
      <c r="AH117" s="319">
        <f>AD117</f>
        <v>9000</v>
      </c>
      <c r="AI117" s="319">
        <f>AH117/2.5</f>
        <v>3600</v>
      </c>
      <c r="AJ117" s="319">
        <f>AH117-AI117</f>
        <v>5400</v>
      </c>
      <c r="AK117" s="319"/>
      <c r="AL117" s="179" t="s">
        <v>473</v>
      </c>
      <c r="AM117" s="179" t="s">
        <v>474</v>
      </c>
      <c r="AN117" s="58">
        <f>Y117</f>
        <v>5400</v>
      </c>
      <c r="AO117" s="58" t="s">
        <v>629</v>
      </c>
      <c r="AP117" s="58"/>
      <c r="AQ117" s="58"/>
    </row>
    <row r="118" spans="1:43" s="318" customFormat="1" ht="39.75" customHeight="1">
      <c r="A118" s="315" t="s">
        <v>25</v>
      </c>
      <c r="B118" s="316" t="s">
        <v>169</v>
      </c>
      <c r="C118" s="315"/>
      <c r="D118" s="315"/>
      <c r="E118" s="315"/>
      <c r="F118" s="315"/>
      <c r="G118" s="315"/>
      <c r="H118" s="76">
        <f>SUM(H119,H119)</f>
        <v>68578</v>
      </c>
      <c r="I118" s="76">
        <f t="shared" ref="I118:X118" si="62">SUM(I119,I119)</f>
        <v>47600</v>
      </c>
      <c r="J118" s="76">
        <f t="shared" si="62"/>
        <v>12600</v>
      </c>
      <c r="K118" s="76">
        <f t="shared" si="62"/>
        <v>12600</v>
      </c>
      <c r="L118" s="76">
        <f t="shared" si="62"/>
        <v>0</v>
      </c>
      <c r="M118" s="76">
        <f t="shared" si="62"/>
        <v>0</v>
      </c>
      <c r="N118" s="76">
        <f t="shared" si="62"/>
        <v>0</v>
      </c>
      <c r="O118" s="76">
        <f t="shared" si="62"/>
        <v>0</v>
      </c>
      <c r="P118" s="76">
        <f t="shared" si="62"/>
        <v>0</v>
      </c>
      <c r="Q118" s="76">
        <f t="shared" si="62"/>
        <v>0</v>
      </c>
      <c r="R118" s="76">
        <f t="shared" si="62"/>
        <v>0</v>
      </c>
      <c r="S118" s="76">
        <f t="shared" si="62"/>
        <v>0</v>
      </c>
      <c r="T118" s="76">
        <f t="shared" si="62"/>
        <v>0</v>
      </c>
      <c r="U118" s="76">
        <f t="shared" si="62"/>
        <v>0</v>
      </c>
      <c r="V118" s="76">
        <f t="shared" si="62"/>
        <v>0</v>
      </c>
      <c r="W118" s="76">
        <f t="shared" si="62"/>
        <v>0</v>
      </c>
      <c r="X118" s="76">
        <f t="shared" si="62"/>
        <v>12600</v>
      </c>
      <c r="Y118" s="76">
        <f>SUM(Y119)</f>
        <v>14100</v>
      </c>
      <c r="Z118" s="76">
        <f>SUM(Z119)</f>
        <v>0</v>
      </c>
      <c r="AA118" s="390">
        <f>SUM(AA119)</f>
        <v>-6500</v>
      </c>
      <c r="AB118" s="76">
        <f>SUM(AB119)</f>
        <v>7600</v>
      </c>
      <c r="AC118" s="76"/>
      <c r="AD118" s="76" t="e">
        <f>SUM(#REF!,#REF!,#REF!,AD119,)</f>
        <v>#REF!</v>
      </c>
      <c r="AE118" s="76" t="e">
        <f>SUM(#REF!,#REF!,#REF!,AE119,)</f>
        <v>#REF!</v>
      </c>
      <c r="AF118" s="76" t="e">
        <f>SUM(#REF!,#REF!,#REF!,AF119,)</f>
        <v>#REF!</v>
      </c>
      <c r="AG118" s="317"/>
    </row>
    <row r="119" spans="1:43" s="179" customFormat="1" ht="39.75" customHeight="1">
      <c r="A119" s="185"/>
      <c r="B119" s="314" t="s">
        <v>250</v>
      </c>
      <c r="C119" s="185"/>
      <c r="D119" s="185"/>
      <c r="E119" s="185"/>
      <c r="F119" s="185"/>
      <c r="G119" s="185"/>
      <c r="H119" s="47">
        <f>SUM(H120:H121)</f>
        <v>34289</v>
      </c>
      <c r="I119" s="47">
        <f t="shared" ref="I119:AB119" si="63">SUM(I120:I121)</f>
        <v>23800</v>
      </c>
      <c r="J119" s="47">
        <f t="shared" si="63"/>
        <v>6300</v>
      </c>
      <c r="K119" s="47">
        <f t="shared" si="63"/>
        <v>6300</v>
      </c>
      <c r="L119" s="47">
        <f t="shared" si="63"/>
        <v>0</v>
      </c>
      <c r="M119" s="47">
        <f t="shared" si="63"/>
        <v>0</v>
      </c>
      <c r="N119" s="47">
        <f t="shared" si="63"/>
        <v>0</v>
      </c>
      <c r="O119" s="47">
        <f t="shared" si="63"/>
        <v>0</v>
      </c>
      <c r="P119" s="47">
        <f t="shared" si="63"/>
        <v>0</v>
      </c>
      <c r="Q119" s="47">
        <f t="shared" si="63"/>
        <v>0</v>
      </c>
      <c r="R119" s="47">
        <f t="shared" si="63"/>
        <v>0</v>
      </c>
      <c r="S119" s="47">
        <f t="shared" si="63"/>
        <v>0</v>
      </c>
      <c r="T119" s="47">
        <f t="shared" si="63"/>
        <v>0</v>
      </c>
      <c r="U119" s="47">
        <f t="shared" si="63"/>
        <v>0</v>
      </c>
      <c r="V119" s="47">
        <f t="shared" si="63"/>
        <v>0</v>
      </c>
      <c r="W119" s="47">
        <f t="shared" si="63"/>
        <v>0</v>
      </c>
      <c r="X119" s="47">
        <f t="shared" si="63"/>
        <v>6300</v>
      </c>
      <c r="Y119" s="47">
        <f t="shared" si="63"/>
        <v>14100</v>
      </c>
      <c r="Z119" s="47">
        <f t="shared" si="63"/>
        <v>0</v>
      </c>
      <c r="AA119" s="391">
        <f t="shared" si="63"/>
        <v>-6500</v>
      </c>
      <c r="AB119" s="47">
        <f t="shared" si="63"/>
        <v>7600</v>
      </c>
      <c r="AC119" s="47"/>
      <c r="AD119" s="47">
        <f>SUM(AD120:AD120)</f>
        <v>10500</v>
      </c>
      <c r="AE119" s="47">
        <f>SUM(AE120:AE120)</f>
        <v>0</v>
      </c>
      <c r="AF119" s="47">
        <f>SUM(AF120:AF120)</f>
        <v>10500</v>
      </c>
      <c r="AG119" s="231"/>
    </row>
    <row r="120" spans="1:43" s="179" customFormat="1" ht="72.75" customHeight="1">
      <c r="A120" s="185">
        <v>1</v>
      </c>
      <c r="B120" s="183" t="s">
        <v>253</v>
      </c>
      <c r="C120" s="28" t="s">
        <v>250</v>
      </c>
      <c r="D120" s="28" t="s">
        <v>19</v>
      </c>
      <c r="E120" s="28" t="s">
        <v>254</v>
      </c>
      <c r="F120" s="28" t="s">
        <v>36</v>
      </c>
      <c r="G120" s="91" t="s">
        <v>974</v>
      </c>
      <c r="H120" s="49">
        <v>14260</v>
      </c>
      <c r="I120" s="46">
        <v>10700</v>
      </c>
      <c r="J120" s="48">
        <f>SUM(K120,L120:S120)</f>
        <v>6300</v>
      </c>
      <c r="K120" s="48">
        <v>6300</v>
      </c>
      <c r="L120" s="48"/>
      <c r="M120" s="48"/>
      <c r="N120" s="48"/>
      <c r="O120" s="48"/>
      <c r="P120" s="48"/>
      <c r="Q120" s="48"/>
      <c r="R120" s="48"/>
      <c r="S120" s="48"/>
      <c r="T120" s="48">
        <f>SUM(U120:W120)</f>
        <v>0</v>
      </c>
      <c r="U120" s="47"/>
      <c r="V120" s="48"/>
      <c r="W120" s="32"/>
      <c r="X120" s="32">
        <f>J120-T120</f>
        <v>6300</v>
      </c>
      <c r="Y120" s="32">
        <f>X120</f>
        <v>6300</v>
      </c>
      <c r="Z120" s="32"/>
      <c r="AA120" s="383">
        <v>-2800</v>
      </c>
      <c r="AB120" s="32">
        <f>SUM(Y120:AA120)</f>
        <v>3500</v>
      </c>
      <c r="AC120" s="47"/>
      <c r="AD120" s="48">
        <v>10500</v>
      </c>
      <c r="AE120" s="47"/>
      <c r="AF120" s="48">
        <f>AD120-AE120</f>
        <v>10500</v>
      </c>
      <c r="AG120" s="185"/>
      <c r="AH120" s="319">
        <f>AD120</f>
        <v>10500</v>
      </c>
      <c r="AI120" s="319">
        <f>AH120/2.5</f>
        <v>4200</v>
      </c>
      <c r="AJ120" s="319">
        <f>AH120-AI120</f>
        <v>6300</v>
      </c>
      <c r="AK120" s="319"/>
      <c r="AL120" s="179" t="s">
        <v>473</v>
      </c>
      <c r="AM120" s="179" t="s">
        <v>459</v>
      </c>
      <c r="AN120" s="58">
        <f>Y120</f>
        <v>6300</v>
      </c>
      <c r="AO120" s="58"/>
      <c r="AP120" s="58"/>
      <c r="AQ120" s="58"/>
    </row>
    <row r="121" spans="1:43" s="179" customFormat="1" ht="72.75" customHeight="1">
      <c r="A121" s="185">
        <v>2</v>
      </c>
      <c r="B121" s="183" t="s">
        <v>251</v>
      </c>
      <c r="C121" s="28" t="s">
        <v>250</v>
      </c>
      <c r="D121" s="28" t="s">
        <v>19</v>
      </c>
      <c r="E121" s="28" t="s">
        <v>252</v>
      </c>
      <c r="F121" s="28" t="s">
        <v>36</v>
      </c>
      <c r="G121" s="91" t="s">
        <v>1194</v>
      </c>
      <c r="H121" s="49">
        <v>20029</v>
      </c>
      <c r="I121" s="46">
        <v>13100</v>
      </c>
      <c r="J121" s="48"/>
      <c r="K121" s="48"/>
      <c r="L121" s="48"/>
      <c r="M121" s="48"/>
      <c r="N121" s="48"/>
      <c r="O121" s="48"/>
      <c r="P121" s="48"/>
      <c r="Q121" s="48"/>
      <c r="R121" s="48"/>
      <c r="S121" s="48"/>
      <c r="T121" s="48"/>
      <c r="U121" s="47"/>
      <c r="V121" s="48"/>
      <c r="W121" s="32"/>
      <c r="X121" s="32"/>
      <c r="Y121" s="32">
        <v>7800</v>
      </c>
      <c r="Z121" s="32"/>
      <c r="AA121" s="383">
        <v>-3700</v>
      </c>
      <c r="AB121" s="32">
        <f>SUM(Y121:AA121)</f>
        <v>4100</v>
      </c>
      <c r="AC121" s="47"/>
      <c r="AD121" s="48"/>
      <c r="AE121" s="47"/>
      <c r="AF121" s="48"/>
      <c r="AG121" s="185"/>
      <c r="AH121" s="319"/>
      <c r="AI121" s="319"/>
      <c r="AJ121" s="319"/>
      <c r="AK121" s="319"/>
      <c r="AN121" s="58"/>
      <c r="AO121" s="58"/>
      <c r="AP121" s="58"/>
      <c r="AQ121" s="58"/>
    </row>
    <row r="122" spans="1:43" s="318" customFormat="1" ht="39.75" customHeight="1">
      <c r="A122" s="315" t="s">
        <v>30</v>
      </c>
      <c r="B122" s="316" t="s">
        <v>65</v>
      </c>
      <c r="C122" s="315"/>
      <c r="D122" s="315"/>
      <c r="E122" s="315"/>
      <c r="F122" s="315"/>
      <c r="G122" s="315"/>
      <c r="H122" s="76">
        <f>SUM(H123)</f>
        <v>10618</v>
      </c>
      <c r="I122" s="76">
        <f t="shared" ref="I122:X122" si="64">SUM(I123)</f>
        <v>5700</v>
      </c>
      <c r="J122" s="76">
        <f t="shared" si="64"/>
        <v>3400</v>
      </c>
      <c r="K122" s="76">
        <f t="shared" si="64"/>
        <v>3400</v>
      </c>
      <c r="L122" s="76">
        <f t="shared" si="64"/>
        <v>0</v>
      </c>
      <c r="M122" s="76">
        <f t="shared" si="64"/>
        <v>0</v>
      </c>
      <c r="N122" s="76">
        <f t="shared" si="64"/>
        <v>0</v>
      </c>
      <c r="O122" s="76">
        <f t="shared" si="64"/>
        <v>0</v>
      </c>
      <c r="P122" s="76">
        <f t="shared" si="64"/>
        <v>0</v>
      </c>
      <c r="Q122" s="76">
        <f t="shared" si="64"/>
        <v>0</v>
      </c>
      <c r="R122" s="76">
        <f t="shared" si="64"/>
        <v>0</v>
      </c>
      <c r="S122" s="76">
        <f t="shared" si="64"/>
        <v>0</v>
      </c>
      <c r="T122" s="76">
        <f t="shared" si="64"/>
        <v>0</v>
      </c>
      <c r="U122" s="76">
        <f t="shared" si="64"/>
        <v>0</v>
      </c>
      <c r="V122" s="76">
        <f t="shared" si="64"/>
        <v>0</v>
      </c>
      <c r="W122" s="76">
        <f t="shared" si="64"/>
        <v>0</v>
      </c>
      <c r="X122" s="76">
        <f t="shared" si="64"/>
        <v>3400</v>
      </c>
      <c r="Y122" s="76">
        <f>SUM(Y123)</f>
        <v>3400</v>
      </c>
      <c r="Z122" s="76">
        <f>SUM(Z123)</f>
        <v>0</v>
      </c>
      <c r="AA122" s="76">
        <f>SUM(AA123)</f>
        <v>0</v>
      </c>
      <c r="AB122" s="76">
        <f>SUM(AB123)</f>
        <v>3400</v>
      </c>
      <c r="AC122" s="76"/>
      <c r="AD122" s="76" t="e">
        <f>SUM(#REF!,#REF!,#REF!,AD123)</f>
        <v>#REF!</v>
      </c>
      <c r="AE122" s="76" t="e">
        <f>SUM(#REF!,#REF!,#REF!,AE123)</f>
        <v>#REF!</v>
      </c>
      <c r="AF122" s="76" t="e">
        <f>SUM(#REF!,#REF!,#REF!,AF123)</f>
        <v>#REF!</v>
      </c>
      <c r="AG122" s="317"/>
    </row>
    <row r="123" spans="1:43" s="179" customFormat="1" ht="39.75" customHeight="1">
      <c r="A123" s="185"/>
      <c r="B123" s="314" t="s">
        <v>250</v>
      </c>
      <c r="C123" s="185"/>
      <c r="D123" s="185"/>
      <c r="E123" s="185"/>
      <c r="F123" s="185"/>
      <c r="G123" s="185"/>
      <c r="H123" s="47">
        <f>SUM(H124)</f>
        <v>10618</v>
      </c>
      <c r="I123" s="47">
        <f t="shared" ref="I123:AF123" si="65">SUM(I124)</f>
        <v>5700</v>
      </c>
      <c r="J123" s="47">
        <f t="shared" si="65"/>
        <v>3400</v>
      </c>
      <c r="K123" s="47">
        <f t="shared" si="65"/>
        <v>3400</v>
      </c>
      <c r="L123" s="47">
        <f t="shared" si="65"/>
        <v>0</v>
      </c>
      <c r="M123" s="47">
        <f t="shared" si="65"/>
        <v>0</v>
      </c>
      <c r="N123" s="47">
        <f t="shared" si="65"/>
        <v>0</v>
      </c>
      <c r="O123" s="47">
        <f t="shared" si="65"/>
        <v>0</v>
      </c>
      <c r="P123" s="47">
        <f t="shared" si="65"/>
        <v>0</v>
      </c>
      <c r="Q123" s="47">
        <f t="shared" si="65"/>
        <v>0</v>
      </c>
      <c r="R123" s="47">
        <f t="shared" si="65"/>
        <v>0</v>
      </c>
      <c r="S123" s="47">
        <f t="shared" si="65"/>
        <v>0</v>
      </c>
      <c r="T123" s="47">
        <f t="shared" si="65"/>
        <v>0</v>
      </c>
      <c r="U123" s="47">
        <f t="shared" si="65"/>
        <v>0</v>
      </c>
      <c r="V123" s="47">
        <f t="shared" si="65"/>
        <v>0</v>
      </c>
      <c r="W123" s="47">
        <f t="shared" si="65"/>
        <v>0</v>
      </c>
      <c r="X123" s="47">
        <f t="shared" si="65"/>
        <v>3400</v>
      </c>
      <c r="Y123" s="47">
        <f t="shared" si="65"/>
        <v>3400</v>
      </c>
      <c r="Z123" s="47">
        <f t="shared" si="65"/>
        <v>0</v>
      </c>
      <c r="AA123" s="47">
        <f t="shared" si="65"/>
        <v>0</v>
      </c>
      <c r="AB123" s="47">
        <f t="shared" si="65"/>
        <v>3400</v>
      </c>
      <c r="AC123" s="47"/>
      <c r="AD123" s="47">
        <f t="shared" si="65"/>
        <v>5700</v>
      </c>
      <c r="AE123" s="47">
        <f t="shared" si="65"/>
        <v>0</v>
      </c>
      <c r="AF123" s="47">
        <f t="shared" si="65"/>
        <v>5700</v>
      </c>
      <c r="AG123" s="231"/>
    </row>
    <row r="124" spans="1:43" s="179" customFormat="1" ht="57.75" customHeight="1">
      <c r="A124" s="185">
        <v>1</v>
      </c>
      <c r="B124" s="183" t="s">
        <v>256</v>
      </c>
      <c r="C124" s="28" t="s">
        <v>250</v>
      </c>
      <c r="D124" s="28" t="s">
        <v>19</v>
      </c>
      <c r="E124" s="28" t="s">
        <v>208</v>
      </c>
      <c r="F124" s="28" t="s">
        <v>36</v>
      </c>
      <c r="G124" s="91" t="s">
        <v>838</v>
      </c>
      <c r="H124" s="49">
        <v>10618</v>
      </c>
      <c r="I124" s="46">
        <v>5700</v>
      </c>
      <c r="J124" s="48">
        <f>SUM(K124,L124:S124)</f>
        <v>3400</v>
      </c>
      <c r="K124" s="48">
        <v>3400</v>
      </c>
      <c r="L124" s="48"/>
      <c r="M124" s="48"/>
      <c r="N124" s="48"/>
      <c r="O124" s="48"/>
      <c r="P124" s="48"/>
      <c r="Q124" s="48"/>
      <c r="R124" s="48"/>
      <c r="S124" s="48"/>
      <c r="T124" s="48">
        <f>SUM(U124:W124)</f>
        <v>0</v>
      </c>
      <c r="U124" s="47"/>
      <c r="V124" s="48"/>
      <c r="W124" s="32"/>
      <c r="X124" s="32">
        <f>J124-T124</f>
        <v>3400</v>
      </c>
      <c r="Y124" s="32">
        <f>X124</f>
        <v>3400</v>
      </c>
      <c r="Z124" s="32"/>
      <c r="AA124" s="32"/>
      <c r="AB124" s="32">
        <f>SUM(Y124:AA124)</f>
        <v>3400</v>
      </c>
      <c r="AC124" s="47"/>
      <c r="AD124" s="48">
        <v>5700</v>
      </c>
      <c r="AE124" s="47"/>
      <c r="AF124" s="48">
        <f>AD124-AE124</f>
        <v>5700</v>
      </c>
      <c r="AG124" s="31"/>
      <c r="AH124" s="319">
        <f>AD124</f>
        <v>5700</v>
      </c>
      <c r="AI124" s="319">
        <v>2300</v>
      </c>
      <c r="AJ124" s="319">
        <f>AH124-AI124</f>
        <v>3400</v>
      </c>
      <c r="AK124" s="319"/>
      <c r="AL124" s="179" t="s">
        <v>473</v>
      </c>
      <c r="AM124" s="179" t="s">
        <v>461</v>
      </c>
      <c r="AN124" s="58">
        <f>Y124</f>
        <v>3400</v>
      </c>
      <c r="AO124" s="58"/>
      <c r="AP124" s="58"/>
      <c r="AQ124" s="58"/>
    </row>
  </sheetData>
  <mergeCells count="33">
    <mergeCell ref="A1:AC1"/>
    <mergeCell ref="A2:AC2"/>
    <mergeCell ref="A3:AC3"/>
    <mergeCell ref="A4:AC4"/>
    <mergeCell ref="D6:D8"/>
    <mergeCell ref="A6:A8"/>
    <mergeCell ref="B6:B8"/>
    <mergeCell ref="C6:C8"/>
    <mergeCell ref="E6:E8"/>
    <mergeCell ref="X6:X8"/>
    <mergeCell ref="T7:T8"/>
    <mergeCell ref="U7:W7"/>
    <mergeCell ref="L7:S7"/>
    <mergeCell ref="T6:W6"/>
    <mergeCell ref="G7:G8"/>
    <mergeCell ref="H7:I7"/>
    <mergeCell ref="F6:F8"/>
    <mergeCell ref="G6:I6"/>
    <mergeCell ref="K7:K8"/>
    <mergeCell ref="AI6:AI8"/>
    <mergeCell ref="Y6:Y8"/>
    <mergeCell ref="K6:S6"/>
    <mergeCell ref="J6:J8"/>
    <mergeCell ref="Z6:Z8"/>
    <mergeCell ref="AA6:AA8"/>
    <mergeCell ref="AB6:AB8"/>
    <mergeCell ref="AJ6:AJ8"/>
    <mergeCell ref="AC6:AC8"/>
    <mergeCell ref="AE7:AF7"/>
    <mergeCell ref="AD7:AD8"/>
    <mergeCell ref="AD6:AF6"/>
    <mergeCell ref="AG6:AG8"/>
    <mergeCell ref="AH6:AH8"/>
  </mergeCells>
  <printOptions horizontalCentered="1"/>
  <pageMargins left="0.39370078740157499" right="0.39370078740157499" top="0.39370078740157499" bottom="0.39370078740157499" header="0.196850393700787" footer="0.196850393700787"/>
  <pageSetup paperSize="9" scale="44" fitToHeight="0" orientation="landscape" r:id="rId1"/>
  <headerFooter>
    <oddFooter>&amp;C&amp;P/&amp;N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A26"/>
  <sheetViews>
    <sheetView view="pageBreakPreview" topLeftCell="A13" zoomScale="60" zoomScaleNormal="40" workbookViewId="0">
      <selection activeCell="AB23" sqref="AB23"/>
    </sheetView>
  </sheetViews>
  <sheetFormatPr defaultColWidth="9.109375" defaultRowHeight="16.8"/>
  <cols>
    <col min="1" max="1" width="8.6640625" style="11" customWidth="1"/>
    <col min="2" max="2" width="50.6640625" style="11" customWidth="1"/>
    <col min="3" max="6" width="20.6640625" style="11" customWidth="1"/>
    <col min="7" max="7" width="22.6640625" style="11" customWidth="1"/>
    <col min="8" max="9" width="20.6640625" style="11" customWidth="1"/>
    <col min="10" max="24" width="20.6640625" style="11" hidden="1" customWidth="1"/>
    <col min="25" max="28" width="20.6640625" style="11" customWidth="1"/>
    <col min="29" max="29" width="40.6640625" style="11" customWidth="1"/>
    <col min="30" max="30" width="14.88671875" style="11" customWidth="1"/>
    <col min="31" max="31" width="17.88671875" style="11" customWidth="1"/>
    <col min="32" max="32" width="19.33203125" style="11" customWidth="1"/>
    <col min="33" max="33" width="17.33203125" style="11" customWidth="1"/>
    <col min="34" max="36" width="11.33203125" style="11" customWidth="1"/>
    <col min="37" max="38" width="11.44140625" style="11"/>
    <col min="39" max="39" width="13" style="11" customWidth="1"/>
    <col min="40" max="40" width="12.6640625" style="11" bestFit="1" customWidth="1"/>
    <col min="41" max="43" width="11.44140625" style="11"/>
    <col min="44" max="44" width="12.6640625" style="11" bestFit="1" customWidth="1"/>
    <col min="45" max="52" width="11.44140625" style="11"/>
    <col min="53" max="53" width="13.88671875" style="11" customWidth="1"/>
    <col min="54" max="16384" width="9.109375" style="11"/>
  </cols>
  <sheetData>
    <row r="1" spans="1:53" ht="39.9" customHeight="1">
      <c r="A1" s="554" t="s">
        <v>441</v>
      </c>
      <c r="B1" s="554"/>
      <c r="C1" s="554"/>
      <c r="D1" s="554"/>
      <c r="E1" s="554"/>
      <c r="F1" s="554"/>
      <c r="G1" s="554"/>
      <c r="H1" s="554"/>
      <c r="I1" s="554"/>
      <c r="J1" s="554"/>
      <c r="K1" s="554"/>
      <c r="L1" s="554"/>
      <c r="M1" s="554"/>
      <c r="N1" s="554"/>
      <c r="O1" s="554"/>
      <c r="P1" s="554"/>
      <c r="Q1" s="554"/>
      <c r="R1" s="554"/>
      <c r="S1" s="554"/>
      <c r="T1" s="554"/>
      <c r="U1" s="554"/>
      <c r="V1" s="554"/>
      <c r="W1" s="554"/>
      <c r="X1" s="554"/>
      <c r="Y1" s="554"/>
      <c r="Z1" s="554"/>
      <c r="AA1" s="554"/>
      <c r="AB1" s="554"/>
      <c r="AC1" s="554"/>
    </row>
    <row r="2" spans="1:53" ht="69.900000000000006" customHeight="1">
      <c r="A2" s="555" t="s">
        <v>1458</v>
      </c>
      <c r="B2" s="555"/>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row>
    <row r="3" spans="1:53" ht="57.75" customHeight="1">
      <c r="A3" s="556" t="str">
        <f>'1. CĐNS'!A3</f>
        <v>(Ban hành kèm theo Quyết định số: 2571/QĐ-UBND ngày 12/12/2024 của Ủy ban nhân dân tỉnh)</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row>
    <row r="4" spans="1:53" ht="33.75" customHeight="1">
      <c r="J4" s="12"/>
      <c r="K4" s="194"/>
      <c r="L4" s="194"/>
      <c r="M4" s="194"/>
      <c r="N4" s="194"/>
      <c r="O4" s="194"/>
      <c r="P4" s="194"/>
      <c r="Q4" s="194"/>
      <c r="R4" s="194"/>
      <c r="S4" s="194"/>
      <c r="T4" s="194"/>
      <c r="U4" s="194"/>
      <c r="V4" s="194"/>
      <c r="W4" s="194"/>
      <c r="X4" s="194"/>
      <c r="Y4" s="194"/>
      <c r="Z4" s="194"/>
      <c r="AA4" s="194"/>
      <c r="AB4" s="194"/>
      <c r="AC4" s="12" t="s">
        <v>0</v>
      </c>
    </row>
    <row r="5" spans="1:53" ht="60" customHeight="1">
      <c r="A5" s="562" t="s">
        <v>1</v>
      </c>
      <c r="B5" s="561" t="s">
        <v>513</v>
      </c>
      <c r="C5" s="562" t="s">
        <v>2</v>
      </c>
      <c r="D5" s="559" t="s">
        <v>3</v>
      </c>
      <c r="E5" s="562" t="s">
        <v>4</v>
      </c>
      <c r="F5" s="562" t="s">
        <v>5</v>
      </c>
      <c r="G5" s="562" t="s">
        <v>148</v>
      </c>
      <c r="H5" s="562"/>
      <c r="I5" s="562"/>
      <c r="J5" s="557" t="s">
        <v>696</v>
      </c>
      <c r="K5" s="566" t="s">
        <v>512</v>
      </c>
      <c r="L5" s="567"/>
      <c r="M5" s="567"/>
      <c r="N5" s="567"/>
      <c r="O5" s="567"/>
      <c r="P5" s="567"/>
      <c r="Q5" s="567"/>
      <c r="R5" s="567"/>
      <c r="S5" s="568"/>
      <c r="T5" s="565" t="s">
        <v>808</v>
      </c>
      <c r="U5" s="565"/>
      <c r="V5" s="565"/>
      <c r="W5" s="565"/>
      <c r="X5" s="557" t="s">
        <v>689</v>
      </c>
      <c r="Y5" s="557" t="s">
        <v>690</v>
      </c>
      <c r="Z5" s="557" t="s">
        <v>1072</v>
      </c>
      <c r="AA5" s="557" t="s">
        <v>1073</v>
      </c>
      <c r="AB5" s="557" t="s">
        <v>1215</v>
      </c>
      <c r="AC5" s="562" t="s">
        <v>6</v>
      </c>
      <c r="AD5" s="14"/>
      <c r="AE5" s="56" t="s">
        <v>452</v>
      </c>
      <c r="AF5" s="56" t="s">
        <v>453</v>
      </c>
      <c r="AG5" s="57" t="s">
        <v>454</v>
      </c>
      <c r="AH5" s="57" t="s">
        <v>627</v>
      </c>
      <c r="AI5" s="57" t="s">
        <v>629</v>
      </c>
      <c r="AJ5" s="57" t="s">
        <v>628</v>
      </c>
      <c r="AK5" s="57"/>
      <c r="AL5" s="57" t="s">
        <v>455</v>
      </c>
      <c r="AM5" s="56" t="s">
        <v>456</v>
      </c>
      <c r="AN5" s="56" t="s">
        <v>474</v>
      </c>
      <c r="AO5" s="56" t="s">
        <v>629</v>
      </c>
      <c r="AP5" s="56" t="s">
        <v>459</v>
      </c>
      <c r="AQ5" s="56" t="s">
        <v>460</v>
      </c>
      <c r="AR5" s="56" t="s">
        <v>461</v>
      </c>
      <c r="AS5" s="56" t="s">
        <v>462</v>
      </c>
      <c r="AT5" s="56" t="s">
        <v>463</v>
      </c>
      <c r="AU5" s="56" t="s">
        <v>464</v>
      </c>
      <c r="AV5" s="56" t="s">
        <v>465</v>
      </c>
      <c r="AW5" s="56" t="s">
        <v>466</v>
      </c>
      <c r="AX5" s="56" t="s">
        <v>467</v>
      </c>
      <c r="AY5" s="56" t="s">
        <v>468</v>
      </c>
      <c r="AZ5" s="56" t="s">
        <v>469</v>
      </c>
      <c r="BA5" s="57"/>
    </row>
    <row r="6" spans="1:53" ht="60" customHeight="1">
      <c r="A6" s="562"/>
      <c r="B6" s="561"/>
      <c r="C6" s="562"/>
      <c r="D6" s="560"/>
      <c r="E6" s="562"/>
      <c r="F6" s="562"/>
      <c r="G6" s="562" t="s">
        <v>7</v>
      </c>
      <c r="H6" s="562" t="s">
        <v>8</v>
      </c>
      <c r="I6" s="562"/>
      <c r="J6" s="569"/>
      <c r="K6" s="557" t="s">
        <v>558</v>
      </c>
      <c r="L6" s="566" t="s">
        <v>559</v>
      </c>
      <c r="M6" s="567"/>
      <c r="N6" s="567"/>
      <c r="O6" s="567"/>
      <c r="P6" s="567"/>
      <c r="Q6" s="567"/>
      <c r="R6" s="567"/>
      <c r="S6" s="568"/>
      <c r="T6" s="565" t="s">
        <v>9</v>
      </c>
      <c r="U6" s="565" t="s">
        <v>10</v>
      </c>
      <c r="V6" s="565"/>
      <c r="W6" s="565"/>
      <c r="X6" s="569"/>
      <c r="Y6" s="569"/>
      <c r="Z6" s="569"/>
      <c r="AA6" s="569"/>
      <c r="AB6" s="569"/>
      <c r="AC6" s="562"/>
      <c r="AD6" s="14"/>
      <c r="AE6" s="56"/>
      <c r="AF6" s="56"/>
      <c r="AG6" s="57"/>
      <c r="AH6" s="57">
        <f>SUMIF($AH$8:$AH$979,AH5,$AG$8:$AG$979)</f>
        <v>107746</v>
      </c>
      <c r="AI6" s="57">
        <f>SUMIF($AH$8:$AH$979,AI5,$AG$8:$AG$979)</f>
        <v>47292</v>
      </c>
      <c r="AJ6" s="57">
        <f>SUMIF($AH$8:$AH$979,AJ5,$AG$8:$AG$979)</f>
        <v>0</v>
      </c>
      <c r="AK6" s="58" t="s">
        <v>470</v>
      </c>
      <c r="AL6" s="57">
        <f>COUNTIF(AE8:AE920,"CT")</f>
        <v>11</v>
      </c>
      <c r="AM6" s="82">
        <f>SUMIF(AE8:AE920,"CT",AG8:AG920)</f>
        <v>327693</v>
      </c>
      <c r="AN6" s="82">
        <f t="shared" ref="AN6:AZ6" si="0">SUMIFS($AG$8:$AG$1022,$AE$8:$AE$1022,"CT",$AF$8:$AF$1022,AN5)</f>
        <v>155038</v>
      </c>
      <c r="AO6" s="82">
        <f t="shared" si="0"/>
        <v>0</v>
      </c>
      <c r="AP6" s="82">
        <f t="shared" si="0"/>
        <v>0</v>
      </c>
      <c r="AQ6" s="82">
        <f t="shared" si="0"/>
        <v>0</v>
      </c>
      <c r="AR6" s="82">
        <f t="shared" si="0"/>
        <v>172655</v>
      </c>
      <c r="AS6" s="82">
        <f t="shared" si="0"/>
        <v>0</v>
      </c>
      <c r="AT6" s="82">
        <f t="shared" si="0"/>
        <v>0</v>
      </c>
      <c r="AU6" s="82">
        <f t="shared" si="0"/>
        <v>0</v>
      </c>
      <c r="AV6" s="82">
        <f t="shared" si="0"/>
        <v>0</v>
      </c>
      <c r="AW6" s="82">
        <f t="shared" si="0"/>
        <v>0</v>
      </c>
      <c r="AX6" s="82">
        <f t="shared" si="0"/>
        <v>0</v>
      </c>
      <c r="AY6" s="82">
        <f t="shared" si="0"/>
        <v>0</v>
      </c>
      <c r="AZ6" s="82">
        <f t="shared" si="0"/>
        <v>0</v>
      </c>
      <c r="BA6" s="58">
        <f>SUM(AN6:AZ6)</f>
        <v>327693</v>
      </c>
    </row>
    <row r="7" spans="1:53" ht="60" customHeight="1">
      <c r="A7" s="562"/>
      <c r="B7" s="561"/>
      <c r="C7" s="562"/>
      <c r="D7" s="563"/>
      <c r="E7" s="562"/>
      <c r="F7" s="562"/>
      <c r="G7" s="562"/>
      <c r="H7" s="13" t="s">
        <v>11</v>
      </c>
      <c r="I7" s="13" t="s">
        <v>12</v>
      </c>
      <c r="J7" s="558"/>
      <c r="K7" s="558"/>
      <c r="L7" s="85" t="s">
        <v>560</v>
      </c>
      <c r="M7" s="85" t="s">
        <v>562</v>
      </c>
      <c r="N7" s="85" t="s">
        <v>565</v>
      </c>
      <c r="O7" s="85" t="s">
        <v>573</v>
      </c>
      <c r="P7" s="85" t="s">
        <v>586</v>
      </c>
      <c r="Q7" s="85" t="s">
        <v>589</v>
      </c>
      <c r="R7" s="85" t="s">
        <v>648</v>
      </c>
      <c r="S7" s="85" t="s">
        <v>686</v>
      </c>
      <c r="T7" s="565"/>
      <c r="U7" s="85" t="s">
        <v>13</v>
      </c>
      <c r="V7" s="85" t="s">
        <v>564</v>
      </c>
      <c r="W7" s="85" t="s">
        <v>753</v>
      </c>
      <c r="X7" s="558"/>
      <c r="Y7" s="558"/>
      <c r="Z7" s="558"/>
      <c r="AA7" s="558"/>
      <c r="AB7" s="558"/>
      <c r="AC7" s="562"/>
      <c r="AE7" s="56"/>
      <c r="AF7" s="56"/>
      <c r="AG7" s="57"/>
      <c r="AH7" s="57"/>
      <c r="AI7" s="57"/>
      <c r="AJ7" s="57"/>
      <c r="AK7" s="57" t="s">
        <v>471</v>
      </c>
      <c r="AL7" s="57">
        <f>COUNTIF(AE8:AE919,"KCM")</f>
        <v>2</v>
      </c>
      <c r="AM7" s="82">
        <f>SUMIF(AE9:AE920,"KCM",AG9:AG920)</f>
        <v>102000</v>
      </c>
      <c r="AN7" s="82">
        <f t="shared" ref="AN7:AZ7" si="1">SUMIFS($AG$8:$AG$1022,$AE$8:$AE$1022,"KCM",$AF$8:$AF$1022,AN5)</f>
        <v>0</v>
      </c>
      <c r="AO7" s="82">
        <f t="shared" si="1"/>
        <v>0</v>
      </c>
      <c r="AP7" s="82">
        <f t="shared" si="1"/>
        <v>0</v>
      </c>
      <c r="AQ7" s="82">
        <f t="shared" si="1"/>
        <v>0</v>
      </c>
      <c r="AR7" s="82">
        <f t="shared" si="1"/>
        <v>102000</v>
      </c>
      <c r="AS7" s="82">
        <f t="shared" si="1"/>
        <v>0</v>
      </c>
      <c r="AT7" s="82">
        <f t="shared" si="1"/>
        <v>0</v>
      </c>
      <c r="AU7" s="82">
        <f t="shared" si="1"/>
        <v>0</v>
      </c>
      <c r="AV7" s="82">
        <f t="shared" si="1"/>
        <v>0</v>
      </c>
      <c r="AW7" s="82">
        <f t="shared" si="1"/>
        <v>0</v>
      </c>
      <c r="AX7" s="82">
        <f t="shared" si="1"/>
        <v>0</v>
      </c>
      <c r="AY7" s="82">
        <f t="shared" si="1"/>
        <v>0</v>
      </c>
      <c r="AZ7" s="82">
        <f t="shared" si="1"/>
        <v>0</v>
      </c>
      <c r="BA7" s="58">
        <f>SUM(AN7:AZ7)</f>
        <v>102000</v>
      </c>
    </row>
    <row r="8" spans="1:53" s="2" customFormat="1" ht="60" customHeight="1">
      <c r="A8" s="195"/>
      <c r="B8" s="24" t="s">
        <v>280</v>
      </c>
      <c r="C8" s="10"/>
      <c r="D8" s="10"/>
      <c r="E8" s="195"/>
      <c r="F8" s="195"/>
      <c r="G8" s="195"/>
      <c r="H8" s="7">
        <f t="shared" ref="H8:Y8" si="2">SUM(H9,H23)</f>
        <v>1806170</v>
      </c>
      <c r="I8" s="7">
        <f t="shared" si="2"/>
        <v>1710868</v>
      </c>
      <c r="J8" s="7">
        <f t="shared" si="2"/>
        <v>1211651</v>
      </c>
      <c r="K8" s="7">
        <f t="shared" si="2"/>
        <v>834651</v>
      </c>
      <c r="L8" s="7">
        <f t="shared" si="2"/>
        <v>0</v>
      </c>
      <c r="M8" s="7">
        <f t="shared" si="2"/>
        <v>0</v>
      </c>
      <c r="N8" s="7">
        <f t="shared" si="2"/>
        <v>265000</v>
      </c>
      <c r="O8" s="7">
        <f t="shared" si="2"/>
        <v>12000</v>
      </c>
      <c r="P8" s="7">
        <f t="shared" si="2"/>
        <v>0</v>
      </c>
      <c r="Q8" s="7">
        <f t="shared" si="2"/>
        <v>0</v>
      </c>
      <c r="R8" s="7">
        <f t="shared" si="2"/>
        <v>0</v>
      </c>
      <c r="S8" s="7">
        <f t="shared" si="2"/>
        <v>100000</v>
      </c>
      <c r="T8" s="7">
        <f t="shared" si="2"/>
        <v>720954</v>
      </c>
      <c r="U8" s="7">
        <f t="shared" si="2"/>
        <v>172906</v>
      </c>
      <c r="V8" s="7">
        <f t="shared" si="2"/>
        <v>167959</v>
      </c>
      <c r="W8" s="7">
        <f t="shared" si="2"/>
        <v>380089</v>
      </c>
      <c r="X8" s="7">
        <f t="shared" si="2"/>
        <v>490697</v>
      </c>
      <c r="Y8" s="7">
        <f t="shared" si="2"/>
        <v>429693</v>
      </c>
      <c r="Z8" s="7">
        <f>SUM(Z9,Z23)</f>
        <v>0</v>
      </c>
      <c r="AA8" s="369">
        <f>SUM(AA9,AA23)</f>
        <v>-85467</v>
      </c>
      <c r="AB8" s="7">
        <f>SUM(AB9,AB23)</f>
        <v>344226</v>
      </c>
      <c r="AC8" s="1"/>
      <c r="AE8" s="40"/>
      <c r="AF8" s="40"/>
      <c r="AG8" s="45"/>
      <c r="AH8" s="45"/>
      <c r="AI8" s="45"/>
      <c r="AJ8" s="45"/>
      <c r="AK8" s="230" t="s">
        <v>470</v>
      </c>
      <c r="AL8" s="44">
        <f>SUM(AN8:AZ8)</f>
        <v>11</v>
      </c>
      <c r="AM8" s="44"/>
      <c r="AN8" s="44">
        <f t="shared" ref="AN8:AV8" si="3">COUNTIFS($AE$8:$AE$920,"CT",$AF$8:$AF$920,AN5)</f>
        <v>7</v>
      </c>
      <c r="AO8" s="44">
        <f t="shared" si="3"/>
        <v>0</v>
      </c>
      <c r="AP8" s="44">
        <f t="shared" si="3"/>
        <v>0</v>
      </c>
      <c r="AQ8" s="44">
        <f t="shared" si="3"/>
        <v>0</v>
      </c>
      <c r="AR8" s="44">
        <f t="shared" si="3"/>
        <v>4</v>
      </c>
      <c r="AS8" s="44">
        <f t="shared" si="3"/>
        <v>0</v>
      </c>
      <c r="AT8" s="44">
        <f t="shared" si="3"/>
        <v>0</v>
      </c>
      <c r="AU8" s="44">
        <f t="shared" si="3"/>
        <v>0</v>
      </c>
      <c r="AV8" s="44">
        <f t="shared" si="3"/>
        <v>0</v>
      </c>
      <c r="AW8" s="44">
        <f>COUNTIFS($AE$8:$AE$42,"CT",$AF$8:$AF$42,AW5)</f>
        <v>0</v>
      </c>
      <c r="AX8" s="44">
        <f>COUNTIFS($AE$8:$AE$920,"CT",$AF$8:$AF$920,AX5)</f>
        <v>0</v>
      </c>
      <c r="AY8" s="44">
        <f>COUNTIFS($AE$8:$AE$920,"CT",$AF$8:$AF$920,AY5)</f>
        <v>0</v>
      </c>
      <c r="AZ8" s="44">
        <f>COUNTIFS($AE$8:$AE$920,"CT",$AF$8:$AF$920,AZ5)</f>
        <v>0</v>
      </c>
      <c r="BA8" s="45"/>
    </row>
    <row r="9" spans="1:53" ht="60" customHeight="1">
      <c r="A9" s="13" t="s">
        <v>15</v>
      </c>
      <c r="B9" s="30" t="s">
        <v>16</v>
      </c>
      <c r="C9" s="10"/>
      <c r="D9" s="10"/>
      <c r="E9" s="10"/>
      <c r="F9" s="10"/>
      <c r="G9" s="10"/>
      <c r="H9" s="8">
        <f>SUM(H10,H18)</f>
        <v>1623461</v>
      </c>
      <c r="I9" s="8">
        <f t="shared" ref="I9:Y9" si="4">SUM(I10,I18)</f>
        <v>1573868</v>
      </c>
      <c r="J9" s="8">
        <f t="shared" si="4"/>
        <v>1109651</v>
      </c>
      <c r="K9" s="8">
        <f t="shared" si="4"/>
        <v>732651</v>
      </c>
      <c r="L9" s="8">
        <f t="shared" si="4"/>
        <v>0</v>
      </c>
      <c r="M9" s="8">
        <f t="shared" si="4"/>
        <v>0</v>
      </c>
      <c r="N9" s="8">
        <f t="shared" si="4"/>
        <v>265000</v>
      </c>
      <c r="O9" s="8">
        <f t="shared" si="4"/>
        <v>12000</v>
      </c>
      <c r="P9" s="8">
        <f t="shared" si="4"/>
        <v>0</v>
      </c>
      <c r="Q9" s="8">
        <f t="shared" si="4"/>
        <v>0</v>
      </c>
      <c r="R9" s="8">
        <f t="shared" si="4"/>
        <v>0</v>
      </c>
      <c r="S9" s="8">
        <f t="shared" si="4"/>
        <v>100000</v>
      </c>
      <c r="T9" s="8">
        <f t="shared" si="4"/>
        <v>720954</v>
      </c>
      <c r="U9" s="8">
        <f t="shared" si="4"/>
        <v>172906</v>
      </c>
      <c r="V9" s="8">
        <f t="shared" si="4"/>
        <v>167959</v>
      </c>
      <c r="W9" s="8">
        <f t="shared" si="4"/>
        <v>380089</v>
      </c>
      <c r="X9" s="8">
        <f t="shared" si="4"/>
        <v>388697</v>
      </c>
      <c r="Y9" s="8">
        <f t="shared" si="4"/>
        <v>327693</v>
      </c>
      <c r="Z9" s="8">
        <f>SUM(Z10,Z18)</f>
        <v>0</v>
      </c>
      <c r="AA9" s="366">
        <f>SUM(AA10,AA18)</f>
        <v>-85467</v>
      </c>
      <c r="AB9" s="8">
        <f>SUM(AB10,AB18)</f>
        <v>242226</v>
      </c>
      <c r="AC9" s="196"/>
      <c r="AE9" s="39"/>
      <c r="AF9" s="39"/>
      <c r="AG9" s="44"/>
      <c r="AH9" s="44"/>
      <c r="AI9" s="44"/>
      <c r="AJ9" s="44"/>
      <c r="AK9" s="42" t="s">
        <v>471</v>
      </c>
      <c r="AL9" s="44">
        <f>SUM(AN9:AZ9)</f>
        <v>2</v>
      </c>
      <c r="AM9" s="44"/>
      <c r="AN9" s="44">
        <f t="shared" ref="AN9:AZ9" si="5">COUNTIFS($AE$8:$AE$920,"KCM",$AF$8:$AF$920,AN5)</f>
        <v>0</v>
      </c>
      <c r="AO9" s="44">
        <f t="shared" si="5"/>
        <v>0</v>
      </c>
      <c r="AP9" s="44">
        <f t="shared" si="5"/>
        <v>0</v>
      </c>
      <c r="AQ9" s="44">
        <f t="shared" si="5"/>
        <v>0</v>
      </c>
      <c r="AR9" s="44">
        <f t="shared" si="5"/>
        <v>2</v>
      </c>
      <c r="AS9" s="44">
        <f t="shared" si="5"/>
        <v>0</v>
      </c>
      <c r="AT9" s="44">
        <f t="shared" si="5"/>
        <v>0</v>
      </c>
      <c r="AU9" s="44">
        <f t="shared" si="5"/>
        <v>0</v>
      </c>
      <c r="AV9" s="44">
        <f t="shared" si="5"/>
        <v>0</v>
      </c>
      <c r="AW9" s="44">
        <f t="shared" si="5"/>
        <v>0</v>
      </c>
      <c r="AX9" s="44">
        <f t="shared" si="5"/>
        <v>0</v>
      </c>
      <c r="AY9" s="44">
        <f t="shared" si="5"/>
        <v>0</v>
      </c>
      <c r="AZ9" s="44">
        <f t="shared" si="5"/>
        <v>0</v>
      </c>
      <c r="BA9" s="44"/>
    </row>
    <row r="10" spans="1:53" ht="38.25" customHeight="1">
      <c r="A10" s="15" t="s">
        <v>17</v>
      </c>
      <c r="B10" s="16" t="s">
        <v>64</v>
      </c>
      <c r="C10" s="10"/>
      <c r="D10" s="10"/>
      <c r="E10" s="10"/>
      <c r="F10" s="10"/>
      <c r="G10" s="10"/>
      <c r="H10" s="29">
        <f>SUM(H11:H17)</f>
        <v>1189470</v>
      </c>
      <c r="I10" s="29">
        <f t="shared" ref="I10:X10" si="6">SUM(I11:I17)</f>
        <v>1151096</v>
      </c>
      <c r="J10" s="29">
        <f t="shared" si="6"/>
        <v>709651</v>
      </c>
      <c r="K10" s="29">
        <f t="shared" si="6"/>
        <v>609651</v>
      </c>
      <c r="L10" s="29">
        <f t="shared" si="6"/>
        <v>0</v>
      </c>
      <c r="M10" s="29">
        <f t="shared" si="6"/>
        <v>0</v>
      </c>
      <c r="N10" s="29">
        <f t="shared" si="6"/>
        <v>0</v>
      </c>
      <c r="O10" s="29">
        <f t="shared" si="6"/>
        <v>0</v>
      </c>
      <c r="P10" s="29">
        <f t="shared" si="6"/>
        <v>0</v>
      </c>
      <c r="Q10" s="29">
        <f t="shared" si="6"/>
        <v>0</v>
      </c>
      <c r="R10" s="29">
        <f t="shared" si="6"/>
        <v>0</v>
      </c>
      <c r="S10" s="29">
        <f t="shared" si="6"/>
        <v>100000</v>
      </c>
      <c r="T10" s="29">
        <f t="shared" si="6"/>
        <v>492642</v>
      </c>
      <c r="U10" s="29">
        <f t="shared" si="6"/>
        <v>91906</v>
      </c>
      <c r="V10" s="29">
        <f t="shared" si="6"/>
        <v>93959</v>
      </c>
      <c r="W10" s="29">
        <f t="shared" si="6"/>
        <v>306777</v>
      </c>
      <c r="X10" s="29">
        <f t="shared" si="6"/>
        <v>217009</v>
      </c>
      <c r="Y10" s="29">
        <f>SUM(Y11:Y17)</f>
        <v>155038</v>
      </c>
      <c r="Z10" s="29">
        <f>SUM(Z11:Z17)</f>
        <v>0</v>
      </c>
      <c r="AA10" s="367">
        <f>SUM(AA11:AA17)</f>
        <v>-27947</v>
      </c>
      <c r="AB10" s="29">
        <f>SUM(AB11:AB17)</f>
        <v>127091</v>
      </c>
      <c r="AC10" s="197"/>
      <c r="AE10" s="39"/>
      <c r="AF10" s="39"/>
      <c r="AG10" s="44"/>
      <c r="AH10" s="44"/>
      <c r="AI10" s="44"/>
      <c r="AJ10" s="44"/>
      <c r="AK10" s="42"/>
      <c r="AL10" s="44"/>
      <c r="AM10" s="44"/>
      <c r="AN10" s="44"/>
      <c r="AO10" s="44"/>
      <c r="AP10" s="44"/>
      <c r="AQ10" s="44"/>
      <c r="AR10" s="44"/>
      <c r="AS10" s="44"/>
      <c r="AT10" s="44"/>
      <c r="AU10" s="44"/>
      <c r="AV10" s="44"/>
      <c r="AW10" s="44"/>
      <c r="AX10" s="44"/>
      <c r="AY10" s="44"/>
      <c r="AZ10" s="44"/>
      <c r="BA10" s="44"/>
    </row>
    <row r="11" spans="1:53" ht="86.25" customHeight="1">
      <c r="A11" s="10">
        <v>1</v>
      </c>
      <c r="B11" s="17" t="s">
        <v>21</v>
      </c>
      <c r="C11" s="10" t="s">
        <v>18</v>
      </c>
      <c r="D11" s="10" t="s">
        <v>20</v>
      </c>
      <c r="E11" s="198" t="s">
        <v>22</v>
      </c>
      <c r="F11" s="28" t="s">
        <v>23</v>
      </c>
      <c r="G11" s="199" t="s">
        <v>24</v>
      </c>
      <c r="H11" s="46">
        <v>215847</v>
      </c>
      <c r="I11" s="46">
        <v>215847</v>
      </c>
      <c r="J11" s="48">
        <f>SUM(K11,L11:S11)</f>
        <v>140000</v>
      </c>
      <c r="K11" s="48">
        <v>40000</v>
      </c>
      <c r="L11" s="48"/>
      <c r="M11" s="48"/>
      <c r="N11" s="48"/>
      <c r="O11" s="48"/>
      <c r="P11" s="48"/>
      <c r="Q11" s="48"/>
      <c r="R11" s="48"/>
      <c r="S11" s="48">
        <v>100000</v>
      </c>
      <c r="T11" s="48">
        <f>SUM(U11:W11)</f>
        <v>40000</v>
      </c>
      <c r="U11" s="48">
        <v>11906</v>
      </c>
      <c r="V11" s="32">
        <v>25959</v>
      </c>
      <c r="W11" s="84">
        <v>2135</v>
      </c>
      <c r="X11" s="70">
        <f>J11-T11</f>
        <v>100000</v>
      </c>
      <c r="Y11" s="84">
        <v>45000</v>
      </c>
      <c r="Z11" s="84"/>
      <c r="AA11" s="84"/>
      <c r="AB11" s="84">
        <f>SUM(Y11:AA11)</f>
        <v>45000</v>
      </c>
      <c r="AC11" s="200"/>
      <c r="AE11" s="11" t="s">
        <v>472</v>
      </c>
      <c r="AF11" s="11" t="s">
        <v>474</v>
      </c>
      <c r="AG11" s="6">
        <f t="shared" ref="AG11:AG17" si="7">Y11</f>
        <v>45000</v>
      </c>
      <c r="AH11" s="6" t="s">
        <v>627</v>
      </c>
      <c r="AI11" s="6"/>
      <c r="AJ11" s="6"/>
    </row>
    <row r="12" spans="1:53" ht="78.75" customHeight="1">
      <c r="A12" s="10">
        <f t="shared" ref="A12:A17" si="8">+A11+1</f>
        <v>2</v>
      </c>
      <c r="B12" s="17" t="s">
        <v>33</v>
      </c>
      <c r="C12" s="3" t="s">
        <v>34</v>
      </c>
      <c r="D12" s="3" t="s">
        <v>20</v>
      </c>
      <c r="E12" s="10" t="s">
        <v>35</v>
      </c>
      <c r="F12" s="10" t="s">
        <v>36</v>
      </c>
      <c r="G12" s="204" t="s">
        <v>797</v>
      </c>
      <c r="H12" s="46">
        <v>199195</v>
      </c>
      <c r="I12" s="46">
        <v>181000</v>
      </c>
      <c r="J12" s="48">
        <f t="shared" ref="J12:J17" si="9">SUM(K12,L12:S12)</f>
        <v>161651</v>
      </c>
      <c r="K12" s="46">
        <f>165000-3349</f>
        <v>161651</v>
      </c>
      <c r="L12" s="48"/>
      <c r="M12" s="48"/>
      <c r="N12" s="48"/>
      <c r="O12" s="48"/>
      <c r="P12" s="48"/>
      <c r="Q12" s="48"/>
      <c r="R12" s="48"/>
      <c r="S12" s="48"/>
      <c r="T12" s="48">
        <f t="shared" ref="T12:T17" si="10">SUM(U12:W12)</f>
        <v>148616</v>
      </c>
      <c r="U12" s="46">
        <v>65000</v>
      </c>
      <c r="V12" s="32">
        <v>40000</v>
      </c>
      <c r="W12" s="84">
        <v>43616</v>
      </c>
      <c r="X12" s="70">
        <f t="shared" ref="X12:X17" si="11">J12-T12</f>
        <v>13035</v>
      </c>
      <c r="Y12" s="84">
        <v>9000</v>
      </c>
      <c r="Z12" s="84"/>
      <c r="AA12" s="84"/>
      <c r="AB12" s="84">
        <f t="shared" ref="AB12:AB17" si="12">SUM(Y12:AA12)</f>
        <v>9000</v>
      </c>
      <c r="AC12" s="200" t="s">
        <v>521</v>
      </c>
      <c r="AE12" s="11" t="s">
        <v>472</v>
      </c>
      <c r="AF12" s="11" t="s">
        <v>474</v>
      </c>
      <c r="AG12" s="6">
        <f t="shared" si="7"/>
        <v>9000</v>
      </c>
      <c r="AH12" s="6" t="s">
        <v>629</v>
      </c>
      <c r="AI12" s="6"/>
      <c r="AJ12" s="6"/>
    </row>
    <row r="13" spans="1:53" ht="82.5" customHeight="1">
      <c r="A13" s="10">
        <f t="shared" si="8"/>
        <v>3</v>
      </c>
      <c r="B13" s="17" t="s">
        <v>37</v>
      </c>
      <c r="C13" s="163" t="s">
        <v>38</v>
      </c>
      <c r="D13" s="163" t="s">
        <v>19</v>
      </c>
      <c r="E13" s="10" t="s">
        <v>39</v>
      </c>
      <c r="F13" s="10" t="s">
        <v>36</v>
      </c>
      <c r="G13" s="203" t="s">
        <v>40</v>
      </c>
      <c r="H13" s="46">
        <v>51869</v>
      </c>
      <c r="I13" s="46">
        <v>51869</v>
      </c>
      <c r="J13" s="48">
        <f t="shared" si="9"/>
        <v>23000</v>
      </c>
      <c r="K13" s="46">
        <v>23000</v>
      </c>
      <c r="L13" s="48"/>
      <c r="M13" s="48"/>
      <c r="N13" s="48"/>
      <c r="O13" s="48"/>
      <c r="P13" s="48"/>
      <c r="Q13" s="48"/>
      <c r="R13" s="48"/>
      <c r="S13" s="48"/>
      <c r="T13" s="48">
        <f t="shared" si="10"/>
        <v>20500</v>
      </c>
      <c r="U13" s="46">
        <v>15000</v>
      </c>
      <c r="V13" s="70">
        <v>3000</v>
      </c>
      <c r="W13" s="84">
        <v>2500</v>
      </c>
      <c r="X13" s="70">
        <f t="shared" si="11"/>
        <v>2500</v>
      </c>
      <c r="Y13" s="84">
        <v>200</v>
      </c>
      <c r="Z13" s="84"/>
      <c r="AA13" s="84"/>
      <c r="AB13" s="84">
        <f t="shared" si="12"/>
        <v>200</v>
      </c>
      <c r="AC13" s="200" t="s">
        <v>483</v>
      </c>
      <c r="AE13" s="11" t="s">
        <v>472</v>
      </c>
      <c r="AF13" s="11" t="s">
        <v>474</v>
      </c>
      <c r="AG13" s="6">
        <f t="shared" si="7"/>
        <v>200</v>
      </c>
      <c r="AH13" s="6" t="s">
        <v>629</v>
      </c>
      <c r="AI13" s="6"/>
      <c r="AJ13" s="6"/>
    </row>
    <row r="14" spans="1:53" ht="75" customHeight="1">
      <c r="A14" s="10">
        <f t="shared" si="8"/>
        <v>4</v>
      </c>
      <c r="B14" s="17" t="s">
        <v>798</v>
      </c>
      <c r="C14" s="28" t="s">
        <v>42</v>
      </c>
      <c r="D14" s="28" t="s">
        <v>20</v>
      </c>
      <c r="E14" s="28" t="s">
        <v>43</v>
      </c>
      <c r="F14" s="28" t="s">
        <v>36</v>
      </c>
      <c r="G14" s="118" t="s">
        <v>799</v>
      </c>
      <c r="H14" s="162">
        <v>492380</v>
      </c>
      <c r="I14" s="162">
        <v>492380</v>
      </c>
      <c r="J14" s="48">
        <f t="shared" si="9"/>
        <v>240000</v>
      </c>
      <c r="K14" s="46">
        <v>240000</v>
      </c>
      <c r="L14" s="48"/>
      <c r="M14" s="48"/>
      <c r="N14" s="48"/>
      <c r="O14" s="48"/>
      <c r="P14" s="48"/>
      <c r="Q14" s="48"/>
      <c r="R14" s="48"/>
      <c r="S14" s="48"/>
      <c r="T14" s="48">
        <f t="shared" si="10"/>
        <v>181854</v>
      </c>
      <c r="U14" s="46"/>
      <c r="V14" s="48"/>
      <c r="W14" s="84">
        <v>181854</v>
      </c>
      <c r="X14" s="70">
        <f t="shared" si="11"/>
        <v>58146</v>
      </c>
      <c r="Y14" s="84">
        <f>X14</f>
        <v>58146</v>
      </c>
      <c r="Z14" s="84"/>
      <c r="AA14" s="387">
        <v>-20000</v>
      </c>
      <c r="AB14" s="84">
        <f t="shared" si="12"/>
        <v>38146</v>
      </c>
      <c r="AC14" s="200" t="s">
        <v>522</v>
      </c>
      <c r="AE14" s="11" t="s">
        <v>472</v>
      </c>
      <c r="AF14" s="11" t="s">
        <v>474</v>
      </c>
      <c r="AG14" s="6">
        <f t="shared" si="7"/>
        <v>58146</v>
      </c>
      <c r="AH14" s="6" t="s">
        <v>627</v>
      </c>
      <c r="AI14" s="6"/>
      <c r="AJ14" s="6"/>
    </row>
    <row r="15" spans="1:53" ht="60" customHeight="1">
      <c r="A15" s="10">
        <f t="shared" si="8"/>
        <v>5</v>
      </c>
      <c r="B15" s="201" t="s">
        <v>44</v>
      </c>
      <c r="C15" s="28" t="s">
        <v>26</v>
      </c>
      <c r="D15" s="28" t="s">
        <v>20</v>
      </c>
      <c r="E15" s="28" t="s">
        <v>45</v>
      </c>
      <c r="F15" s="28" t="s">
        <v>46</v>
      </c>
      <c r="G15" s="203" t="s">
        <v>800</v>
      </c>
      <c r="H15" s="49">
        <v>128400</v>
      </c>
      <c r="I15" s="49">
        <v>116000</v>
      </c>
      <c r="J15" s="48">
        <f t="shared" si="9"/>
        <v>59000</v>
      </c>
      <c r="K15" s="49">
        <v>59000</v>
      </c>
      <c r="L15" s="48"/>
      <c r="M15" s="48"/>
      <c r="N15" s="48"/>
      <c r="O15" s="48"/>
      <c r="P15" s="48"/>
      <c r="Q15" s="48"/>
      <c r="R15" s="48"/>
      <c r="S15" s="48"/>
      <c r="T15" s="48">
        <f t="shared" si="10"/>
        <v>54400</v>
      </c>
      <c r="U15" s="49"/>
      <c r="V15" s="48"/>
      <c r="W15" s="84">
        <v>54400</v>
      </c>
      <c r="X15" s="70">
        <f t="shared" si="11"/>
        <v>4600</v>
      </c>
      <c r="Y15" s="84">
        <f>X15</f>
        <v>4600</v>
      </c>
      <c r="Z15" s="84"/>
      <c r="AA15" s="84"/>
      <c r="AB15" s="84">
        <f t="shared" si="12"/>
        <v>4600</v>
      </c>
      <c r="AC15" s="200" t="s">
        <v>522</v>
      </c>
      <c r="AE15" s="11" t="s">
        <v>472</v>
      </c>
      <c r="AF15" s="11" t="s">
        <v>474</v>
      </c>
      <c r="AG15" s="6">
        <f t="shared" si="7"/>
        <v>4600</v>
      </c>
      <c r="AH15" s="6" t="s">
        <v>627</v>
      </c>
      <c r="AI15" s="6"/>
      <c r="AJ15" s="6"/>
    </row>
    <row r="16" spans="1:53" ht="76.5" customHeight="1">
      <c r="A16" s="10">
        <f t="shared" si="8"/>
        <v>6</v>
      </c>
      <c r="B16" s="4" t="s">
        <v>47</v>
      </c>
      <c r="C16" s="28" t="s">
        <v>447</v>
      </c>
      <c r="D16" s="28" t="s">
        <v>19</v>
      </c>
      <c r="E16" s="28" t="s">
        <v>48</v>
      </c>
      <c r="F16" s="28" t="s">
        <v>36</v>
      </c>
      <c r="G16" s="34" t="s">
        <v>801</v>
      </c>
      <c r="H16" s="49">
        <v>41603</v>
      </c>
      <c r="I16" s="49">
        <v>38000</v>
      </c>
      <c r="J16" s="48">
        <f t="shared" si="9"/>
        <v>35000</v>
      </c>
      <c r="K16" s="49">
        <v>35000</v>
      </c>
      <c r="L16" s="48"/>
      <c r="M16" s="48"/>
      <c r="N16" s="48"/>
      <c r="O16" s="48"/>
      <c r="P16" s="48"/>
      <c r="Q16" s="48"/>
      <c r="R16" s="48"/>
      <c r="S16" s="48"/>
      <c r="T16" s="48">
        <f t="shared" si="10"/>
        <v>32272</v>
      </c>
      <c r="U16" s="47"/>
      <c r="V16" s="32">
        <v>25000</v>
      </c>
      <c r="W16" s="84">
        <v>7272</v>
      </c>
      <c r="X16" s="70">
        <f t="shared" si="11"/>
        <v>2728</v>
      </c>
      <c r="Y16" s="84">
        <v>2092</v>
      </c>
      <c r="Z16" s="84"/>
      <c r="AA16" s="387">
        <v>-1947</v>
      </c>
      <c r="AB16" s="84">
        <f t="shared" si="12"/>
        <v>145</v>
      </c>
      <c r="AC16" s="200" t="s">
        <v>522</v>
      </c>
      <c r="AE16" s="11" t="s">
        <v>472</v>
      </c>
      <c r="AF16" s="11" t="s">
        <v>474</v>
      </c>
      <c r="AG16" s="6">
        <f t="shared" si="7"/>
        <v>2092</v>
      </c>
      <c r="AH16" s="6" t="s">
        <v>629</v>
      </c>
      <c r="AI16" s="6"/>
      <c r="AJ16" s="6"/>
    </row>
    <row r="17" spans="1:36" ht="81.75" customHeight="1">
      <c r="A17" s="10">
        <f t="shared" si="8"/>
        <v>7</v>
      </c>
      <c r="B17" s="4" t="s">
        <v>49</v>
      </c>
      <c r="C17" s="28" t="s">
        <v>448</v>
      </c>
      <c r="D17" s="28" t="s">
        <v>20</v>
      </c>
      <c r="E17" s="28" t="s">
        <v>50</v>
      </c>
      <c r="F17" s="28" t="s">
        <v>36</v>
      </c>
      <c r="G17" s="177" t="s">
        <v>802</v>
      </c>
      <c r="H17" s="49">
        <v>60176</v>
      </c>
      <c r="I17" s="49">
        <v>56000</v>
      </c>
      <c r="J17" s="48">
        <f t="shared" si="9"/>
        <v>51000</v>
      </c>
      <c r="K17" s="49">
        <v>51000</v>
      </c>
      <c r="L17" s="48"/>
      <c r="M17" s="48"/>
      <c r="N17" s="48"/>
      <c r="O17" s="48"/>
      <c r="P17" s="48"/>
      <c r="Q17" s="48"/>
      <c r="R17" s="48"/>
      <c r="S17" s="48"/>
      <c r="T17" s="48">
        <f t="shared" si="10"/>
        <v>15000</v>
      </c>
      <c r="U17" s="47"/>
      <c r="V17" s="48"/>
      <c r="W17" s="84">
        <v>15000</v>
      </c>
      <c r="X17" s="70">
        <f t="shared" si="11"/>
        <v>36000</v>
      </c>
      <c r="Y17" s="84">
        <f>X17</f>
        <v>36000</v>
      </c>
      <c r="Z17" s="84"/>
      <c r="AA17" s="387">
        <v>-6000</v>
      </c>
      <c r="AB17" s="84">
        <f t="shared" si="12"/>
        <v>30000</v>
      </c>
      <c r="AC17" s="200" t="s">
        <v>522</v>
      </c>
      <c r="AE17" s="11" t="s">
        <v>472</v>
      </c>
      <c r="AF17" s="11" t="s">
        <v>474</v>
      </c>
      <c r="AG17" s="6">
        <f t="shared" si="7"/>
        <v>36000</v>
      </c>
      <c r="AH17" s="6" t="s">
        <v>629</v>
      </c>
      <c r="AI17" s="6"/>
      <c r="AJ17" s="6"/>
    </row>
    <row r="18" spans="1:36" ht="38.25" customHeight="1">
      <c r="A18" s="15" t="s">
        <v>25</v>
      </c>
      <c r="B18" s="16" t="s">
        <v>65</v>
      </c>
      <c r="C18" s="10"/>
      <c r="D18" s="10"/>
      <c r="E18" s="10"/>
      <c r="F18" s="10"/>
      <c r="G18" s="10"/>
      <c r="H18" s="29">
        <f>SUM(H19:H22)</f>
        <v>433991</v>
      </c>
      <c r="I18" s="29">
        <f t="shared" ref="I18:X18" si="13">SUM(I19:I22)</f>
        <v>422772</v>
      </c>
      <c r="J18" s="29">
        <f t="shared" si="13"/>
        <v>400000</v>
      </c>
      <c r="K18" s="29">
        <f t="shared" si="13"/>
        <v>123000</v>
      </c>
      <c r="L18" s="29">
        <f t="shared" si="13"/>
        <v>0</v>
      </c>
      <c r="M18" s="29">
        <f t="shared" si="13"/>
        <v>0</v>
      </c>
      <c r="N18" s="29">
        <f t="shared" si="13"/>
        <v>265000</v>
      </c>
      <c r="O18" s="29">
        <f t="shared" si="13"/>
        <v>12000</v>
      </c>
      <c r="P18" s="29">
        <f t="shared" si="13"/>
        <v>0</v>
      </c>
      <c r="Q18" s="29">
        <f t="shared" si="13"/>
        <v>0</v>
      </c>
      <c r="R18" s="29">
        <f t="shared" si="13"/>
        <v>0</v>
      </c>
      <c r="S18" s="29">
        <f t="shared" si="13"/>
        <v>0</v>
      </c>
      <c r="T18" s="29">
        <f t="shared" si="13"/>
        <v>228312</v>
      </c>
      <c r="U18" s="29">
        <f t="shared" si="13"/>
        <v>81000</v>
      </c>
      <c r="V18" s="29">
        <f t="shared" si="13"/>
        <v>74000</v>
      </c>
      <c r="W18" s="29">
        <f t="shared" si="13"/>
        <v>73312</v>
      </c>
      <c r="X18" s="29">
        <f t="shared" si="13"/>
        <v>171688</v>
      </c>
      <c r="Y18" s="29">
        <f>SUM(Y19:Y22)</f>
        <v>172655</v>
      </c>
      <c r="Z18" s="29">
        <f>SUM(Z19:Z22)</f>
        <v>0</v>
      </c>
      <c r="AA18" s="367">
        <f>SUM(AA19:AA22)</f>
        <v>-57520</v>
      </c>
      <c r="AB18" s="29">
        <f>SUM(AB19:AB22)</f>
        <v>115135</v>
      </c>
      <c r="AC18" s="197"/>
    </row>
    <row r="19" spans="1:36" ht="73.5" customHeight="1">
      <c r="A19" s="10">
        <v>1</v>
      </c>
      <c r="B19" s="17" t="s">
        <v>890</v>
      </c>
      <c r="C19" s="10" t="s">
        <v>59</v>
      </c>
      <c r="D19" s="198" t="s">
        <v>19</v>
      </c>
      <c r="E19" s="28" t="s">
        <v>891</v>
      </c>
      <c r="F19" s="28" t="s">
        <v>27</v>
      </c>
      <c r="G19" s="199" t="s">
        <v>892</v>
      </c>
      <c r="H19" s="46">
        <v>22794</v>
      </c>
      <c r="I19" s="46">
        <v>22794</v>
      </c>
      <c r="J19" s="48">
        <f>SUM(K19,L19:S19)</f>
        <v>10000</v>
      </c>
      <c r="K19" s="46">
        <v>10000</v>
      </c>
      <c r="L19" s="48"/>
      <c r="M19" s="48"/>
      <c r="N19" s="48"/>
      <c r="O19" s="48"/>
      <c r="P19" s="48"/>
      <c r="Q19" s="48"/>
      <c r="R19" s="48"/>
      <c r="S19" s="48"/>
      <c r="T19" s="48">
        <f>SUM(U19:W19)</f>
        <v>10000</v>
      </c>
      <c r="U19" s="48">
        <v>10000</v>
      </c>
      <c r="V19" s="32"/>
      <c r="W19" s="84"/>
      <c r="X19" s="70"/>
      <c r="Y19" s="84">
        <v>967</v>
      </c>
      <c r="Z19" s="84"/>
      <c r="AA19" s="84"/>
      <c r="AB19" s="84">
        <f>SUM(Y19:AA19)</f>
        <v>967</v>
      </c>
      <c r="AC19" s="200" t="s">
        <v>893</v>
      </c>
      <c r="AE19" s="11" t="s">
        <v>472</v>
      </c>
      <c r="AF19" s="11" t="s">
        <v>461</v>
      </c>
      <c r="AG19" s="6">
        <f>Y19</f>
        <v>967</v>
      </c>
      <c r="AH19" s="6"/>
      <c r="AI19" s="6"/>
      <c r="AJ19" s="6"/>
    </row>
    <row r="20" spans="1:36" ht="84" customHeight="1">
      <c r="A20" s="10">
        <f>+A19+1</f>
        <v>2</v>
      </c>
      <c r="B20" s="17" t="s">
        <v>28</v>
      </c>
      <c r="C20" s="10" t="s">
        <v>146</v>
      </c>
      <c r="D20" s="10" t="s">
        <v>19</v>
      </c>
      <c r="E20" s="198" t="s">
        <v>29</v>
      </c>
      <c r="F20" s="28" t="s">
        <v>316</v>
      </c>
      <c r="G20" s="199" t="s">
        <v>1068</v>
      </c>
      <c r="H20" s="46">
        <v>47978</v>
      </c>
      <c r="I20" s="46">
        <v>47978</v>
      </c>
      <c r="J20" s="48">
        <f>SUM(K20,L20:S20)</f>
        <v>38000</v>
      </c>
      <c r="K20" s="46">
        <v>38000</v>
      </c>
      <c r="L20" s="48"/>
      <c r="M20" s="48"/>
      <c r="N20" s="48"/>
      <c r="O20" s="48"/>
      <c r="P20" s="48"/>
      <c r="Q20" s="48"/>
      <c r="R20" s="48"/>
      <c r="S20" s="48"/>
      <c r="T20" s="48">
        <f>SUM(U20:W20)</f>
        <v>32312</v>
      </c>
      <c r="U20" s="48">
        <v>18000</v>
      </c>
      <c r="V20" s="32">
        <v>14000</v>
      </c>
      <c r="W20" s="84">
        <v>312</v>
      </c>
      <c r="X20" s="70">
        <f>J20-T20</f>
        <v>5688</v>
      </c>
      <c r="Y20" s="84">
        <f>X20</f>
        <v>5688</v>
      </c>
      <c r="Z20" s="84"/>
      <c r="AA20" s="387">
        <v>-5520</v>
      </c>
      <c r="AB20" s="84">
        <f>SUM(Y20:AA20)</f>
        <v>168</v>
      </c>
      <c r="AC20" s="200"/>
      <c r="AE20" s="11" t="s">
        <v>472</v>
      </c>
      <c r="AF20" s="11" t="s">
        <v>461</v>
      </c>
      <c r="AG20" s="6">
        <f>Y20</f>
        <v>5688</v>
      </c>
      <c r="AH20" s="6"/>
      <c r="AI20" s="6"/>
      <c r="AJ20" s="6"/>
    </row>
    <row r="21" spans="1:36" ht="87" customHeight="1">
      <c r="A21" s="10">
        <f>+A20+1</f>
        <v>3</v>
      </c>
      <c r="B21" s="17" t="s">
        <v>51</v>
      </c>
      <c r="C21" s="10" t="s">
        <v>52</v>
      </c>
      <c r="D21" s="10" t="s">
        <v>19</v>
      </c>
      <c r="E21" s="10" t="s">
        <v>61</v>
      </c>
      <c r="F21" s="10" t="s">
        <v>36</v>
      </c>
      <c r="G21" s="10" t="s">
        <v>53</v>
      </c>
      <c r="H21" s="46">
        <v>91000</v>
      </c>
      <c r="I21" s="46">
        <v>87000</v>
      </c>
      <c r="J21" s="48">
        <f>SUM(K21,L21:S21)</f>
        <v>87000</v>
      </c>
      <c r="K21" s="46">
        <v>75000</v>
      </c>
      <c r="L21" s="49"/>
      <c r="M21" s="49"/>
      <c r="N21" s="49"/>
      <c r="O21" s="49">
        <v>12000</v>
      </c>
      <c r="P21" s="49"/>
      <c r="Q21" s="49"/>
      <c r="R21" s="49"/>
      <c r="S21" s="49"/>
      <c r="T21" s="48">
        <f>SUM(U21:W21)</f>
        <v>75000</v>
      </c>
      <c r="U21" s="46">
        <v>53000</v>
      </c>
      <c r="V21" s="54">
        <v>15000</v>
      </c>
      <c r="W21" s="84">
        <v>7000</v>
      </c>
      <c r="X21" s="70">
        <f>J21-T21</f>
        <v>12000</v>
      </c>
      <c r="Y21" s="84">
        <f>X21</f>
        <v>12000</v>
      </c>
      <c r="Z21" s="84"/>
      <c r="AA21" s="449">
        <v>-2000</v>
      </c>
      <c r="AB21" s="84">
        <f>SUM(Y21:AA21)</f>
        <v>10000</v>
      </c>
      <c r="AC21" s="200"/>
      <c r="AE21" s="11" t="s">
        <v>472</v>
      </c>
      <c r="AF21" s="11" t="s">
        <v>461</v>
      </c>
      <c r="AG21" s="6">
        <f>Y21</f>
        <v>12000</v>
      </c>
      <c r="AH21" s="6"/>
      <c r="AI21" s="6"/>
      <c r="AJ21" s="6"/>
    </row>
    <row r="22" spans="1:36" ht="60" customHeight="1">
      <c r="A22" s="10">
        <f>+A21+1</f>
        <v>4</v>
      </c>
      <c r="B22" s="17" t="s">
        <v>433</v>
      </c>
      <c r="C22" s="10" t="s">
        <v>131</v>
      </c>
      <c r="D22" s="10" t="s">
        <v>20</v>
      </c>
      <c r="E22" s="10" t="s">
        <v>571</v>
      </c>
      <c r="F22" s="10" t="s">
        <v>36</v>
      </c>
      <c r="G22" s="10" t="s">
        <v>434</v>
      </c>
      <c r="H22" s="46">
        <v>272219</v>
      </c>
      <c r="I22" s="46">
        <v>265000</v>
      </c>
      <c r="J22" s="48">
        <f>SUM(K22,L22:S22)</f>
        <v>265000</v>
      </c>
      <c r="K22" s="46"/>
      <c r="L22" s="46"/>
      <c r="M22" s="46"/>
      <c r="N22" s="46">
        <v>265000</v>
      </c>
      <c r="O22" s="46"/>
      <c r="P22" s="46"/>
      <c r="Q22" s="46"/>
      <c r="R22" s="46"/>
      <c r="S22" s="46"/>
      <c r="T22" s="48">
        <f>SUM(U22:W22)</f>
        <v>111000</v>
      </c>
      <c r="U22" s="46"/>
      <c r="V22" s="54">
        <v>45000</v>
      </c>
      <c r="W22" s="84">
        <v>66000</v>
      </c>
      <c r="X22" s="70">
        <f>J22-T22</f>
        <v>154000</v>
      </c>
      <c r="Y22" s="84">
        <v>154000</v>
      </c>
      <c r="Z22" s="84"/>
      <c r="AA22" s="387">
        <v>-50000</v>
      </c>
      <c r="AB22" s="84">
        <f>SUM(Y22:AA22)</f>
        <v>104000</v>
      </c>
      <c r="AC22" s="200"/>
      <c r="AE22" s="11" t="s">
        <v>472</v>
      </c>
      <c r="AF22" s="11" t="s">
        <v>461</v>
      </c>
      <c r="AG22" s="6">
        <f>Y22</f>
        <v>154000</v>
      </c>
      <c r="AH22" s="6"/>
      <c r="AI22" s="6"/>
      <c r="AJ22" s="6"/>
    </row>
    <row r="23" spans="1:36" ht="60" customHeight="1">
      <c r="A23" s="13" t="s">
        <v>31</v>
      </c>
      <c r="B23" s="30" t="s">
        <v>32</v>
      </c>
      <c r="C23" s="10"/>
      <c r="D23" s="10"/>
      <c r="E23" s="10"/>
      <c r="F23" s="10"/>
      <c r="G23" s="10"/>
      <c r="H23" s="8">
        <f>SUM(H24)</f>
        <v>182709</v>
      </c>
      <c r="I23" s="8">
        <f t="shared" ref="I23:AB23" si="14">SUM(I24)</f>
        <v>137000</v>
      </c>
      <c r="J23" s="8">
        <f t="shared" si="14"/>
        <v>102000</v>
      </c>
      <c r="K23" s="8">
        <f t="shared" si="14"/>
        <v>102000</v>
      </c>
      <c r="L23" s="8">
        <f t="shared" si="14"/>
        <v>0</v>
      </c>
      <c r="M23" s="8">
        <f t="shared" si="14"/>
        <v>0</v>
      </c>
      <c r="N23" s="8">
        <f t="shared" si="14"/>
        <v>0</v>
      </c>
      <c r="O23" s="8">
        <f t="shared" si="14"/>
        <v>0</v>
      </c>
      <c r="P23" s="8">
        <f t="shared" si="14"/>
        <v>0</v>
      </c>
      <c r="Q23" s="8">
        <f t="shared" si="14"/>
        <v>0</v>
      </c>
      <c r="R23" s="8">
        <f t="shared" si="14"/>
        <v>0</v>
      </c>
      <c r="S23" s="8">
        <f t="shared" si="14"/>
        <v>0</v>
      </c>
      <c r="T23" s="8">
        <f t="shared" si="14"/>
        <v>0</v>
      </c>
      <c r="U23" s="8">
        <f t="shared" si="14"/>
        <v>0</v>
      </c>
      <c r="V23" s="8">
        <f t="shared" si="14"/>
        <v>0</v>
      </c>
      <c r="W23" s="8">
        <f t="shared" si="14"/>
        <v>0</v>
      </c>
      <c r="X23" s="8">
        <f t="shared" si="14"/>
        <v>102000</v>
      </c>
      <c r="Y23" s="8">
        <f t="shared" si="14"/>
        <v>102000</v>
      </c>
      <c r="Z23" s="8">
        <f t="shared" si="14"/>
        <v>0</v>
      </c>
      <c r="AA23" s="8">
        <f t="shared" si="14"/>
        <v>0</v>
      </c>
      <c r="AB23" s="8">
        <f t="shared" si="14"/>
        <v>102000</v>
      </c>
      <c r="AC23" s="196"/>
    </row>
    <row r="24" spans="1:36" ht="45" customHeight="1">
      <c r="A24" s="15" t="s">
        <v>17</v>
      </c>
      <c r="B24" s="16" t="s">
        <v>65</v>
      </c>
      <c r="C24" s="10"/>
      <c r="D24" s="10"/>
      <c r="E24" s="10"/>
      <c r="F24" s="10"/>
      <c r="G24" s="10"/>
      <c r="H24" s="29">
        <f>SUM(H25:H26)</f>
        <v>182709</v>
      </c>
      <c r="I24" s="29">
        <f t="shared" ref="I24:X24" si="15">SUM(I25:I26)</f>
        <v>137000</v>
      </c>
      <c r="J24" s="29">
        <f t="shared" si="15"/>
        <v>102000</v>
      </c>
      <c r="K24" s="29">
        <f t="shared" si="15"/>
        <v>102000</v>
      </c>
      <c r="L24" s="29">
        <f t="shared" si="15"/>
        <v>0</v>
      </c>
      <c r="M24" s="29">
        <f t="shared" si="15"/>
        <v>0</v>
      </c>
      <c r="N24" s="29">
        <f t="shared" si="15"/>
        <v>0</v>
      </c>
      <c r="O24" s="29">
        <f t="shared" si="15"/>
        <v>0</v>
      </c>
      <c r="P24" s="29">
        <f t="shared" si="15"/>
        <v>0</v>
      </c>
      <c r="Q24" s="29">
        <f t="shared" si="15"/>
        <v>0</v>
      </c>
      <c r="R24" s="29">
        <f t="shared" si="15"/>
        <v>0</v>
      </c>
      <c r="S24" s="29">
        <f t="shared" si="15"/>
        <v>0</v>
      </c>
      <c r="T24" s="29">
        <f t="shared" si="15"/>
        <v>0</v>
      </c>
      <c r="U24" s="29">
        <f t="shared" si="15"/>
        <v>0</v>
      </c>
      <c r="V24" s="29">
        <f t="shared" si="15"/>
        <v>0</v>
      </c>
      <c r="W24" s="29">
        <f t="shared" si="15"/>
        <v>0</v>
      </c>
      <c r="X24" s="29">
        <f t="shared" si="15"/>
        <v>102000</v>
      </c>
      <c r="Y24" s="29">
        <f>SUM(Y25:Y26)</f>
        <v>102000</v>
      </c>
      <c r="Z24" s="29">
        <f>SUM(Z25:Z26)</f>
        <v>0</v>
      </c>
      <c r="AA24" s="29">
        <f>SUM(AA25:AA26)</f>
        <v>0</v>
      </c>
      <c r="AB24" s="29">
        <f>SUM(AB25:AB26)</f>
        <v>102000</v>
      </c>
      <c r="AC24" s="197"/>
    </row>
    <row r="25" spans="1:36" ht="66" customHeight="1">
      <c r="A25" s="10">
        <v>1</v>
      </c>
      <c r="B25" s="4" t="s">
        <v>56</v>
      </c>
      <c r="C25" s="28" t="s">
        <v>57</v>
      </c>
      <c r="D25" s="10" t="s">
        <v>20</v>
      </c>
      <c r="E25" s="28" t="s">
        <v>555</v>
      </c>
      <c r="F25" s="28" t="s">
        <v>36</v>
      </c>
      <c r="G25" s="5" t="s">
        <v>807</v>
      </c>
      <c r="H25" s="49">
        <v>88333</v>
      </c>
      <c r="I25" s="49">
        <v>42000</v>
      </c>
      <c r="J25" s="48">
        <f>SUM(K25,L25:S25)</f>
        <v>42000</v>
      </c>
      <c r="K25" s="49">
        <f>42000</f>
        <v>42000</v>
      </c>
      <c r="L25" s="49"/>
      <c r="M25" s="49"/>
      <c r="N25" s="49"/>
      <c r="O25" s="49"/>
      <c r="P25" s="49"/>
      <c r="Q25" s="49"/>
      <c r="R25" s="49"/>
      <c r="S25" s="49"/>
      <c r="T25" s="48">
        <f>SUM(U25:W25)</f>
        <v>0</v>
      </c>
      <c r="U25" s="49"/>
      <c r="V25" s="49"/>
      <c r="W25" s="49"/>
      <c r="X25" s="70">
        <f>J25-T25</f>
        <v>42000</v>
      </c>
      <c r="Y25" s="84">
        <f>X25</f>
        <v>42000</v>
      </c>
      <c r="Z25" s="84"/>
      <c r="AA25" s="84"/>
      <c r="AB25" s="84">
        <f>SUM(Y25:AA25)</f>
        <v>42000</v>
      </c>
      <c r="AC25" s="200" t="s">
        <v>843</v>
      </c>
      <c r="AE25" s="11" t="s">
        <v>473</v>
      </c>
      <c r="AF25" s="11" t="s">
        <v>461</v>
      </c>
      <c r="AG25" s="6">
        <f>Y25</f>
        <v>42000</v>
      </c>
      <c r="AH25" s="6"/>
      <c r="AI25" s="6"/>
      <c r="AJ25" s="6"/>
    </row>
    <row r="26" spans="1:36" ht="73.5" customHeight="1">
      <c r="A26" s="10">
        <f>+A25+1</f>
        <v>2</v>
      </c>
      <c r="B26" s="17" t="s">
        <v>60</v>
      </c>
      <c r="C26" s="10" t="s">
        <v>59</v>
      </c>
      <c r="D26" s="10" t="s">
        <v>20</v>
      </c>
      <c r="E26" s="10" t="s">
        <v>63</v>
      </c>
      <c r="F26" s="10" t="s">
        <v>36</v>
      </c>
      <c r="G26" s="10" t="s">
        <v>834</v>
      </c>
      <c r="H26" s="46">
        <v>94376</v>
      </c>
      <c r="I26" s="46">
        <v>95000</v>
      </c>
      <c r="J26" s="48">
        <f>SUM(K26,L26:S26)</f>
        <v>60000</v>
      </c>
      <c r="K26" s="46">
        <v>60000</v>
      </c>
      <c r="L26" s="46"/>
      <c r="M26" s="46"/>
      <c r="N26" s="46"/>
      <c r="O26" s="46"/>
      <c r="P26" s="46"/>
      <c r="Q26" s="46"/>
      <c r="R26" s="46"/>
      <c r="S26" s="46"/>
      <c r="T26" s="48">
        <f>SUM(U26:W26)</f>
        <v>0</v>
      </c>
      <c r="U26" s="46"/>
      <c r="V26" s="46"/>
      <c r="W26" s="46"/>
      <c r="X26" s="70">
        <f>J26-T26</f>
        <v>60000</v>
      </c>
      <c r="Y26" s="84">
        <f>X26</f>
        <v>60000</v>
      </c>
      <c r="Z26" s="84"/>
      <c r="AA26" s="84"/>
      <c r="AB26" s="84">
        <f>SUM(Y26:AA26)</f>
        <v>60000</v>
      </c>
      <c r="AC26" s="200" t="s">
        <v>881</v>
      </c>
      <c r="AE26" s="11" t="s">
        <v>473</v>
      </c>
      <c r="AF26" s="11" t="s">
        <v>461</v>
      </c>
      <c r="AG26" s="6">
        <f>Y26</f>
        <v>60000</v>
      </c>
      <c r="AH26" s="6"/>
      <c r="AI26" s="6"/>
      <c r="AJ26" s="6"/>
    </row>
  </sheetData>
  <mergeCells count="25">
    <mergeCell ref="Z5:Z7"/>
    <mergeCell ref="AA5:AA7"/>
    <mergeCell ref="AB5:AB7"/>
    <mergeCell ref="H6:I6"/>
    <mergeCell ref="L6:S6"/>
    <mergeCell ref="X5:X7"/>
    <mergeCell ref="Y5:Y7"/>
    <mergeCell ref="K5:S5"/>
    <mergeCell ref="J5:J7"/>
    <mergeCell ref="A1:AC1"/>
    <mergeCell ref="A2:AC2"/>
    <mergeCell ref="A3:AC3"/>
    <mergeCell ref="T5:W5"/>
    <mergeCell ref="T6:T7"/>
    <mergeCell ref="U6:W6"/>
    <mergeCell ref="K6:K7"/>
    <mergeCell ref="A5:A7"/>
    <mergeCell ref="B5:B7"/>
    <mergeCell ref="C5:C7"/>
    <mergeCell ref="D5:D7"/>
    <mergeCell ref="E5:E7"/>
    <mergeCell ref="F5:F7"/>
    <mergeCell ref="G5:I5"/>
    <mergeCell ref="AC5:AC7"/>
    <mergeCell ref="G6:G7"/>
  </mergeCells>
  <printOptions horizontalCentered="1"/>
  <pageMargins left="0.39370078740157499" right="0.39370078740157499" top="0.39370078740157499" bottom="0.39370078740157499" header="0.196850393700787" footer="0.196850393700787"/>
  <pageSetup paperSize="9" scale="43" fitToHeight="0" orientation="landscape" r:id="rId1"/>
  <headerFooter alignWithMargins="0">
    <oddFooter>&amp;C&amp;"Times New Roman,thường"&amp;11&amp;P/&amp;N</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W12"/>
  <sheetViews>
    <sheetView view="pageBreakPreview" topLeftCell="F1" zoomScale="60" zoomScaleNormal="70" workbookViewId="0">
      <selection activeCell="AA12" sqref="AA12"/>
    </sheetView>
  </sheetViews>
  <sheetFormatPr defaultColWidth="9.109375" defaultRowHeight="16.8"/>
  <cols>
    <col min="1" max="1" width="8.6640625" style="11" customWidth="1"/>
    <col min="2" max="2" width="50.6640625" style="11" customWidth="1"/>
    <col min="3" max="3" width="20.6640625" style="11" customWidth="1"/>
    <col min="4" max="4" width="20.6640625" style="22" customWidth="1"/>
    <col min="5" max="6" width="20.6640625" style="11" customWidth="1"/>
    <col min="7" max="7" width="22.6640625" style="11" customWidth="1"/>
    <col min="8" max="9" width="20.6640625" style="11" customWidth="1"/>
    <col min="10" max="23" width="20.6640625" style="11" hidden="1" customWidth="1"/>
    <col min="24" max="27" width="20.6640625" style="11" customWidth="1"/>
    <col min="28" max="28" width="40.6640625" style="11" customWidth="1"/>
    <col min="29" max="29" width="19.109375" style="11" customWidth="1"/>
    <col min="30" max="30" width="14.88671875" style="11" customWidth="1"/>
    <col min="31" max="31" width="13.44140625" style="11" customWidth="1"/>
    <col min="32" max="32" width="17.88671875" style="11" customWidth="1"/>
    <col min="33" max="33" width="19.33203125" style="11" customWidth="1"/>
    <col min="34" max="34" width="17.33203125" style="11" customWidth="1"/>
    <col min="35" max="35" width="13.109375" style="11" customWidth="1"/>
    <col min="36" max="36" width="10" style="11" bestFit="1" customWidth="1"/>
    <col min="37" max="37" width="9.109375" style="11"/>
    <col min="38" max="38" width="10" style="11" bestFit="1" customWidth="1"/>
    <col min="39" max="39" width="9.109375" style="11"/>
    <col min="40" max="40" width="11.33203125" style="11" bestFit="1" customWidth="1"/>
    <col min="41" max="44" width="9.109375" style="11"/>
    <col min="45" max="45" width="10" style="11" bestFit="1" customWidth="1"/>
    <col min="46" max="48" width="9.109375" style="11"/>
    <col min="49" max="49" width="12.33203125" style="11" customWidth="1"/>
    <col min="50" max="16384" width="9.109375" style="11"/>
  </cols>
  <sheetData>
    <row r="1" spans="1:49" ht="39.9" customHeight="1">
      <c r="A1" s="554" t="s">
        <v>754</v>
      </c>
      <c r="B1" s="554"/>
      <c r="C1" s="554"/>
      <c r="D1" s="554"/>
      <c r="E1" s="554"/>
      <c r="F1" s="554"/>
      <c r="G1" s="554"/>
      <c r="H1" s="554"/>
      <c r="I1" s="554"/>
      <c r="J1" s="554"/>
      <c r="K1" s="554"/>
      <c r="L1" s="554"/>
      <c r="M1" s="554"/>
      <c r="N1" s="554"/>
      <c r="O1" s="554"/>
      <c r="P1" s="554"/>
      <c r="Q1" s="554"/>
      <c r="R1" s="554"/>
      <c r="S1" s="554"/>
      <c r="T1" s="554"/>
      <c r="U1" s="554"/>
      <c r="V1" s="554"/>
      <c r="W1" s="554"/>
      <c r="X1" s="554"/>
      <c r="Y1" s="554"/>
      <c r="Z1" s="554"/>
      <c r="AA1" s="554"/>
      <c r="AB1" s="554"/>
    </row>
    <row r="2" spans="1:49" ht="90" customHeight="1">
      <c r="A2" s="555" t="s">
        <v>1477</v>
      </c>
      <c r="B2" s="555"/>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row>
    <row r="3" spans="1:49" ht="57.75" customHeight="1">
      <c r="A3" s="556" t="str">
        <f>'1. CĐNS'!A3</f>
        <v>(Ban hành kèm theo Quyết định số: 2571/QĐ-UBND ngày 12/12/2024 của Ủy ban nhân dân tỉnh)</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row>
    <row r="4" spans="1:49" ht="33.75" customHeight="1">
      <c r="J4" s="12"/>
      <c r="K4" s="12"/>
      <c r="L4" s="12"/>
      <c r="M4" s="12"/>
      <c r="N4" s="12"/>
      <c r="O4" s="12"/>
      <c r="P4" s="12"/>
      <c r="Q4" s="12"/>
      <c r="R4" s="12"/>
      <c r="S4" s="12"/>
      <c r="T4" s="12"/>
      <c r="U4" s="12"/>
      <c r="V4" s="12"/>
      <c r="W4" s="12"/>
      <c r="X4" s="12"/>
      <c r="Y4" s="12"/>
      <c r="Z4" s="12"/>
      <c r="AA4" s="12"/>
      <c r="AB4" s="12" t="s">
        <v>0</v>
      </c>
    </row>
    <row r="5" spans="1:49" ht="60" customHeight="1">
      <c r="A5" s="559" t="s">
        <v>1</v>
      </c>
      <c r="B5" s="561" t="s">
        <v>513</v>
      </c>
      <c r="C5" s="559" t="s">
        <v>2</v>
      </c>
      <c r="D5" s="559" t="s">
        <v>3</v>
      </c>
      <c r="E5" s="562" t="s">
        <v>4</v>
      </c>
      <c r="F5" s="562" t="s">
        <v>5</v>
      </c>
      <c r="G5" s="562" t="s">
        <v>148</v>
      </c>
      <c r="H5" s="562"/>
      <c r="I5" s="562"/>
      <c r="J5" s="557" t="s">
        <v>696</v>
      </c>
      <c r="K5" s="566" t="s">
        <v>512</v>
      </c>
      <c r="L5" s="567"/>
      <c r="M5" s="567"/>
      <c r="N5" s="567"/>
      <c r="O5" s="567"/>
      <c r="P5" s="567"/>
      <c r="Q5" s="567"/>
      <c r="R5" s="568"/>
      <c r="S5" s="565" t="s">
        <v>808</v>
      </c>
      <c r="T5" s="565"/>
      <c r="U5" s="565"/>
      <c r="V5" s="565"/>
      <c r="W5" s="557" t="s">
        <v>689</v>
      </c>
      <c r="X5" s="557" t="s">
        <v>690</v>
      </c>
      <c r="Y5" s="557" t="s">
        <v>1072</v>
      </c>
      <c r="Z5" s="557" t="s">
        <v>1073</v>
      </c>
      <c r="AA5" s="557" t="s">
        <v>1215</v>
      </c>
      <c r="AB5" s="559" t="s">
        <v>6</v>
      </c>
      <c r="AC5" s="14"/>
      <c r="AD5" s="56" t="s">
        <v>452</v>
      </c>
      <c r="AE5" s="56" t="s">
        <v>453</v>
      </c>
      <c r="AF5" s="57" t="s">
        <v>454</v>
      </c>
      <c r="AG5" s="57"/>
      <c r="AH5" s="57" t="s">
        <v>455</v>
      </c>
      <c r="AI5" s="56" t="s">
        <v>456</v>
      </c>
      <c r="AJ5" s="56" t="s">
        <v>474</v>
      </c>
      <c r="AK5" s="56" t="s">
        <v>629</v>
      </c>
      <c r="AL5" s="56" t="s">
        <v>459</v>
      </c>
      <c r="AM5" s="56" t="s">
        <v>460</v>
      </c>
      <c r="AN5" s="56" t="s">
        <v>461</v>
      </c>
      <c r="AO5" s="56" t="s">
        <v>462</v>
      </c>
      <c r="AP5" s="56" t="s">
        <v>463</v>
      </c>
      <c r="AQ5" s="56" t="s">
        <v>464</v>
      </c>
      <c r="AR5" s="56" t="s">
        <v>465</v>
      </c>
      <c r="AS5" s="56" t="s">
        <v>466</v>
      </c>
      <c r="AT5" s="56" t="s">
        <v>467</v>
      </c>
      <c r="AU5" s="56" t="s">
        <v>468</v>
      </c>
      <c r="AV5" s="56" t="s">
        <v>469</v>
      </c>
      <c r="AW5" s="57"/>
    </row>
    <row r="6" spans="1:49" ht="60" customHeight="1">
      <c r="A6" s="560"/>
      <c r="B6" s="561"/>
      <c r="C6" s="560"/>
      <c r="D6" s="560"/>
      <c r="E6" s="562"/>
      <c r="F6" s="562"/>
      <c r="G6" s="562" t="s">
        <v>7</v>
      </c>
      <c r="H6" s="562" t="s">
        <v>8</v>
      </c>
      <c r="I6" s="562"/>
      <c r="J6" s="569"/>
      <c r="K6" s="557" t="s">
        <v>558</v>
      </c>
      <c r="L6" s="566" t="s">
        <v>559</v>
      </c>
      <c r="M6" s="567"/>
      <c r="N6" s="567"/>
      <c r="O6" s="567"/>
      <c r="P6" s="567"/>
      <c r="Q6" s="567"/>
      <c r="R6" s="568"/>
      <c r="S6" s="565" t="s">
        <v>9</v>
      </c>
      <c r="T6" s="565" t="s">
        <v>10</v>
      </c>
      <c r="U6" s="565"/>
      <c r="V6" s="565"/>
      <c r="W6" s="569"/>
      <c r="X6" s="569"/>
      <c r="Y6" s="569"/>
      <c r="Z6" s="569"/>
      <c r="AA6" s="569"/>
      <c r="AB6" s="560"/>
      <c r="AC6" s="14"/>
      <c r="AD6" s="56"/>
      <c r="AE6" s="56"/>
      <c r="AF6" s="57"/>
      <c r="AG6" s="58" t="s">
        <v>470</v>
      </c>
      <c r="AH6" s="57">
        <f>COUNTIF(AD8:AD920,"CT")</f>
        <v>1</v>
      </c>
      <c r="AI6" s="82">
        <f>SUMIF(AD8:AD920,"CT",AF8:AF920)</f>
        <v>10000</v>
      </c>
      <c r="AJ6" s="82">
        <f>SUMIFS($AF$8:$AF$1022,$AD$8:$AD$1022,"CT",$AE$8:$AE$1022,AJ5)</f>
        <v>0</v>
      </c>
      <c r="AK6" s="82">
        <f t="shared" ref="AK6:AV6" si="0">SUMIFS($AF$8:$AF$1022,$AD$8:$AD$1022,"CT",$AE$8:$AE$1022,AK5)</f>
        <v>0</v>
      </c>
      <c r="AL6" s="82">
        <f t="shared" si="0"/>
        <v>0</v>
      </c>
      <c r="AM6" s="82">
        <f t="shared" si="0"/>
        <v>0</v>
      </c>
      <c r="AN6" s="82">
        <f t="shared" si="0"/>
        <v>10000</v>
      </c>
      <c r="AO6" s="82">
        <f t="shared" si="0"/>
        <v>0</v>
      </c>
      <c r="AP6" s="82">
        <f t="shared" si="0"/>
        <v>0</v>
      </c>
      <c r="AQ6" s="82">
        <f t="shared" si="0"/>
        <v>0</v>
      </c>
      <c r="AR6" s="82">
        <f t="shared" si="0"/>
        <v>0</v>
      </c>
      <c r="AS6" s="82">
        <f t="shared" si="0"/>
        <v>0</v>
      </c>
      <c r="AT6" s="82">
        <f t="shared" si="0"/>
        <v>0</v>
      </c>
      <c r="AU6" s="82">
        <f t="shared" si="0"/>
        <v>0</v>
      </c>
      <c r="AV6" s="82">
        <f t="shared" si="0"/>
        <v>0</v>
      </c>
      <c r="AW6" s="58">
        <f>SUM(AJ6:AV6)</f>
        <v>10000</v>
      </c>
    </row>
    <row r="7" spans="1:49" ht="60" customHeight="1">
      <c r="A7" s="560"/>
      <c r="B7" s="561"/>
      <c r="C7" s="560"/>
      <c r="D7" s="563"/>
      <c r="E7" s="562"/>
      <c r="F7" s="562"/>
      <c r="G7" s="562"/>
      <c r="H7" s="13" t="s">
        <v>66</v>
      </c>
      <c r="I7" s="13" t="s">
        <v>67</v>
      </c>
      <c r="J7" s="558"/>
      <c r="K7" s="558"/>
      <c r="L7" s="85" t="s">
        <v>560</v>
      </c>
      <c r="M7" s="85" t="s">
        <v>562</v>
      </c>
      <c r="N7" s="85" t="s">
        <v>565</v>
      </c>
      <c r="O7" s="85" t="s">
        <v>573</v>
      </c>
      <c r="P7" s="85" t="s">
        <v>586</v>
      </c>
      <c r="Q7" s="85" t="s">
        <v>589</v>
      </c>
      <c r="R7" s="85"/>
      <c r="S7" s="565"/>
      <c r="T7" s="85" t="s">
        <v>13</v>
      </c>
      <c r="U7" s="85" t="s">
        <v>564</v>
      </c>
      <c r="V7" s="85" t="s">
        <v>753</v>
      </c>
      <c r="W7" s="558"/>
      <c r="X7" s="558"/>
      <c r="Y7" s="558"/>
      <c r="Z7" s="558"/>
      <c r="AA7" s="558"/>
      <c r="AB7" s="560"/>
      <c r="AC7" s="6"/>
      <c r="AD7" s="56"/>
      <c r="AE7" s="56"/>
      <c r="AF7" s="57"/>
      <c r="AG7" s="57" t="s">
        <v>471</v>
      </c>
      <c r="AH7" s="57">
        <f>COUNTIF(AD8:AD919,"KCM")</f>
        <v>0</v>
      </c>
      <c r="AI7" s="82">
        <f>SUMIF(AD8:AD920,"KCM",AF8:AF920)</f>
        <v>0</v>
      </c>
      <c r="AJ7" s="82">
        <f>SUMIFS($AF$8:$AF$1022,$AD$8:$AD$1022,"KCM",$AE$8:$AE$1022,AJ5)</f>
        <v>0</v>
      </c>
      <c r="AK7" s="82">
        <f t="shared" ref="AK7:AV7" si="1">SUMIFS($AF$8:$AF$1022,$AD$8:$AD$1022,"KCM",$AE$8:$AE$1022,AK5)</f>
        <v>0</v>
      </c>
      <c r="AL7" s="82">
        <f t="shared" si="1"/>
        <v>0</v>
      </c>
      <c r="AM7" s="82">
        <f t="shared" si="1"/>
        <v>0</v>
      </c>
      <c r="AN7" s="82">
        <f t="shared" si="1"/>
        <v>0</v>
      </c>
      <c r="AO7" s="82">
        <f t="shared" si="1"/>
        <v>0</v>
      </c>
      <c r="AP7" s="82">
        <f t="shared" si="1"/>
        <v>0</v>
      </c>
      <c r="AQ7" s="82">
        <f t="shared" si="1"/>
        <v>0</v>
      </c>
      <c r="AR7" s="82">
        <f t="shared" si="1"/>
        <v>0</v>
      </c>
      <c r="AS7" s="82">
        <f t="shared" si="1"/>
        <v>0</v>
      </c>
      <c r="AT7" s="82">
        <f t="shared" si="1"/>
        <v>0</v>
      </c>
      <c r="AU7" s="82">
        <f t="shared" si="1"/>
        <v>0</v>
      </c>
      <c r="AV7" s="82">
        <f t="shared" si="1"/>
        <v>0</v>
      </c>
      <c r="AW7" s="58">
        <f>SUM(AJ7:AV7)</f>
        <v>0</v>
      </c>
    </row>
    <row r="8" spans="1:49" s="2" customFormat="1" ht="60" customHeight="1">
      <c r="A8" s="21"/>
      <c r="B8" s="24" t="s">
        <v>280</v>
      </c>
      <c r="C8" s="21"/>
      <c r="D8" s="21"/>
      <c r="E8" s="21"/>
      <c r="F8" s="21"/>
      <c r="G8" s="21"/>
      <c r="H8" s="7">
        <f>SUM(H9)</f>
        <v>72031</v>
      </c>
      <c r="I8" s="7">
        <f t="shared" ref="I8:U11" si="2">SUM(I9)</f>
        <v>45000</v>
      </c>
      <c r="J8" s="7">
        <f t="shared" si="2"/>
        <v>45000</v>
      </c>
      <c r="K8" s="7">
        <f t="shared" si="2"/>
        <v>45000</v>
      </c>
      <c r="L8" s="7">
        <f t="shared" si="2"/>
        <v>0</v>
      </c>
      <c r="M8" s="7">
        <f t="shared" si="2"/>
        <v>0</v>
      </c>
      <c r="N8" s="7">
        <f t="shared" si="2"/>
        <v>0</v>
      </c>
      <c r="O8" s="7">
        <f t="shared" si="2"/>
        <v>0</v>
      </c>
      <c r="P8" s="7">
        <f t="shared" si="2"/>
        <v>0</v>
      </c>
      <c r="Q8" s="7">
        <f t="shared" si="2"/>
        <v>0</v>
      </c>
      <c r="R8" s="7">
        <f t="shared" si="2"/>
        <v>0</v>
      </c>
      <c r="S8" s="7">
        <f t="shared" si="2"/>
        <v>35000</v>
      </c>
      <c r="T8" s="7">
        <f t="shared" si="2"/>
        <v>0</v>
      </c>
      <c r="U8" s="7">
        <f t="shared" si="2"/>
        <v>15000</v>
      </c>
      <c r="V8" s="7">
        <f t="shared" ref="S8:AA10" si="3">SUM(V9)</f>
        <v>20000</v>
      </c>
      <c r="W8" s="7">
        <f t="shared" si="3"/>
        <v>10000</v>
      </c>
      <c r="X8" s="7">
        <f t="shared" si="3"/>
        <v>10000</v>
      </c>
      <c r="Y8" s="7">
        <f t="shared" si="3"/>
        <v>0</v>
      </c>
      <c r="Z8" s="7">
        <f t="shared" si="3"/>
        <v>0</v>
      </c>
      <c r="AA8" s="7">
        <f t="shared" si="3"/>
        <v>10000</v>
      </c>
      <c r="AB8" s="25"/>
      <c r="AC8" s="38">
        <f>118300-K8</f>
        <v>73300</v>
      </c>
      <c r="AG8" s="230" t="s">
        <v>470</v>
      </c>
      <c r="AH8" s="44">
        <f>SUM(AJ8:AV8)</f>
        <v>1</v>
      </c>
      <c r="AI8" s="44"/>
      <c r="AJ8" s="44">
        <f>COUNTIFS($AD$8:$AD$920,"CT",$AE$8:$AE$920,AJ5)</f>
        <v>0</v>
      </c>
      <c r="AK8" s="44">
        <f t="shared" ref="AK8:AV8" si="4">COUNTIFS($AD$8:$AD$920,"CT",$AE$8:$AE$920,AK5)</f>
        <v>0</v>
      </c>
      <c r="AL8" s="44">
        <f t="shared" si="4"/>
        <v>0</v>
      </c>
      <c r="AM8" s="44">
        <f t="shared" si="4"/>
        <v>0</v>
      </c>
      <c r="AN8" s="44">
        <f t="shared" si="4"/>
        <v>1</v>
      </c>
      <c r="AO8" s="44">
        <f t="shared" si="4"/>
        <v>0</v>
      </c>
      <c r="AP8" s="44">
        <f t="shared" si="4"/>
        <v>0</v>
      </c>
      <c r="AQ8" s="44">
        <f t="shared" si="4"/>
        <v>0</v>
      </c>
      <c r="AR8" s="44">
        <f t="shared" si="4"/>
        <v>0</v>
      </c>
      <c r="AS8" s="44">
        <f t="shared" si="4"/>
        <v>0</v>
      </c>
      <c r="AT8" s="44">
        <f t="shared" si="4"/>
        <v>0</v>
      </c>
      <c r="AU8" s="44">
        <f t="shared" si="4"/>
        <v>0</v>
      </c>
      <c r="AV8" s="44">
        <f t="shared" si="4"/>
        <v>0</v>
      </c>
      <c r="AW8" s="45"/>
    </row>
    <row r="9" spans="1:49" s="18" customFormat="1" ht="54.75" customHeight="1">
      <c r="A9" s="13"/>
      <c r="B9" s="26" t="s">
        <v>143</v>
      </c>
      <c r="C9" s="13"/>
      <c r="D9" s="13"/>
      <c r="E9" s="13"/>
      <c r="F9" s="13"/>
      <c r="G9" s="13"/>
      <c r="H9" s="8">
        <f>SUM(H10)</f>
        <v>72031</v>
      </c>
      <c r="I9" s="8">
        <f t="shared" si="2"/>
        <v>45000</v>
      </c>
      <c r="J9" s="8">
        <f t="shared" si="2"/>
        <v>45000</v>
      </c>
      <c r="K9" s="8">
        <f t="shared" si="2"/>
        <v>45000</v>
      </c>
      <c r="L9" s="8">
        <f t="shared" si="2"/>
        <v>0</v>
      </c>
      <c r="M9" s="8">
        <f t="shared" si="2"/>
        <v>0</v>
      </c>
      <c r="N9" s="8">
        <f t="shared" si="2"/>
        <v>0</v>
      </c>
      <c r="O9" s="8">
        <f t="shared" si="2"/>
        <v>0</v>
      </c>
      <c r="P9" s="8">
        <f t="shared" si="2"/>
        <v>0</v>
      </c>
      <c r="Q9" s="8">
        <f t="shared" si="2"/>
        <v>0</v>
      </c>
      <c r="R9" s="8">
        <f t="shared" si="2"/>
        <v>0</v>
      </c>
      <c r="S9" s="8">
        <f t="shared" si="3"/>
        <v>35000</v>
      </c>
      <c r="T9" s="8">
        <f t="shared" si="3"/>
        <v>0</v>
      </c>
      <c r="U9" s="8">
        <f t="shared" si="3"/>
        <v>15000</v>
      </c>
      <c r="V9" s="8">
        <f t="shared" si="3"/>
        <v>20000</v>
      </c>
      <c r="W9" s="8">
        <f t="shared" si="3"/>
        <v>10000</v>
      </c>
      <c r="X9" s="8">
        <f t="shared" si="3"/>
        <v>10000</v>
      </c>
      <c r="Y9" s="8">
        <f t="shared" si="3"/>
        <v>0</v>
      </c>
      <c r="Z9" s="8">
        <f t="shared" si="3"/>
        <v>0</v>
      </c>
      <c r="AA9" s="8">
        <f t="shared" si="3"/>
        <v>10000</v>
      </c>
      <c r="AB9" s="27"/>
      <c r="AG9" s="42" t="s">
        <v>471</v>
      </c>
      <c r="AH9" s="44">
        <f>SUM(AJ9:AV9)</f>
        <v>0</v>
      </c>
      <c r="AI9" s="44"/>
      <c r="AJ9" s="44">
        <f>COUNTIFS($AD$8:$AD$920,"KCM",$AE$8:$AE$920,AJ5)</f>
        <v>0</v>
      </c>
      <c r="AK9" s="44">
        <f t="shared" ref="AK9:AV9" si="5">COUNTIFS($AF$8:$AF$920,"KCM",$AG$8:$AG$920,AK5)</f>
        <v>0</v>
      </c>
      <c r="AL9" s="44">
        <f t="shared" si="5"/>
        <v>0</v>
      </c>
      <c r="AM9" s="44">
        <f t="shared" si="5"/>
        <v>0</v>
      </c>
      <c r="AN9" s="44">
        <f t="shared" si="5"/>
        <v>0</v>
      </c>
      <c r="AO9" s="44">
        <f t="shared" si="5"/>
        <v>0</v>
      </c>
      <c r="AP9" s="44">
        <f t="shared" si="5"/>
        <v>0</v>
      </c>
      <c r="AQ9" s="44">
        <f t="shared" si="5"/>
        <v>0</v>
      </c>
      <c r="AR9" s="44">
        <f t="shared" si="5"/>
        <v>0</v>
      </c>
      <c r="AS9" s="44">
        <f t="shared" si="5"/>
        <v>0</v>
      </c>
      <c r="AT9" s="44">
        <f t="shared" si="5"/>
        <v>0</v>
      </c>
      <c r="AU9" s="44">
        <f t="shared" si="5"/>
        <v>0</v>
      </c>
      <c r="AV9" s="44">
        <f t="shared" si="5"/>
        <v>0</v>
      </c>
      <c r="AW9" s="44"/>
    </row>
    <row r="10" spans="1:49" ht="60" customHeight="1">
      <c r="A10" s="13"/>
      <c r="B10" s="30" t="s">
        <v>16</v>
      </c>
      <c r="C10" s="10"/>
      <c r="D10" s="10"/>
      <c r="E10" s="10"/>
      <c r="F10" s="10"/>
      <c r="G10" s="10"/>
      <c r="H10" s="8">
        <f>SUM(H11)</f>
        <v>72031</v>
      </c>
      <c r="I10" s="8">
        <f t="shared" si="2"/>
        <v>45000</v>
      </c>
      <c r="J10" s="8">
        <f t="shared" si="2"/>
        <v>45000</v>
      </c>
      <c r="K10" s="8">
        <f t="shared" si="2"/>
        <v>45000</v>
      </c>
      <c r="L10" s="8">
        <f t="shared" si="2"/>
        <v>0</v>
      </c>
      <c r="M10" s="8">
        <f t="shared" si="2"/>
        <v>0</v>
      </c>
      <c r="N10" s="8">
        <f t="shared" si="2"/>
        <v>0</v>
      </c>
      <c r="O10" s="8">
        <f t="shared" si="2"/>
        <v>0</v>
      </c>
      <c r="P10" s="8">
        <f t="shared" si="2"/>
        <v>0</v>
      </c>
      <c r="Q10" s="8">
        <f t="shared" si="2"/>
        <v>0</v>
      </c>
      <c r="R10" s="8">
        <f t="shared" si="2"/>
        <v>0</v>
      </c>
      <c r="S10" s="8">
        <f t="shared" si="3"/>
        <v>35000</v>
      </c>
      <c r="T10" s="8">
        <f t="shared" si="3"/>
        <v>0</v>
      </c>
      <c r="U10" s="8">
        <f t="shared" si="3"/>
        <v>15000</v>
      </c>
      <c r="V10" s="8">
        <f t="shared" si="3"/>
        <v>20000</v>
      </c>
      <c r="W10" s="8">
        <f t="shared" si="3"/>
        <v>10000</v>
      </c>
      <c r="X10" s="8">
        <f t="shared" si="3"/>
        <v>10000</v>
      </c>
      <c r="Y10" s="8">
        <f t="shared" si="3"/>
        <v>0</v>
      </c>
      <c r="Z10" s="8">
        <f t="shared" si="3"/>
        <v>0</v>
      </c>
      <c r="AA10" s="8">
        <f t="shared" si="3"/>
        <v>10000</v>
      </c>
      <c r="AB10" s="17"/>
    </row>
    <row r="11" spans="1:49" s="20" customFormat="1" ht="44.25" customHeight="1">
      <c r="A11" s="15"/>
      <c r="B11" s="16" t="s">
        <v>65</v>
      </c>
      <c r="C11" s="16"/>
      <c r="D11" s="15"/>
      <c r="E11" s="16"/>
      <c r="F11" s="16"/>
      <c r="G11" s="16"/>
      <c r="H11" s="29">
        <f>SUM(H12)</f>
        <v>72031</v>
      </c>
      <c r="I11" s="29">
        <f t="shared" si="2"/>
        <v>45000</v>
      </c>
      <c r="J11" s="29">
        <f t="shared" si="2"/>
        <v>45000</v>
      </c>
      <c r="K11" s="29">
        <f t="shared" si="2"/>
        <v>45000</v>
      </c>
      <c r="L11" s="29">
        <f t="shared" si="2"/>
        <v>0</v>
      </c>
      <c r="M11" s="29">
        <f t="shared" si="2"/>
        <v>0</v>
      </c>
      <c r="N11" s="29">
        <f t="shared" si="2"/>
        <v>0</v>
      </c>
      <c r="O11" s="29">
        <f t="shared" si="2"/>
        <v>0</v>
      </c>
      <c r="P11" s="29">
        <f t="shared" si="2"/>
        <v>0</v>
      </c>
      <c r="Q11" s="29">
        <f t="shared" si="2"/>
        <v>0</v>
      </c>
      <c r="R11" s="29">
        <f t="shared" si="2"/>
        <v>0</v>
      </c>
      <c r="S11" s="29">
        <f t="shared" si="2"/>
        <v>35000</v>
      </c>
      <c r="T11" s="29">
        <f t="shared" si="2"/>
        <v>0</v>
      </c>
      <c r="U11" s="29">
        <f t="shared" si="2"/>
        <v>15000</v>
      </c>
      <c r="V11" s="29">
        <f t="shared" ref="V11:AA11" si="6">SUM(V12)</f>
        <v>20000</v>
      </c>
      <c r="W11" s="29">
        <f t="shared" si="6"/>
        <v>10000</v>
      </c>
      <c r="X11" s="29">
        <f t="shared" si="6"/>
        <v>10000</v>
      </c>
      <c r="Y11" s="29">
        <f t="shared" si="6"/>
        <v>0</v>
      </c>
      <c r="Z11" s="29">
        <f t="shared" si="6"/>
        <v>0</v>
      </c>
      <c r="AA11" s="29">
        <f t="shared" si="6"/>
        <v>10000</v>
      </c>
      <c r="AB11" s="19"/>
    </row>
    <row r="12" spans="1:49" ht="108" customHeight="1">
      <c r="A12" s="10">
        <v>1</v>
      </c>
      <c r="B12" s="17" t="s">
        <v>145</v>
      </c>
      <c r="C12" s="10" t="s">
        <v>146</v>
      </c>
      <c r="D12" s="10" t="s">
        <v>20</v>
      </c>
      <c r="E12" s="198" t="s">
        <v>147</v>
      </c>
      <c r="F12" s="28" t="s">
        <v>36</v>
      </c>
      <c r="G12" s="34" t="s">
        <v>803</v>
      </c>
      <c r="H12" s="54">
        <v>72031</v>
      </c>
      <c r="I12" s="46">
        <v>45000</v>
      </c>
      <c r="J12" s="48">
        <f>SUM(K12,L12:R12)</f>
        <v>45000</v>
      </c>
      <c r="K12" s="48">
        <v>45000</v>
      </c>
      <c r="L12" s="48"/>
      <c r="M12" s="48"/>
      <c r="N12" s="48"/>
      <c r="O12" s="48"/>
      <c r="P12" s="48"/>
      <c r="Q12" s="48"/>
      <c r="R12" s="48"/>
      <c r="S12" s="48">
        <f>SUM(T12:V12)</f>
        <v>35000</v>
      </c>
      <c r="T12" s="48"/>
      <c r="U12" s="73">
        <v>15000</v>
      </c>
      <c r="V12" s="84">
        <v>20000</v>
      </c>
      <c r="W12" s="84">
        <f>J12-S12</f>
        <v>10000</v>
      </c>
      <c r="X12" s="84">
        <f>W12</f>
        <v>10000</v>
      </c>
      <c r="Y12" s="84"/>
      <c r="Z12" s="387"/>
      <c r="AA12" s="84">
        <f>SUM(X12:Z12)</f>
        <v>10000</v>
      </c>
      <c r="AB12" s="17"/>
      <c r="AD12" s="11" t="s">
        <v>472</v>
      </c>
      <c r="AE12" s="11" t="s">
        <v>461</v>
      </c>
      <c r="AF12" s="6">
        <f>X12</f>
        <v>10000</v>
      </c>
    </row>
  </sheetData>
  <mergeCells count="25">
    <mergeCell ref="Z5:Z7"/>
    <mergeCell ref="AA5:AA7"/>
    <mergeCell ref="A1:AB1"/>
    <mergeCell ref="A2:AB2"/>
    <mergeCell ref="D5:D7"/>
    <mergeCell ref="E5:E7"/>
    <mergeCell ref="F5:F7"/>
    <mergeCell ref="G5:I5"/>
    <mergeCell ref="A3:AB3"/>
    <mergeCell ref="W5:W7"/>
    <mergeCell ref="X5:X7"/>
    <mergeCell ref="K5:R5"/>
    <mergeCell ref="J5:J7"/>
    <mergeCell ref="AB5:AB7"/>
    <mergeCell ref="G6:G7"/>
    <mergeCell ref="S5:V5"/>
    <mergeCell ref="K6:K7"/>
    <mergeCell ref="S6:S7"/>
    <mergeCell ref="T6:V6"/>
    <mergeCell ref="Y5:Y7"/>
    <mergeCell ref="A5:A7"/>
    <mergeCell ref="B5:B7"/>
    <mergeCell ref="C5:C7"/>
    <mergeCell ref="L6:R6"/>
    <mergeCell ref="H6:I6"/>
  </mergeCells>
  <printOptions horizontalCentered="1"/>
  <pageMargins left="0.39370078740157499" right="0.39370078740157499" top="0.39370078740157499" bottom="0.39370078740157499" header="0.196850393700787" footer="0.196850393700787"/>
  <pageSetup paperSize="9" scale="43" fitToHeight="0" orientation="landscape" r:id="rId1"/>
  <headerFooter alignWithMargins="0">
    <oddFooter>&amp;C&amp;"Times New Roman,thường"&amp;11&amp;P/&amp;N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Q33"/>
  <sheetViews>
    <sheetView view="pageBreakPreview" zoomScale="60" zoomScaleNormal="70" workbookViewId="0">
      <selection activeCell="T13" sqref="T13"/>
    </sheetView>
  </sheetViews>
  <sheetFormatPr defaultColWidth="9.109375" defaultRowHeight="16.8"/>
  <cols>
    <col min="1" max="1" width="8.6640625" style="11" customWidth="1"/>
    <col min="2" max="2" width="50.6640625" style="11" customWidth="1"/>
    <col min="3" max="6" width="20.6640625" style="11" customWidth="1"/>
    <col min="7" max="7" width="22.6640625" style="11" hidden="1" customWidth="1"/>
    <col min="8" max="8" width="22.6640625" style="11" customWidth="1"/>
    <col min="9" max="10" width="20.6640625" style="11" customWidth="1"/>
    <col min="11" max="17" width="20.6640625" style="11" hidden="1" customWidth="1"/>
    <col min="18" max="21" width="20.6640625" style="11" customWidth="1"/>
    <col min="22" max="22" width="40.6640625" style="11" customWidth="1"/>
    <col min="23" max="23" width="19.109375" style="11" customWidth="1"/>
    <col min="24" max="24" width="14.88671875" style="11" customWidth="1"/>
    <col min="25" max="25" width="13.44140625" style="11" customWidth="1"/>
    <col min="26" max="26" width="17.88671875" style="11" customWidth="1"/>
    <col min="27" max="27" width="19.33203125" style="11" customWidth="1"/>
    <col min="28" max="28" width="17.33203125" style="11" customWidth="1"/>
    <col min="29" max="29" width="14.109375" style="11" customWidth="1"/>
    <col min="30" max="30" width="12.6640625" style="11" bestFit="1" customWidth="1"/>
    <col min="31" max="31" width="9.88671875" style="11" bestFit="1" customWidth="1"/>
    <col min="32" max="32" width="9.109375" style="11"/>
    <col min="33" max="33" width="11.33203125" style="11" bestFit="1" customWidth="1"/>
    <col min="34" max="35" width="9.109375" style="11"/>
    <col min="36" max="37" width="10" style="11" bestFit="1" customWidth="1"/>
    <col min="38" max="38" width="9.109375" style="11"/>
    <col min="39" max="40" width="11.33203125" style="11" bestFit="1" customWidth="1"/>
    <col min="41" max="41" width="9.109375" style="11"/>
    <col min="42" max="42" width="9.88671875" style="11" bestFit="1" customWidth="1"/>
    <col min="43" max="43" width="12.109375" style="11" bestFit="1" customWidth="1"/>
    <col min="44" max="16384" width="9.109375" style="11"/>
  </cols>
  <sheetData>
    <row r="1" spans="1:43" ht="39.9" customHeight="1">
      <c r="A1" s="554" t="s">
        <v>442</v>
      </c>
      <c r="B1" s="554"/>
      <c r="C1" s="554"/>
      <c r="D1" s="554"/>
      <c r="E1" s="554"/>
      <c r="F1" s="554"/>
      <c r="G1" s="554"/>
      <c r="H1" s="554"/>
      <c r="I1" s="554"/>
      <c r="J1" s="554"/>
      <c r="K1" s="554"/>
      <c r="L1" s="554"/>
      <c r="M1" s="554"/>
      <c r="N1" s="554"/>
      <c r="O1" s="554"/>
      <c r="P1" s="554"/>
      <c r="Q1" s="554"/>
      <c r="R1" s="554"/>
      <c r="S1" s="554"/>
      <c r="T1" s="554"/>
      <c r="U1" s="554"/>
      <c r="V1" s="554"/>
    </row>
    <row r="2" spans="1:43" s="157" customFormat="1" ht="69.900000000000006" customHeight="1">
      <c r="A2" s="555" t="s">
        <v>1459</v>
      </c>
      <c r="B2" s="555"/>
      <c r="C2" s="555"/>
      <c r="D2" s="555"/>
      <c r="E2" s="555"/>
      <c r="F2" s="555"/>
      <c r="G2" s="555"/>
      <c r="H2" s="555"/>
      <c r="I2" s="555"/>
      <c r="J2" s="555"/>
      <c r="K2" s="555"/>
      <c r="L2" s="555"/>
      <c r="M2" s="555"/>
      <c r="N2" s="555"/>
      <c r="O2" s="555"/>
      <c r="P2" s="555"/>
      <c r="Q2" s="555"/>
      <c r="R2" s="555"/>
      <c r="S2" s="555"/>
      <c r="T2" s="555"/>
      <c r="U2" s="555"/>
      <c r="V2" s="555"/>
    </row>
    <row r="3" spans="1:43" ht="50.1" customHeight="1">
      <c r="A3" s="556" t="str">
        <f>'1. CĐNS'!A3</f>
        <v>(Ban hành kèm theo Quyết định số: 2571/QĐ-UBND ngày 12/12/2024 của Ủy ban nhân dân tỉnh)</v>
      </c>
      <c r="B3" s="556"/>
      <c r="C3" s="556"/>
      <c r="D3" s="556"/>
      <c r="E3" s="556"/>
      <c r="F3" s="556"/>
      <c r="G3" s="556"/>
      <c r="H3" s="556"/>
      <c r="I3" s="556"/>
      <c r="J3" s="556"/>
      <c r="K3" s="556"/>
      <c r="L3" s="556"/>
      <c r="M3" s="556"/>
      <c r="N3" s="556"/>
      <c r="O3" s="556"/>
      <c r="P3" s="556"/>
      <c r="Q3" s="556"/>
      <c r="R3" s="556"/>
      <c r="S3" s="556"/>
      <c r="T3" s="556"/>
      <c r="U3" s="556"/>
      <c r="V3" s="556"/>
    </row>
    <row r="4" spans="1:43" ht="33.75" customHeight="1">
      <c r="L4" s="12"/>
      <c r="M4" s="12"/>
      <c r="N4" s="12"/>
      <c r="O4" s="12"/>
      <c r="P4" s="12"/>
      <c r="Q4" s="12"/>
      <c r="R4" s="12"/>
      <c r="S4" s="12"/>
      <c r="T4" s="12"/>
      <c r="U4" s="12"/>
      <c r="V4" s="12" t="s">
        <v>0</v>
      </c>
    </row>
    <row r="5" spans="1:43" ht="60" customHeight="1">
      <c r="A5" s="559" t="s">
        <v>1</v>
      </c>
      <c r="B5" s="561" t="s">
        <v>513</v>
      </c>
      <c r="C5" s="559" t="s">
        <v>2</v>
      </c>
      <c r="D5" s="559" t="s">
        <v>3</v>
      </c>
      <c r="E5" s="562" t="s">
        <v>4</v>
      </c>
      <c r="F5" s="562" t="s">
        <v>5</v>
      </c>
      <c r="G5" s="559" t="s">
        <v>148</v>
      </c>
      <c r="H5" s="562" t="s">
        <v>148</v>
      </c>
      <c r="I5" s="562"/>
      <c r="J5" s="562"/>
      <c r="K5" s="559" t="s">
        <v>696</v>
      </c>
      <c r="L5" s="579" t="s">
        <v>512</v>
      </c>
      <c r="M5" s="580"/>
      <c r="N5" s="565" t="s">
        <v>808</v>
      </c>
      <c r="O5" s="565"/>
      <c r="P5" s="565"/>
      <c r="Q5" s="565"/>
      <c r="R5" s="557" t="s">
        <v>690</v>
      </c>
      <c r="S5" s="557" t="s">
        <v>1072</v>
      </c>
      <c r="T5" s="557" t="s">
        <v>1073</v>
      </c>
      <c r="U5" s="557" t="s">
        <v>1215</v>
      </c>
      <c r="V5" s="559" t="s">
        <v>6</v>
      </c>
      <c r="W5" s="14"/>
      <c r="X5" s="56" t="s">
        <v>452</v>
      </c>
      <c r="Y5" s="56" t="s">
        <v>453</v>
      </c>
      <c r="Z5" s="57" t="s">
        <v>454</v>
      </c>
      <c r="AA5" s="57"/>
      <c r="AB5" s="57" t="s">
        <v>455</v>
      </c>
      <c r="AC5" s="56" t="s">
        <v>456</v>
      </c>
      <c r="AD5" s="56" t="s">
        <v>474</v>
      </c>
      <c r="AE5" s="56" t="s">
        <v>629</v>
      </c>
      <c r="AF5" s="56" t="s">
        <v>459</v>
      </c>
      <c r="AG5" s="56" t="s">
        <v>460</v>
      </c>
      <c r="AH5" s="56" t="s">
        <v>461</v>
      </c>
      <c r="AI5" s="56" t="s">
        <v>462</v>
      </c>
      <c r="AJ5" s="56" t="s">
        <v>463</v>
      </c>
      <c r="AK5" s="56" t="s">
        <v>464</v>
      </c>
      <c r="AL5" s="56" t="s">
        <v>465</v>
      </c>
      <c r="AM5" s="56" t="s">
        <v>466</v>
      </c>
      <c r="AN5" s="56" t="s">
        <v>467</v>
      </c>
      <c r="AO5" s="56" t="s">
        <v>468</v>
      </c>
      <c r="AP5" s="56" t="s">
        <v>469</v>
      </c>
      <c r="AQ5" s="57"/>
    </row>
    <row r="6" spans="1:43" ht="60" customHeight="1">
      <c r="A6" s="560"/>
      <c r="B6" s="561"/>
      <c r="C6" s="560"/>
      <c r="D6" s="560"/>
      <c r="E6" s="562"/>
      <c r="F6" s="562"/>
      <c r="G6" s="560"/>
      <c r="H6" s="562" t="s">
        <v>7</v>
      </c>
      <c r="I6" s="562" t="s">
        <v>8</v>
      </c>
      <c r="J6" s="562"/>
      <c r="K6" s="560"/>
      <c r="L6" s="565" t="s">
        <v>685</v>
      </c>
      <c r="M6" s="565"/>
      <c r="N6" s="562" t="s">
        <v>9</v>
      </c>
      <c r="O6" s="565" t="s">
        <v>685</v>
      </c>
      <c r="P6" s="565"/>
      <c r="Q6" s="565"/>
      <c r="R6" s="569"/>
      <c r="S6" s="569"/>
      <c r="T6" s="569"/>
      <c r="U6" s="569"/>
      <c r="V6" s="560"/>
      <c r="W6" s="14"/>
      <c r="X6" s="56"/>
      <c r="Y6" s="56"/>
      <c r="Z6" s="57"/>
      <c r="AA6" s="58" t="s">
        <v>470</v>
      </c>
      <c r="AB6" s="57">
        <f>COUNTIF(X8:X920,"CT")</f>
        <v>0</v>
      </c>
      <c r="AC6" s="82">
        <f>SUMIF(X8:X920,"CT",Z8:Z920)</f>
        <v>0</v>
      </c>
      <c r="AD6" s="82">
        <f>SUMIFS($Z$8:$Z$1022,$X$8:$X$1022,"CT",$Y$8:$Y$1022,AD5)</f>
        <v>0</v>
      </c>
      <c r="AE6" s="82">
        <f t="shared" ref="AE6:AP6" si="0">SUMIFS($Z$8:$Z$1022,$X$8:$X$1022,"CT",$Y$8:$Y$1022,AE5)</f>
        <v>0</v>
      </c>
      <c r="AF6" s="82">
        <f t="shared" si="0"/>
        <v>0</v>
      </c>
      <c r="AG6" s="82">
        <f t="shared" si="0"/>
        <v>0</v>
      </c>
      <c r="AH6" s="82">
        <f t="shared" si="0"/>
        <v>0</v>
      </c>
      <c r="AI6" s="82">
        <f t="shared" si="0"/>
        <v>0</v>
      </c>
      <c r="AJ6" s="82">
        <f t="shared" si="0"/>
        <v>0</v>
      </c>
      <c r="AK6" s="82">
        <f t="shared" si="0"/>
        <v>0</v>
      </c>
      <c r="AL6" s="82">
        <f t="shared" si="0"/>
        <v>0</v>
      </c>
      <c r="AM6" s="82">
        <f t="shared" si="0"/>
        <v>0</v>
      </c>
      <c r="AN6" s="82">
        <f t="shared" si="0"/>
        <v>0</v>
      </c>
      <c r="AO6" s="82">
        <f t="shared" si="0"/>
        <v>0</v>
      </c>
      <c r="AP6" s="82">
        <f t="shared" si="0"/>
        <v>0</v>
      </c>
      <c r="AQ6" s="58">
        <f>SUM(AD6:AP6)</f>
        <v>0</v>
      </c>
    </row>
    <row r="7" spans="1:43" ht="85.5" customHeight="1">
      <c r="A7" s="560"/>
      <c r="B7" s="561"/>
      <c r="C7" s="560"/>
      <c r="D7" s="563"/>
      <c r="E7" s="562"/>
      <c r="F7" s="562"/>
      <c r="G7" s="563"/>
      <c r="H7" s="562"/>
      <c r="I7" s="13" t="s">
        <v>66</v>
      </c>
      <c r="J7" s="13" t="s">
        <v>67</v>
      </c>
      <c r="K7" s="563"/>
      <c r="L7" s="85" t="s">
        <v>558</v>
      </c>
      <c r="M7" s="85" t="s">
        <v>589</v>
      </c>
      <c r="N7" s="562"/>
      <c r="O7" s="85" t="s">
        <v>13</v>
      </c>
      <c r="P7" s="85" t="s">
        <v>647</v>
      </c>
      <c r="Q7" s="85" t="s">
        <v>684</v>
      </c>
      <c r="R7" s="558"/>
      <c r="S7" s="558"/>
      <c r="T7" s="558"/>
      <c r="U7" s="558"/>
      <c r="V7" s="563"/>
      <c r="W7" s="6"/>
      <c r="X7" s="56"/>
      <c r="Y7" s="56"/>
      <c r="Z7" s="57"/>
      <c r="AA7" s="57" t="s">
        <v>471</v>
      </c>
      <c r="AB7" s="57">
        <f>COUNTIF(X8:X919,"KCM")</f>
        <v>13</v>
      </c>
      <c r="AC7" s="82">
        <f>SUMIF(X8:X919,"KCM",Z8:Z919)</f>
        <v>8100</v>
      </c>
      <c r="AD7" s="82">
        <f>SUMIFS($Z$8:$Z$1022,$X$8:$X$1022,"KCM",$Y$8:$Y$1022,AD5)</f>
        <v>0</v>
      </c>
      <c r="AE7" s="82">
        <f t="shared" ref="AE7:AP7" si="1">SUMIFS($Z$8:$Z$1022,$X$8:$X$1022,"KCM",$Y$8:$Y$1022,AE5)</f>
        <v>0</v>
      </c>
      <c r="AF7" s="82">
        <f t="shared" si="1"/>
        <v>0</v>
      </c>
      <c r="AG7" s="82">
        <f t="shared" si="1"/>
        <v>8100</v>
      </c>
      <c r="AH7" s="82">
        <f t="shared" si="1"/>
        <v>0</v>
      </c>
      <c r="AI7" s="82">
        <f t="shared" si="1"/>
        <v>0</v>
      </c>
      <c r="AJ7" s="82">
        <f t="shared" si="1"/>
        <v>0</v>
      </c>
      <c r="AK7" s="82">
        <f t="shared" si="1"/>
        <v>0</v>
      </c>
      <c r="AL7" s="82">
        <f t="shared" si="1"/>
        <v>0</v>
      </c>
      <c r="AM7" s="82">
        <f t="shared" si="1"/>
        <v>0</v>
      </c>
      <c r="AN7" s="82">
        <f t="shared" si="1"/>
        <v>0</v>
      </c>
      <c r="AO7" s="82">
        <f t="shared" si="1"/>
        <v>0</v>
      </c>
      <c r="AP7" s="82">
        <f t="shared" si="1"/>
        <v>0</v>
      </c>
      <c r="AQ7" s="58">
        <f>SUM(AD7:AP7)</f>
        <v>8100</v>
      </c>
    </row>
    <row r="8" spans="1:43" s="2" customFormat="1" ht="60" customHeight="1">
      <c r="A8" s="21"/>
      <c r="B8" s="24" t="s">
        <v>280</v>
      </c>
      <c r="C8" s="21"/>
      <c r="D8" s="21"/>
      <c r="E8" s="21"/>
      <c r="F8" s="21"/>
      <c r="G8" s="21"/>
      <c r="H8" s="21"/>
      <c r="I8" s="7">
        <f t="shared" ref="I8:R8" si="2">SUM(I9,I33)</f>
        <v>18333</v>
      </c>
      <c r="J8" s="7">
        <f t="shared" si="2"/>
        <v>17103</v>
      </c>
      <c r="K8" s="7">
        <f t="shared" si="2"/>
        <v>8100</v>
      </c>
      <c r="L8" s="7">
        <f t="shared" si="2"/>
        <v>0</v>
      </c>
      <c r="M8" s="7">
        <f t="shared" si="2"/>
        <v>8100</v>
      </c>
      <c r="N8" s="7">
        <f t="shared" si="2"/>
        <v>0</v>
      </c>
      <c r="O8" s="7">
        <f t="shared" si="2"/>
        <v>0</v>
      </c>
      <c r="P8" s="7">
        <f t="shared" si="2"/>
        <v>0</v>
      </c>
      <c r="Q8" s="7">
        <f t="shared" si="2"/>
        <v>0</v>
      </c>
      <c r="R8" s="7">
        <f t="shared" si="2"/>
        <v>20000</v>
      </c>
      <c r="S8" s="7">
        <f>SUM(S9,S33)</f>
        <v>0</v>
      </c>
      <c r="T8" s="369">
        <f>SUM(T9,T33)</f>
        <v>-3810</v>
      </c>
      <c r="U8" s="7">
        <f>SUM(U9,U33)</f>
        <v>16190</v>
      </c>
      <c r="V8" s="25"/>
      <c r="AA8" s="230" t="s">
        <v>470</v>
      </c>
      <c r="AB8" s="44">
        <f>SUM(AD8:AP8)</f>
        <v>0</v>
      </c>
      <c r="AC8" s="44"/>
      <c r="AD8" s="44">
        <f t="shared" ref="AD8:AP8" si="3">COUNTIFS($X$8:$X$920,"CT",$Y$8:$Y$920,AD5)</f>
        <v>0</v>
      </c>
      <c r="AE8" s="44">
        <f t="shared" si="3"/>
        <v>0</v>
      </c>
      <c r="AF8" s="44">
        <f t="shared" si="3"/>
        <v>0</v>
      </c>
      <c r="AG8" s="44">
        <f t="shared" si="3"/>
        <v>0</v>
      </c>
      <c r="AH8" s="44">
        <f t="shared" si="3"/>
        <v>0</v>
      </c>
      <c r="AI8" s="44">
        <f t="shared" si="3"/>
        <v>0</v>
      </c>
      <c r="AJ8" s="44">
        <f t="shared" si="3"/>
        <v>0</v>
      </c>
      <c r="AK8" s="44">
        <f t="shared" si="3"/>
        <v>0</v>
      </c>
      <c r="AL8" s="44">
        <f t="shared" si="3"/>
        <v>0</v>
      </c>
      <c r="AM8" s="44">
        <f t="shared" si="3"/>
        <v>0</v>
      </c>
      <c r="AN8" s="44">
        <f t="shared" si="3"/>
        <v>0</v>
      </c>
      <c r="AO8" s="44">
        <f t="shared" si="3"/>
        <v>0</v>
      </c>
      <c r="AP8" s="44">
        <f t="shared" si="3"/>
        <v>0</v>
      </c>
      <c r="AQ8" s="45"/>
    </row>
    <row r="9" spans="1:43" s="159" customFormat="1" ht="60" customHeight="1">
      <c r="A9" s="322" t="s">
        <v>15</v>
      </c>
      <c r="B9" s="50" t="s">
        <v>852</v>
      </c>
      <c r="C9" s="246"/>
      <c r="D9" s="301"/>
      <c r="E9" s="246"/>
      <c r="F9" s="246"/>
      <c r="G9" s="246"/>
      <c r="H9" s="246"/>
      <c r="I9" s="64">
        <f>SUM(I10)</f>
        <v>18333</v>
      </c>
      <c r="J9" s="64">
        <f t="shared" ref="J9:U9" si="4">SUM(J10)</f>
        <v>17103</v>
      </c>
      <c r="K9" s="64">
        <f t="shared" si="4"/>
        <v>8100</v>
      </c>
      <c r="L9" s="64">
        <f t="shared" si="4"/>
        <v>0</v>
      </c>
      <c r="M9" s="64">
        <f t="shared" si="4"/>
        <v>8100</v>
      </c>
      <c r="N9" s="64">
        <f t="shared" si="4"/>
        <v>0</v>
      </c>
      <c r="O9" s="64">
        <f t="shared" si="4"/>
        <v>0</v>
      </c>
      <c r="P9" s="64">
        <f t="shared" si="4"/>
        <v>0</v>
      </c>
      <c r="Q9" s="64">
        <f t="shared" si="4"/>
        <v>0</v>
      </c>
      <c r="R9" s="64">
        <f t="shared" si="4"/>
        <v>16190</v>
      </c>
      <c r="S9" s="64">
        <f t="shared" si="4"/>
        <v>0</v>
      </c>
      <c r="T9" s="64">
        <f t="shared" si="4"/>
        <v>0</v>
      </c>
      <c r="U9" s="64">
        <f t="shared" si="4"/>
        <v>16190</v>
      </c>
      <c r="V9" s="65"/>
      <c r="AA9" s="42" t="s">
        <v>471</v>
      </c>
      <c r="AB9" s="44">
        <f>SUM(AD9:AP9)</f>
        <v>13</v>
      </c>
      <c r="AC9" s="44"/>
      <c r="AD9" s="44">
        <f t="shared" ref="AD9:AP9" si="5">COUNTIFS($X$8:$X$920,"KCM",$Y$8:$Y$920,AD5)</f>
        <v>0</v>
      </c>
      <c r="AE9" s="44">
        <f t="shared" si="5"/>
        <v>0</v>
      </c>
      <c r="AF9" s="44">
        <f t="shared" si="5"/>
        <v>0</v>
      </c>
      <c r="AG9" s="44">
        <f t="shared" si="5"/>
        <v>13</v>
      </c>
      <c r="AH9" s="44">
        <f t="shared" si="5"/>
        <v>0</v>
      </c>
      <c r="AI9" s="44">
        <f t="shared" si="5"/>
        <v>0</v>
      </c>
      <c r="AJ9" s="44">
        <f t="shared" si="5"/>
        <v>0</v>
      </c>
      <c r="AK9" s="44">
        <f t="shared" si="5"/>
        <v>0</v>
      </c>
      <c r="AL9" s="44">
        <f t="shared" si="5"/>
        <v>0</v>
      </c>
      <c r="AM9" s="44">
        <f t="shared" si="5"/>
        <v>0</v>
      </c>
      <c r="AN9" s="44">
        <f t="shared" si="5"/>
        <v>0</v>
      </c>
      <c r="AO9" s="44">
        <f t="shared" si="5"/>
        <v>0</v>
      </c>
      <c r="AP9" s="44">
        <f t="shared" si="5"/>
        <v>0</v>
      </c>
      <c r="AQ9" s="44"/>
    </row>
    <row r="10" spans="1:43" s="326" customFormat="1" ht="41.25" customHeight="1">
      <c r="A10" s="292" t="s">
        <v>17</v>
      </c>
      <c r="B10" s="293" t="s">
        <v>355</v>
      </c>
      <c r="C10" s="293"/>
      <c r="D10" s="292"/>
      <c r="E10" s="293"/>
      <c r="F10" s="293"/>
      <c r="G10" s="293"/>
      <c r="H10" s="293"/>
      <c r="I10" s="67">
        <f>SUM(I11:I32)</f>
        <v>18333</v>
      </c>
      <c r="J10" s="67">
        <f t="shared" ref="J10:R10" si="6">SUM(J11:J32)</f>
        <v>17103</v>
      </c>
      <c r="K10" s="67">
        <f t="shared" si="6"/>
        <v>8100</v>
      </c>
      <c r="L10" s="67">
        <f t="shared" si="6"/>
        <v>0</v>
      </c>
      <c r="M10" s="67">
        <f t="shared" si="6"/>
        <v>8100</v>
      </c>
      <c r="N10" s="67">
        <f t="shared" si="6"/>
        <v>0</v>
      </c>
      <c r="O10" s="67">
        <f t="shared" si="6"/>
        <v>0</v>
      </c>
      <c r="P10" s="67">
        <f t="shared" si="6"/>
        <v>0</v>
      </c>
      <c r="Q10" s="67">
        <f t="shared" si="6"/>
        <v>0</v>
      </c>
      <c r="R10" s="67">
        <f t="shared" si="6"/>
        <v>16190</v>
      </c>
      <c r="S10" s="67">
        <f>SUM(S11:S32)</f>
        <v>0</v>
      </c>
      <c r="T10" s="67">
        <f>SUM(T11:T32)</f>
        <v>0</v>
      </c>
      <c r="U10" s="67">
        <f>SUM(U11:U32)</f>
        <v>16190</v>
      </c>
      <c r="V10" s="323"/>
      <c r="W10" s="324"/>
      <c r="X10" s="325"/>
      <c r="Y10" s="325"/>
    </row>
    <row r="11" spans="1:43" s="125" customFormat="1" ht="68.25" customHeight="1">
      <c r="A11" s="160">
        <v>1</v>
      </c>
      <c r="B11" s="327" t="s">
        <v>597</v>
      </c>
      <c r="C11" s="114" t="s">
        <v>598</v>
      </c>
      <c r="D11" s="114" t="s">
        <v>19</v>
      </c>
      <c r="E11" s="114" t="s">
        <v>492</v>
      </c>
      <c r="F11" s="114" t="s">
        <v>391</v>
      </c>
      <c r="G11" s="114" t="s">
        <v>599</v>
      </c>
      <c r="H11" s="114" t="s">
        <v>815</v>
      </c>
      <c r="I11" s="32">
        <v>655</v>
      </c>
      <c r="J11" s="32">
        <v>600</v>
      </c>
      <c r="K11" s="46">
        <f t="shared" ref="K11:K23" si="7">SUM(L11:M11)</f>
        <v>600</v>
      </c>
      <c r="L11" s="32"/>
      <c r="M11" s="32">
        <v>600</v>
      </c>
      <c r="N11" s="32">
        <f t="shared" ref="N11:N23" si="8">SUM(O11:Q11)</f>
        <v>0</v>
      </c>
      <c r="O11" s="32"/>
      <c r="P11" s="32"/>
      <c r="Q11" s="32"/>
      <c r="R11" s="32">
        <f t="shared" ref="R11:R23" si="9">K11</f>
        <v>600</v>
      </c>
      <c r="S11" s="32"/>
      <c r="T11" s="32"/>
      <c r="U11" s="84">
        <f t="shared" ref="U11:U33" si="10">SUM(R11:T11)</f>
        <v>600</v>
      </c>
      <c r="V11" s="160"/>
      <c r="X11" s="124" t="s">
        <v>473</v>
      </c>
      <c r="Y11" s="124" t="s">
        <v>460</v>
      </c>
      <c r="Z11" s="132">
        <f t="shared" ref="Z11:Z17" si="11">R11</f>
        <v>600</v>
      </c>
    </row>
    <row r="12" spans="1:43" s="125" customFormat="1" ht="58.5" customHeight="1">
      <c r="A12" s="160">
        <f>+A11+1</f>
        <v>2</v>
      </c>
      <c r="B12" s="327" t="s">
        <v>600</v>
      </c>
      <c r="C12" s="114" t="s">
        <v>601</v>
      </c>
      <c r="D12" s="114" t="s">
        <v>19</v>
      </c>
      <c r="E12" s="114" t="s">
        <v>492</v>
      </c>
      <c r="F12" s="114" t="s">
        <v>391</v>
      </c>
      <c r="G12" s="114" t="s">
        <v>816</v>
      </c>
      <c r="H12" s="114" t="s">
        <v>816</v>
      </c>
      <c r="I12" s="32">
        <v>690</v>
      </c>
      <c r="J12" s="32">
        <v>600</v>
      </c>
      <c r="K12" s="46">
        <f t="shared" si="7"/>
        <v>600</v>
      </c>
      <c r="L12" s="32"/>
      <c r="M12" s="32">
        <v>600</v>
      </c>
      <c r="N12" s="32">
        <f t="shared" si="8"/>
        <v>0</v>
      </c>
      <c r="O12" s="32"/>
      <c r="P12" s="32"/>
      <c r="Q12" s="32"/>
      <c r="R12" s="32">
        <f t="shared" si="9"/>
        <v>600</v>
      </c>
      <c r="S12" s="32"/>
      <c r="T12" s="32"/>
      <c r="U12" s="84">
        <f t="shared" si="10"/>
        <v>600</v>
      </c>
      <c r="V12" s="160"/>
      <c r="X12" s="124" t="s">
        <v>473</v>
      </c>
      <c r="Y12" s="124" t="s">
        <v>460</v>
      </c>
      <c r="Z12" s="132">
        <f t="shared" si="11"/>
        <v>600</v>
      </c>
    </row>
    <row r="13" spans="1:43" s="125" customFormat="1" ht="58.5" customHeight="1">
      <c r="A13" s="160">
        <f t="shared" ref="A13:A32" si="12">+A12+1</f>
        <v>3</v>
      </c>
      <c r="B13" s="327" t="s">
        <v>602</v>
      </c>
      <c r="C13" s="114" t="s">
        <v>603</v>
      </c>
      <c r="D13" s="114" t="s">
        <v>19</v>
      </c>
      <c r="E13" s="114" t="s">
        <v>492</v>
      </c>
      <c r="F13" s="114" t="s">
        <v>391</v>
      </c>
      <c r="G13" s="114" t="s">
        <v>817</v>
      </c>
      <c r="H13" s="114" t="s">
        <v>817</v>
      </c>
      <c r="I13" s="32">
        <v>740</v>
      </c>
      <c r="J13" s="32">
        <v>600</v>
      </c>
      <c r="K13" s="46">
        <f t="shared" si="7"/>
        <v>600</v>
      </c>
      <c r="L13" s="32"/>
      <c r="M13" s="32">
        <v>600</v>
      </c>
      <c r="N13" s="32">
        <f t="shared" si="8"/>
        <v>0</v>
      </c>
      <c r="O13" s="32"/>
      <c r="P13" s="32"/>
      <c r="Q13" s="32"/>
      <c r="R13" s="32">
        <f t="shared" si="9"/>
        <v>600</v>
      </c>
      <c r="S13" s="32"/>
      <c r="T13" s="32"/>
      <c r="U13" s="84">
        <f t="shared" si="10"/>
        <v>600</v>
      </c>
      <c r="V13" s="160"/>
      <c r="X13" s="124" t="s">
        <v>473</v>
      </c>
      <c r="Y13" s="124" t="s">
        <v>460</v>
      </c>
      <c r="Z13" s="132">
        <f t="shared" si="11"/>
        <v>600</v>
      </c>
    </row>
    <row r="14" spans="1:43" s="125" customFormat="1" ht="58.5" customHeight="1">
      <c r="A14" s="160">
        <f t="shared" si="12"/>
        <v>4</v>
      </c>
      <c r="B14" s="327" t="s">
        <v>604</v>
      </c>
      <c r="C14" s="114" t="s">
        <v>605</v>
      </c>
      <c r="D14" s="114" t="s">
        <v>19</v>
      </c>
      <c r="E14" s="114" t="s">
        <v>492</v>
      </c>
      <c r="F14" s="114" t="s">
        <v>391</v>
      </c>
      <c r="G14" s="114" t="s">
        <v>818</v>
      </c>
      <c r="H14" s="114" t="s">
        <v>818</v>
      </c>
      <c r="I14" s="32">
        <v>696</v>
      </c>
      <c r="J14" s="32">
        <v>600</v>
      </c>
      <c r="K14" s="46">
        <f t="shared" si="7"/>
        <v>600</v>
      </c>
      <c r="L14" s="32"/>
      <c r="M14" s="32">
        <v>600</v>
      </c>
      <c r="N14" s="32">
        <f t="shared" si="8"/>
        <v>0</v>
      </c>
      <c r="O14" s="32"/>
      <c r="P14" s="32"/>
      <c r="Q14" s="32"/>
      <c r="R14" s="32">
        <f t="shared" si="9"/>
        <v>600</v>
      </c>
      <c r="S14" s="32"/>
      <c r="T14" s="32"/>
      <c r="U14" s="84">
        <f t="shared" si="10"/>
        <v>600</v>
      </c>
      <c r="V14" s="160"/>
      <c r="X14" s="124" t="s">
        <v>473</v>
      </c>
      <c r="Y14" s="124" t="s">
        <v>460</v>
      </c>
      <c r="Z14" s="132">
        <f t="shared" si="11"/>
        <v>600</v>
      </c>
    </row>
    <row r="15" spans="1:43" s="125" customFormat="1" ht="58.5" customHeight="1">
      <c r="A15" s="160">
        <f t="shared" si="12"/>
        <v>5</v>
      </c>
      <c r="B15" s="327" t="s">
        <v>606</v>
      </c>
      <c r="C15" s="114" t="s">
        <v>607</v>
      </c>
      <c r="D15" s="114" t="s">
        <v>19</v>
      </c>
      <c r="E15" s="114" t="s">
        <v>492</v>
      </c>
      <c r="F15" s="114" t="s">
        <v>391</v>
      </c>
      <c r="G15" s="114" t="s">
        <v>819</v>
      </c>
      <c r="H15" s="114" t="s">
        <v>819</v>
      </c>
      <c r="I15" s="32">
        <v>706</v>
      </c>
      <c r="J15" s="32">
        <v>600</v>
      </c>
      <c r="K15" s="46">
        <f t="shared" si="7"/>
        <v>600</v>
      </c>
      <c r="L15" s="32"/>
      <c r="M15" s="32">
        <v>600</v>
      </c>
      <c r="N15" s="32">
        <f t="shared" si="8"/>
        <v>0</v>
      </c>
      <c r="O15" s="32"/>
      <c r="P15" s="32"/>
      <c r="Q15" s="32"/>
      <c r="R15" s="32">
        <f t="shared" si="9"/>
        <v>600</v>
      </c>
      <c r="S15" s="32"/>
      <c r="T15" s="32"/>
      <c r="U15" s="84">
        <f t="shared" si="10"/>
        <v>600</v>
      </c>
      <c r="V15" s="160"/>
      <c r="X15" s="124" t="s">
        <v>473</v>
      </c>
      <c r="Y15" s="124" t="s">
        <v>460</v>
      </c>
      <c r="Z15" s="132">
        <f t="shared" si="11"/>
        <v>600</v>
      </c>
    </row>
    <row r="16" spans="1:43" s="125" customFormat="1" ht="58.5" customHeight="1">
      <c r="A16" s="160">
        <f t="shared" si="12"/>
        <v>6</v>
      </c>
      <c r="B16" s="327" t="s">
        <v>608</v>
      </c>
      <c r="C16" s="114" t="s">
        <v>609</v>
      </c>
      <c r="D16" s="114" t="s">
        <v>19</v>
      </c>
      <c r="E16" s="114" t="s">
        <v>492</v>
      </c>
      <c r="F16" s="114" t="s">
        <v>391</v>
      </c>
      <c r="G16" s="114" t="s">
        <v>820</v>
      </c>
      <c r="H16" s="114" t="s">
        <v>820</v>
      </c>
      <c r="I16" s="32">
        <v>706</v>
      </c>
      <c r="J16" s="32">
        <v>600</v>
      </c>
      <c r="K16" s="46">
        <f t="shared" si="7"/>
        <v>600</v>
      </c>
      <c r="L16" s="32"/>
      <c r="M16" s="32">
        <v>600</v>
      </c>
      <c r="N16" s="32">
        <f t="shared" si="8"/>
        <v>0</v>
      </c>
      <c r="O16" s="32"/>
      <c r="P16" s="32"/>
      <c r="Q16" s="32"/>
      <c r="R16" s="32">
        <f t="shared" si="9"/>
        <v>600</v>
      </c>
      <c r="S16" s="32"/>
      <c r="T16" s="32"/>
      <c r="U16" s="84">
        <f t="shared" si="10"/>
        <v>600</v>
      </c>
      <c r="V16" s="160"/>
      <c r="X16" s="124" t="s">
        <v>473</v>
      </c>
      <c r="Y16" s="124" t="s">
        <v>460</v>
      </c>
      <c r="Z16" s="132">
        <f t="shared" si="11"/>
        <v>600</v>
      </c>
    </row>
    <row r="17" spans="1:26" s="125" customFormat="1" ht="58.5" customHeight="1">
      <c r="A17" s="160">
        <f t="shared" si="12"/>
        <v>7</v>
      </c>
      <c r="B17" s="327" t="s">
        <v>610</v>
      </c>
      <c r="C17" s="114" t="s">
        <v>611</v>
      </c>
      <c r="D17" s="114" t="s">
        <v>19</v>
      </c>
      <c r="E17" s="114" t="s">
        <v>492</v>
      </c>
      <c r="F17" s="114" t="s">
        <v>391</v>
      </c>
      <c r="G17" s="114" t="s">
        <v>821</v>
      </c>
      <c r="H17" s="114" t="s">
        <v>821</v>
      </c>
      <c r="I17" s="32">
        <v>665</v>
      </c>
      <c r="J17" s="32">
        <v>600</v>
      </c>
      <c r="K17" s="46">
        <f t="shared" si="7"/>
        <v>600</v>
      </c>
      <c r="L17" s="32"/>
      <c r="M17" s="32">
        <v>600</v>
      </c>
      <c r="N17" s="32">
        <f t="shared" si="8"/>
        <v>0</v>
      </c>
      <c r="O17" s="32"/>
      <c r="P17" s="32"/>
      <c r="Q17" s="32"/>
      <c r="R17" s="32">
        <f t="shared" si="9"/>
        <v>600</v>
      </c>
      <c r="S17" s="32"/>
      <c r="T17" s="32"/>
      <c r="U17" s="84">
        <f t="shared" si="10"/>
        <v>600</v>
      </c>
      <c r="V17" s="160"/>
      <c r="X17" s="124" t="s">
        <v>473</v>
      </c>
      <c r="Y17" s="124" t="s">
        <v>460</v>
      </c>
      <c r="Z17" s="132">
        <f t="shared" si="11"/>
        <v>600</v>
      </c>
    </row>
    <row r="18" spans="1:26" s="125" customFormat="1" ht="69" customHeight="1">
      <c r="A18" s="160">
        <f t="shared" si="12"/>
        <v>8</v>
      </c>
      <c r="B18" s="327" t="s">
        <v>1049</v>
      </c>
      <c r="C18" s="114" t="s">
        <v>614</v>
      </c>
      <c r="D18" s="114" t="s">
        <v>19</v>
      </c>
      <c r="E18" s="114" t="s">
        <v>492</v>
      </c>
      <c r="F18" s="114" t="s">
        <v>391</v>
      </c>
      <c r="G18" s="114" t="s">
        <v>822</v>
      </c>
      <c r="H18" s="114" t="s">
        <v>822</v>
      </c>
      <c r="I18" s="32">
        <v>593</v>
      </c>
      <c r="J18" s="32">
        <v>500</v>
      </c>
      <c r="K18" s="46">
        <f t="shared" si="7"/>
        <v>500</v>
      </c>
      <c r="L18" s="32"/>
      <c r="M18" s="32">
        <v>500</v>
      </c>
      <c r="N18" s="32">
        <f t="shared" si="8"/>
        <v>0</v>
      </c>
      <c r="O18" s="32"/>
      <c r="P18" s="32"/>
      <c r="Q18" s="32"/>
      <c r="R18" s="32">
        <f t="shared" si="9"/>
        <v>500</v>
      </c>
      <c r="S18" s="32"/>
      <c r="T18" s="32"/>
      <c r="U18" s="84">
        <f t="shared" si="10"/>
        <v>500</v>
      </c>
      <c r="V18" s="160"/>
      <c r="X18" s="124" t="s">
        <v>473</v>
      </c>
      <c r="Y18" s="124" t="s">
        <v>460</v>
      </c>
      <c r="Z18" s="132">
        <f t="shared" ref="Z18:Z23" si="13">R18</f>
        <v>500</v>
      </c>
    </row>
    <row r="19" spans="1:26" s="138" customFormat="1" ht="69" customHeight="1">
      <c r="A19" s="160">
        <f t="shared" si="12"/>
        <v>9</v>
      </c>
      <c r="B19" s="327" t="s">
        <v>615</v>
      </c>
      <c r="C19" s="114" t="s">
        <v>616</v>
      </c>
      <c r="D19" s="114" t="s">
        <v>19</v>
      </c>
      <c r="E19" s="114" t="s">
        <v>492</v>
      </c>
      <c r="F19" s="114" t="s">
        <v>391</v>
      </c>
      <c r="G19" s="114" t="s">
        <v>823</v>
      </c>
      <c r="H19" s="114" t="s">
        <v>823</v>
      </c>
      <c r="I19" s="32">
        <v>672</v>
      </c>
      <c r="J19" s="32">
        <v>600</v>
      </c>
      <c r="K19" s="46">
        <f t="shared" si="7"/>
        <v>600</v>
      </c>
      <c r="L19" s="32"/>
      <c r="M19" s="32">
        <v>600</v>
      </c>
      <c r="N19" s="32">
        <f t="shared" si="8"/>
        <v>0</v>
      </c>
      <c r="O19" s="32"/>
      <c r="P19" s="32"/>
      <c r="Q19" s="32"/>
      <c r="R19" s="32">
        <f t="shared" si="9"/>
        <v>600</v>
      </c>
      <c r="S19" s="32"/>
      <c r="T19" s="32"/>
      <c r="U19" s="84">
        <f t="shared" si="10"/>
        <v>600</v>
      </c>
      <c r="V19" s="160"/>
      <c r="X19" s="124" t="s">
        <v>473</v>
      </c>
      <c r="Y19" s="124" t="s">
        <v>460</v>
      </c>
      <c r="Z19" s="132">
        <f t="shared" si="13"/>
        <v>600</v>
      </c>
    </row>
    <row r="20" spans="1:26" s="125" customFormat="1" ht="69" customHeight="1">
      <c r="A20" s="160">
        <f t="shared" si="12"/>
        <v>10</v>
      </c>
      <c r="B20" s="327" t="s">
        <v>619</v>
      </c>
      <c r="C20" s="114" t="s">
        <v>620</v>
      </c>
      <c r="D20" s="114" t="s">
        <v>19</v>
      </c>
      <c r="E20" s="114" t="s">
        <v>492</v>
      </c>
      <c r="F20" s="114" t="s">
        <v>391</v>
      </c>
      <c r="G20" s="114" t="s">
        <v>824</v>
      </c>
      <c r="H20" s="114" t="s">
        <v>824</v>
      </c>
      <c r="I20" s="32">
        <v>562</v>
      </c>
      <c r="J20" s="32">
        <v>600</v>
      </c>
      <c r="K20" s="46">
        <f t="shared" si="7"/>
        <v>600</v>
      </c>
      <c r="L20" s="32"/>
      <c r="M20" s="32">
        <v>600</v>
      </c>
      <c r="N20" s="32">
        <f t="shared" si="8"/>
        <v>0</v>
      </c>
      <c r="O20" s="32"/>
      <c r="P20" s="32"/>
      <c r="Q20" s="32"/>
      <c r="R20" s="32">
        <f t="shared" si="9"/>
        <v>600</v>
      </c>
      <c r="S20" s="32"/>
      <c r="T20" s="32"/>
      <c r="U20" s="84">
        <f t="shared" si="10"/>
        <v>600</v>
      </c>
      <c r="V20" s="160"/>
      <c r="X20" s="124" t="s">
        <v>473</v>
      </c>
      <c r="Y20" s="124" t="s">
        <v>460</v>
      </c>
      <c r="Z20" s="132">
        <f t="shared" si="13"/>
        <v>600</v>
      </c>
    </row>
    <row r="21" spans="1:26" s="125" customFormat="1" ht="68.25" customHeight="1">
      <c r="A21" s="160">
        <f t="shared" si="12"/>
        <v>11</v>
      </c>
      <c r="B21" s="327" t="s">
        <v>621</v>
      </c>
      <c r="C21" s="114" t="s">
        <v>622</v>
      </c>
      <c r="D21" s="114" t="s">
        <v>19</v>
      </c>
      <c r="E21" s="114" t="s">
        <v>492</v>
      </c>
      <c r="F21" s="114" t="s">
        <v>391</v>
      </c>
      <c r="G21" s="114" t="s">
        <v>825</v>
      </c>
      <c r="H21" s="114" t="s">
        <v>825</v>
      </c>
      <c r="I21" s="32">
        <v>685</v>
      </c>
      <c r="J21" s="32">
        <v>600</v>
      </c>
      <c r="K21" s="46">
        <f t="shared" si="7"/>
        <v>600</v>
      </c>
      <c r="L21" s="32"/>
      <c r="M21" s="32">
        <v>600</v>
      </c>
      <c r="N21" s="32">
        <f t="shared" si="8"/>
        <v>0</v>
      </c>
      <c r="O21" s="32"/>
      <c r="P21" s="32"/>
      <c r="Q21" s="32"/>
      <c r="R21" s="32">
        <f t="shared" si="9"/>
        <v>600</v>
      </c>
      <c r="S21" s="32"/>
      <c r="T21" s="32"/>
      <c r="U21" s="84">
        <f t="shared" si="10"/>
        <v>600</v>
      </c>
      <c r="V21" s="160"/>
      <c r="X21" s="124" t="s">
        <v>473</v>
      </c>
      <c r="Y21" s="124" t="s">
        <v>460</v>
      </c>
      <c r="Z21" s="132">
        <f t="shared" si="13"/>
        <v>600</v>
      </c>
    </row>
    <row r="22" spans="1:26" s="125" customFormat="1" ht="68.25" customHeight="1">
      <c r="A22" s="160">
        <f t="shared" si="12"/>
        <v>12</v>
      </c>
      <c r="B22" s="327" t="s">
        <v>623</v>
      </c>
      <c r="C22" s="114" t="s">
        <v>624</v>
      </c>
      <c r="D22" s="114" t="s">
        <v>19</v>
      </c>
      <c r="E22" s="114" t="s">
        <v>492</v>
      </c>
      <c r="F22" s="114" t="s">
        <v>391</v>
      </c>
      <c r="G22" s="114" t="s">
        <v>826</v>
      </c>
      <c r="H22" s="114" t="s">
        <v>826</v>
      </c>
      <c r="I22" s="32">
        <v>843</v>
      </c>
      <c r="J22" s="32">
        <v>700</v>
      </c>
      <c r="K22" s="46">
        <f t="shared" si="7"/>
        <v>700</v>
      </c>
      <c r="L22" s="32"/>
      <c r="M22" s="32">
        <v>700</v>
      </c>
      <c r="N22" s="32">
        <f t="shared" si="8"/>
        <v>0</v>
      </c>
      <c r="O22" s="32"/>
      <c r="P22" s="32"/>
      <c r="Q22" s="32"/>
      <c r="R22" s="32">
        <f t="shared" si="9"/>
        <v>700</v>
      </c>
      <c r="S22" s="32"/>
      <c r="T22" s="32"/>
      <c r="U22" s="84">
        <f t="shared" si="10"/>
        <v>700</v>
      </c>
      <c r="V22" s="160"/>
      <c r="X22" s="124" t="s">
        <v>473</v>
      </c>
      <c r="Y22" s="124" t="s">
        <v>460</v>
      </c>
      <c r="Z22" s="132">
        <f t="shared" si="13"/>
        <v>700</v>
      </c>
    </row>
    <row r="23" spans="1:26" s="125" customFormat="1" ht="68.25" customHeight="1">
      <c r="A23" s="160">
        <f t="shared" si="12"/>
        <v>13</v>
      </c>
      <c r="B23" s="327" t="s">
        <v>625</v>
      </c>
      <c r="C23" s="114" t="s">
        <v>626</v>
      </c>
      <c r="D23" s="114" t="s">
        <v>19</v>
      </c>
      <c r="E23" s="114" t="s">
        <v>492</v>
      </c>
      <c r="F23" s="114" t="s">
        <v>391</v>
      </c>
      <c r="G23" s="114" t="s">
        <v>827</v>
      </c>
      <c r="H23" s="114" t="s">
        <v>827</v>
      </c>
      <c r="I23" s="32">
        <v>926</v>
      </c>
      <c r="J23" s="32">
        <v>900</v>
      </c>
      <c r="K23" s="46">
        <f t="shared" si="7"/>
        <v>900</v>
      </c>
      <c r="L23" s="32"/>
      <c r="M23" s="32">
        <v>900</v>
      </c>
      <c r="N23" s="32">
        <f t="shared" si="8"/>
        <v>0</v>
      </c>
      <c r="O23" s="32"/>
      <c r="P23" s="32"/>
      <c r="Q23" s="32"/>
      <c r="R23" s="32">
        <f t="shared" si="9"/>
        <v>900</v>
      </c>
      <c r="S23" s="32"/>
      <c r="T23" s="32"/>
      <c r="U23" s="84">
        <f t="shared" si="10"/>
        <v>900</v>
      </c>
      <c r="V23" s="160"/>
      <c r="X23" s="124" t="s">
        <v>473</v>
      </c>
      <c r="Y23" s="124" t="s">
        <v>460</v>
      </c>
      <c r="Z23" s="132">
        <f t="shared" si="13"/>
        <v>900</v>
      </c>
    </row>
    <row r="24" spans="1:26" s="125" customFormat="1" ht="68.25" customHeight="1">
      <c r="A24" s="160">
        <f t="shared" si="12"/>
        <v>14</v>
      </c>
      <c r="B24" s="327" t="s">
        <v>1054</v>
      </c>
      <c r="C24" s="114" t="s">
        <v>263</v>
      </c>
      <c r="D24" s="114" t="s">
        <v>19</v>
      </c>
      <c r="E24" s="114" t="s">
        <v>492</v>
      </c>
      <c r="F24" s="114" t="s">
        <v>391</v>
      </c>
      <c r="G24" s="114"/>
      <c r="H24" s="114" t="s">
        <v>1184</v>
      </c>
      <c r="I24" s="32">
        <v>4251</v>
      </c>
      <c r="J24" s="32">
        <v>4251</v>
      </c>
      <c r="K24" s="46"/>
      <c r="L24" s="32"/>
      <c r="M24" s="32"/>
      <c r="N24" s="32"/>
      <c r="O24" s="32"/>
      <c r="P24" s="32"/>
      <c r="Q24" s="32"/>
      <c r="R24" s="32">
        <v>3500</v>
      </c>
      <c r="S24" s="32"/>
      <c r="T24" s="32"/>
      <c r="U24" s="84">
        <f t="shared" si="10"/>
        <v>3500</v>
      </c>
      <c r="V24" s="160"/>
      <c r="X24" s="124"/>
      <c r="Y24" s="124"/>
      <c r="Z24" s="132"/>
    </row>
    <row r="25" spans="1:26" s="125" customFormat="1" ht="78.900000000000006" customHeight="1">
      <c r="A25" s="160">
        <f t="shared" si="12"/>
        <v>15</v>
      </c>
      <c r="B25" s="327" t="s">
        <v>592</v>
      </c>
      <c r="C25" s="114" t="s">
        <v>593</v>
      </c>
      <c r="D25" s="114" t="s">
        <v>19</v>
      </c>
      <c r="E25" s="114" t="s">
        <v>492</v>
      </c>
      <c r="F25" s="114" t="s">
        <v>391</v>
      </c>
      <c r="G25" s="114"/>
      <c r="H25" s="114" t="s">
        <v>1155</v>
      </c>
      <c r="I25" s="32">
        <v>686</v>
      </c>
      <c r="J25" s="32">
        <v>600</v>
      </c>
      <c r="K25" s="46"/>
      <c r="L25" s="32"/>
      <c r="M25" s="32"/>
      <c r="N25" s="32"/>
      <c r="O25" s="32"/>
      <c r="P25" s="32"/>
      <c r="Q25" s="32"/>
      <c r="R25" s="32">
        <v>600</v>
      </c>
      <c r="S25" s="32"/>
      <c r="T25" s="32"/>
      <c r="U25" s="84">
        <f t="shared" si="10"/>
        <v>600</v>
      </c>
      <c r="V25" s="160"/>
      <c r="X25" s="124"/>
      <c r="Y25" s="124"/>
      <c r="Z25" s="132"/>
    </row>
    <row r="26" spans="1:26" s="125" customFormat="1" ht="68.25" customHeight="1">
      <c r="A26" s="160">
        <f t="shared" si="12"/>
        <v>16</v>
      </c>
      <c r="B26" s="327" t="s">
        <v>691</v>
      </c>
      <c r="C26" s="114" t="s">
        <v>594</v>
      </c>
      <c r="D26" s="114" t="s">
        <v>19</v>
      </c>
      <c r="E26" s="114" t="s">
        <v>492</v>
      </c>
      <c r="F26" s="114" t="s">
        <v>391</v>
      </c>
      <c r="G26" s="114"/>
      <c r="H26" s="114" t="s">
        <v>1156</v>
      </c>
      <c r="I26" s="32">
        <v>731</v>
      </c>
      <c r="J26" s="32">
        <v>700</v>
      </c>
      <c r="K26" s="46"/>
      <c r="L26" s="32"/>
      <c r="M26" s="32"/>
      <c r="N26" s="32"/>
      <c r="O26" s="32"/>
      <c r="P26" s="32"/>
      <c r="Q26" s="32"/>
      <c r="R26" s="32">
        <v>700</v>
      </c>
      <c r="S26" s="32"/>
      <c r="T26" s="32"/>
      <c r="U26" s="84">
        <f t="shared" si="10"/>
        <v>700</v>
      </c>
      <c r="V26" s="160"/>
      <c r="X26" s="124"/>
      <c r="Y26" s="124"/>
      <c r="Z26" s="132"/>
    </row>
    <row r="27" spans="1:26" s="125" customFormat="1" ht="68.25" customHeight="1">
      <c r="A27" s="160">
        <f t="shared" si="12"/>
        <v>17</v>
      </c>
      <c r="B27" s="327" t="s">
        <v>595</v>
      </c>
      <c r="C27" s="114" t="s">
        <v>596</v>
      </c>
      <c r="D27" s="114" t="s">
        <v>19</v>
      </c>
      <c r="E27" s="114" t="s">
        <v>492</v>
      </c>
      <c r="F27" s="114" t="s">
        <v>391</v>
      </c>
      <c r="G27" s="114"/>
      <c r="H27" s="114" t="s">
        <v>1157</v>
      </c>
      <c r="I27" s="32">
        <v>674</v>
      </c>
      <c r="J27" s="32">
        <v>600</v>
      </c>
      <c r="K27" s="46"/>
      <c r="L27" s="32"/>
      <c r="M27" s="32"/>
      <c r="N27" s="32"/>
      <c r="O27" s="32"/>
      <c r="P27" s="32"/>
      <c r="Q27" s="32"/>
      <c r="R27" s="32">
        <v>600</v>
      </c>
      <c r="S27" s="32"/>
      <c r="T27" s="32"/>
      <c r="U27" s="84">
        <f t="shared" si="10"/>
        <v>600</v>
      </c>
      <c r="V27" s="160"/>
      <c r="X27" s="124"/>
      <c r="Y27" s="124"/>
      <c r="Z27" s="132"/>
    </row>
    <row r="28" spans="1:26" s="125" customFormat="1" ht="68.25" customHeight="1">
      <c r="A28" s="160">
        <f t="shared" si="12"/>
        <v>18</v>
      </c>
      <c r="B28" s="327" t="s">
        <v>1055</v>
      </c>
      <c r="C28" s="114" t="s">
        <v>1056</v>
      </c>
      <c r="D28" s="114" t="s">
        <v>19</v>
      </c>
      <c r="E28" s="114" t="s">
        <v>492</v>
      </c>
      <c r="F28" s="114" t="s">
        <v>391</v>
      </c>
      <c r="G28" s="114"/>
      <c r="H28" s="114" t="s">
        <v>1185</v>
      </c>
      <c r="I28" s="32">
        <v>545</v>
      </c>
      <c r="J28" s="32">
        <v>545</v>
      </c>
      <c r="K28" s="46"/>
      <c r="L28" s="32"/>
      <c r="M28" s="32"/>
      <c r="N28" s="32"/>
      <c r="O28" s="32"/>
      <c r="P28" s="32"/>
      <c r="Q28" s="32"/>
      <c r="R28" s="32">
        <v>520</v>
      </c>
      <c r="S28" s="32"/>
      <c r="T28" s="32"/>
      <c r="U28" s="84">
        <f t="shared" si="10"/>
        <v>520</v>
      </c>
      <c r="V28" s="160"/>
      <c r="X28" s="124"/>
      <c r="Y28" s="124"/>
      <c r="Z28" s="132"/>
    </row>
    <row r="29" spans="1:26" s="125" customFormat="1" ht="68.25" customHeight="1">
      <c r="A29" s="160">
        <f t="shared" si="12"/>
        <v>19</v>
      </c>
      <c r="B29" s="327" t="s">
        <v>1057</v>
      </c>
      <c r="C29" s="114" t="s">
        <v>1058</v>
      </c>
      <c r="D29" s="114" t="s">
        <v>19</v>
      </c>
      <c r="E29" s="114" t="s">
        <v>492</v>
      </c>
      <c r="F29" s="114" t="s">
        <v>391</v>
      </c>
      <c r="G29" s="114"/>
      <c r="H29" s="114" t="s">
        <v>1186</v>
      </c>
      <c r="I29" s="32">
        <v>544</v>
      </c>
      <c r="J29" s="32">
        <v>544</v>
      </c>
      <c r="K29" s="46"/>
      <c r="L29" s="32"/>
      <c r="M29" s="32"/>
      <c r="N29" s="32"/>
      <c r="O29" s="32"/>
      <c r="P29" s="32"/>
      <c r="Q29" s="32"/>
      <c r="R29" s="32">
        <v>520</v>
      </c>
      <c r="S29" s="32"/>
      <c r="T29" s="32"/>
      <c r="U29" s="84">
        <f t="shared" si="10"/>
        <v>520</v>
      </c>
      <c r="V29" s="160"/>
      <c r="X29" s="124"/>
      <c r="Y29" s="124"/>
      <c r="Z29" s="132"/>
    </row>
    <row r="30" spans="1:26" s="125" customFormat="1" ht="68.25" customHeight="1">
      <c r="A30" s="160">
        <f t="shared" si="12"/>
        <v>20</v>
      </c>
      <c r="B30" s="327" t="s">
        <v>1059</v>
      </c>
      <c r="C30" s="114" t="s">
        <v>1060</v>
      </c>
      <c r="D30" s="114" t="s">
        <v>19</v>
      </c>
      <c r="E30" s="114" t="s">
        <v>492</v>
      </c>
      <c r="F30" s="114" t="s">
        <v>391</v>
      </c>
      <c r="G30" s="114"/>
      <c r="H30" s="114" t="s">
        <v>1198</v>
      </c>
      <c r="I30" s="32">
        <v>527</v>
      </c>
      <c r="J30" s="32">
        <v>527</v>
      </c>
      <c r="K30" s="46"/>
      <c r="L30" s="32"/>
      <c r="M30" s="32"/>
      <c r="N30" s="32"/>
      <c r="O30" s="32"/>
      <c r="P30" s="32"/>
      <c r="Q30" s="32"/>
      <c r="R30" s="32">
        <v>500</v>
      </c>
      <c r="S30" s="32"/>
      <c r="T30" s="32"/>
      <c r="U30" s="84">
        <f t="shared" si="10"/>
        <v>500</v>
      </c>
      <c r="V30" s="160"/>
      <c r="X30" s="124"/>
      <c r="Y30" s="124"/>
      <c r="Z30" s="132"/>
    </row>
    <row r="31" spans="1:26" s="125" customFormat="1" ht="68.25" customHeight="1">
      <c r="A31" s="160">
        <f t="shared" si="12"/>
        <v>21</v>
      </c>
      <c r="B31" s="327" t="s">
        <v>612</v>
      </c>
      <c r="C31" s="114" t="s">
        <v>613</v>
      </c>
      <c r="D31" s="114" t="s">
        <v>19</v>
      </c>
      <c r="E31" s="114" t="s">
        <v>492</v>
      </c>
      <c r="F31" s="114" t="s">
        <v>391</v>
      </c>
      <c r="G31" s="114"/>
      <c r="H31" s="114" t="s">
        <v>1199</v>
      </c>
      <c r="I31" s="32">
        <v>657</v>
      </c>
      <c r="J31" s="32">
        <v>657</v>
      </c>
      <c r="K31" s="46"/>
      <c r="L31" s="32"/>
      <c r="M31" s="32"/>
      <c r="N31" s="32"/>
      <c r="O31" s="32"/>
      <c r="P31" s="32"/>
      <c r="Q31" s="32"/>
      <c r="R31" s="32">
        <v>600</v>
      </c>
      <c r="S31" s="32"/>
      <c r="T31" s="32"/>
      <c r="U31" s="84">
        <f t="shared" si="10"/>
        <v>600</v>
      </c>
      <c r="V31" s="160"/>
      <c r="X31" s="124"/>
      <c r="Y31" s="124"/>
      <c r="Z31" s="132"/>
    </row>
    <row r="32" spans="1:26" s="125" customFormat="1" ht="68.25" customHeight="1">
      <c r="A32" s="160">
        <f t="shared" si="12"/>
        <v>22</v>
      </c>
      <c r="B32" s="327" t="s">
        <v>617</v>
      </c>
      <c r="C32" s="114" t="s">
        <v>618</v>
      </c>
      <c r="D32" s="114" t="s">
        <v>19</v>
      </c>
      <c r="E32" s="114" t="s">
        <v>492</v>
      </c>
      <c r="F32" s="114" t="s">
        <v>391</v>
      </c>
      <c r="G32" s="114"/>
      <c r="H32" s="114" t="s">
        <v>1200</v>
      </c>
      <c r="I32" s="32">
        <v>579</v>
      </c>
      <c r="J32" s="32">
        <v>579</v>
      </c>
      <c r="K32" s="46"/>
      <c r="L32" s="32"/>
      <c r="M32" s="32"/>
      <c r="N32" s="32"/>
      <c r="O32" s="32"/>
      <c r="P32" s="32"/>
      <c r="Q32" s="32"/>
      <c r="R32" s="32">
        <v>550</v>
      </c>
      <c r="S32" s="32"/>
      <c r="T32" s="32"/>
      <c r="U32" s="84">
        <f t="shared" si="10"/>
        <v>550</v>
      </c>
      <c r="V32" s="160"/>
      <c r="X32" s="124"/>
      <c r="Y32" s="124"/>
      <c r="Z32" s="132"/>
    </row>
    <row r="33" spans="1:43" s="159" customFormat="1" ht="141.75" customHeight="1">
      <c r="A33" s="322" t="s">
        <v>31</v>
      </c>
      <c r="B33" s="50" t="s">
        <v>975</v>
      </c>
      <c r="C33" s="246"/>
      <c r="D33" s="301"/>
      <c r="E33" s="246"/>
      <c r="F33" s="246"/>
      <c r="G33" s="246"/>
      <c r="H33" s="246"/>
      <c r="I33" s="64"/>
      <c r="J33" s="64"/>
      <c r="K33" s="64"/>
      <c r="L33" s="64"/>
      <c r="M33" s="64"/>
      <c r="N33" s="64"/>
      <c r="O33" s="64"/>
      <c r="P33" s="64"/>
      <c r="Q33" s="64"/>
      <c r="R33" s="64">
        <f>310+3500</f>
        <v>3810</v>
      </c>
      <c r="S33" s="64"/>
      <c r="T33" s="377">
        <v>-3810</v>
      </c>
      <c r="U33" s="64">
        <f t="shared" si="10"/>
        <v>0</v>
      </c>
      <c r="V33" s="75" t="s">
        <v>1478</v>
      </c>
      <c r="AA33" s="42"/>
      <c r="AB33" s="44"/>
      <c r="AC33" s="44"/>
      <c r="AD33" s="44"/>
      <c r="AE33" s="44"/>
      <c r="AF33" s="44"/>
      <c r="AG33" s="44"/>
      <c r="AH33" s="44"/>
      <c r="AI33" s="44"/>
      <c r="AJ33" s="44"/>
      <c r="AK33" s="44"/>
      <c r="AL33" s="44"/>
      <c r="AM33" s="44"/>
      <c r="AN33" s="44"/>
      <c r="AO33" s="44"/>
      <c r="AP33" s="44"/>
      <c r="AQ33" s="44"/>
    </row>
  </sheetData>
  <mergeCells count="24">
    <mergeCell ref="S5:S7"/>
    <mergeCell ref="T5:T7"/>
    <mergeCell ref="U5:U7"/>
    <mergeCell ref="A1:V1"/>
    <mergeCell ref="A2:V2"/>
    <mergeCell ref="A3:V3"/>
    <mergeCell ref="A5:A7"/>
    <mergeCell ref="B5:B7"/>
    <mergeCell ref="C5:C7"/>
    <mergeCell ref="D5:D7"/>
    <mergeCell ref="E5:E7"/>
    <mergeCell ref="F5:F7"/>
    <mergeCell ref="H5:J5"/>
    <mergeCell ref="V5:V7"/>
    <mergeCell ref="H6:H7"/>
    <mergeCell ref="I6:J6"/>
    <mergeCell ref="N5:Q5"/>
    <mergeCell ref="K5:K7"/>
    <mergeCell ref="R5:R7"/>
    <mergeCell ref="G5:G7"/>
    <mergeCell ref="N6:N7"/>
    <mergeCell ref="O6:Q6"/>
    <mergeCell ref="L6:M6"/>
    <mergeCell ref="L5:M5"/>
  </mergeCells>
  <printOptions horizontalCentered="1"/>
  <pageMargins left="0.39370078740157499" right="0.39370078740157499" top="0.39370078740157499" bottom="0.39370078740157499" header="0.196850393700787" footer="0.196850393700787"/>
  <pageSetup paperSize="9" scale="43" fitToHeight="0" orientation="landscape" r:id="rId1"/>
  <headerFooter alignWithMargins="0">
    <oddFooter>&amp;C&amp;"Times New Roman,thường"&amp;11&amp;P/&amp;N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5"/>
  <sheetViews>
    <sheetView view="pageBreakPreview" zoomScale="66" zoomScaleNormal="70" zoomScaleSheetLayoutView="50" workbookViewId="0">
      <selection activeCell="D17" sqref="D17"/>
    </sheetView>
  </sheetViews>
  <sheetFormatPr defaultColWidth="9.109375" defaultRowHeight="16.8"/>
  <cols>
    <col min="1" max="1" width="8.6640625" style="11" customWidth="1"/>
    <col min="2" max="2" width="50.6640625" style="11" customWidth="1"/>
    <col min="3" max="3" width="20.6640625" style="11" customWidth="1"/>
    <col min="4" max="4" width="20.6640625" style="22" customWidth="1"/>
    <col min="5" max="6" width="20.6640625" style="11" customWidth="1"/>
    <col min="7" max="7" width="22.6640625" style="11" customWidth="1"/>
    <col min="8" max="9" width="20.6640625" style="11" customWidth="1"/>
    <col min="10" max="14" width="20.6640625" style="11" hidden="1" customWidth="1"/>
    <col min="15" max="18" width="20.6640625" style="11" customWidth="1"/>
    <col min="19" max="19" width="30.6640625" style="11" customWidth="1"/>
    <col min="20" max="20" width="19.109375" style="11" customWidth="1"/>
    <col min="21" max="21" width="14.88671875" style="11" customWidth="1"/>
    <col min="22" max="22" width="13.44140625" style="11" customWidth="1"/>
    <col min="23" max="23" width="17.88671875" style="11" customWidth="1"/>
    <col min="24" max="24" width="19.33203125" style="11" customWidth="1"/>
    <col min="25" max="25" width="17.33203125" style="11" customWidth="1"/>
    <col min="26" max="26" width="10" style="11" bestFit="1" customWidth="1"/>
    <col min="27" max="28" width="9.109375" style="11"/>
    <col min="29" max="29" width="10" style="11" bestFit="1" customWidth="1"/>
    <col min="30" max="39" width="9.109375" style="11"/>
    <col min="40" max="40" width="9.6640625" style="11" bestFit="1" customWidth="1"/>
    <col min="41" max="16384" width="9.109375" style="11"/>
  </cols>
  <sheetData>
    <row r="1" spans="1:40" ht="39.9" customHeight="1">
      <c r="A1" s="554" t="s">
        <v>443</v>
      </c>
      <c r="B1" s="554"/>
      <c r="C1" s="554"/>
      <c r="D1" s="554"/>
      <c r="E1" s="554"/>
      <c r="F1" s="554"/>
      <c r="G1" s="554"/>
      <c r="H1" s="554"/>
      <c r="I1" s="554"/>
      <c r="J1" s="554"/>
      <c r="K1" s="554"/>
      <c r="L1" s="554"/>
      <c r="M1" s="554"/>
      <c r="N1" s="554"/>
      <c r="O1" s="554"/>
      <c r="P1" s="554"/>
      <c r="Q1" s="554"/>
      <c r="R1" s="554"/>
      <c r="S1" s="554"/>
    </row>
    <row r="2" spans="1:40" s="209" customFormat="1" ht="60" customHeight="1">
      <c r="A2" s="581" t="s">
        <v>1460</v>
      </c>
      <c r="B2" s="581"/>
      <c r="C2" s="581"/>
      <c r="D2" s="581"/>
      <c r="E2" s="581"/>
      <c r="F2" s="581"/>
      <c r="G2" s="581"/>
      <c r="H2" s="581"/>
      <c r="I2" s="581"/>
      <c r="J2" s="581"/>
      <c r="K2" s="581"/>
      <c r="L2" s="581"/>
      <c r="M2" s="581"/>
      <c r="N2" s="581"/>
      <c r="O2" s="581"/>
      <c r="P2" s="581"/>
      <c r="Q2" s="581"/>
      <c r="R2" s="581"/>
      <c r="S2" s="581"/>
    </row>
    <row r="3" spans="1:40" ht="50.1" customHeight="1">
      <c r="A3" s="556" t="str">
        <f>'7. XSKT CNT'!A3:V3</f>
        <v>(Ban hành kèm theo Quyết định số: 2571/QĐ-UBND ngày 12/12/2024 của Ủy ban nhân dân tỉnh)</v>
      </c>
      <c r="B3" s="556"/>
      <c r="C3" s="556"/>
      <c r="D3" s="556"/>
      <c r="E3" s="556"/>
      <c r="F3" s="556"/>
      <c r="G3" s="556"/>
      <c r="H3" s="556"/>
      <c r="I3" s="556"/>
      <c r="J3" s="556"/>
      <c r="K3" s="556"/>
      <c r="L3" s="556"/>
      <c r="M3" s="556"/>
      <c r="N3" s="556"/>
      <c r="O3" s="556"/>
      <c r="P3" s="556"/>
      <c r="Q3" s="556"/>
      <c r="R3" s="556"/>
      <c r="S3" s="556"/>
    </row>
    <row r="4" spans="1:40" ht="33.75" customHeight="1">
      <c r="J4" s="12"/>
      <c r="K4" s="12"/>
      <c r="L4" s="12"/>
      <c r="M4" s="12"/>
      <c r="N4" s="12"/>
      <c r="O4" s="12"/>
      <c r="P4" s="12"/>
      <c r="Q4" s="12"/>
      <c r="R4" s="12"/>
      <c r="S4" s="12" t="s">
        <v>0</v>
      </c>
    </row>
    <row r="5" spans="1:40" ht="60" customHeight="1">
      <c r="A5" s="559" t="s">
        <v>1</v>
      </c>
      <c r="B5" s="561" t="s">
        <v>513</v>
      </c>
      <c r="C5" s="559" t="s">
        <v>2</v>
      </c>
      <c r="D5" s="559" t="s">
        <v>3</v>
      </c>
      <c r="E5" s="562" t="s">
        <v>4</v>
      </c>
      <c r="F5" s="562" t="s">
        <v>5</v>
      </c>
      <c r="G5" s="562" t="s">
        <v>148</v>
      </c>
      <c r="H5" s="562"/>
      <c r="I5" s="562"/>
      <c r="J5" s="582" t="s">
        <v>696</v>
      </c>
      <c r="K5" s="565" t="s">
        <v>808</v>
      </c>
      <c r="L5" s="565"/>
      <c r="M5" s="565"/>
      <c r="N5" s="565"/>
      <c r="O5" s="557" t="s">
        <v>690</v>
      </c>
      <c r="P5" s="557" t="s">
        <v>1072</v>
      </c>
      <c r="Q5" s="557" t="s">
        <v>1073</v>
      </c>
      <c r="R5" s="557" t="s">
        <v>1215</v>
      </c>
      <c r="S5" s="559" t="s">
        <v>6</v>
      </c>
      <c r="T5" s="14"/>
      <c r="U5" s="56" t="s">
        <v>452</v>
      </c>
      <c r="V5" s="56" t="s">
        <v>453</v>
      </c>
      <c r="W5" s="57" t="s">
        <v>454</v>
      </c>
      <c r="X5" s="57"/>
      <c r="Y5" s="57"/>
      <c r="Z5" s="56"/>
      <c r="AA5" s="56"/>
      <c r="AB5" s="56"/>
      <c r="AC5" s="56"/>
      <c r="AD5" s="56"/>
      <c r="AE5" s="56"/>
      <c r="AF5" s="56"/>
      <c r="AG5" s="56"/>
      <c r="AH5" s="56"/>
      <c r="AI5" s="56"/>
      <c r="AJ5" s="56"/>
      <c r="AK5" s="56"/>
      <c r="AL5" s="56"/>
      <c r="AM5" s="56"/>
      <c r="AN5" s="57"/>
    </row>
    <row r="6" spans="1:40" ht="60" customHeight="1">
      <c r="A6" s="560"/>
      <c r="B6" s="561"/>
      <c r="C6" s="560"/>
      <c r="D6" s="560"/>
      <c r="E6" s="562"/>
      <c r="F6" s="562"/>
      <c r="G6" s="562" t="s">
        <v>7</v>
      </c>
      <c r="H6" s="562" t="s">
        <v>8</v>
      </c>
      <c r="I6" s="562"/>
      <c r="J6" s="583"/>
      <c r="K6" s="565" t="s">
        <v>9</v>
      </c>
      <c r="L6" s="565" t="s">
        <v>10</v>
      </c>
      <c r="M6" s="565"/>
      <c r="N6" s="565"/>
      <c r="O6" s="569"/>
      <c r="P6" s="569"/>
      <c r="Q6" s="569"/>
      <c r="R6" s="569"/>
      <c r="S6" s="560"/>
      <c r="T6" s="14"/>
      <c r="U6" s="56"/>
      <c r="V6" s="56"/>
      <c r="W6" s="57"/>
      <c r="X6" s="58"/>
      <c r="Y6" s="57"/>
      <c r="Z6" s="82"/>
      <c r="AA6" s="82"/>
      <c r="AB6" s="82"/>
      <c r="AC6" s="82"/>
      <c r="AD6" s="82"/>
      <c r="AE6" s="82"/>
      <c r="AF6" s="82"/>
      <c r="AG6" s="82"/>
      <c r="AH6" s="82"/>
      <c r="AI6" s="82"/>
      <c r="AJ6" s="82"/>
      <c r="AK6" s="82"/>
      <c r="AL6" s="82"/>
      <c r="AM6" s="82"/>
      <c r="AN6" s="58"/>
    </row>
    <row r="7" spans="1:40" ht="60" customHeight="1">
      <c r="A7" s="560"/>
      <c r="B7" s="561"/>
      <c r="C7" s="560"/>
      <c r="D7" s="563"/>
      <c r="E7" s="562"/>
      <c r="F7" s="562"/>
      <c r="G7" s="562"/>
      <c r="H7" s="13" t="s">
        <v>66</v>
      </c>
      <c r="I7" s="13" t="s">
        <v>67</v>
      </c>
      <c r="J7" s="584"/>
      <c r="K7" s="565"/>
      <c r="L7" s="85" t="s">
        <v>13</v>
      </c>
      <c r="M7" s="85" t="s">
        <v>564</v>
      </c>
      <c r="N7" s="85" t="s">
        <v>813</v>
      </c>
      <c r="O7" s="558"/>
      <c r="P7" s="558"/>
      <c r="Q7" s="558"/>
      <c r="R7" s="558"/>
      <c r="S7" s="560"/>
      <c r="T7" s="6"/>
      <c r="U7" s="56"/>
      <c r="V7" s="56"/>
      <c r="W7" s="57"/>
      <c r="X7" s="57"/>
      <c r="Y7" s="57"/>
      <c r="Z7" s="82"/>
      <c r="AA7" s="82"/>
      <c r="AB7" s="82"/>
      <c r="AC7" s="82"/>
      <c r="AD7" s="82"/>
      <c r="AE7" s="82"/>
      <c r="AF7" s="82"/>
      <c r="AG7" s="82"/>
      <c r="AH7" s="82"/>
      <c r="AI7" s="82"/>
      <c r="AJ7" s="82"/>
      <c r="AK7" s="82"/>
      <c r="AL7" s="82"/>
      <c r="AM7" s="82"/>
      <c r="AN7" s="58"/>
    </row>
    <row r="8" spans="1:40" s="2" customFormat="1" ht="60" customHeight="1">
      <c r="A8" s="21"/>
      <c r="B8" s="24" t="s">
        <v>280</v>
      </c>
      <c r="C8" s="21"/>
      <c r="D8" s="21"/>
      <c r="E8" s="21"/>
      <c r="F8" s="21"/>
      <c r="G8" s="21"/>
      <c r="H8" s="7">
        <f>SUM(H9,H11)</f>
        <v>1205</v>
      </c>
      <c r="I8" s="7">
        <f>SUM(I9,I11)</f>
        <v>1200</v>
      </c>
      <c r="J8" s="7">
        <f>SUM(J9,J11)</f>
        <v>92250</v>
      </c>
      <c r="K8" s="7">
        <f t="shared" ref="K8:R8" si="0">SUM(K9,K11)</f>
        <v>8674</v>
      </c>
      <c r="L8" s="7">
        <f t="shared" si="0"/>
        <v>0</v>
      </c>
      <c r="M8" s="7">
        <f t="shared" si="0"/>
        <v>8674</v>
      </c>
      <c r="N8" s="7">
        <f t="shared" si="0"/>
        <v>0</v>
      </c>
      <c r="O8" s="7">
        <f t="shared" si="0"/>
        <v>56503</v>
      </c>
      <c r="P8" s="7">
        <f t="shared" si="0"/>
        <v>0</v>
      </c>
      <c r="Q8" s="7">
        <f t="shared" si="0"/>
        <v>0</v>
      </c>
      <c r="R8" s="7">
        <f t="shared" si="0"/>
        <v>56503</v>
      </c>
      <c r="S8" s="25"/>
      <c r="T8" s="2">
        <f>(93495+46000)</f>
        <v>139495</v>
      </c>
      <c r="X8" s="230"/>
      <c r="Y8" s="44"/>
      <c r="Z8" s="44"/>
      <c r="AA8" s="44"/>
      <c r="AB8" s="44"/>
      <c r="AC8" s="44"/>
      <c r="AD8" s="44"/>
      <c r="AE8" s="44"/>
      <c r="AF8" s="44"/>
      <c r="AG8" s="44"/>
      <c r="AH8" s="44"/>
      <c r="AI8" s="44"/>
      <c r="AJ8" s="44"/>
      <c r="AK8" s="44"/>
      <c r="AL8" s="44"/>
      <c r="AM8" s="44"/>
      <c r="AN8" s="45"/>
    </row>
    <row r="9" spans="1:40" s="18" customFormat="1" ht="75.75" customHeight="1">
      <c r="A9" s="13" t="s">
        <v>15</v>
      </c>
      <c r="B9" s="26" t="s">
        <v>814</v>
      </c>
      <c r="C9" s="13"/>
      <c r="D9" s="13"/>
      <c r="E9" s="13"/>
      <c r="F9" s="13"/>
      <c r="G9" s="13"/>
      <c r="H9" s="8">
        <v>0</v>
      </c>
      <c r="I9" s="8">
        <v>0</v>
      </c>
      <c r="J9" s="64">
        <f>SUM(J10)</f>
        <v>91050</v>
      </c>
      <c r="K9" s="64">
        <f t="shared" ref="K9:R9" si="1">SUM(K10)</f>
        <v>8674</v>
      </c>
      <c r="L9" s="64">
        <f t="shared" si="1"/>
        <v>0</v>
      </c>
      <c r="M9" s="64">
        <f t="shared" si="1"/>
        <v>8674</v>
      </c>
      <c r="N9" s="64">
        <f t="shared" si="1"/>
        <v>0</v>
      </c>
      <c r="O9" s="64">
        <f t="shared" si="1"/>
        <v>55303</v>
      </c>
      <c r="P9" s="64">
        <f t="shared" si="1"/>
        <v>0</v>
      </c>
      <c r="Q9" s="64">
        <f t="shared" si="1"/>
        <v>0</v>
      </c>
      <c r="R9" s="64">
        <f t="shared" si="1"/>
        <v>55303</v>
      </c>
      <c r="S9" s="1"/>
      <c r="T9" s="41" t="e">
        <f>#REF!-#REF!-17300</f>
        <v>#REF!</v>
      </c>
      <c r="X9" s="42"/>
      <c r="Y9" s="44"/>
      <c r="Z9" s="44"/>
      <c r="AA9" s="44"/>
      <c r="AB9" s="44"/>
      <c r="AC9" s="44"/>
      <c r="AD9" s="44"/>
      <c r="AE9" s="44"/>
      <c r="AF9" s="44"/>
      <c r="AG9" s="44"/>
      <c r="AH9" s="44"/>
      <c r="AI9" s="44"/>
      <c r="AJ9" s="44"/>
      <c r="AK9" s="44"/>
      <c r="AL9" s="44"/>
      <c r="AM9" s="44"/>
      <c r="AN9" s="44"/>
    </row>
    <row r="10" spans="1:40" ht="64.5" customHeight="1">
      <c r="A10" s="10">
        <v>1</v>
      </c>
      <c r="B10" s="115" t="s">
        <v>1083</v>
      </c>
      <c r="C10" s="272"/>
      <c r="D10" s="272"/>
      <c r="E10" s="273"/>
      <c r="F10" s="273"/>
      <c r="G10" s="273"/>
      <c r="H10" s="274"/>
      <c r="I10" s="274"/>
      <c r="J10" s="347">
        <v>91050</v>
      </c>
      <c r="K10" s="32">
        <f>SUM(L10:N10)</f>
        <v>8674</v>
      </c>
      <c r="L10" s="32"/>
      <c r="M10" s="80">
        <v>8674</v>
      </c>
      <c r="N10" s="347"/>
      <c r="O10" s="347">
        <v>55303</v>
      </c>
      <c r="P10" s="347"/>
      <c r="Q10" s="274"/>
      <c r="R10" s="274">
        <f>SUM(O10:Q10)</f>
        <v>55303</v>
      </c>
      <c r="S10" s="17"/>
    </row>
    <row r="11" spans="1:40" s="18" customFormat="1" ht="32.25" customHeight="1">
      <c r="A11" s="13" t="s">
        <v>31</v>
      </c>
      <c r="B11" s="26" t="s">
        <v>659</v>
      </c>
      <c r="C11" s="13"/>
      <c r="D11" s="13"/>
      <c r="E11" s="13"/>
      <c r="F11" s="13"/>
      <c r="G11" s="13"/>
      <c r="H11" s="8">
        <f>SUM(H12)</f>
        <v>1205</v>
      </c>
      <c r="I11" s="8">
        <f t="shared" ref="I11:R12" si="2">SUM(I12)</f>
        <v>1200</v>
      </c>
      <c r="J11" s="8">
        <f t="shared" si="2"/>
        <v>1200</v>
      </c>
      <c r="K11" s="8">
        <f t="shared" si="2"/>
        <v>0</v>
      </c>
      <c r="L11" s="8">
        <f t="shared" si="2"/>
        <v>0</v>
      </c>
      <c r="M11" s="8">
        <f t="shared" si="2"/>
        <v>0</v>
      </c>
      <c r="N11" s="8">
        <f t="shared" si="2"/>
        <v>0</v>
      </c>
      <c r="O11" s="8">
        <f t="shared" si="2"/>
        <v>1200</v>
      </c>
      <c r="P11" s="8">
        <f t="shared" si="2"/>
        <v>0</v>
      </c>
      <c r="Q11" s="8">
        <f t="shared" si="2"/>
        <v>0</v>
      </c>
      <c r="R11" s="8">
        <f t="shared" si="2"/>
        <v>1200</v>
      </c>
      <c r="S11" s="345"/>
    </row>
    <row r="12" spans="1:40" s="18" customFormat="1" ht="32.25" customHeight="1">
      <c r="A12" s="13" t="s">
        <v>479</v>
      </c>
      <c r="B12" s="26" t="s">
        <v>32</v>
      </c>
      <c r="C12" s="13"/>
      <c r="D12" s="13"/>
      <c r="E12" s="13"/>
      <c r="F12" s="13"/>
      <c r="G12" s="13"/>
      <c r="H12" s="8">
        <f>SUM(H13)</f>
        <v>1205</v>
      </c>
      <c r="I12" s="8">
        <f t="shared" si="2"/>
        <v>1200</v>
      </c>
      <c r="J12" s="8">
        <f t="shared" si="2"/>
        <v>1200</v>
      </c>
      <c r="K12" s="8">
        <f t="shared" si="2"/>
        <v>0</v>
      </c>
      <c r="L12" s="8">
        <f t="shared" si="2"/>
        <v>0</v>
      </c>
      <c r="M12" s="8">
        <f t="shared" si="2"/>
        <v>0</v>
      </c>
      <c r="N12" s="8">
        <f t="shared" si="2"/>
        <v>0</v>
      </c>
      <c r="O12" s="8">
        <f t="shared" si="2"/>
        <v>1200</v>
      </c>
      <c r="P12" s="8">
        <f t="shared" si="2"/>
        <v>0</v>
      </c>
      <c r="Q12" s="8">
        <f t="shared" si="2"/>
        <v>0</v>
      </c>
      <c r="R12" s="8">
        <f t="shared" si="2"/>
        <v>1200</v>
      </c>
      <c r="S12" s="345"/>
    </row>
    <row r="13" spans="1:40" s="20" customFormat="1" ht="36" customHeight="1">
      <c r="A13" s="15" t="s">
        <v>17</v>
      </c>
      <c r="B13" s="16" t="s">
        <v>98</v>
      </c>
      <c r="C13" s="16"/>
      <c r="D13" s="15"/>
      <c r="E13" s="16"/>
      <c r="F13" s="16"/>
      <c r="G13" s="16"/>
      <c r="H13" s="29">
        <f>SUM(H14:H14)</f>
        <v>1205</v>
      </c>
      <c r="I13" s="29">
        <f>SUM(I14:I14)</f>
        <v>1200</v>
      </c>
      <c r="J13" s="29">
        <f>SUM(J14:J14)</f>
        <v>1200</v>
      </c>
      <c r="K13" s="29">
        <f t="shared" ref="K13:R13" si="3">SUM(K14:K14)</f>
        <v>0</v>
      </c>
      <c r="L13" s="29">
        <f t="shared" si="3"/>
        <v>0</v>
      </c>
      <c r="M13" s="29">
        <f t="shared" si="3"/>
        <v>0</v>
      </c>
      <c r="N13" s="29">
        <f t="shared" si="3"/>
        <v>0</v>
      </c>
      <c r="O13" s="29">
        <f t="shared" si="3"/>
        <v>1200</v>
      </c>
      <c r="P13" s="29">
        <f t="shared" si="3"/>
        <v>0</v>
      </c>
      <c r="Q13" s="29">
        <f t="shared" si="3"/>
        <v>0</v>
      </c>
      <c r="R13" s="29">
        <f t="shared" si="3"/>
        <v>1200</v>
      </c>
      <c r="S13" s="346"/>
    </row>
    <row r="14" spans="1:40" ht="87" customHeight="1">
      <c r="A14" s="10">
        <v>1</v>
      </c>
      <c r="B14" s="115" t="s">
        <v>1084</v>
      </c>
      <c r="C14" s="272" t="s">
        <v>1085</v>
      </c>
      <c r="D14" s="272" t="s">
        <v>19</v>
      </c>
      <c r="E14" s="273" t="s">
        <v>1086</v>
      </c>
      <c r="F14" s="273" t="s">
        <v>749</v>
      </c>
      <c r="G14" s="273" t="s">
        <v>1087</v>
      </c>
      <c r="H14" s="274">
        <v>1205</v>
      </c>
      <c r="I14" s="274">
        <v>1200</v>
      </c>
      <c r="J14" s="274">
        <v>1200</v>
      </c>
      <c r="K14" s="274"/>
      <c r="L14" s="274"/>
      <c r="M14" s="274"/>
      <c r="N14" s="274"/>
      <c r="O14" s="274">
        <v>1200</v>
      </c>
      <c r="P14" s="274"/>
      <c r="Q14" s="274"/>
      <c r="R14" s="274">
        <f>SUM(O14:Q14)</f>
        <v>1200</v>
      </c>
      <c r="S14" s="17"/>
    </row>
    <row r="15" spans="1:40" s="18" customFormat="1" ht="13.5" customHeight="1">
      <c r="A15" s="55"/>
      <c r="B15" s="210"/>
      <c r="C15" s="55"/>
      <c r="D15" s="55"/>
      <c r="E15" s="55"/>
      <c r="F15" s="55"/>
      <c r="G15" s="55"/>
      <c r="H15" s="211"/>
      <c r="I15" s="211"/>
      <c r="J15" s="211"/>
      <c r="K15" s="211"/>
      <c r="L15" s="211"/>
      <c r="M15" s="211"/>
      <c r="N15" s="211"/>
      <c r="O15" s="211"/>
      <c r="P15" s="211"/>
      <c r="Q15" s="211"/>
      <c r="R15" s="211"/>
      <c r="S15" s="208"/>
      <c r="T15" s="41"/>
    </row>
  </sheetData>
  <mergeCells count="21">
    <mergeCell ref="K5:N5"/>
    <mergeCell ref="S5:S7"/>
    <mergeCell ref="P5:P7"/>
    <mergeCell ref="Q5:Q7"/>
    <mergeCell ref="R5:R7"/>
    <mergeCell ref="G6:G7"/>
    <mergeCell ref="H6:I6"/>
    <mergeCell ref="K6:K7"/>
    <mergeCell ref="L6:N6"/>
    <mergeCell ref="A1:S1"/>
    <mergeCell ref="A2:S2"/>
    <mergeCell ref="A3:S3"/>
    <mergeCell ref="A5:A7"/>
    <mergeCell ref="B5:B7"/>
    <mergeCell ref="C5:C7"/>
    <mergeCell ref="D5:D7"/>
    <mergeCell ref="E5:E7"/>
    <mergeCell ref="F5:F7"/>
    <mergeCell ref="G5:I5"/>
    <mergeCell ref="O5:O7"/>
    <mergeCell ref="J5:J7"/>
  </mergeCells>
  <printOptions horizontalCentered="1"/>
  <pageMargins left="0.39370078740157499" right="0.39370078740157499" top="0.39370078740157499" bottom="0.39370078740157499" header="0.196850393700787" footer="0.196850393700787"/>
  <pageSetup paperSize="9" scale="44" fitToHeight="0" orientation="landscape" r:id="rId1"/>
  <headerFooter alignWithMargins="0">
    <oddFooter>&amp;C&amp;"Times New Roman,thường"&amp;11&amp;P/&amp;N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56</vt:i4>
      </vt:variant>
    </vt:vector>
  </HeadingPairs>
  <TitlesOfParts>
    <vt:vector size="85" baseType="lpstr">
      <vt:lpstr>TH</vt:lpstr>
      <vt:lpstr>1. CĐNS</vt:lpstr>
      <vt:lpstr>2. SDĐ</vt:lpstr>
      <vt:lpstr>3. XSKT</vt:lpstr>
      <vt:lpstr>4. ĐƯCTMTQG</vt:lpstr>
      <vt:lpstr>5. ĐPTTH</vt:lpstr>
      <vt:lpstr>6. UBTP hoàn trả</vt:lpstr>
      <vt:lpstr>7. XSKT CNT</vt:lpstr>
      <vt:lpstr>8. KDXSKT</vt:lpstr>
      <vt:lpstr>9. KDSDĐ năm 2020</vt:lpstr>
      <vt:lpstr>10. Boi chi</vt:lpstr>
      <vt:lpstr>11.VTXSKT</vt:lpstr>
      <vt:lpstr>12. KDCĐNS2022</vt:lpstr>
      <vt:lpstr>13. KDXSKT2022</vt:lpstr>
      <vt:lpstr>14. VTXSKT2022</vt:lpstr>
      <vt:lpstr>15. DA ĐB</vt:lpstr>
      <vt:lpstr>16. DA chưa QĐĐT (2)</vt:lpstr>
      <vt:lpstr>DA chưa QĐĐT</vt:lpstr>
      <vt:lpstr>17. KDXS2020-CNT</vt:lpstr>
      <vt:lpstr>18. Muon ĐPTTH</vt:lpstr>
      <vt:lpstr>19. DP NST 2024</vt:lpstr>
      <vt:lpstr>20. Tỉnh Trà Vinh hỗ trợ</vt:lpstr>
      <vt:lpstr>21. BQP hỗ trợ</vt:lpstr>
      <vt:lpstr>22. NHNN</vt:lpstr>
      <vt:lpstr>23. VTPCP</vt:lpstr>
      <vt:lpstr>16. DA chưa QĐĐT (full)</vt:lpstr>
      <vt:lpstr>24. CBĐT-QT</vt:lpstr>
      <vt:lpstr>TH 1</vt:lpstr>
      <vt:lpstr>25. ĐUPCP</vt:lpstr>
      <vt:lpstr>'1. CĐNS'!Print_Area</vt:lpstr>
      <vt:lpstr>'10. Boi chi'!Print_Area</vt:lpstr>
      <vt:lpstr>'11.VTXSKT'!Print_Area</vt:lpstr>
      <vt:lpstr>'12. KDCĐNS2022'!Print_Area</vt:lpstr>
      <vt:lpstr>'13. KDXSKT2022'!Print_Area</vt:lpstr>
      <vt:lpstr>'14. VTXSKT2022'!Print_Area</vt:lpstr>
      <vt:lpstr>'15. DA ĐB'!Print_Area</vt:lpstr>
      <vt:lpstr>'16. DA chưa QĐĐT (2)'!Print_Area</vt:lpstr>
      <vt:lpstr>'16. DA chưa QĐĐT (full)'!Print_Area</vt:lpstr>
      <vt:lpstr>'17. KDXS2020-CNT'!Print_Area</vt:lpstr>
      <vt:lpstr>'18. Muon ĐPTTH'!Print_Area</vt:lpstr>
      <vt:lpstr>'19. DP NST 2024'!Print_Area</vt:lpstr>
      <vt:lpstr>'2. SDĐ'!Print_Area</vt:lpstr>
      <vt:lpstr>'20. Tỉnh Trà Vinh hỗ trợ'!Print_Area</vt:lpstr>
      <vt:lpstr>'21. BQP hỗ trợ'!Print_Area</vt:lpstr>
      <vt:lpstr>'22. NHNN'!Print_Area</vt:lpstr>
      <vt:lpstr>'23. VTPCP'!Print_Area</vt:lpstr>
      <vt:lpstr>'24. CBĐT-QT'!Print_Area</vt:lpstr>
      <vt:lpstr>'25. ĐUPCP'!Print_Area</vt:lpstr>
      <vt:lpstr>'3. XSKT'!Print_Area</vt:lpstr>
      <vt:lpstr>'4. ĐƯCTMTQG'!Print_Area</vt:lpstr>
      <vt:lpstr>'5. ĐPTTH'!Print_Area</vt:lpstr>
      <vt:lpstr>'6. UBTP hoàn trả'!Print_Area</vt:lpstr>
      <vt:lpstr>'7. XSKT CNT'!Print_Area</vt:lpstr>
      <vt:lpstr>'8. KDXSKT'!Print_Area</vt:lpstr>
      <vt:lpstr>'9. KDSDĐ năm 2020'!Print_Area</vt:lpstr>
      <vt:lpstr>'DA chưa QĐĐT'!Print_Area</vt:lpstr>
      <vt:lpstr>TH!Print_Area</vt:lpstr>
      <vt:lpstr>'1. CĐNS'!Print_Titles</vt:lpstr>
      <vt:lpstr>'10. Boi chi'!Print_Titles</vt:lpstr>
      <vt:lpstr>'11.VTXSKT'!Print_Titles</vt:lpstr>
      <vt:lpstr>'12. KDCĐNS2022'!Print_Titles</vt:lpstr>
      <vt:lpstr>'13. KDXSKT2022'!Print_Titles</vt:lpstr>
      <vt:lpstr>'14. VTXSKT2022'!Print_Titles</vt:lpstr>
      <vt:lpstr>'15. DA ĐB'!Print_Titles</vt:lpstr>
      <vt:lpstr>'16. DA chưa QĐĐT (2)'!Print_Titles</vt:lpstr>
      <vt:lpstr>'16. DA chưa QĐĐT (full)'!Print_Titles</vt:lpstr>
      <vt:lpstr>'17. KDXS2020-CNT'!Print_Titles</vt:lpstr>
      <vt:lpstr>'18. Muon ĐPTTH'!Print_Titles</vt:lpstr>
      <vt:lpstr>'19. DP NST 2024'!Print_Titles</vt:lpstr>
      <vt:lpstr>'2. SDĐ'!Print_Titles</vt:lpstr>
      <vt:lpstr>'20. Tỉnh Trà Vinh hỗ trợ'!Print_Titles</vt:lpstr>
      <vt:lpstr>'21. BQP hỗ trợ'!Print_Titles</vt:lpstr>
      <vt:lpstr>'22. NHNN'!Print_Titles</vt:lpstr>
      <vt:lpstr>'23. VTPCP'!Print_Titles</vt:lpstr>
      <vt:lpstr>'24. CBĐT-QT'!Print_Titles</vt:lpstr>
      <vt:lpstr>'25. ĐUPCP'!Print_Titles</vt:lpstr>
      <vt:lpstr>'3. XSKT'!Print_Titles</vt:lpstr>
      <vt:lpstr>'4. ĐƯCTMTQG'!Print_Titles</vt:lpstr>
      <vt:lpstr>'5. ĐPTTH'!Print_Titles</vt:lpstr>
      <vt:lpstr>'6. UBTP hoàn trả'!Print_Titles</vt:lpstr>
      <vt:lpstr>'7. XSKT CNT'!Print_Titles</vt:lpstr>
      <vt:lpstr>'8. KDXSKT'!Print_Titles</vt:lpstr>
      <vt:lpstr>'9. KDSDĐ năm 2020'!Print_Titles</vt:lpstr>
      <vt:lpstr>'DA chưa QĐĐT'!Print_Titles</vt:lpstr>
      <vt:lpstr>TH!Print_Titles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th5</dc:creator>
  <cp:lastModifiedBy>HP</cp:lastModifiedBy>
  <cp:lastPrinted>2024-12-11T09:50:46Z</cp:lastPrinted>
  <dcterms:created xsi:type="dcterms:W3CDTF">2021-11-09T09:29:34Z</dcterms:created>
  <dcterms:modified xsi:type="dcterms:W3CDTF">2024-12-13T02:19:57Z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02eb591316ee4e7f87a937248b1182a2.psdsxs" Id="R66fc7d9976e14d61" /></Relationships>
</file>