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8b30ac66ebe44a2f" /></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16" windowHeight="11016"/>
  </bookViews>
  <sheets>
    <sheet name="Sheet1" sheetId="1" r:id="rId1"/>
    <sheet name="Sheet2" sheetId="3" state="hidden" r:id="rId2"/>
  </sheets>
  <definedNames>
    <definedName name="_xlnm.Print_Titles" localSheetId="0">Sheet1!$8:$10</definedName>
  </definedNames>
  <calcPr calcId="144525"/>
</workbook>
</file>

<file path=xl/calcChain.xml><?xml version="1.0" encoding="utf-8"?>
<calcChain xmlns="http://schemas.openxmlformats.org/spreadsheetml/2006/main">
  <c r="S20" i="1" l="1"/>
  <c r="O20" i="1"/>
  <c r="S19" i="1"/>
  <c r="O19" i="1"/>
  <c r="S14" i="1"/>
  <c r="O14" i="1"/>
  <c r="O13" i="1"/>
  <c r="K9" i="3" l="1"/>
  <c r="J9" i="3"/>
  <c r="J10" i="3"/>
  <c r="E11" i="3"/>
  <c r="J11" i="3" s="1"/>
  <c r="E10" i="3"/>
  <c r="I10" i="3" s="1"/>
  <c r="E9" i="3"/>
  <c r="I9" i="3" s="1"/>
  <c r="E8" i="3"/>
  <c r="I8" i="3" s="1"/>
  <c r="E7" i="3"/>
  <c r="I7" i="3" s="1"/>
  <c r="K10" i="3" l="1"/>
  <c r="E6" i="3"/>
  <c r="I6" i="3" s="1"/>
  <c r="K11" i="3" l="1"/>
  <c r="I11" i="3"/>
  <c r="L10" i="3" l="1"/>
  <c r="L11" i="3" l="1"/>
  <c r="L9" i="3"/>
  <c r="L7" i="3"/>
  <c r="L8" i="3"/>
  <c r="O18" i="1"/>
  <c r="O16" i="1"/>
  <c r="L6" i="3" l="1"/>
  <c r="L13" i="3" s="1"/>
  <c r="S18" i="1"/>
  <c r="S16" i="1" l="1"/>
  <c r="X21" i="1" l="1"/>
  <c r="S13" i="1" l="1"/>
</calcChain>
</file>

<file path=xl/sharedStrings.xml><?xml version="1.0" encoding="utf-8"?>
<sst xmlns="http://schemas.openxmlformats.org/spreadsheetml/2006/main" count="128" uniqueCount="100">
  <si>
    <t>TT</t>
  </si>
  <si>
    <t>Họ và tên</t>
  </si>
  <si>
    <t>Nam</t>
  </si>
  <si>
    <t>Hệ số lương</t>
  </si>
  <si>
    <t>I</t>
  </si>
  <si>
    <t>PC thâm niên nghề (nếu có)</t>
  </si>
  <si>
    <t>PC thâm niên vượt khung (nếu có)</t>
  </si>
  <si>
    <t xml:space="preserve">Hệ số và Mức phụ cấp hiện hưởng của tháng liền kề trước khi nghỉ việc </t>
  </si>
  <si>
    <t>BHXH
(năm)</t>
  </si>
  <si>
    <t>BHXH
(tháng)</t>
  </si>
  <si>
    <t>Thời điểm nghỉ việc</t>
  </si>
  <si>
    <t>Chức vụ, chức danh chuyên môn đang đảm nhiệm</t>
  </si>
  <si>
    <t>PC ưu đãi theo nghề (nếu có)</t>
  </si>
  <si>
    <t>PC trách nhiệm theo nghề (nếu có)</t>
  </si>
  <si>
    <t>PC công tác đảng, đoàn thể chính trị - xã hội (nếu có)</t>
  </si>
  <si>
    <t>II</t>
  </si>
  <si>
    <t>III</t>
  </si>
  <si>
    <t>01/03/2025</t>
  </si>
  <si>
    <t>A</t>
  </si>
  <si>
    <t>Nữ
(X)</t>
  </si>
  <si>
    <t>Trình độ 
đào tạo</t>
  </si>
  <si>
    <t>Được hưởng 
chính sách</t>
  </si>
  <si>
    <t>ĐVT: đồng</t>
  </si>
  <si>
    <t>Tuổi khi 
giải quyết 
chính sách</t>
  </si>
  <si>
    <t>Nghỉ hưu 
trước tuổi</t>
  </si>
  <si>
    <t>Ngày tháng 
năm sinh</t>
  </si>
  <si>
    <t>Thời điểm 
công tác 
có đóng 
BHXH</t>
  </si>
  <si>
    <t>Tổng 
số 
tháng</t>
  </si>
  <si>
    <t>Nghỉ 
thôi 
việc</t>
  </si>
  <si>
    <t>PC chức
 vụ (nếu
 có)</t>
  </si>
  <si>
    <t>Lý do thực hiện 
chính sách</t>
  </si>
  <si>
    <t>PC 
công
 vụ 
(nếu 
có)</t>
  </si>
  <si>
    <t>TỔNG CỘNG: 06</t>
  </si>
  <si>
    <t>Tiền lương hiện hưởng của tháng liền kề trước khi nghỉ việc</t>
  </si>
  <si>
    <t>Phó Trưởng phòng Lao động - Thương binh và Xã hội</t>
  </si>
  <si>
    <t>Thời gian công tác đóng BHXH theo sổ BHXH</t>
  </si>
  <si>
    <t>BẢNG TÍNH CHẾ ĐỘ CHÍNH SÁCH NGHỈ HƯU TRƯỚC TUỔI THEO NGHỊ ĐỊNH 178/2024/NĐ-CP</t>
  </si>
  <si>
    <t>STT</t>
  </si>
  <si>
    <t>Tiền lương hiện hưởng</t>
  </si>
  <si>
    <t>Tuổi khi giải quyết</t>
  </si>
  <si>
    <t>Tuổi nghỉ hưu theo Phụ lục I NĐ 135/2020/NĐ-CP</t>
  </si>
  <si>
    <t>Đối tượng</t>
  </si>
  <si>
    <t>Nữ</t>
  </si>
  <si>
    <t>Năm sinh</t>
  </si>
  <si>
    <t>Số năm đóng BHXH</t>
  </si>
  <si>
    <t>Chính sách hưu trước tuổi</t>
  </si>
  <si>
    <t>thời gian nghỉ hưu trước tuổi</t>
  </si>
  <si>
    <t>trợ cấp theo số năm đóng BHXH</t>
  </si>
  <si>
    <t>Trợ cấp hưu trí 1 lần</t>
  </si>
  <si>
    <t>Tổng cộng</t>
  </si>
  <si>
    <t>Đvt: đồng</t>
  </si>
  <si>
    <t>KHỐI HÀNH CHÍNH: 06</t>
  </si>
  <si>
    <t>Đại học Hành chính</t>
  </si>
  <si>
    <t>Nguyễn Văn Bớt</t>
  </si>
  <si>
    <t>Nguyễn Ngọc Thạch</t>
  </si>
  <si>
    <t>Cao Thị Đẹp</t>
  </si>
  <si>
    <t>Trần Nhật Thanh</t>
  </si>
  <si>
    <t>Nguyễn Thị Hồng Dung</t>
  </si>
  <si>
    <t>Cao Thành Phước</t>
  </si>
  <si>
    <t>04/4/1964</t>
  </si>
  <si>
    <t>18/10/1964</t>
  </si>
  <si>
    <t>20/08/1969</t>
  </si>
  <si>
    <t>12/01/1967</t>
  </si>
  <si>
    <t>01/01/1970</t>
  </si>
  <si>
    <t>07/10/1972</t>
  </si>
  <si>
    <t>04/04/1964</t>
  </si>
  <si>
    <t>Đại học tài chính tiền tệ</t>
  </si>
  <si>
    <t>Trưởng
 phòng Nội vụ huyện</t>
  </si>
  <si>
    <t>01/10/1983</t>
  </si>
  <si>
    <t>60 tuổi 
10 tháng</t>
  </si>
  <si>
    <t>Đại học sư phạm</t>
  </si>
  <si>
    <t>Công chức
 phòng Nội vụ huyện</t>
  </si>
  <si>
    <t>01/09/1988</t>
  </si>
  <si>
    <t>58 tuổi 
01 tháng</t>
  </si>
  <si>
    <t>PHÒNG NỘI VỤ: 02</t>
  </si>
  <si>
    <t>01/02/1995</t>
  </si>
  <si>
    <t>60 tuổi 
04 tháng</t>
  </si>
  <si>
    <t>PHÒNG LAO ĐỘNG THƯƠNG BINH VÀ XÃ HỘI: 01</t>
  </si>
  <si>
    <t>Đại học Trồng trọt</t>
  </si>
  <si>
    <t>Phó Trưởng Phòng Nông nghiệp và PTNT</t>
  </si>
  <si>
    <t>01/09/1994</t>
  </si>
  <si>
    <t>55 tuổi 
06 tháng</t>
  </si>
  <si>
    <t>PHÒNG NÔNG NGHIỆP VÀ PHÁT TRIỂN NÔNG THÔN: 03</t>
  </si>
  <si>
    <t>Công chức Phòng Nông nghiệp và PTNT</t>
  </si>
  <si>
    <t>01/12/1997</t>
  </si>
  <si>
    <t>55 tuổi 
01 tháng</t>
  </si>
  <si>
    <t>01/04/1998</t>
  </si>
  <si>
    <t>52 tuổi 
04 tháng</t>
  </si>
  <si>
    <t xml:space="preserve">ỦY BAN NHÂN DÂN </t>
  </si>
  <si>
    <t>TỈNH VĨNH LONG</t>
  </si>
  <si>
    <t>CỘNG HÒA XÃ HỘI CHỦ NGHĨA VIỆT NAM</t>
  </si>
  <si>
    <t>Độc lập - Tự do - Hạnh phúc</t>
  </si>
  <si>
    <t xml:space="preserve">Tổng kinh phí 
để thực hiện 
chế độ
</t>
  </si>
  <si>
    <t>DANH SÁCH VÀ KINH PHÍ THỰC HIỆN CHÍNH SÁCH, CHẾ ĐỘ THEO NGHỊ ĐỊNH SỐ 178/2024/NĐ-CP 
NGÀY 31/12/2024 CỦA CHÍNH PHỦ (ĐƯỢC SỬA ĐỔI, BỔ SUNG TẠI NGHỊ ĐỊNH SỐ 67/2025/NĐ-CP NGÀY 15/3/2025 CỦA CHÍNH PHỦ) 
NĂM 2025 CỦA ỦY BAN NHÂN DÂN HUYỆN MANG THÍT</t>
  </si>
  <si>
    <t>Theo điểm a, khoản 1 và
điểm d khoản 2 Điều 7 Nghị định số 178/2024/NĐ-CP (được sửa đổi, bổ sung tại Nghị định số 67/2025/NĐ-CP)</t>
  </si>
  <si>
    <t>Theo điểm a, khoản 1 và
điểm a khoản 2 Điều 7 Nghị định số 178/2024/NĐ-CP (được sửa đổi, bổ sung tại Nghị định số 67/2025/NĐ-CP)</t>
  </si>
  <si>
    <t>Theo điểm a, khoản 1 và
điểm b khoản 2 Điều 7 Nghị định số 178/2024/NĐ-CP (được sửa đổi, bổ sung tại Nghị định số 67/2025/NĐ-CP)</t>
  </si>
  <si>
    <t>Sắp xếp tổ chức bộ máy, thực hiện tổ chức lại Phòng Nội vụ trên cơ sở sáp nhập Phòng Nội vụ và Phòng Lao động - Thương binh và xã hội. Để đảm bảo, tạo điều kiện cho cơ quan sắp xếp nhân sự, cá nhân xin tự nguyện được nghỉ hưu trước tuổi hưởng chính sách đối với người nghỉ hưu trước tuổi theo Nghị định số 178/2024/NĐ-CP (được sửa đổi, bổ sung tại Nghị định số 67/2025/NĐ-CP)</t>
  </si>
  <si>
    <t>Sắp xếp tổ chức bộ máy, thực hiện tổ chức lại Phòng Nông nghiệp và môi trường trên cơ sở sáp nhập Phòng Tài nguyên và Môi trường và Phòng Nông nghiệp và PTNT, đồng thời tiếp nhận chức năng tham mưu quản lý nhà nước về giảm nghèo từ Phòng Lao động - Thương binh và xã hội. Để đảm bảo, tạo điều kiện cho cơ quan sắp xếp nhân sự, cá nhân xin tự nguyện được nghỉ hưu trước tuổi hưởng chính sách đối với người nghỉ hưu trước tuổi theo Nghị định số 178/2024/NĐ-CP (được sửa đổi, bổ sung tại Nghị định số 67/2025/NĐ-CP)</t>
  </si>
  <si>
    <t>(Kèm theo Quyết định số 497/QĐ-UBND ngày 27/3/2025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</si>
</sst>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0"/>
      <name val="Arial"/>
      <family val="2"/>
    </font>
    <font>
      <b/>
      <sz val="18"/>
      <name val="Times New Roman"/>
      <family val="1"/>
    </font>
    <font>
      <i/>
      <sz val="18"/>
      <name val="Times New Roman"/>
      <family val="1"/>
    </font>
    <font>
      <b/>
      <sz val="16"/>
      <color theme="1"/>
      <name val="Calibri"/>
      <family val="2"/>
      <scheme val="minor"/>
    </font>
    <font>
      <sz val="12"/>
      <color theme="1"/>
      <name val="Calibri"/>
      <family val="2"/>
      <scheme val="minor"/>
    </font>
    <font>
      <sz val="16"/>
      <color theme="1"/>
      <name val="Calibri"/>
      <family val="2"/>
      <scheme val="minor"/>
    </font>
    <font>
      <b/>
      <sz val="10"/>
      <color theme="1"/>
      <name val="Times New Roman"/>
      <family val="1"/>
    </font>
    <font>
      <sz val="10"/>
      <color theme="1"/>
      <name val="Times New Roman"/>
      <family val="1"/>
    </font>
    <font>
      <sz val="10"/>
      <color theme="1"/>
      <name val="Calibri"/>
      <family val="2"/>
      <scheme val="minor"/>
    </font>
    <font>
      <sz val="14"/>
      <color theme="1"/>
      <name val="Times New Roman"/>
      <family val="1"/>
    </font>
    <font>
      <b/>
      <sz val="14"/>
      <color theme="1"/>
      <name val="Times New Roman"/>
      <family val="1"/>
    </font>
    <font>
      <b/>
      <sz val="14"/>
      <name val="Times New Roman"/>
      <family val="1"/>
    </font>
    <font>
      <sz val="12"/>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xf numFmtId="9" fontId="4" fillId="0" borderId="0" applyFont="0" applyFill="0" applyBorder="0" applyAlignment="0" applyProtection="0"/>
  </cellStyleXfs>
  <cellXfs count="78">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left" vertical="center"/>
    </xf>
    <xf numFmtId="0" fontId="0" fillId="0" borderId="0" xfId="0" applyAlignment="1">
      <alignment horizontal="left" vertical="center"/>
    </xf>
    <xf numFmtId="0" fontId="0" fillId="0" borderId="0" xfId="0" applyAlignment="1">
      <alignment vertical="center"/>
    </xf>
    <xf numFmtId="164" fontId="1" fillId="0" borderId="1" xfId="0" applyNumberFormat="1" applyFont="1" applyBorder="1" applyAlignment="1">
      <alignment horizontal="center" vertical="center"/>
    </xf>
    <xf numFmtId="14" fontId="5" fillId="0" borderId="0" xfId="1" applyNumberFormat="1" applyFont="1" applyFill="1" applyAlignment="1">
      <alignment vertical="center" wrapText="1"/>
    </xf>
    <xf numFmtId="14" fontId="6" fillId="0" borderId="0" xfId="1" applyNumberFormat="1" applyFont="1" applyFill="1" applyAlignment="1">
      <alignment vertical="center" wrapText="1"/>
    </xf>
    <xf numFmtId="14" fontId="6" fillId="0" borderId="0" xfId="1" applyNumberFormat="1" applyFont="1" applyFill="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 fillId="0" borderId="1" xfId="0" applyFont="1" applyBorder="1" applyAlignment="1">
      <alignment horizontal="center" vertical="top"/>
    </xf>
    <xf numFmtId="0" fontId="1" fillId="0" borderId="1" xfId="0" applyFont="1" applyBorder="1" applyAlignment="1">
      <alignment horizontal="center" vertical="top" wrapText="1"/>
    </xf>
    <xf numFmtId="9" fontId="1" fillId="0" borderId="1" xfId="0" applyNumberFormat="1" applyFont="1" applyBorder="1" applyAlignment="1">
      <alignment horizontal="center" vertical="top"/>
    </xf>
    <xf numFmtId="14" fontId="1" fillId="0" borderId="1" xfId="0" quotePrefix="1" applyNumberFormat="1" applyFont="1" applyBorder="1" applyAlignment="1">
      <alignment horizontal="center" vertical="top"/>
    </xf>
    <xf numFmtId="3" fontId="1" fillId="0" borderId="1" xfId="0" applyNumberFormat="1" applyFont="1" applyBorder="1" applyAlignment="1">
      <alignment horizontal="center" vertical="top"/>
    </xf>
    <xf numFmtId="0" fontId="1" fillId="0" borderId="0" xfId="0" applyFont="1" applyAlignment="1">
      <alignment horizontal="center" vertical="top"/>
    </xf>
    <xf numFmtId="0" fontId="3" fillId="0" borderId="0" xfId="0" applyFont="1" applyBorder="1" applyAlignment="1">
      <alignment horizontal="right" vertical="center"/>
    </xf>
    <xf numFmtId="0" fontId="2" fillId="0" borderId="1" xfId="0" applyFont="1" applyBorder="1" applyAlignment="1">
      <alignment horizontal="center" vertical="top" wrapText="1"/>
    </xf>
    <xf numFmtId="14" fontId="2" fillId="0" borderId="1" xfId="0" quotePrefix="1" applyNumberFormat="1" applyFont="1" applyBorder="1" applyAlignment="1">
      <alignment horizontal="center" vertical="top"/>
    </xf>
    <xf numFmtId="3" fontId="2" fillId="0" borderId="1" xfId="0" applyNumberFormat="1" applyFont="1" applyBorder="1" applyAlignment="1">
      <alignment horizontal="right" vertical="top"/>
    </xf>
    <xf numFmtId="0" fontId="1" fillId="0" borderId="1" xfId="0" quotePrefix="1" applyFont="1" applyBorder="1" applyAlignment="1">
      <alignment horizontal="center" vertical="top" wrapText="1"/>
    </xf>
    <xf numFmtId="3" fontId="2" fillId="0" borderId="1" xfId="0" applyNumberFormat="1" applyFont="1" applyBorder="1" applyAlignment="1">
      <alignment horizontal="right" vertical="center"/>
    </xf>
    <xf numFmtId="0" fontId="10" fillId="0" borderId="1" xfId="0" applyFont="1" applyBorder="1" applyAlignment="1">
      <alignment horizontal="center" vertical="center" wrapText="1"/>
    </xf>
    <xf numFmtId="0" fontId="1" fillId="0" borderId="0" xfId="0" applyFont="1"/>
    <xf numFmtId="0" fontId="2" fillId="0" borderId="0" xfId="0" applyFont="1"/>
    <xf numFmtId="3" fontId="1" fillId="0" borderId="0" xfId="0" applyNumberFormat="1" applyFont="1"/>
    <xf numFmtId="0" fontId="3" fillId="0" borderId="0" xfId="0" applyFont="1" applyAlignment="1">
      <alignment horizontal="right"/>
    </xf>
    <xf numFmtId="0" fontId="1" fillId="0" borderId="9" xfId="0" applyFont="1" applyBorder="1" applyAlignment="1">
      <alignment vertical="center"/>
    </xf>
    <xf numFmtId="3" fontId="1" fillId="0" borderId="9" xfId="0" applyNumberFormat="1" applyFont="1" applyBorder="1" applyAlignment="1">
      <alignment vertical="center"/>
    </xf>
    <xf numFmtId="0" fontId="1" fillId="0" borderId="7" xfId="0" applyFont="1" applyBorder="1" applyAlignment="1">
      <alignment vertical="center"/>
    </xf>
    <xf numFmtId="3" fontId="1" fillId="0" borderId="7" xfId="0" applyNumberFormat="1" applyFont="1" applyBorder="1" applyAlignment="1">
      <alignment vertical="center"/>
    </xf>
    <xf numFmtId="0" fontId="1" fillId="0" borderId="8" xfId="0" applyFont="1" applyBorder="1" applyAlignment="1">
      <alignment vertical="center"/>
    </xf>
    <xf numFmtId="3" fontId="1" fillId="0" borderId="8" xfId="0" applyNumberFormat="1" applyFont="1" applyBorder="1" applyAlignment="1">
      <alignment vertical="center"/>
    </xf>
    <xf numFmtId="0" fontId="2" fillId="0" borderId="3" xfId="0" applyFont="1" applyBorder="1" applyAlignment="1">
      <alignment vertical="center"/>
    </xf>
    <xf numFmtId="3" fontId="2" fillId="0" borderId="3" xfId="0" applyNumberFormat="1" applyFont="1" applyBorder="1" applyAlignment="1">
      <alignment vertical="center"/>
    </xf>
    <xf numFmtId="14" fontId="1" fillId="0" borderId="9" xfId="0" quotePrefix="1" applyNumberFormat="1"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7" xfId="0" quotePrefix="1" applyFont="1" applyBorder="1" applyAlignment="1">
      <alignment horizontal="center" vertical="center"/>
    </xf>
    <xf numFmtId="0" fontId="1" fillId="0" borderId="9" xfId="0" quotePrefix="1" applyFont="1" applyBorder="1" applyAlignment="1">
      <alignment vertical="center"/>
    </xf>
    <xf numFmtId="0" fontId="1" fillId="0" borderId="9" xfId="0" quotePrefix="1" applyFont="1" applyBorder="1" applyAlignment="1">
      <alignment horizontal="center" vertical="center"/>
    </xf>
    <xf numFmtId="0" fontId="1" fillId="0" borderId="8" xfId="0" applyFont="1" applyBorder="1" applyAlignment="1">
      <alignment horizontal="center" vertical="center"/>
    </xf>
    <xf numFmtId="2" fontId="1" fillId="0" borderId="9" xfId="0" applyNumberFormat="1" applyFont="1" applyBorder="1" applyAlignment="1">
      <alignment vertical="center"/>
    </xf>
    <xf numFmtId="2" fontId="1" fillId="0" borderId="9" xfId="0" applyNumberFormat="1" applyFont="1" applyFill="1" applyBorder="1" applyAlignment="1">
      <alignment vertical="center"/>
    </xf>
    <xf numFmtId="0" fontId="1" fillId="0" borderId="8" xfId="0" quotePrefix="1" applyFont="1" applyBorder="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Fill="1" applyBorder="1" applyAlignment="1">
      <alignment horizontal="center" vertical="top" wrapText="1"/>
    </xf>
    <xf numFmtId="3" fontId="0" fillId="0" borderId="0" xfId="0" applyNumberFormat="1" applyAlignment="1">
      <alignment vertical="center"/>
    </xf>
    <xf numFmtId="3" fontId="16" fillId="0" borderId="1" xfId="0" applyNumberFormat="1" applyFont="1" applyBorder="1" applyAlignment="1">
      <alignment horizontal="center" vertical="top" wrapText="1"/>
    </xf>
    <xf numFmtId="0" fontId="16" fillId="0" borderId="1" xfId="0" applyFont="1" applyBorder="1" applyAlignment="1">
      <alignment vertical="top"/>
    </xf>
    <xf numFmtId="0" fontId="14" fillId="0" borderId="0" xfId="0" applyFont="1" applyAlignment="1">
      <alignment horizontal="center" vertical="center"/>
    </xf>
    <xf numFmtId="14" fontId="15" fillId="0" borderId="0" xfId="1" applyNumberFormat="1" applyFont="1" applyFill="1" applyAlignment="1">
      <alignment horizontal="center" vertical="center" wrapText="1"/>
    </xf>
    <xf numFmtId="14" fontId="6" fillId="0" borderId="0" xfId="1" applyNumberFormat="1" applyFont="1" applyFill="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xf>
  </cellXfs>
  <cellStyles count="3">
    <cellStyle name="Normal" xfId="0" builtinId="0"/>
    <cellStyle name="Normal 2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108852</xdr:colOff>
      <xdr:row>5</xdr:row>
      <xdr:rowOff>54429</xdr:rowOff>
    </xdr:from>
    <xdr:to>
      <xdr:col>16</xdr:col>
      <xdr:colOff>40816</xdr:colOff>
      <xdr:row>5</xdr:row>
      <xdr:rowOff>54429</xdr:rowOff>
    </xdr:to>
    <xdr:cxnSp macro="">
      <xdr:nvCxnSpPr>
        <xdr:cNvPr id="3" name="Straight Connector 2"/>
        <xdr:cNvCxnSpPr/>
      </xdr:nvCxnSpPr>
      <xdr:spPr>
        <a:xfrm>
          <a:off x="8232316" y="1850572"/>
          <a:ext cx="284389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435429</xdr:colOff>
      <xdr:row>2</xdr:row>
      <xdr:rowOff>27216</xdr:rowOff>
    </xdr:from>
    <xdr:to>
      <xdr:col>15</xdr:col>
      <xdr:colOff>299359</xdr:colOff>
      <xdr:row>2</xdr:row>
      <xdr:rowOff>27216</xdr:rowOff>
    </xdr:to>
    <xdr:cxnSp macro="">
      <xdr:nvCxnSpPr>
        <xdr:cNvPr id="5" name="Straight Connector 4"/>
        <xdr:cNvCxnSpPr/>
      </xdr:nvCxnSpPr>
      <xdr:spPr>
        <a:xfrm>
          <a:off x="8558893" y="517073"/>
          <a:ext cx="198664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95251</xdr:colOff>
      <xdr:row>1</xdr:row>
      <xdr:rowOff>231322</xdr:rowOff>
    </xdr:from>
    <xdr:to>
      <xdr:col>1</xdr:col>
      <xdr:colOff>639536</xdr:colOff>
      <xdr:row>1</xdr:row>
      <xdr:rowOff>231322</xdr:rowOff>
    </xdr:to>
    <xdr:cxnSp macro="">
      <xdr:nvCxnSpPr>
        <xdr:cNvPr id="7" name="Straight Connector 6"/>
        <xdr:cNvCxnSpPr/>
      </xdr:nvCxnSpPr>
      <xdr:spPr>
        <a:xfrm>
          <a:off x="421822" y="476251"/>
          <a:ext cx="54428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5"/>
  <sheetViews>
    <sheetView tabSelected="1" topLeftCell="B1" zoomScale="70" zoomScaleNormal="70" workbookViewId="0">
      <selection activeCell="B5" sqref="B5:Y5"/>
    </sheetView>
  </sheetViews>
  <sheetFormatPr defaultColWidth="9.109375" defaultRowHeight="14.4" x14ac:dyDescent="0.3"/>
  <cols>
    <col min="1" max="1" width="4.88671875" style="6" customWidth="1"/>
    <col min="2" max="2" width="19.6640625" style="5" customWidth="1"/>
    <col min="3" max="3" width="12.6640625" style="6" customWidth="1"/>
    <col min="4" max="4" width="12.44140625" style="6" customWidth="1"/>
    <col min="5" max="5" width="8.5546875" style="6" bestFit="1" customWidth="1"/>
    <col min="6" max="6" width="12.88671875" style="6" customWidth="1"/>
    <col min="7" max="7" width="8.6640625" style="6" customWidth="1"/>
    <col min="8" max="8" width="8.44140625" style="6" bestFit="1" customWidth="1"/>
    <col min="9" max="9" width="8.44140625" style="6" customWidth="1"/>
    <col min="10" max="10" width="8.33203125" style="6" customWidth="1"/>
    <col min="11" max="11" width="7.88671875" style="6" customWidth="1"/>
    <col min="12" max="12" width="8.88671875" style="6" customWidth="1"/>
    <col min="13" max="13" width="7.109375" style="6" customWidth="1"/>
    <col min="14" max="14" width="10" style="6" customWidth="1"/>
    <col min="15" max="15" width="14.6640625" style="6" customWidth="1"/>
    <col min="16" max="16" width="11.88671875" style="6" bestFit="1" customWidth="1"/>
    <col min="17" max="17" width="8.109375" style="6" customWidth="1"/>
    <col min="18" max="18" width="10.5546875" style="6" customWidth="1"/>
    <col min="19" max="19" width="8.88671875" style="6" customWidth="1"/>
    <col min="20" max="20" width="10.5546875" style="6" bestFit="1" customWidth="1"/>
    <col min="21" max="21" width="12.33203125" style="6" customWidth="1"/>
    <col min="22" max="22" width="19" style="6" customWidth="1"/>
    <col min="23" max="23" width="6.5546875" style="6" customWidth="1"/>
    <col min="24" max="24" width="15.109375" style="6" bestFit="1" customWidth="1"/>
    <col min="25" max="25" width="41.5546875" style="6" customWidth="1"/>
    <col min="26" max="16384" width="9.109375" style="6"/>
  </cols>
  <sheetData>
    <row r="1" spans="1:33" ht="18" x14ac:dyDescent="0.3">
      <c r="A1" s="63" t="s">
        <v>88</v>
      </c>
      <c r="B1" s="63"/>
      <c r="C1" s="53"/>
      <c r="D1" s="53"/>
      <c r="E1" s="53"/>
      <c r="F1" s="53"/>
      <c r="G1" s="53"/>
      <c r="H1" s="53"/>
      <c r="I1" s="53"/>
      <c r="J1" s="53"/>
      <c r="K1" s="53"/>
      <c r="L1" s="63" t="s">
        <v>90</v>
      </c>
      <c r="M1" s="63"/>
      <c r="N1" s="63"/>
      <c r="O1" s="63"/>
      <c r="P1" s="63"/>
      <c r="Q1" s="63"/>
    </row>
    <row r="2" spans="1:33" ht="18" x14ac:dyDescent="0.3">
      <c r="A2" s="63" t="s">
        <v>89</v>
      </c>
      <c r="B2" s="63"/>
      <c r="C2" s="53"/>
      <c r="D2" s="53"/>
      <c r="E2" s="53"/>
      <c r="F2" s="53"/>
      <c r="G2" s="53"/>
      <c r="H2" s="53"/>
      <c r="I2" s="53"/>
      <c r="J2" s="53"/>
      <c r="K2" s="53"/>
      <c r="L2" s="63" t="s">
        <v>91</v>
      </c>
      <c r="M2" s="63"/>
      <c r="N2" s="63"/>
      <c r="O2" s="63"/>
      <c r="P2" s="63"/>
      <c r="Q2" s="63"/>
    </row>
    <row r="3" spans="1:33" ht="18.75" x14ac:dyDescent="0.25">
      <c r="A3" s="54"/>
      <c r="B3" s="54"/>
      <c r="C3" s="53"/>
      <c r="D3" s="53"/>
      <c r="E3" s="53"/>
      <c r="F3" s="53"/>
      <c r="G3" s="53"/>
      <c r="H3" s="53"/>
      <c r="I3" s="53"/>
      <c r="J3" s="53"/>
      <c r="K3" s="53"/>
      <c r="L3" s="54"/>
      <c r="M3" s="54"/>
      <c r="N3" s="54"/>
      <c r="O3" s="54"/>
      <c r="P3" s="54"/>
      <c r="Q3" s="54"/>
    </row>
    <row r="4" spans="1:33" ht="60" customHeight="1" x14ac:dyDescent="0.3">
      <c r="B4" s="64" t="s">
        <v>93</v>
      </c>
      <c r="C4" s="64"/>
      <c r="D4" s="64"/>
      <c r="E4" s="64"/>
      <c r="F4" s="64"/>
      <c r="G4" s="64"/>
      <c r="H4" s="64"/>
      <c r="I4" s="64"/>
      <c r="J4" s="64"/>
      <c r="K4" s="64"/>
      <c r="L4" s="64"/>
      <c r="M4" s="64"/>
      <c r="N4" s="64"/>
      <c r="O4" s="64"/>
      <c r="P4" s="64"/>
      <c r="Q4" s="64"/>
      <c r="R4" s="64"/>
      <c r="S4" s="64"/>
      <c r="T4" s="64"/>
      <c r="U4" s="64"/>
      <c r="V4" s="64"/>
      <c r="W4" s="64"/>
      <c r="X4" s="64"/>
      <c r="Y4" s="64"/>
      <c r="Z4" s="8"/>
      <c r="AA4" s="8"/>
      <c r="AB4" s="8"/>
      <c r="AC4" s="8"/>
      <c r="AD4" s="8"/>
      <c r="AE4" s="8"/>
      <c r="AF4" s="8"/>
      <c r="AG4" s="8"/>
    </row>
    <row r="5" spans="1:33" ht="23.25" customHeight="1" x14ac:dyDescent="0.3">
      <c r="B5" s="65" t="s">
        <v>99</v>
      </c>
      <c r="C5" s="65"/>
      <c r="D5" s="65"/>
      <c r="E5" s="65"/>
      <c r="F5" s="65"/>
      <c r="G5" s="65"/>
      <c r="H5" s="65"/>
      <c r="I5" s="65"/>
      <c r="J5" s="65"/>
      <c r="K5" s="65"/>
      <c r="L5" s="65"/>
      <c r="M5" s="65"/>
      <c r="N5" s="65"/>
      <c r="O5" s="65"/>
      <c r="P5" s="65"/>
      <c r="Q5" s="65"/>
      <c r="R5" s="65"/>
      <c r="S5" s="65"/>
      <c r="T5" s="65"/>
      <c r="U5" s="65"/>
      <c r="V5" s="65"/>
      <c r="W5" s="65"/>
      <c r="X5" s="65"/>
      <c r="Y5" s="65"/>
      <c r="Z5" s="9"/>
      <c r="AA5" s="9"/>
      <c r="AB5" s="9"/>
      <c r="AC5" s="9"/>
      <c r="AD5" s="9"/>
      <c r="AE5" s="9"/>
      <c r="AF5" s="9"/>
      <c r="AG5" s="9"/>
    </row>
    <row r="6" spans="1:33" ht="23.25" customHeight="1" x14ac:dyDescent="0.25">
      <c r="B6" s="10"/>
      <c r="C6" s="10"/>
      <c r="D6" s="10"/>
      <c r="E6" s="10"/>
      <c r="F6" s="10"/>
      <c r="G6" s="10"/>
      <c r="H6" s="10"/>
      <c r="I6" s="10"/>
      <c r="J6" s="10"/>
      <c r="K6" s="10"/>
      <c r="L6" s="10"/>
      <c r="M6" s="10"/>
      <c r="N6" s="10"/>
      <c r="O6" s="10"/>
      <c r="P6" s="10"/>
      <c r="Q6" s="10"/>
      <c r="R6" s="10"/>
      <c r="S6" s="10"/>
      <c r="T6" s="10"/>
      <c r="U6" s="10"/>
      <c r="V6" s="10"/>
      <c r="W6" s="10"/>
      <c r="X6" s="10"/>
      <c r="Y6" s="10"/>
      <c r="Z6" s="9"/>
      <c r="AA6" s="9"/>
      <c r="AB6" s="9"/>
      <c r="AC6" s="9"/>
      <c r="AD6" s="9"/>
      <c r="AE6" s="9"/>
      <c r="AF6" s="9"/>
      <c r="AG6" s="9"/>
    </row>
    <row r="7" spans="1:33" ht="15.6" x14ac:dyDescent="0.3">
      <c r="A7" s="11"/>
      <c r="B7" s="12"/>
      <c r="C7" s="11"/>
      <c r="D7" s="11"/>
      <c r="E7" s="11"/>
      <c r="F7" s="11"/>
      <c r="G7" s="11"/>
      <c r="H7" s="11"/>
      <c r="I7" s="11"/>
      <c r="J7" s="11"/>
      <c r="K7" s="11"/>
      <c r="L7" s="11"/>
      <c r="M7" s="11"/>
      <c r="N7" s="11"/>
      <c r="O7" s="11"/>
      <c r="P7" s="11"/>
      <c r="Q7" s="11"/>
      <c r="R7" s="11"/>
      <c r="S7" s="11"/>
      <c r="T7" s="11"/>
      <c r="U7" s="11"/>
      <c r="V7" s="11"/>
      <c r="W7" s="11"/>
      <c r="X7" s="11"/>
      <c r="Y7" s="24" t="s">
        <v>22</v>
      </c>
    </row>
    <row r="8" spans="1:33" s="16" customFormat="1" ht="47.25" customHeight="1" x14ac:dyDescent="0.3">
      <c r="A8" s="68" t="s">
        <v>0</v>
      </c>
      <c r="B8" s="68" t="s">
        <v>1</v>
      </c>
      <c r="C8" s="72" t="s">
        <v>25</v>
      </c>
      <c r="D8" s="72"/>
      <c r="E8" s="66" t="s">
        <v>20</v>
      </c>
      <c r="F8" s="66" t="s">
        <v>11</v>
      </c>
      <c r="G8" s="70" t="s">
        <v>7</v>
      </c>
      <c r="H8" s="73"/>
      <c r="I8" s="73"/>
      <c r="J8" s="73"/>
      <c r="K8" s="73"/>
      <c r="L8" s="73"/>
      <c r="M8" s="73"/>
      <c r="N8" s="71"/>
      <c r="O8" s="66" t="s">
        <v>33</v>
      </c>
      <c r="P8" s="72" t="s">
        <v>35</v>
      </c>
      <c r="Q8" s="72"/>
      <c r="R8" s="72"/>
      <c r="S8" s="72"/>
      <c r="T8" s="66" t="s">
        <v>23</v>
      </c>
      <c r="U8" s="66" t="s">
        <v>10</v>
      </c>
      <c r="V8" s="70" t="s">
        <v>21</v>
      </c>
      <c r="W8" s="71"/>
      <c r="X8" s="66" t="s">
        <v>92</v>
      </c>
      <c r="Y8" s="66" t="s">
        <v>30</v>
      </c>
    </row>
    <row r="9" spans="1:33" s="16" customFormat="1" ht="156" customHeight="1" x14ac:dyDescent="0.3">
      <c r="A9" s="69"/>
      <c r="B9" s="69"/>
      <c r="C9" s="1" t="s">
        <v>2</v>
      </c>
      <c r="D9" s="55" t="s">
        <v>19</v>
      </c>
      <c r="E9" s="67"/>
      <c r="F9" s="67"/>
      <c r="G9" s="55" t="s">
        <v>3</v>
      </c>
      <c r="H9" s="55" t="s">
        <v>29</v>
      </c>
      <c r="I9" s="55" t="s">
        <v>6</v>
      </c>
      <c r="J9" s="55" t="s">
        <v>5</v>
      </c>
      <c r="K9" s="55" t="s">
        <v>12</v>
      </c>
      <c r="L9" s="55" t="s">
        <v>13</v>
      </c>
      <c r="M9" s="55" t="s">
        <v>31</v>
      </c>
      <c r="N9" s="55" t="s">
        <v>14</v>
      </c>
      <c r="O9" s="67"/>
      <c r="P9" s="55" t="s">
        <v>26</v>
      </c>
      <c r="Q9" s="55" t="s">
        <v>8</v>
      </c>
      <c r="R9" s="55" t="s">
        <v>9</v>
      </c>
      <c r="S9" s="55" t="s">
        <v>27</v>
      </c>
      <c r="T9" s="67"/>
      <c r="U9" s="67"/>
      <c r="V9" s="55" t="s">
        <v>24</v>
      </c>
      <c r="W9" s="55" t="s">
        <v>28</v>
      </c>
      <c r="X9" s="67"/>
      <c r="Y9" s="67"/>
    </row>
    <row r="10" spans="1:33" s="17" customFormat="1" ht="31.5" customHeight="1" x14ac:dyDescent="0.25">
      <c r="A10" s="56">
        <v>1</v>
      </c>
      <c r="B10" s="56">
        <v>2</v>
      </c>
      <c r="C10" s="56">
        <v>3</v>
      </c>
      <c r="D10" s="56">
        <v>4</v>
      </c>
      <c r="E10" s="56">
        <v>5</v>
      </c>
      <c r="F10" s="56">
        <v>6</v>
      </c>
      <c r="G10" s="56">
        <v>7</v>
      </c>
      <c r="H10" s="56">
        <v>8</v>
      </c>
      <c r="I10" s="56">
        <v>9</v>
      </c>
      <c r="J10" s="56">
        <v>10</v>
      </c>
      <c r="K10" s="56">
        <v>11</v>
      </c>
      <c r="L10" s="56">
        <v>12</v>
      </c>
      <c r="M10" s="56">
        <v>13</v>
      </c>
      <c r="N10" s="56">
        <v>14</v>
      </c>
      <c r="O10" s="56">
        <v>15</v>
      </c>
      <c r="P10" s="56">
        <v>16</v>
      </c>
      <c r="Q10" s="56">
        <v>17</v>
      </c>
      <c r="R10" s="56">
        <v>18</v>
      </c>
      <c r="S10" s="56">
        <v>19</v>
      </c>
      <c r="T10" s="56">
        <v>20</v>
      </c>
      <c r="U10" s="56">
        <v>21</v>
      </c>
      <c r="V10" s="56">
        <v>22</v>
      </c>
      <c r="W10" s="56">
        <v>23</v>
      </c>
      <c r="X10" s="56">
        <v>24</v>
      </c>
      <c r="Y10" s="56">
        <v>25</v>
      </c>
    </row>
    <row r="11" spans="1:33" s="13" customFormat="1" ht="25.5" customHeight="1" x14ac:dyDescent="0.3">
      <c r="A11" s="1" t="s">
        <v>18</v>
      </c>
      <c r="B11" s="4" t="s">
        <v>51</v>
      </c>
      <c r="C11" s="1"/>
      <c r="D11" s="1"/>
      <c r="E11" s="1"/>
      <c r="F11" s="1"/>
      <c r="G11" s="1"/>
      <c r="H11" s="1"/>
      <c r="I11" s="1"/>
      <c r="J11" s="1"/>
      <c r="K11" s="1"/>
      <c r="L11" s="1"/>
      <c r="M11" s="1"/>
      <c r="N11" s="1"/>
      <c r="O11" s="1"/>
      <c r="P11" s="1"/>
      <c r="Q11" s="1"/>
      <c r="R11" s="1"/>
      <c r="S11" s="1"/>
      <c r="T11" s="1"/>
      <c r="U11" s="1"/>
      <c r="V11" s="1"/>
      <c r="W11" s="1"/>
      <c r="X11" s="1"/>
      <c r="Y11" s="1"/>
    </row>
    <row r="12" spans="1:33" s="15" customFormat="1" ht="27.75" customHeight="1" x14ac:dyDescent="0.3">
      <c r="A12" s="1" t="s">
        <v>4</v>
      </c>
      <c r="B12" s="4" t="s">
        <v>74</v>
      </c>
      <c r="C12" s="57"/>
      <c r="D12" s="57"/>
      <c r="E12" s="57"/>
      <c r="F12" s="57"/>
      <c r="G12" s="57"/>
      <c r="H12" s="57"/>
      <c r="I12" s="57"/>
      <c r="J12" s="57"/>
      <c r="K12" s="57"/>
      <c r="L12" s="57"/>
      <c r="M12" s="57"/>
      <c r="N12" s="57"/>
      <c r="O12" s="57"/>
      <c r="P12" s="57"/>
      <c r="Q12" s="57"/>
      <c r="R12" s="57"/>
      <c r="S12" s="57"/>
      <c r="T12" s="57"/>
      <c r="U12" s="57"/>
      <c r="V12" s="57"/>
      <c r="W12" s="57"/>
      <c r="X12" s="57"/>
      <c r="Y12" s="57"/>
    </row>
    <row r="13" spans="1:33" s="23" customFormat="1" ht="186" customHeight="1" x14ac:dyDescent="0.3">
      <c r="A13" s="18">
        <v>1</v>
      </c>
      <c r="B13" s="25" t="s">
        <v>53</v>
      </c>
      <c r="C13" s="28" t="s">
        <v>65</v>
      </c>
      <c r="D13" s="18"/>
      <c r="E13" s="19" t="s">
        <v>66</v>
      </c>
      <c r="F13" s="19" t="s">
        <v>67</v>
      </c>
      <c r="G13" s="18">
        <v>4.9800000000000004</v>
      </c>
      <c r="H13" s="18">
        <v>0.3</v>
      </c>
      <c r="I13" s="20">
        <v>0.1</v>
      </c>
      <c r="J13" s="20"/>
      <c r="K13" s="20"/>
      <c r="L13" s="20"/>
      <c r="M13" s="20">
        <v>0.25</v>
      </c>
      <c r="N13" s="20"/>
      <c r="O13" s="22">
        <f>(G13+H13+G13*I13)*125%*2340000</f>
        <v>16900650</v>
      </c>
      <c r="P13" s="21" t="s">
        <v>68</v>
      </c>
      <c r="Q13" s="18">
        <v>41</v>
      </c>
      <c r="R13" s="18">
        <v>5</v>
      </c>
      <c r="S13" s="18">
        <f>(Q13*12)+R13</f>
        <v>497</v>
      </c>
      <c r="T13" s="19" t="s">
        <v>69</v>
      </c>
      <c r="U13" s="26" t="s">
        <v>17</v>
      </c>
      <c r="V13" s="61" t="s">
        <v>94</v>
      </c>
      <c r="W13" s="22"/>
      <c r="X13" s="27">
        <v>84503250</v>
      </c>
      <c r="Y13" s="59" t="s">
        <v>97</v>
      </c>
    </row>
    <row r="14" spans="1:33" s="23" customFormat="1" ht="182.25" customHeight="1" x14ac:dyDescent="0.3">
      <c r="A14" s="18">
        <v>2</v>
      </c>
      <c r="B14" s="25" t="s">
        <v>56</v>
      </c>
      <c r="C14" s="28" t="s">
        <v>62</v>
      </c>
      <c r="D14" s="18"/>
      <c r="E14" s="19" t="s">
        <v>70</v>
      </c>
      <c r="F14" s="19" t="s">
        <v>71</v>
      </c>
      <c r="G14" s="18">
        <v>4.9800000000000004</v>
      </c>
      <c r="H14" s="18"/>
      <c r="I14" s="20">
        <v>0.1</v>
      </c>
      <c r="J14" s="20"/>
      <c r="K14" s="20"/>
      <c r="L14" s="20"/>
      <c r="M14" s="20">
        <v>0.25</v>
      </c>
      <c r="N14" s="20"/>
      <c r="O14" s="22">
        <f>(G14+H14+G14*I14)*125%*2340000</f>
        <v>16023150.000000002</v>
      </c>
      <c r="P14" s="21" t="s">
        <v>72</v>
      </c>
      <c r="Q14" s="18">
        <v>36</v>
      </c>
      <c r="R14" s="18">
        <v>6</v>
      </c>
      <c r="S14" s="18">
        <f>(Q14*12)+R14</f>
        <v>438</v>
      </c>
      <c r="T14" s="19" t="s">
        <v>73</v>
      </c>
      <c r="U14" s="26" t="s">
        <v>17</v>
      </c>
      <c r="V14" s="61" t="s">
        <v>95</v>
      </c>
      <c r="W14" s="22"/>
      <c r="X14" s="27">
        <v>1285857788</v>
      </c>
      <c r="Y14" s="59" t="s">
        <v>97</v>
      </c>
    </row>
    <row r="15" spans="1:33" s="15" customFormat="1" ht="24.9" customHeight="1" x14ac:dyDescent="0.3">
      <c r="A15" s="1" t="s">
        <v>15</v>
      </c>
      <c r="B15" s="4" t="s">
        <v>77</v>
      </c>
      <c r="C15" s="57"/>
      <c r="D15" s="57"/>
      <c r="E15" s="57"/>
      <c r="F15" s="57"/>
      <c r="G15" s="57"/>
      <c r="H15" s="57"/>
      <c r="I15" s="57"/>
      <c r="J15" s="57"/>
      <c r="K15" s="57"/>
      <c r="L15" s="57"/>
      <c r="M15" s="57"/>
      <c r="N15" s="57"/>
      <c r="O15" s="57"/>
      <c r="P15" s="57"/>
      <c r="Q15" s="57"/>
      <c r="R15" s="57"/>
      <c r="S15" s="57"/>
      <c r="T15" s="57"/>
      <c r="U15" s="57"/>
      <c r="V15" s="62"/>
      <c r="W15" s="57"/>
      <c r="X15" s="57"/>
      <c r="Y15" s="58"/>
    </row>
    <row r="16" spans="1:33" s="23" customFormat="1" ht="177.75" customHeight="1" x14ac:dyDescent="0.3">
      <c r="A16" s="18">
        <v>1</v>
      </c>
      <c r="B16" s="25" t="s">
        <v>54</v>
      </c>
      <c r="C16" s="28" t="s">
        <v>60</v>
      </c>
      <c r="D16" s="18"/>
      <c r="E16" s="19" t="s">
        <v>52</v>
      </c>
      <c r="F16" s="19" t="s">
        <v>34</v>
      </c>
      <c r="G16" s="18">
        <v>4.9800000000000004</v>
      </c>
      <c r="H16" s="18">
        <v>0.2</v>
      </c>
      <c r="I16" s="20"/>
      <c r="J16" s="20"/>
      <c r="K16" s="20"/>
      <c r="L16" s="20"/>
      <c r="M16" s="20">
        <v>0.25</v>
      </c>
      <c r="N16" s="20"/>
      <c r="O16" s="22">
        <f>(G16+H16)*125%*2340000</f>
        <v>15151500.000000002</v>
      </c>
      <c r="P16" s="21" t="s">
        <v>75</v>
      </c>
      <c r="Q16" s="18">
        <v>30</v>
      </c>
      <c r="R16" s="18">
        <v>1</v>
      </c>
      <c r="S16" s="18">
        <f>(Q16*12)+R16</f>
        <v>361</v>
      </c>
      <c r="T16" s="19" t="s">
        <v>76</v>
      </c>
      <c r="U16" s="26" t="s">
        <v>17</v>
      </c>
      <c r="V16" s="61" t="s">
        <v>94</v>
      </c>
      <c r="W16" s="22"/>
      <c r="X16" s="27">
        <v>212121000</v>
      </c>
      <c r="Y16" s="59" t="s">
        <v>97</v>
      </c>
    </row>
    <row r="17" spans="1:25" s="15" customFormat="1" ht="42" customHeight="1" x14ac:dyDescent="0.3">
      <c r="A17" s="1" t="s">
        <v>16</v>
      </c>
      <c r="B17" s="4" t="s">
        <v>82</v>
      </c>
      <c r="C17" s="57"/>
      <c r="D17" s="57"/>
      <c r="E17" s="57"/>
      <c r="F17" s="57"/>
      <c r="G17" s="57"/>
      <c r="H17" s="57"/>
      <c r="I17" s="57"/>
      <c r="J17" s="57"/>
      <c r="K17" s="57"/>
      <c r="L17" s="57"/>
      <c r="M17" s="57"/>
      <c r="N17" s="57"/>
      <c r="O17" s="57"/>
      <c r="P17" s="57"/>
      <c r="Q17" s="57"/>
      <c r="R17" s="57"/>
      <c r="S17" s="57"/>
      <c r="T17" s="57"/>
      <c r="U17" s="57"/>
      <c r="V17" s="62"/>
      <c r="W17" s="57"/>
      <c r="X17" s="57"/>
      <c r="Y17" s="58"/>
    </row>
    <row r="18" spans="1:25" s="23" customFormat="1" ht="252.75" customHeight="1" x14ac:dyDescent="0.3">
      <c r="A18" s="18">
        <v>1</v>
      </c>
      <c r="B18" s="25" t="s">
        <v>55</v>
      </c>
      <c r="C18" s="28"/>
      <c r="D18" s="28" t="s">
        <v>61</v>
      </c>
      <c r="E18" s="19" t="s">
        <v>78</v>
      </c>
      <c r="F18" s="19" t="s">
        <v>79</v>
      </c>
      <c r="G18" s="18">
        <v>5.76</v>
      </c>
      <c r="H18" s="18">
        <v>0.2</v>
      </c>
      <c r="I18" s="20"/>
      <c r="J18" s="20"/>
      <c r="K18" s="20"/>
      <c r="L18" s="20"/>
      <c r="M18" s="20">
        <v>0.25</v>
      </c>
      <c r="N18" s="20"/>
      <c r="O18" s="22">
        <f>(G18+G18*I18+H18)*125%*2340000</f>
        <v>17433000</v>
      </c>
      <c r="P18" s="21" t="s">
        <v>80</v>
      </c>
      <c r="Q18" s="18">
        <v>30</v>
      </c>
      <c r="R18" s="18">
        <v>6</v>
      </c>
      <c r="S18" s="18">
        <f>(Q18*12)+R18</f>
        <v>366</v>
      </c>
      <c r="T18" s="19" t="s">
        <v>81</v>
      </c>
      <c r="U18" s="26" t="s">
        <v>17</v>
      </c>
      <c r="V18" s="61" t="s">
        <v>94</v>
      </c>
      <c r="W18" s="22"/>
      <c r="X18" s="27">
        <v>313794000</v>
      </c>
      <c r="Y18" s="59" t="s">
        <v>98</v>
      </c>
    </row>
    <row r="19" spans="1:25" s="23" customFormat="1" ht="246" customHeight="1" x14ac:dyDescent="0.3">
      <c r="A19" s="18">
        <v>2</v>
      </c>
      <c r="B19" s="25" t="s">
        <v>57</v>
      </c>
      <c r="C19" s="28"/>
      <c r="D19" s="28" t="s">
        <v>63</v>
      </c>
      <c r="E19" s="19" t="s">
        <v>52</v>
      </c>
      <c r="F19" s="19" t="s">
        <v>83</v>
      </c>
      <c r="G19" s="18">
        <v>4.32</v>
      </c>
      <c r="H19" s="18"/>
      <c r="I19" s="20"/>
      <c r="J19" s="20"/>
      <c r="K19" s="20"/>
      <c r="L19" s="20"/>
      <c r="M19" s="20">
        <v>0.25</v>
      </c>
      <c r="N19" s="20"/>
      <c r="O19" s="22">
        <f>(G19+G19*I19+H19)*125%*2340000</f>
        <v>12636000</v>
      </c>
      <c r="P19" s="21" t="s">
        <v>84</v>
      </c>
      <c r="Q19" s="18">
        <v>27</v>
      </c>
      <c r="R19" s="18">
        <v>3</v>
      </c>
      <c r="S19" s="18">
        <f>(Q19*12)+R19</f>
        <v>327</v>
      </c>
      <c r="T19" s="19" t="s">
        <v>85</v>
      </c>
      <c r="U19" s="26" t="s">
        <v>17</v>
      </c>
      <c r="V19" s="61" t="s">
        <v>95</v>
      </c>
      <c r="W19" s="22"/>
      <c r="X19" s="27">
        <v>609687000</v>
      </c>
      <c r="Y19" s="59" t="s">
        <v>98</v>
      </c>
    </row>
    <row r="20" spans="1:25" s="23" customFormat="1" ht="251.25" customHeight="1" x14ac:dyDescent="0.3">
      <c r="A20" s="18">
        <v>3</v>
      </c>
      <c r="B20" s="25" t="s">
        <v>58</v>
      </c>
      <c r="C20" s="28" t="s">
        <v>64</v>
      </c>
      <c r="D20" s="28"/>
      <c r="E20" s="19" t="s">
        <v>52</v>
      </c>
      <c r="F20" s="19" t="s">
        <v>83</v>
      </c>
      <c r="G20" s="18">
        <v>4.32</v>
      </c>
      <c r="H20" s="18"/>
      <c r="I20" s="20"/>
      <c r="J20" s="20"/>
      <c r="K20" s="20"/>
      <c r="L20" s="20"/>
      <c r="M20" s="20">
        <v>0.25</v>
      </c>
      <c r="N20" s="20"/>
      <c r="O20" s="22">
        <f>(G20+G20*I20+H20)*125%*2340000</f>
        <v>12636000</v>
      </c>
      <c r="P20" s="21" t="s">
        <v>86</v>
      </c>
      <c r="Q20" s="18">
        <v>26</v>
      </c>
      <c r="R20" s="18">
        <v>11</v>
      </c>
      <c r="S20" s="18">
        <f>(Q20*12)+R20</f>
        <v>323</v>
      </c>
      <c r="T20" s="19" t="s">
        <v>87</v>
      </c>
      <c r="U20" s="26" t="s">
        <v>17</v>
      </c>
      <c r="V20" s="61" t="s">
        <v>96</v>
      </c>
      <c r="W20" s="22"/>
      <c r="X20" s="27">
        <v>1295190000</v>
      </c>
      <c r="Y20" s="59" t="s">
        <v>98</v>
      </c>
    </row>
    <row r="21" spans="1:25" s="14" customFormat="1" ht="24.9" customHeight="1" x14ac:dyDescent="0.3">
      <c r="A21" s="2"/>
      <c r="B21" s="4" t="s">
        <v>32</v>
      </c>
      <c r="C21" s="1"/>
      <c r="D21" s="2"/>
      <c r="E21" s="2"/>
      <c r="F21" s="2"/>
      <c r="G21" s="2"/>
      <c r="H21" s="2"/>
      <c r="I21" s="2"/>
      <c r="J21" s="2"/>
      <c r="K21" s="2"/>
      <c r="L21" s="2"/>
      <c r="M21" s="2"/>
      <c r="N21" s="2"/>
      <c r="O21" s="7"/>
      <c r="P21" s="2"/>
      <c r="Q21" s="2"/>
      <c r="R21" s="2"/>
      <c r="S21" s="2"/>
      <c r="T21" s="2"/>
      <c r="U21" s="2"/>
      <c r="V21" s="29"/>
      <c r="W21" s="29"/>
      <c r="X21" s="29">
        <f>X13+X14+X16+X18+X19+X20</f>
        <v>3801153038</v>
      </c>
      <c r="Y21" s="2"/>
    </row>
    <row r="22" spans="1:25" s="3" customFormat="1" x14ac:dyDescent="0.3">
      <c r="B22" s="5"/>
    </row>
    <row r="25" spans="1:25" x14ac:dyDescent="0.3">
      <c r="X25" s="60"/>
    </row>
  </sheetData>
  <mergeCells count="19">
    <mergeCell ref="A8:A9"/>
    <mergeCell ref="B8:B9"/>
    <mergeCell ref="E8:E9"/>
    <mergeCell ref="F8:F9"/>
    <mergeCell ref="V8:W8"/>
    <mergeCell ref="C8:D8"/>
    <mergeCell ref="G8:N8"/>
    <mergeCell ref="O8:O9"/>
    <mergeCell ref="P8:S8"/>
    <mergeCell ref="B5:Y5"/>
    <mergeCell ref="T8:T9"/>
    <mergeCell ref="U8:U9"/>
    <mergeCell ref="X8:X9"/>
    <mergeCell ref="Y8:Y9"/>
    <mergeCell ref="A1:B1"/>
    <mergeCell ref="A2:B2"/>
    <mergeCell ref="L1:Q1"/>
    <mergeCell ref="L2:Q2"/>
    <mergeCell ref="B4:Y4"/>
  </mergeCells>
  <printOptions horizontalCentered="1"/>
  <pageMargins left="0.25" right="0.25" top="0.25" bottom="0.25" header="0.25" footer="0.25"/>
  <pageSetup paperSize="9" scale="47" fitToHeight="0" orientation="landscape" r:id="rId1"/>
  <headerFooter differentFirst="1">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K5" sqref="K5"/>
    </sheetView>
  </sheetViews>
  <sheetFormatPr defaultColWidth="9.109375" defaultRowHeight="15.6" x14ac:dyDescent="0.3"/>
  <cols>
    <col min="1" max="1" width="4.33203125" style="31" customWidth="1"/>
    <col min="2" max="2" width="24.6640625" style="31" customWidth="1"/>
    <col min="3" max="3" width="10.88671875" style="31" customWidth="1"/>
    <col min="4" max="4" width="11.88671875" style="31" customWidth="1"/>
    <col min="5" max="5" width="13.33203125" style="31" customWidth="1"/>
    <col min="6" max="8" width="9.109375" style="31"/>
    <col min="9" max="12" width="14" style="31" customWidth="1"/>
    <col min="13" max="16384" width="9.109375" style="31"/>
  </cols>
  <sheetData>
    <row r="1" spans="1:12" x14ac:dyDescent="0.3">
      <c r="A1" s="77" t="s">
        <v>36</v>
      </c>
      <c r="B1" s="77"/>
      <c r="C1" s="77"/>
      <c r="D1" s="77"/>
      <c r="E1" s="77"/>
      <c r="F1" s="77"/>
      <c r="G1" s="77"/>
      <c r="H1" s="77"/>
      <c r="I1" s="77"/>
      <c r="J1" s="77"/>
      <c r="K1" s="77"/>
      <c r="L1" s="77"/>
    </row>
    <row r="3" spans="1:12" x14ac:dyDescent="0.3">
      <c r="L3" s="34" t="s">
        <v>50</v>
      </c>
    </row>
    <row r="4" spans="1:12" x14ac:dyDescent="0.3">
      <c r="A4" s="76" t="s">
        <v>37</v>
      </c>
      <c r="B4" s="76" t="s">
        <v>41</v>
      </c>
      <c r="C4" s="76" t="s">
        <v>43</v>
      </c>
      <c r="D4" s="76"/>
      <c r="E4" s="76" t="s">
        <v>38</v>
      </c>
      <c r="F4" s="76" t="s">
        <v>39</v>
      </c>
      <c r="G4" s="76" t="s">
        <v>40</v>
      </c>
      <c r="H4" s="76" t="s">
        <v>44</v>
      </c>
      <c r="I4" s="76" t="s">
        <v>48</v>
      </c>
      <c r="J4" s="76" t="s">
        <v>45</v>
      </c>
      <c r="K4" s="76"/>
      <c r="L4" s="76" t="s">
        <v>49</v>
      </c>
    </row>
    <row r="5" spans="1:12" ht="69" customHeight="1" x14ac:dyDescent="0.3">
      <c r="A5" s="76"/>
      <c r="B5" s="76"/>
      <c r="C5" s="30" t="s">
        <v>2</v>
      </c>
      <c r="D5" s="30" t="s">
        <v>42</v>
      </c>
      <c r="E5" s="76"/>
      <c r="F5" s="76"/>
      <c r="G5" s="76"/>
      <c r="H5" s="76"/>
      <c r="I5" s="76"/>
      <c r="J5" s="30" t="s">
        <v>46</v>
      </c>
      <c r="K5" s="30" t="s">
        <v>47</v>
      </c>
      <c r="L5" s="76"/>
    </row>
    <row r="6" spans="1:12" x14ac:dyDescent="0.3">
      <c r="A6" s="35">
        <v>1</v>
      </c>
      <c r="B6" s="35" t="s">
        <v>53</v>
      </c>
      <c r="C6" s="43" t="s">
        <v>59</v>
      </c>
      <c r="D6" s="45"/>
      <c r="E6" s="36">
        <f>(4.98+0.3+4.98*10%)*125%*2340000</f>
        <v>16900650</v>
      </c>
      <c r="F6" s="50">
        <v>60.1</v>
      </c>
      <c r="G6" s="35">
        <v>61.03</v>
      </c>
      <c r="H6" s="50">
        <v>41.05</v>
      </c>
      <c r="I6" s="36">
        <f>E6*5</f>
        <v>84503250</v>
      </c>
      <c r="J6" s="36"/>
      <c r="K6" s="36"/>
      <c r="L6" s="36">
        <f>SUM(I6:K6)</f>
        <v>84503250</v>
      </c>
    </row>
    <row r="7" spans="1:12" x14ac:dyDescent="0.3">
      <c r="A7" s="37">
        <v>2</v>
      </c>
      <c r="B7" s="37" t="s">
        <v>54</v>
      </c>
      <c r="C7" s="46" t="s">
        <v>60</v>
      </c>
      <c r="D7" s="44"/>
      <c r="E7" s="38">
        <f>(4.98+0.2)*125%*2340000</f>
        <v>15151500.000000002</v>
      </c>
      <c r="F7" s="37">
        <v>60.04</v>
      </c>
      <c r="G7" s="37">
        <v>61.06</v>
      </c>
      <c r="H7" s="37">
        <v>30.01</v>
      </c>
      <c r="I7" s="38">
        <f>E7*14</f>
        <v>212121000.00000003</v>
      </c>
      <c r="J7" s="38"/>
      <c r="K7" s="38"/>
      <c r="L7" s="38">
        <f t="shared" ref="L7:L11" si="0">SUM(I7:K7)</f>
        <v>212121000.00000003</v>
      </c>
    </row>
    <row r="8" spans="1:12" x14ac:dyDescent="0.3">
      <c r="A8" s="35">
        <v>3</v>
      </c>
      <c r="B8" s="35" t="s">
        <v>55</v>
      </c>
      <c r="C8" s="45"/>
      <c r="D8" s="48" t="s">
        <v>61</v>
      </c>
      <c r="E8" s="36">
        <f>(5.76+0.2)*125%*2340000</f>
        <v>17433000</v>
      </c>
      <c r="F8" s="35">
        <v>55.06</v>
      </c>
      <c r="G8" s="35">
        <v>57</v>
      </c>
      <c r="H8" s="35">
        <v>30.06</v>
      </c>
      <c r="I8" s="36">
        <f>E8*18</f>
        <v>313794000</v>
      </c>
      <c r="J8" s="36"/>
      <c r="K8" s="36"/>
      <c r="L8" s="36">
        <f t="shared" si="0"/>
        <v>313794000</v>
      </c>
    </row>
    <row r="9" spans="1:12" x14ac:dyDescent="0.3">
      <c r="A9" s="35">
        <v>4</v>
      </c>
      <c r="B9" s="35" t="s">
        <v>56</v>
      </c>
      <c r="C9" s="47" t="s">
        <v>62</v>
      </c>
      <c r="D9" s="48"/>
      <c r="E9" s="36">
        <f>(4.98+4.98*10%)*125%*2340000</f>
        <v>16023150.000000002</v>
      </c>
      <c r="F9" s="35">
        <v>58.01</v>
      </c>
      <c r="G9" s="35">
        <v>62</v>
      </c>
      <c r="H9" s="35">
        <v>36.06</v>
      </c>
      <c r="I9" s="36">
        <f>E9*47</f>
        <v>753088050.00000012</v>
      </c>
      <c r="J9" s="36">
        <f>E9*5*4</f>
        <v>320463000.00000006</v>
      </c>
      <c r="K9" s="36">
        <f>(5+0.5*(36.5-20))*E9</f>
        <v>212306737.50000003</v>
      </c>
      <c r="L9" s="36">
        <f t="shared" si="0"/>
        <v>1285857787.5000002</v>
      </c>
    </row>
    <row r="10" spans="1:12" x14ac:dyDescent="0.3">
      <c r="A10" s="35">
        <v>5</v>
      </c>
      <c r="B10" s="35" t="s">
        <v>57</v>
      </c>
      <c r="C10" s="47"/>
      <c r="D10" s="47" t="s">
        <v>63</v>
      </c>
      <c r="E10" s="36">
        <f>4.32*125%*2340000</f>
        <v>12636000</v>
      </c>
      <c r="F10" s="51">
        <v>55.01</v>
      </c>
      <c r="G10" s="35">
        <v>57.04</v>
      </c>
      <c r="H10" s="35">
        <v>27.03</v>
      </c>
      <c r="I10" s="36">
        <f>E10*27</f>
        <v>341172000</v>
      </c>
      <c r="J10" s="36">
        <f>E10*5*2.5</f>
        <v>157950000</v>
      </c>
      <c r="K10" s="36">
        <f>(5+0.5*(27.5-20))*E10</f>
        <v>110565000</v>
      </c>
      <c r="L10" s="36">
        <f t="shared" si="0"/>
        <v>609687000</v>
      </c>
    </row>
    <row r="11" spans="1:12" x14ac:dyDescent="0.3">
      <c r="A11" s="35">
        <v>6</v>
      </c>
      <c r="B11" s="35" t="s">
        <v>58</v>
      </c>
      <c r="C11" s="47" t="s">
        <v>64</v>
      </c>
      <c r="D11" s="45"/>
      <c r="E11" s="36">
        <f>4.32*125%*2340000</f>
        <v>12636000</v>
      </c>
      <c r="F11" s="35">
        <v>52.04</v>
      </c>
      <c r="G11" s="35">
        <v>62</v>
      </c>
      <c r="H11" s="50">
        <v>26.11</v>
      </c>
      <c r="I11" s="36">
        <f>E11*0.9*60</f>
        <v>682344000</v>
      </c>
      <c r="J11" s="36">
        <f>E11*4*10</f>
        <v>505440000</v>
      </c>
      <c r="K11" s="36">
        <f>(5+0.5*(27-20))*E11</f>
        <v>107406000</v>
      </c>
      <c r="L11" s="36">
        <f t="shared" si="0"/>
        <v>1295190000</v>
      </c>
    </row>
    <row r="12" spans="1:12" ht="15.75" x14ac:dyDescent="0.25">
      <c r="A12" s="39"/>
      <c r="B12" s="39"/>
      <c r="C12" s="52"/>
      <c r="D12" s="49"/>
      <c r="E12" s="40"/>
      <c r="F12" s="39"/>
      <c r="G12" s="39"/>
      <c r="H12" s="39"/>
      <c r="I12" s="40"/>
      <c r="J12" s="40"/>
      <c r="K12" s="40"/>
      <c r="L12" s="40"/>
    </row>
    <row r="13" spans="1:12" s="32" customFormat="1" x14ac:dyDescent="0.3">
      <c r="A13" s="74" t="s">
        <v>49</v>
      </c>
      <c r="B13" s="75"/>
      <c r="C13" s="41"/>
      <c r="D13" s="41"/>
      <c r="E13" s="42"/>
      <c r="F13" s="41"/>
      <c r="G13" s="41"/>
      <c r="H13" s="41"/>
      <c r="I13" s="42"/>
      <c r="J13" s="42"/>
      <c r="K13" s="42"/>
      <c r="L13" s="42">
        <f>SUM(L6:L12)</f>
        <v>3801153037.5</v>
      </c>
    </row>
    <row r="14" spans="1:12" ht="15.75" x14ac:dyDescent="0.25">
      <c r="E14" s="33"/>
      <c r="I14" s="33"/>
      <c r="J14" s="33"/>
      <c r="K14" s="33"/>
      <c r="L14" s="33"/>
    </row>
    <row r="15" spans="1:12" ht="15.75" x14ac:dyDescent="0.25">
      <c r="E15" s="33"/>
    </row>
    <row r="16" spans="1:12" ht="15.75" x14ac:dyDescent="0.25">
      <c r="E16" s="33"/>
    </row>
  </sheetData>
  <mergeCells count="12">
    <mergeCell ref="A13:B13"/>
    <mergeCell ref="L4:L5"/>
    <mergeCell ref="A1:L1"/>
    <mergeCell ref="C4:D4"/>
    <mergeCell ref="J4:K4"/>
    <mergeCell ref="A4:A5"/>
    <mergeCell ref="B4:B5"/>
    <mergeCell ref="E4:E5"/>
    <mergeCell ref="F4:F5"/>
    <mergeCell ref="G4:G5"/>
    <mergeCell ref="H4:H5"/>
    <mergeCell ref="I4:I5"/>
  </mergeCells>
  <printOptions horizontalCentered="1"/>
  <pageMargins left="0.2" right="0.2" top="0.75" bottom="0.75" header="0.3" footer="0.3"/>
  <pageSetup paperSize="9" scale="9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2025-03-25T03:18:30Z</cp:lastPrinted>
  <dcterms:created xsi:type="dcterms:W3CDTF">2025-01-10T07:39:37Z</dcterms:created>
  <dcterms:modified xsi:type="dcterms:W3CDTF">2025-03-31T11:35:23Z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141978cbe94c4476b5924571e94225fa.psdsxs" Id="Raee302c90cf74243" /></Relationships>
</file>