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psdsor" ContentType="application/vnd.openxmlformats-package.digital-signature-origin"/>
  <Default Extension="psdsxs" ContentType="application/vnd.openxmlformats-package.digital-signature-xmlsignatur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package/2006/relationships/digital-signature/origin" Target="/package/services/digital-signature/origin.psdsor" Id="Rcb01ac9f8ed74380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16" windowHeight="11016"/>
  </bookViews>
  <sheets>
    <sheet name="DS TONG HOP" sheetId="8" r:id="rId1"/>
    <sheet name="Sheet1" sheetId="9" r:id="rId2"/>
  </sheets>
  <definedNames>
    <definedName name="_xlnm.Print_Titles" localSheetId="0">'DS TONG HOP'!$6:$8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1" i="8" l="1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AM12" i="8" l="1"/>
  <c r="C23" i="8" l="1"/>
  <c r="C24" i="8"/>
  <c r="C26" i="8"/>
  <c r="C27" i="8"/>
  <c r="C28" i="8"/>
  <c r="C29" i="8"/>
  <c r="AM10" i="8" l="1"/>
  <c r="AM38" i="8" s="1"/>
  <c r="AD18" i="8"/>
  <c r="AE19" i="8"/>
  <c r="AE20" i="8"/>
  <c r="AE22" i="8"/>
  <c r="AK25" i="8"/>
  <c r="AK26" i="8"/>
  <c r="AK28" i="8"/>
  <c r="Q30" i="8"/>
  <c r="AD30" i="8" s="1"/>
  <c r="Q31" i="8"/>
  <c r="AE31" i="8" s="1"/>
  <c r="Q32" i="8"/>
  <c r="AD32" i="8" s="1"/>
  <c r="Q33" i="8"/>
  <c r="AD33" i="8" s="1"/>
  <c r="Q34" i="8"/>
  <c r="AD34" i="8" s="1"/>
  <c r="Q35" i="8"/>
  <c r="AD35" i="8" s="1"/>
  <c r="Q36" i="8"/>
  <c r="AD36" i="8" s="1"/>
  <c r="Q37" i="8"/>
  <c r="AE37" i="8" s="1"/>
  <c r="V11" i="8"/>
  <c r="V13" i="8"/>
  <c r="V14" i="8"/>
  <c r="V15" i="8"/>
  <c r="V16" i="8"/>
  <c r="V17" i="8"/>
  <c r="V18" i="8"/>
  <c r="V19" i="8"/>
  <c r="V20" i="8"/>
  <c r="V21" i="8"/>
  <c r="V22" i="8"/>
  <c r="V23" i="8"/>
  <c r="V24" i="8"/>
  <c r="V25" i="8"/>
  <c r="V26" i="8"/>
  <c r="V27" i="8"/>
  <c r="V28" i="8"/>
  <c r="V29" i="8"/>
  <c r="V30" i="8"/>
  <c r="V31" i="8"/>
  <c r="V32" i="8"/>
  <c r="V33" i="8"/>
  <c r="V34" i="8"/>
  <c r="V35" i="8"/>
  <c r="V36" i="8"/>
  <c r="V37" i="8"/>
  <c r="AE15" i="8"/>
  <c r="AE17" i="8"/>
  <c r="AE23" i="8"/>
  <c r="AK27" i="8"/>
  <c r="AJ14" i="8"/>
  <c r="AJ16" i="8"/>
  <c r="AJ18" i="8"/>
  <c r="AJ21" i="8"/>
  <c r="AJ24" i="8"/>
  <c r="AJ11" i="8"/>
  <c r="AJ15" i="8"/>
  <c r="AJ17" i="8"/>
  <c r="AJ19" i="8"/>
  <c r="AJ20" i="8"/>
  <c r="AJ22" i="8"/>
  <c r="AJ23" i="8"/>
  <c r="C37" i="8"/>
  <c r="C36" i="8"/>
  <c r="C35" i="8"/>
  <c r="C34" i="8"/>
  <c r="C33" i="8"/>
  <c r="C32" i="8"/>
  <c r="C31" i="8"/>
  <c r="C30" i="8"/>
  <c r="AK29" i="8"/>
  <c r="C25" i="8"/>
  <c r="AD24" i="8"/>
  <c r="C22" i="8"/>
  <c r="AD21" i="8"/>
  <c r="C21" i="8"/>
  <c r="C20" i="8"/>
  <c r="C19" i="8"/>
  <c r="C18" i="8"/>
  <c r="C17" i="8"/>
  <c r="AD16" i="8"/>
  <c r="C16" i="8"/>
  <c r="C15" i="8"/>
  <c r="AD14" i="8"/>
  <c r="C14" i="8"/>
  <c r="AD11" i="8"/>
  <c r="C11" i="8"/>
  <c r="C13" i="8"/>
  <c r="AK12" i="8" l="1"/>
  <c r="AM37" i="8"/>
  <c r="AL36" i="8"/>
  <c r="AK35" i="8"/>
  <c r="AM33" i="8"/>
  <c r="AL32" i="8"/>
  <c r="AK31" i="8"/>
  <c r="AL28" i="8"/>
  <c r="AJ28" i="8" s="1"/>
  <c r="AL26" i="8"/>
  <c r="AJ26" i="8" s="1"/>
  <c r="AK10" i="8"/>
  <c r="AL37" i="8"/>
  <c r="AK36" i="8"/>
  <c r="AM34" i="8"/>
  <c r="AL33" i="8"/>
  <c r="AK32" i="8"/>
  <c r="AM30" i="8"/>
  <c r="AL10" i="8"/>
  <c r="AK37" i="8"/>
  <c r="AM35" i="8"/>
  <c r="AL34" i="8"/>
  <c r="AK33" i="8"/>
  <c r="AM31" i="8"/>
  <c r="AL30" i="8"/>
  <c r="AL29" i="8"/>
  <c r="AJ29" i="8" s="1"/>
  <c r="AL27" i="8"/>
  <c r="AJ27" i="8" s="1"/>
  <c r="AL25" i="8"/>
  <c r="AM36" i="8"/>
  <c r="AL35" i="8"/>
  <c r="AK34" i="8"/>
  <c r="AM32" i="8"/>
  <c r="AL31" i="8"/>
  <c r="AK30" i="8"/>
  <c r="AD31" i="8"/>
  <c r="AE33" i="8"/>
  <c r="AE35" i="8"/>
  <c r="AE14" i="8"/>
  <c r="AD15" i="8"/>
  <c r="AE16" i="8"/>
  <c r="AD17" i="8"/>
  <c r="AD19" i="8"/>
  <c r="AD20" i="8"/>
  <c r="AE21" i="8"/>
  <c r="AD22" i="8"/>
  <c r="AD23" i="8"/>
  <c r="AD37" i="8"/>
  <c r="AE11" i="8"/>
  <c r="AE18" i="8"/>
  <c r="AE24" i="8"/>
  <c r="AE30" i="8"/>
  <c r="AE32" i="8"/>
  <c r="AE34" i="8"/>
  <c r="AE36" i="8"/>
  <c r="AK38" i="8" l="1"/>
  <c r="AJ25" i="8"/>
  <c r="AJ12" i="8" s="1"/>
  <c r="AL12" i="8"/>
  <c r="AL38" i="8" s="1"/>
  <c r="AJ34" i="8"/>
  <c r="AJ36" i="8"/>
  <c r="AJ30" i="8"/>
  <c r="AJ37" i="8"/>
  <c r="AJ32" i="8"/>
  <c r="AJ35" i="8"/>
  <c r="AJ33" i="8"/>
  <c r="AJ31" i="8"/>
  <c r="AI25" i="8"/>
  <c r="AI27" i="8"/>
  <c r="AN27" i="8" s="1"/>
  <c r="AI29" i="8"/>
  <c r="AN29" i="8" s="1"/>
  <c r="AI26" i="8"/>
  <c r="AN26" i="8" s="1"/>
  <c r="AI28" i="8"/>
  <c r="AN28" i="8" s="1"/>
  <c r="AN25" i="8" l="1"/>
  <c r="AJ10" i="8"/>
  <c r="AJ38" i="8" s="1"/>
  <c r="Y23" i="8" l="1"/>
  <c r="Y29" i="8"/>
  <c r="Z29" i="8" s="1"/>
  <c r="AA29" i="8" s="1"/>
  <c r="Y24" i="8"/>
  <c r="Y26" i="8"/>
  <c r="Z26" i="8" s="1"/>
  <c r="AA26" i="8" s="1"/>
  <c r="Y20" i="8"/>
  <c r="Y21" i="8"/>
  <c r="Y15" i="8"/>
  <c r="Y16" i="8"/>
  <c r="Y14" i="8"/>
  <c r="Y18" i="8"/>
  <c r="Y22" i="8"/>
  <c r="Y13" i="8"/>
  <c r="Y27" i="8"/>
  <c r="Z27" i="8" s="1"/>
  <c r="AA27" i="8" s="1"/>
  <c r="Y28" i="8"/>
  <c r="Z28" i="8" s="1"/>
  <c r="AA28" i="8" s="1"/>
  <c r="Y11" i="8"/>
  <c r="Y33" i="8"/>
  <c r="Y19" i="8"/>
  <c r="Y31" i="8"/>
  <c r="Y32" i="8"/>
  <c r="Y17" i="8"/>
  <c r="Y30" i="8"/>
  <c r="Y37" i="8"/>
  <c r="Y25" i="8"/>
  <c r="Z25" i="8" s="1"/>
  <c r="AA25" i="8" s="1"/>
  <c r="Y36" i="8"/>
  <c r="Y34" i="8"/>
  <c r="Y35" i="8"/>
  <c r="Z24" i="8" l="1"/>
  <c r="AA24" i="8" s="1"/>
  <c r="AC24" i="8" s="1"/>
  <c r="AB24" i="8"/>
  <c r="Z23" i="8"/>
  <c r="AA23" i="8" s="1"/>
  <c r="AC23" i="8" s="1"/>
  <c r="AB23" i="8"/>
  <c r="Z34" i="8"/>
  <c r="AA34" i="8" s="1"/>
  <c r="AC34" i="8"/>
  <c r="AB34" i="8"/>
  <c r="Z32" i="8"/>
  <c r="AA32" i="8" s="1"/>
  <c r="AC32" i="8"/>
  <c r="AB32" i="8"/>
  <c r="Z37" i="8"/>
  <c r="AA37" i="8" s="1"/>
  <c r="AB37" i="8"/>
  <c r="AC37" i="8"/>
  <c r="AB31" i="8"/>
  <c r="Z31" i="8"/>
  <c r="AA31" i="8" s="1"/>
  <c r="AC31" i="8"/>
  <c r="AB22" i="8"/>
  <c r="Z22" i="8"/>
  <c r="AA22" i="8" s="1"/>
  <c r="AC22" i="8" s="1"/>
  <c r="AB16" i="8"/>
  <c r="Z16" i="8"/>
  <c r="AA16" i="8" s="1"/>
  <c r="AC16" i="8" s="1"/>
  <c r="AB36" i="8"/>
  <c r="Z36" i="8"/>
  <c r="AA36" i="8" s="1"/>
  <c r="AC36" i="8"/>
  <c r="AC30" i="8"/>
  <c r="Z30" i="8"/>
  <c r="AA30" i="8" s="1"/>
  <c r="AB30" i="8"/>
  <c r="AB19" i="8"/>
  <c r="Z19" i="8"/>
  <c r="AA19" i="8" s="1"/>
  <c r="AC19" i="8" s="1"/>
  <c r="AB11" i="8"/>
  <c r="Z11" i="8"/>
  <c r="AA11" i="8" s="1"/>
  <c r="AC11" i="8" s="1"/>
  <c r="Z18" i="8"/>
  <c r="AA18" i="8" s="1"/>
  <c r="AC18" i="8" s="1"/>
  <c r="AB18" i="8"/>
  <c r="Z20" i="8"/>
  <c r="AA20" i="8" s="1"/>
  <c r="AC20" i="8" s="1"/>
  <c r="AB20" i="8"/>
  <c r="AC35" i="8"/>
  <c r="AB35" i="8"/>
  <c r="Z35" i="8"/>
  <c r="AA35" i="8" s="1"/>
  <c r="Z17" i="8"/>
  <c r="AA17" i="8" s="1"/>
  <c r="AC17" i="8" s="1"/>
  <c r="AB17" i="8"/>
  <c r="Z33" i="8"/>
  <c r="AA33" i="8" s="1"/>
  <c r="AC33" i="8"/>
  <c r="AB33" i="8"/>
  <c r="AB15" i="8"/>
  <c r="Z15" i="8"/>
  <c r="Z13" i="8"/>
  <c r="AA13" i="8" s="1"/>
  <c r="AB13" i="8"/>
  <c r="AI13" i="8" s="1"/>
  <c r="AN13" i="8" s="1"/>
  <c r="AB14" i="8"/>
  <c r="Z14" i="8"/>
  <c r="AB21" i="8"/>
  <c r="Z21" i="8"/>
  <c r="AA21" i="8" s="1"/>
  <c r="AC21" i="8" s="1"/>
  <c r="AI23" i="8" l="1"/>
  <c r="AN23" i="8" s="1"/>
  <c r="AI24" i="8"/>
  <c r="AN24" i="8" s="1"/>
  <c r="AI18" i="8"/>
  <c r="AN18" i="8" s="1"/>
  <c r="AA14" i="8"/>
  <c r="AC14" i="8" s="1"/>
  <c r="AI14" i="8" s="1"/>
  <c r="AN14" i="8" s="1"/>
  <c r="AA15" i="8"/>
  <c r="AC15" i="8" s="1"/>
  <c r="AI15" i="8" s="1"/>
  <c r="AN15" i="8" s="1"/>
  <c r="AI36" i="8"/>
  <c r="AN36" i="8" s="1"/>
  <c r="AI16" i="8"/>
  <c r="AN16" i="8" s="1"/>
  <c r="AI31" i="8"/>
  <c r="AN31" i="8" s="1"/>
  <c r="AI34" i="8"/>
  <c r="AN34" i="8" s="1"/>
  <c r="AI33" i="8"/>
  <c r="AN33" i="8" s="1"/>
  <c r="AI35" i="8"/>
  <c r="AN35" i="8" s="1"/>
  <c r="AI17" i="8"/>
  <c r="AN17" i="8" s="1"/>
  <c r="AI11" i="8"/>
  <c r="AN11" i="8" s="1"/>
  <c r="AI30" i="8"/>
  <c r="AN30" i="8" s="1"/>
  <c r="AI37" i="8"/>
  <c r="AN37" i="8" s="1"/>
  <c r="AI21" i="8"/>
  <c r="AN21" i="8" s="1"/>
  <c r="AI19" i="8"/>
  <c r="AN19" i="8" s="1"/>
  <c r="AI22" i="8"/>
  <c r="AN22" i="8" s="1"/>
  <c r="AI32" i="8"/>
  <c r="AN32" i="8" s="1"/>
  <c r="AI20" i="8"/>
  <c r="AN20" i="8" s="1"/>
  <c r="AI10" i="8" l="1"/>
  <c r="AN10" i="8"/>
  <c r="AI12" i="8"/>
  <c r="AN12" i="8"/>
  <c r="AI38" i="8" l="1"/>
  <c r="AN38" i="8"/>
</calcChain>
</file>

<file path=xl/sharedStrings.xml><?xml version="1.0" encoding="utf-8"?>
<sst xmlns="http://schemas.openxmlformats.org/spreadsheetml/2006/main" count="233" uniqueCount="176">
  <si>
    <t>TT</t>
  </si>
  <si>
    <t>Họ và tên</t>
  </si>
  <si>
    <t>Số tháng nghỉ sớm so với quy định</t>
  </si>
  <si>
    <t>Số năm về hưu trước tuổi</t>
  </si>
  <si>
    <t>Trợ cấp nghỉ trước tuổi</t>
  </si>
  <si>
    <t>Trợ cấp thôi việc</t>
  </si>
  <si>
    <t>Thực tế</t>
  </si>
  <si>
    <t>Làm tròn</t>
  </si>
  <si>
    <t>Lương cơ sở:</t>
  </si>
  <si>
    <t>Ngày, tháng, năm sinh</t>
  </si>
  <si>
    <t>Trợ cấp hưu trí một lần</t>
  </si>
  <si>
    <t>Trợ cấp cho 20 năm đầu công tác có đóng BHXH</t>
  </si>
  <si>
    <t xml:space="preserve">Trợ cấp cho thời gian công tác có đóng BHXH từ năm 21 trở đi </t>
  </si>
  <si>
    <t>Giới tính</t>
  </si>
  <si>
    <t>Nam</t>
  </si>
  <si>
    <t>Lê Thị Kim Liên</t>
  </si>
  <si>
    <t>Nữ</t>
  </si>
  <si>
    <t>Số năm công tác có đóng BHXH (làm tròn)</t>
  </si>
  <si>
    <t>Huỳnh Đức Toàn</t>
  </si>
  <si>
    <t>Nguyễn Bình Thanh Vũ</t>
  </si>
  <si>
    <t>La Nhật Bằng</t>
  </si>
  <si>
    <t>Nguyễn Thị Thanh Tuyền</t>
  </si>
  <si>
    <t xml:space="preserve">Vũ Thị Bích Hiền </t>
  </si>
  <si>
    <t>Tống Phát Đạt</t>
  </si>
  <si>
    <t>Lê Thị Thúy Hằng</t>
  </si>
  <si>
    <t>Tống Bảo Trân</t>
  </si>
  <si>
    <t>Trương Thành Trí</t>
  </si>
  <si>
    <t>Huỳnh Thị Ánh Loan</t>
  </si>
  <si>
    <t>Bùi Trương Nhật Thanh</t>
  </si>
  <si>
    <t>15/12/1979</t>
  </si>
  <si>
    <t>09/09/1977</t>
  </si>
  <si>
    <t>23/08/1983</t>
  </si>
  <si>
    <t>Lê Ngọc Anh</t>
  </si>
  <si>
    <t>Nguyễn Thanh Sang</t>
  </si>
  <si>
    <t>Phạm Văn Thạnh</t>
  </si>
  <si>
    <t>Võ Trung Thứ</t>
  </si>
  <si>
    <t>Phạm Hùng Cường</t>
  </si>
  <si>
    <t>Thái Thị Xuân Diệp</t>
  </si>
  <si>
    <t>21/10/1967</t>
  </si>
  <si>
    <t>21/3/1972</t>
  </si>
  <si>
    <t>Trợ cấp cho thời gian công tác có đóng BHXH</t>
  </si>
  <si>
    <t>Trợ cấp 03 tháng lương để tìm việc làm (đối với công chức)</t>
  </si>
  <si>
    <t>CỘNG HÒA XÃ HỘI CHỦ NGHĨA VIỆT NAM</t>
  </si>
  <si>
    <t>Độc lập - Tự do - Hạnh phúc</t>
  </si>
  <si>
    <t>A.</t>
  </si>
  <si>
    <t>B</t>
  </si>
  <si>
    <t>Trình độ đào tạo</t>
  </si>
  <si>
    <t>Chính sách được hưởng do nghỉ hưu trước tuổi</t>
  </si>
  <si>
    <t>Được hưởng chính sách</t>
  </si>
  <si>
    <t>Chính sách được hưởng do nghỉ việc</t>
  </si>
  <si>
    <t>Lý do thực hiện chính sách</t>
  </si>
  <si>
    <t>PC chức vụ (nếu có)</t>
  </si>
  <si>
    <t>PC thâm niên vượt khung</t>
  </si>
  <si>
    <t>PC công vụ</t>
  </si>
  <si>
    <t>PC thâm niên nghề</t>
  </si>
  <si>
    <t>PC ưu đãi theo nghề</t>
  </si>
  <si>
    <t>PC Công tác đảng, đoàn thể, CTXH</t>
  </si>
  <si>
    <t>Thời điểm nghỉ việc</t>
  </si>
  <si>
    <t>Thời gian công tác đóng BHXH theo sổ BHXH</t>
  </si>
  <si>
    <t>Thời điểm công tác có đóng BHXH</t>
  </si>
  <si>
    <t>BHXH (năm)</t>
  </si>
  <si>
    <t>BHXH (tháng)</t>
  </si>
  <si>
    <t>Tổng số tháng</t>
  </si>
  <si>
    <t>Hệ số và Mức phụ cấp hiện hưởng của tháng liền kề trước khi nghỉ việc</t>
  </si>
  <si>
    <t>PC trách nhiệm theo nghề</t>
  </si>
  <si>
    <t>Tiền Lương hiện hưởng của tháng liền kề trước khi nghỉ việc (1000 đồng)</t>
  </si>
  <si>
    <t>Nghỉ hưu trước tuổi (1000 đồng)</t>
  </si>
  <si>
    <t>Nghỉ thôi việc (1000 đồng)</t>
  </si>
  <si>
    <t>Thạc sĩ Giáo dục thể chất</t>
  </si>
  <si>
    <t>Đại học Văn hóa</t>
  </si>
  <si>
    <t>Đại học Bảo tồn, bảo tàng</t>
  </si>
  <si>
    <t>Đại học Giáo dục thể chất</t>
  </si>
  <si>
    <t>Đại học Thể dục thể thao</t>
  </si>
  <si>
    <t>Đại học Quản lý văn hóa</t>
  </si>
  <si>
    <t>Đại học Bảo tàng học</t>
  </si>
  <si>
    <t>Đại học Sư phạm Anh văn</t>
  </si>
  <si>
    <t>Đại học Sư phạm Toán học</t>
  </si>
  <si>
    <t>Đại học Sư phạm Ngữ Văn</t>
  </si>
  <si>
    <t>Đại học Sư phạm Sinh</t>
  </si>
  <si>
    <t>01/9/1994</t>
  </si>
  <si>
    <t>01/7/1993</t>
  </si>
  <si>
    <t>01/3/1987</t>
  </si>
  <si>
    <t>01/6/2004</t>
  </si>
  <si>
    <t>01/01/1996</t>
  </si>
  <si>
    <t>01/02/2005</t>
  </si>
  <si>
    <t>01/9/2005</t>
  </si>
  <si>
    <t>01/9/1998</t>
  </si>
  <si>
    <t>01/8/1985</t>
  </si>
  <si>
    <t>01/9/1990</t>
  </si>
  <si>
    <t>01/8/1991</t>
  </si>
  <si>
    <t>01/11/1989</t>
  </si>
  <si>
    <t>01/12/1996</t>
  </si>
  <si>
    <t>4</t>
  </si>
  <si>
    <t>9</t>
  </si>
  <si>
    <t>10</t>
  </si>
  <si>
    <t>11</t>
  </si>
  <si>
    <t>12</t>
  </si>
  <si>
    <t>13</t>
  </si>
  <si>
    <t>15</t>
  </si>
  <si>
    <t>16</t>
  </si>
  <si>
    <t>17</t>
  </si>
  <si>
    <t>18</t>
  </si>
  <si>
    <t>19</t>
  </si>
  <si>
    <t>Tuổi khi giải quyết chính sách</t>
  </si>
  <si>
    <t>23</t>
  </si>
  <si>
    <t>53 tuổi 08 tháng</t>
  </si>
  <si>
    <t>60 tuổi 04 tháng</t>
  </si>
  <si>
    <t>57 tuổi 06 tháng</t>
  </si>
  <si>
    <t>55 tuổi 09 tháng</t>
  </si>
  <si>
    <t>57 tuổi 03 tháng</t>
  </si>
  <si>
    <t>52 tuổi 08 tháng</t>
  </si>
  <si>
    <t>52 tuổi 04 tháng</t>
  </si>
  <si>
    <t>54 tuổi 5 tháng</t>
  </si>
  <si>
    <t>59 tuổi 06 tháng</t>
  </si>
  <si>
    <t>57 tuổi 00 tháng</t>
  </si>
  <si>
    <t>57 tuổi 11 tháng</t>
  </si>
  <si>
    <t>57 tuổi 05 tháng</t>
  </si>
  <si>
    <t>52 tuổi 11 tháng</t>
  </si>
  <si>
    <t>47 tuổi 04 tháng</t>
  </si>
  <si>
    <t>45 tuổi 02 tháng</t>
  </si>
  <si>
    <t>38 tuổi 09 tháng</t>
  </si>
  <si>
    <t>47 tuổi 05 tháng</t>
  </si>
  <si>
    <t>41 tuổi 06 tháng</t>
  </si>
  <si>
    <t>TỔNG CỘNG</t>
  </si>
  <si>
    <t>Hệ số lương</t>
  </si>
  <si>
    <t>1</t>
  </si>
  <si>
    <t>7</t>
  </si>
  <si>
    <t>8</t>
  </si>
  <si>
    <t>Nghỉ hưu trước tuổi</t>
  </si>
  <si>
    <t>Nghỉ thôi việc</t>
  </si>
  <si>
    <t>CÔNG CHỨC: 01 NGƯỜI</t>
  </si>
  <si>
    <t>Sắp xếp tổ chức bộ máy. Bảo tàng sáp nhập với Trung tâm TTXTDL.  Cá nhân có đơn xin tự nguyện nghỉ hưu trước tuổi theo Nghị định số 178/2024/NĐ-CP và đã được  lãnh đạo đơn vị, lãnh đạo Sở chấp nhận</t>
  </si>
  <si>
    <t>VIÊN CHỨC: 17 NGƯỜI</t>
  </si>
  <si>
    <t>ỦY BAN NHÂN DÂN
TỈNH VĨNH LONG</t>
  </si>
  <si>
    <t>Theo điểm a khoản 1, khoản 2, khoản 3, khoản 4 Điều 10 NĐ số 178/2024/NĐ-CP</t>
  </si>
  <si>
    <t>2</t>
  </si>
  <si>
    <t>Chức vụ, chức danh chuyên môn đang đảm nhiệm/đơn vị công tác</t>
  </si>
  <si>
    <t>Phó Trưởng phòng Quản lý Thể thao và Du lịch</t>
  </si>
  <si>
    <t xml:space="preserve">Tổ trưởng - Huấn luyện viên chính, Trường Năng khiếu Nghệ thuật và Thể dục thể thao tỉnh Vĩnh Long </t>
  </si>
  <si>
    <t>Hiệu trưởng Trường Năng khiếu Nghệ thuật và Thể dục thể thao tỉnh Vĩnh Long</t>
  </si>
  <si>
    <t>Tổ trưởng - Huấn luyện viên chính, Trường Năng khiếu Nghệ thuật và Thể dục thể thao tỉnh Vĩnh Long</t>
  </si>
  <si>
    <t>Phó Trưởng phòng Hành chính, Trường Năng khiếu Nghệ thuật và Thể dục thể thao tỉnh Vĩnh Long</t>
  </si>
  <si>
    <t>Huấn luyện viên chính, Trường Năng khiếu Nghệ thuật và Thể dục thể thao tỉnh Vĩnh Long</t>
  </si>
  <si>
    <t xml:space="preserve">Giáo viên, Trường Năng khiếu Nghệ thuật và Thể dục thể thao tỉnh Vĩnh Long </t>
  </si>
  <si>
    <t>Phó Giám đốc phụ trách Bảo tàng  và Xúc tiến du lịch Vĩnh Long</t>
  </si>
  <si>
    <t>Phó Trưởng phòng hành chính Bảo tàng  và Xúc tiến du lịch Vĩnh Long</t>
  </si>
  <si>
    <t>Viên chức Bảo tàng tỉnh Vĩnh Long</t>
  </si>
  <si>
    <t>Huấn luyện viên Trường Năng khiếu Nghệ thuật và Thể dục thể thao tỉnh Vĩnh Long</t>
  </si>
  <si>
    <t>Trưởng ban Quản lý di tích  Trần Đại Nghĩa, thuộc Bảo tàng tỉnh Vĩnh Long</t>
  </si>
  <si>
    <t>Trưởng ban Quản lý di tích Nhà truyền thống Đảng bộ tỉnh, thuộc Bảo tàng tỉnh Vĩnh Long</t>
  </si>
  <si>
    <t>Phó Trưởng phòng Đào tạo Trường Năng khiếu Nghệ thuật và Thể dục thể thao tỉnh Vĩnh Long</t>
  </si>
  <si>
    <t>Giáo viên Trường Năng khiếu Nghệ thuật và Thể dục thể thao tỉnh Vĩnh Long</t>
  </si>
  <si>
    <t>Tổ trưởng - Giáo viên Trường Năng khiếu Nghệ thuật và Thể dục thể thao tỉnh Vĩnh Long</t>
  </si>
  <si>
    <t>3</t>
  </si>
  <si>
    <t>5</t>
  </si>
  <si>
    <t>6</t>
  </si>
  <si>
    <t>14</t>
  </si>
  <si>
    <t>20</t>
  </si>
  <si>
    <t>21</t>
  </si>
  <si>
    <t>22</t>
  </si>
  <si>
    <t>24</t>
  </si>
  <si>
    <t>25</t>
  </si>
  <si>
    <t xml:space="preserve">Theo điểm a
 khoản 1 và điểm a khoản 2 Điều 7 NĐ số 178/2024/NĐ-CP (được sửa đổi, bổ sung tại Nghị định số 67/2025/NĐ-CP) </t>
  </si>
  <si>
    <t xml:space="preserve">Theo điểm a
 khoản 1 và điểm d khoản 2 Điều 7 NĐ số 178/2024/NĐ-CP (được sửa đổi, bổ sung tại Nghị định số 67/2025/NĐ-CP) </t>
  </si>
  <si>
    <t xml:space="preserve">Theo điểm a
 khoản 1 và điểm b khoản 2 Điều 7 NĐ số 178/2024/NĐ-CP (được sửa đổi, bổ sung tại Nghị định số 67/2025/NĐ-CP)   </t>
  </si>
  <si>
    <t xml:space="preserve">Theo điểm a khoản 1, khoản 2, khoản 3, khoản 4 Điều 10 NĐ số 178/2024/NĐ-CP (được sửa đổi, bổ sung tại Nghị định số 67/2025/NĐ-CP) </t>
  </si>
  <si>
    <t>Sắp xếp tổ chức bộ máy. Phòng QLDL sáp nhập với Phòng QL TDTT.  Cá nhân có đơn xin tự nguyện nghỉ hưu trước tuổi theo Nghị định số 178/2024/NĐ-CP (được sửa đổi, bổ sung tại Nghị định số 67/2025/NĐ-CP) và đã được  lãnh đạo đơn vị, lãnh đạo Sở chấp nhận</t>
  </si>
  <si>
    <t>Sắp xếp tổ chức bộ máy. Trường NKNT&amp;TDTT sáp nhập với TTHL&amp;TĐ TDTT.  Cá nhân có đơn xin tự nguyện nghỉ hưu trước tuổi theo Nghị định số 178/2024/NĐ-CP (được sửa đổi, bổ sung tại Nghị định số 67/2025/NĐ-CP) và đã được  lãnh đạo đơn vị, lãnh đạo Sở chấp nhận</t>
  </si>
  <si>
    <t>Sắp xếp tổ chức bộ máy. Trường NKNT&amp;TDTT sáp nhập với TTHL&amp;TĐ TDTT.  Cá nhân có đơn xin tự nguyện nghỉ hưu trước tuổi theo Nghị định số 178/2024/NĐ-CP (được sửa đổi, bổ sung tại Nghị định số 67/2025/NĐ-CP) và đã được  Ban Thường vụ, Ban Giám đốc Sở chấp nhận</t>
  </si>
  <si>
    <t>Sắp xếp tổ chức bộ máy. Trường NKNT&amp;TDTT sáp nhập với TTHL&amp;TĐ TDTT.  Cá nhân có đơn xin tự nguyện nghỉ hưu trước tuổi theo Nghị định số 178/2024/NĐ-CP (được sửa đổi, bổ sung tại Nghị định số 67/2025/NĐ-CP)  và đã được  lãnh đạo đơn vị, lãnh đạo Sở chấp nhận</t>
  </si>
  <si>
    <t>Sắp xếp tổ chức bộ máy. Bảo tàng sáp nhập với Trung tâm TTXTDL.  Cá nhân có đơn xin tự nguyện nghỉ hưu trước tuổi theo Nghị định số 178/2024/NĐ-CP(được sửa đổi, bổ sung tại Nghị định số 67/2025/NĐ-CP) và đã được  Ban Thường vụ, Ban Giám đốc Sở chấp nhận</t>
  </si>
  <si>
    <t>Sắp xếp tổ chức bộ máy. Bảo tàng sáp nhập với Trung tâm TTXTDL.  Cá nhân có đơn xin tự nguyện nghỉ hưu trước tuổi theo Nghị định số 178/2024/NĐ-CP (được sửa đổi, bổ sung tại Nghị định số 67/2025/NĐ-CP)  và đã được  lãnh đạo đơn vị, lãnh đạo Sở chấp nhận</t>
  </si>
  <si>
    <t>Sắp xếp tổ chức bộ máy. Bảo tàng sáp nhập với Trung tâm TTXTDL.  Cá nhân có đơn xin tự nguyện nghỉ hưu trước tuổi theo Nghị định số 178/2024/NĐ-CP (được sửa đổi, bổ sung tại Nghị định số 67/2025/NĐ-CP) và đã được  lãnh đạo đơn vị, lãnh đạo Sở chấp nhận</t>
  </si>
  <si>
    <t>Sắp xếp tổ chức bộ máy. Trường NKNT&amp;TDTT sáp nhập với TTHL&amp;TĐ TDTT.  Cá nhân có đơn xin tự nguyện nghỉ việc theo Nghị định số 178/2024/NĐ-CP (được sửa đổi, bổ sung tại Nghị định số 67/2025/NĐ-CP)  và đã được  lãnh đạo đơn vị, lãnh đạo Sở chấp nhận</t>
  </si>
  <si>
    <t>Tổng kinh phí để thực hiện chế độ 
(1000 đồng)</t>
  </si>
  <si>
    <r>
      <t xml:space="preserve">DANH SÁCH VÀ KINH PHÍ THỰC HIỆN CHÍNH SÁCH, CHẾ ĐỘ THEO NGHỊ ĐỊNH SỐ 178/2024/NĐ-CP 
NGÀY 31/12/2024 CỦA CHÍNH PHỦ (ĐƯỢC SỬA ĐỔI, BỔ SUNG TẠI NGHỊ ĐỊNH SỐ 67/2025/NĐ-CP NGÀY 15/3/2025 CỦA CHÍNH PHỦ) 
NĂM 2025 CỦA SỞ VĂN HÓA, THỂ THAO VÀ DU LỊCH       </t>
    </r>
    <r>
      <rPr>
        <sz val="14"/>
        <rFont val="Times New Roman"/>
        <family val="1"/>
      </rPr>
      <t xml:space="preserve">
</t>
    </r>
    <r>
      <rPr>
        <i/>
        <sz val="14"/>
        <rFont val="Times New Roman"/>
        <family val="1"/>
      </rPr>
      <t>(Kèm theo Quyết định số 496/QĐ-UBND ngày 27/3/2025 của Ủy ban nhân dân tỉnh Vĩnh Long)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</si>
</sst>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  <numFmt numFmtId="166" formatCode="_(* #,##0.0_);_(* \(#,##0.0\);_(* &quot;-&quot;??_);_(@_)"/>
    <numFmt numFmtId="167" formatCode="0.0"/>
    <numFmt numFmtId="168" formatCode="dd\/mm\/yyyy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163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Calibri"/>
      <family val="2"/>
      <scheme val="minor"/>
    </font>
    <font>
      <sz val="13"/>
      <name val="Times New Roman"/>
      <family val="1"/>
    </font>
    <font>
      <sz val="14"/>
      <name val="Times New Roman"/>
      <family val="1"/>
    </font>
    <font>
      <sz val="11"/>
      <color theme="1"/>
      <name val="Calibri"/>
      <family val="2"/>
      <charset val="163"/>
      <scheme val="minor"/>
    </font>
    <font>
      <sz val="13"/>
      <name val="Calibri"/>
      <family val="2"/>
      <scheme val="minor"/>
    </font>
    <font>
      <b/>
      <sz val="14"/>
      <name val="Times New Roman"/>
      <family val="1"/>
    </font>
    <font>
      <sz val="12"/>
      <name val="Calibri"/>
      <family val="2"/>
      <scheme val="minor"/>
    </font>
    <font>
      <i/>
      <sz val="14"/>
      <name val="Times New Roman"/>
      <family val="1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Times New Roman"/>
      <family val="1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i/>
      <sz val="12"/>
      <name val="Times New Roman"/>
      <family val="1"/>
    </font>
    <font>
      <i/>
      <sz val="12"/>
      <name val="Calibri"/>
      <family val="2"/>
      <scheme val="minor"/>
    </font>
    <font>
      <b/>
      <sz val="14"/>
      <color rgb="FFFF0000"/>
      <name val="Times New Roman"/>
      <family val="1"/>
    </font>
    <font>
      <sz val="14"/>
      <color rgb="FFFF0000"/>
      <name val="Calibri"/>
      <family val="2"/>
      <scheme val="minor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i/>
      <sz val="12"/>
      <color rgb="FFFF0000"/>
      <name val="Times New Roman"/>
      <family val="1"/>
    </font>
    <font>
      <sz val="12"/>
      <color rgb="FFFF0000"/>
      <name val="Calibri"/>
      <family val="2"/>
      <scheme val="minor"/>
    </font>
    <font>
      <sz val="12"/>
      <color theme="0"/>
      <name val="Times New Roman"/>
      <family val="1"/>
    </font>
    <font>
      <sz val="12"/>
      <color rgb="FFFFFFFF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8" fillId="0" borderId="0"/>
  </cellStyleXfs>
  <cellXfs count="210">
    <xf numFmtId="0" fontId="0" fillId="0" borderId="0" xfId="0"/>
    <xf numFmtId="164" fontId="3" fillId="0" borderId="1" xfId="1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1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64" fontId="3" fillId="0" borderId="0" xfId="1" applyNumberFormat="1" applyFont="1" applyFill="1" applyAlignment="1">
      <alignment horizontal="center" vertical="center" wrapText="1"/>
    </xf>
    <xf numFmtId="165" fontId="3" fillId="0" borderId="0" xfId="1" applyNumberFormat="1" applyFont="1" applyFill="1" applyAlignment="1">
      <alignment horizontal="center" vertical="center" wrapText="1"/>
    </xf>
    <xf numFmtId="1" fontId="3" fillId="0" borderId="0" xfId="1" applyNumberFormat="1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65" fontId="11" fillId="0" borderId="0" xfId="1" applyNumberFormat="1" applyFont="1" applyFill="1" applyAlignment="1">
      <alignment horizontal="center" vertical="center" wrapText="1"/>
    </xf>
    <xf numFmtId="1" fontId="11" fillId="0" borderId="0" xfId="1" applyNumberFormat="1" applyFont="1" applyFill="1" applyAlignment="1">
      <alignment horizontal="center" vertical="center" wrapText="1"/>
    </xf>
    <xf numFmtId="164" fontId="11" fillId="0" borderId="0" xfId="1" applyNumberFormat="1" applyFont="1" applyFill="1" applyAlignment="1">
      <alignment horizontal="center" vertical="center" wrapText="1"/>
    </xf>
    <xf numFmtId="0" fontId="13" fillId="0" borderId="0" xfId="0" applyFont="1" applyFill="1" applyAlignment="1">
      <alignment vertical="center" wrapText="1"/>
    </xf>
    <xf numFmtId="0" fontId="16" fillId="0" borderId="0" xfId="0" applyFont="1" applyFill="1" applyAlignment="1">
      <alignment vertical="center" wrapText="1"/>
    </xf>
    <xf numFmtId="14" fontId="3" fillId="0" borderId="0" xfId="1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9" fontId="3" fillId="0" borderId="0" xfId="0" applyNumberFormat="1" applyFont="1" applyFill="1" applyAlignment="1">
      <alignment horizontal="center" vertical="center" wrapText="1"/>
    </xf>
    <xf numFmtId="167" fontId="3" fillId="0" borderId="0" xfId="0" applyNumberFormat="1" applyFont="1" applyFill="1" applyAlignment="1">
      <alignment horizontal="center" vertical="center" wrapText="1"/>
    </xf>
    <xf numFmtId="166" fontId="3" fillId="0" borderId="0" xfId="1" applyNumberFormat="1" applyFont="1" applyFill="1" applyAlignment="1">
      <alignment horizontal="center" vertical="center" wrapText="1"/>
    </xf>
    <xf numFmtId="14" fontId="4" fillId="0" borderId="0" xfId="1" applyNumberFormat="1" applyFont="1" applyFill="1" applyAlignment="1">
      <alignment horizontal="center" vertical="center" wrapText="1"/>
    </xf>
    <xf numFmtId="165" fontId="4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167" fontId="3" fillId="0" borderId="1" xfId="0" applyNumberFormat="1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/>
    </xf>
    <xf numFmtId="14" fontId="3" fillId="0" borderId="1" xfId="1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 wrapText="1"/>
    </xf>
    <xf numFmtId="14" fontId="4" fillId="0" borderId="1" xfId="1" applyNumberFormat="1" applyFont="1" applyFill="1" applyBorder="1" applyAlignment="1">
      <alignment horizontal="center" vertical="center" wrapText="1"/>
    </xf>
    <xf numFmtId="166" fontId="3" fillId="0" borderId="1" xfId="1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14" fillId="0" borderId="0" xfId="0" applyFont="1" applyFill="1" applyAlignment="1">
      <alignment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9" fontId="11" fillId="0" borderId="0" xfId="0" applyNumberFormat="1" applyFont="1" applyFill="1" applyAlignment="1">
      <alignment horizontal="center" vertical="center" wrapText="1"/>
    </xf>
    <xf numFmtId="167" fontId="11" fillId="0" borderId="0" xfId="0" applyNumberFormat="1" applyFont="1" applyFill="1" applyAlignment="1">
      <alignment horizontal="center" vertical="center" wrapText="1"/>
    </xf>
    <xf numFmtId="14" fontId="11" fillId="0" borderId="0" xfId="1" applyNumberFormat="1" applyFont="1" applyFill="1" applyAlignment="1">
      <alignment horizontal="center" vertical="center" wrapText="1"/>
    </xf>
    <xf numFmtId="166" fontId="11" fillId="0" borderId="0" xfId="1" applyNumberFormat="1" applyFont="1" applyFill="1" applyAlignment="1">
      <alignment horizontal="center" vertical="center" wrapText="1"/>
    </xf>
    <xf numFmtId="14" fontId="15" fillId="0" borderId="0" xfId="1" applyNumberFormat="1" applyFont="1" applyFill="1" applyAlignment="1">
      <alignment horizontal="center" vertical="center" wrapText="1"/>
    </xf>
    <xf numFmtId="14" fontId="17" fillId="0" borderId="0" xfId="1" applyNumberFormat="1" applyFont="1" applyFill="1" applyAlignment="1">
      <alignment horizontal="center" vertical="center" wrapText="1"/>
    </xf>
    <xf numFmtId="14" fontId="13" fillId="0" borderId="0" xfId="1" applyNumberFormat="1" applyFont="1" applyFill="1" applyAlignment="1">
      <alignment horizontal="center" vertical="center" wrapText="1"/>
    </xf>
    <xf numFmtId="14" fontId="13" fillId="0" borderId="0" xfId="0" applyNumberFormat="1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14" fontId="17" fillId="0" borderId="0" xfId="0" applyNumberFormat="1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43" fontId="11" fillId="0" borderId="0" xfId="1" applyFont="1" applyFill="1" applyAlignment="1">
      <alignment horizontal="center" vertical="center" wrapText="1"/>
    </xf>
    <xf numFmtId="43" fontId="11" fillId="0" borderId="1" xfId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9" fontId="3" fillId="0" borderId="3" xfId="0" applyNumberFormat="1" applyFont="1" applyFill="1" applyBorder="1" applyAlignment="1">
      <alignment horizontal="center" vertical="center" wrapText="1"/>
    </xf>
    <xf numFmtId="167" fontId="3" fillId="0" borderId="3" xfId="0" applyNumberFormat="1" applyFont="1" applyFill="1" applyBorder="1" applyAlignment="1">
      <alignment horizontal="center" vertical="center" wrapText="1"/>
    </xf>
    <xf numFmtId="165" fontId="3" fillId="0" borderId="3" xfId="1" applyNumberFormat="1" applyFont="1" applyFill="1" applyBorder="1" applyAlignment="1">
      <alignment horizontal="center" vertical="center" wrapText="1"/>
    </xf>
    <xf numFmtId="14" fontId="3" fillId="0" borderId="3" xfId="1" applyNumberFormat="1" applyFont="1" applyFill="1" applyBorder="1" applyAlignment="1">
      <alignment horizontal="center" vertical="center" wrapText="1"/>
    </xf>
    <xf numFmtId="1" fontId="3" fillId="0" borderId="3" xfId="1" applyNumberFormat="1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166" fontId="3" fillId="0" borderId="3" xfId="1" applyNumberFormat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5" fontId="4" fillId="0" borderId="3" xfId="1" applyNumberFormat="1" applyFont="1" applyFill="1" applyBorder="1" applyAlignment="1">
      <alignment horizontal="center" vertical="center" wrapText="1"/>
    </xf>
    <xf numFmtId="14" fontId="4" fillId="0" borderId="3" xfId="1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 wrapText="1"/>
    </xf>
    <xf numFmtId="43" fontId="11" fillId="0" borderId="3" xfId="1" applyFont="1" applyFill="1" applyBorder="1" applyAlignment="1">
      <alignment horizontal="center" vertical="center" wrapText="1"/>
    </xf>
    <xf numFmtId="165" fontId="10" fillId="0" borderId="0" xfId="1" applyNumberFormat="1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9" fontId="4" fillId="3" borderId="1" xfId="0" applyNumberFormat="1" applyFont="1" applyFill="1" applyBorder="1" applyAlignment="1">
      <alignment horizontal="center" vertical="center" wrapText="1"/>
    </xf>
    <xf numFmtId="167" fontId="4" fillId="3" borderId="1" xfId="0" applyNumberFormat="1" applyFont="1" applyFill="1" applyBorder="1" applyAlignment="1">
      <alignment horizontal="center" vertical="center" wrapText="1"/>
    </xf>
    <xf numFmtId="165" fontId="4" fillId="3" borderId="1" xfId="1" applyNumberFormat="1" applyFont="1" applyFill="1" applyBorder="1" applyAlignment="1">
      <alignment horizontal="center" vertical="center" wrapText="1"/>
    </xf>
    <xf numFmtId="14" fontId="4" fillId="3" borderId="1" xfId="1" applyNumberFormat="1" applyFont="1" applyFill="1" applyBorder="1" applyAlignment="1">
      <alignment horizontal="center" vertical="center" wrapText="1"/>
    </xf>
    <xf numFmtId="1" fontId="4" fillId="3" borderId="1" xfId="1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166" fontId="4" fillId="3" borderId="1" xfId="1" applyNumberFormat="1" applyFont="1" applyFill="1" applyBorder="1" applyAlignment="1">
      <alignment horizontal="center" vertical="center" wrapText="1"/>
    </xf>
    <xf numFmtId="164" fontId="4" fillId="3" borderId="1" xfId="1" applyNumberFormat="1" applyFont="1" applyFill="1" applyBorder="1" applyAlignment="1">
      <alignment horizontal="center" vertical="center" wrapText="1"/>
    </xf>
    <xf numFmtId="165" fontId="11" fillId="2" borderId="0" xfId="1" applyNumberFormat="1" applyFont="1" applyFill="1" applyAlignment="1">
      <alignment horizontal="center" vertical="center" wrapText="1"/>
    </xf>
    <xf numFmtId="165" fontId="15" fillId="2" borderId="0" xfId="1" applyNumberFormat="1" applyFont="1" applyFill="1" applyAlignment="1">
      <alignment horizontal="center" vertical="center" wrapText="1"/>
    </xf>
    <xf numFmtId="165" fontId="3" fillId="2" borderId="0" xfId="1" applyNumberFormat="1" applyFont="1" applyFill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165" fontId="15" fillId="2" borderId="1" xfId="1" applyNumberFormat="1" applyFont="1" applyFill="1" applyBorder="1" applyAlignment="1">
      <alignment horizontal="center" vertical="center" wrapText="1"/>
    </xf>
    <xf numFmtId="165" fontId="4" fillId="2" borderId="3" xfId="1" applyNumberFormat="1" applyFont="1" applyFill="1" applyBorder="1" applyAlignment="1">
      <alignment horizontal="center" vertical="center" wrapText="1"/>
    </xf>
    <xf numFmtId="165" fontId="15" fillId="2" borderId="3" xfId="1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66" fontId="3" fillId="2" borderId="1" xfId="0" applyNumberFormat="1" applyFont="1" applyFill="1" applyBorder="1" applyAlignment="1">
      <alignment horizontal="center" vertical="center"/>
    </xf>
    <xf numFmtId="166" fontId="4" fillId="2" borderId="1" xfId="0" applyNumberFormat="1" applyFont="1" applyFill="1" applyBorder="1" applyAlignment="1">
      <alignment horizontal="center" vertical="center"/>
    </xf>
    <xf numFmtId="166" fontId="3" fillId="2" borderId="3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165" fontId="15" fillId="0" borderId="1" xfId="1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9" fontId="4" fillId="4" borderId="1" xfId="0" applyNumberFormat="1" applyFont="1" applyFill="1" applyBorder="1" applyAlignment="1">
      <alignment horizontal="center" vertical="center" wrapText="1"/>
    </xf>
    <xf numFmtId="167" fontId="4" fillId="4" borderId="1" xfId="0" applyNumberFormat="1" applyFont="1" applyFill="1" applyBorder="1" applyAlignment="1">
      <alignment horizontal="center" vertical="center" wrapText="1"/>
    </xf>
    <xf numFmtId="166" fontId="4" fillId="4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 wrapText="1"/>
    </xf>
    <xf numFmtId="166" fontId="4" fillId="4" borderId="1" xfId="0" applyNumberFormat="1" applyFont="1" applyFill="1" applyBorder="1" applyAlignment="1">
      <alignment horizontal="center" vertical="center" wrapText="1"/>
    </xf>
    <xf numFmtId="165" fontId="3" fillId="4" borderId="1" xfId="1" applyNumberFormat="1" applyFont="1" applyFill="1" applyBorder="1" applyAlignment="1">
      <alignment horizontal="center" vertical="center" wrapText="1"/>
    </xf>
    <xf numFmtId="14" fontId="4" fillId="4" borderId="1" xfId="1" applyNumberFormat="1" applyFont="1" applyFill="1" applyBorder="1" applyAlignment="1">
      <alignment horizontal="center" vertical="center" wrapText="1"/>
    </xf>
    <xf numFmtId="1" fontId="4" fillId="4" borderId="1" xfId="1" applyNumberFormat="1" applyFont="1" applyFill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center" vertical="center" wrapText="1"/>
    </xf>
    <xf numFmtId="164" fontId="3" fillId="4" borderId="1" xfId="1" applyNumberFormat="1" applyFont="1" applyFill="1" applyBorder="1" applyAlignment="1">
      <alignment horizontal="center" vertical="center" wrapText="1"/>
    </xf>
    <xf numFmtId="166" fontId="4" fillId="4" borderId="1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14" fontId="19" fillId="0" borderId="0" xfId="0" applyNumberFormat="1" applyFont="1" applyFill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167" fontId="10" fillId="0" borderId="0" xfId="0" applyNumberFormat="1" applyFont="1" applyFill="1" applyAlignment="1">
      <alignment horizontal="center" vertical="center" wrapText="1"/>
    </xf>
    <xf numFmtId="166" fontId="10" fillId="0" borderId="0" xfId="1" applyNumberFormat="1" applyFont="1" applyFill="1" applyAlignment="1">
      <alignment horizontal="center" vertical="center" wrapText="1"/>
    </xf>
    <xf numFmtId="14" fontId="10" fillId="0" borderId="0" xfId="0" applyNumberFormat="1" applyFont="1" applyFill="1" applyAlignment="1">
      <alignment horizontal="center" vertical="center" wrapText="1"/>
    </xf>
    <xf numFmtId="1" fontId="10" fillId="0" borderId="0" xfId="0" applyNumberFormat="1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165" fontId="19" fillId="2" borderId="0" xfId="1" applyNumberFormat="1" applyFont="1" applyFill="1" applyAlignment="1">
      <alignment horizontal="center" vertical="center" wrapText="1"/>
    </xf>
    <xf numFmtId="165" fontId="20" fillId="2" borderId="0" xfId="1" applyNumberFormat="1" applyFont="1" applyFill="1" applyAlignment="1">
      <alignment horizontal="center" vertical="center" wrapText="1"/>
    </xf>
    <xf numFmtId="43" fontId="19" fillId="0" borderId="0" xfId="1" applyFont="1" applyFill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21" fillId="0" borderId="4" xfId="0" quotePrefix="1" applyNumberFormat="1" applyFont="1" applyFill="1" applyBorder="1" applyAlignment="1">
      <alignment horizontal="center" vertical="center" wrapText="1"/>
    </xf>
    <xf numFmtId="14" fontId="21" fillId="0" borderId="1" xfId="0" quotePrefix="1" applyNumberFormat="1" applyFont="1" applyFill="1" applyBorder="1" applyAlignment="1">
      <alignment horizontal="center" vertical="center" wrapText="1"/>
    </xf>
    <xf numFmtId="0" fontId="21" fillId="0" borderId="1" xfId="0" quotePrefix="1" applyFont="1" applyFill="1" applyBorder="1" applyAlignment="1">
      <alignment horizontal="center" vertical="center" wrapText="1"/>
    </xf>
    <xf numFmtId="0" fontId="21" fillId="0" borderId="4" xfId="0" quotePrefix="1" applyFont="1" applyFill="1" applyBorder="1" applyAlignment="1">
      <alignment horizontal="center" vertical="center" wrapText="1"/>
    </xf>
    <xf numFmtId="9" fontId="21" fillId="0" borderId="1" xfId="0" quotePrefix="1" applyNumberFormat="1" applyFont="1" applyFill="1" applyBorder="1" applyAlignment="1">
      <alignment horizontal="center" vertical="center" wrapText="1"/>
    </xf>
    <xf numFmtId="167" fontId="21" fillId="0" borderId="1" xfId="0" quotePrefix="1" applyNumberFormat="1" applyFont="1" applyFill="1" applyBorder="1" applyAlignment="1">
      <alignment horizontal="center" vertical="center" wrapText="1"/>
    </xf>
    <xf numFmtId="166" fontId="21" fillId="0" borderId="1" xfId="1" quotePrefix="1" applyNumberFormat="1" applyFont="1" applyFill="1" applyBorder="1" applyAlignment="1">
      <alignment horizontal="center" vertical="center" wrapText="1"/>
    </xf>
    <xf numFmtId="165" fontId="21" fillId="0" borderId="1" xfId="1" quotePrefix="1" applyNumberFormat="1" applyFont="1" applyFill="1" applyBorder="1" applyAlignment="1">
      <alignment horizontal="center" vertical="center" wrapText="1"/>
    </xf>
    <xf numFmtId="1" fontId="21" fillId="0" borderId="4" xfId="0" quotePrefix="1" applyNumberFormat="1" applyFont="1" applyFill="1" applyBorder="1" applyAlignment="1">
      <alignment horizontal="center" vertical="center" wrapText="1"/>
    </xf>
    <xf numFmtId="166" fontId="21" fillId="0" borderId="1" xfId="0" quotePrefix="1" applyNumberFormat="1" applyFont="1" applyFill="1" applyBorder="1" applyAlignment="1">
      <alignment horizontal="center" vertical="center" wrapText="1"/>
    </xf>
    <xf numFmtId="165" fontId="21" fillId="0" borderId="1" xfId="1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43" fontId="21" fillId="0" borderId="1" xfId="1" applyFont="1" applyFill="1" applyBorder="1" applyAlignment="1">
      <alignment horizontal="center" vertical="center" wrapText="1"/>
    </xf>
    <xf numFmtId="165" fontId="21" fillId="0" borderId="4" xfId="1" quotePrefix="1" applyNumberFormat="1" applyFont="1" applyFill="1" applyBorder="1" applyAlignment="1">
      <alignment horizontal="center" vertical="center" wrapText="1"/>
    </xf>
    <xf numFmtId="0" fontId="22" fillId="0" borderId="4" xfId="0" quotePrefix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4" fontId="3" fillId="0" borderId="1" xfId="0" quotePrefix="1" applyNumberFormat="1" applyFont="1" applyFill="1" applyBorder="1" applyAlignment="1">
      <alignment horizontal="center" vertical="center" wrapText="1"/>
    </xf>
    <xf numFmtId="14" fontId="3" fillId="0" borderId="1" xfId="1" quotePrefix="1" applyNumberFormat="1" applyFont="1" applyFill="1" applyBorder="1" applyAlignment="1">
      <alignment horizontal="center" vertical="center" wrapText="1"/>
    </xf>
    <xf numFmtId="14" fontId="4" fillId="4" borderId="1" xfId="0" quotePrefix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4" fontId="3" fillId="0" borderId="1" xfId="0" quotePrefix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14" fontId="3" fillId="0" borderId="1" xfId="0" quotePrefix="1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15" fillId="3" borderId="1" xfId="0" applyFont="1" applyFill="1" applyBorder="1" applyAlignment="1">
      <alignment horizontal="center" vertical="center" wrapText="1"/>
    </xf>
    <xf numFmtId="165" fontId="22" fillId="0" borderId="1" xfId="1" quotePrefix="1" applyNumberFormat="1" applyFont="1" applyFill="1" applyBorder="1" applyAlignment="1">
      <alignment horizontal="center" vertical="center" wrapText="1"/>
    </xf>
    <xf numFmtId="168" fontId="4" fillId="4" borderId="1" xfId="0" quotePrefix="1" applyNumberFormat="1" applyFont="1" applyFill="1" applyBorder="1" applyAlignment="1">
      <alignment horizontal="center" vertical="center" wrapText="1"/>
    </xf>
    <xf numFmtId="168" fontId="3" fillId="0" borderId="1" xfId="0" quotePrefix="1" applyNumberFormat="1" applyFont="1" applyFill="1" applyBorder="1" applyAlignment="1">
      <alignment horizontal="center" vertical="center" wrapText="1"/>
    </xf>
    <xf numFmtId="168" fontId="3" fillId="0" borderId="1" xfId="0" quotePrefix="1" applyNumberFormat="1" applyFont="1" applyFill="1" applyBorder="1" applyAlignment="1">
      <alignment horizontal="center" vertical="center"/>
    </xf>
    <xf numFmtId="168" fontId="3" fillId="0" borderId="1" xfId="1" applyNumberFormat="1" applyFont="1" applyFill="1" applyBorder="1" applyAlignment="1">
      <alignment horizontal="center" vertical="center" wrapText="1"/>
    </xf>
    <xf numFmtId="168" fontId="4" fillId="0" borderId="1" xfId="1" applyNumberFormat="1" applyFont="1" applyFill="1" applyBorder="1" applyAlignment="1">
      <alignment horizontal="center" vertical="center" wrapText="1"/>
    </xf>
    <xf numFmtId="168" fontId="4" fillId="4" borderId="1" xfId="1" applyNumberFormat="1" applyFont="1" applyFill="1" applyBorder="1" applyAlignment="1">
      <alignment horizontal="center" vertical="center" wrapText="1"/>
    </xf>
    <xf numFmtId="0" fontId="23" fillId="0" borderId="0" xfId="0" applyFont="1" applyFill="1" applyAlignment="1">
      <alignment vertical="center" wrapText="1"/>
    </xf>
    <xf numFmtId="14" fontId="24" fillId="0" borderId="0" xfId="0" applyNumberFormat="1" applyFont="1" applyFill="1" applyAlignment="1">
      <alignment horizontal="center" vertical="center" wrapText="1"/>
    </xf>
    <xf numFmtId="14" fontId="25" fillId="0" borderId="0" xfId="0" applyNumberFormat="1" applyFont="1" applyFill="1" applyAlignment="1">
      <alignment horizontal="center" vertical="center" wrapText="1"/>
    </xf>
    <xf numFmtId="14" fontId="27" fillId="0" borderId="1" xfId="0" quotePrefix="1" applyNumberFormat="1" applyFont="1" applyFill="1" applyBorder="1" applyAlignment="1">
      <alignment horizontal="center" vertical="center" wrapText="1"/>
    </xf>
    <xf numFmtId="14" fontId="26" fillId="4" borderId="4" xfId="0" applyNumberFormat="1" applyFont="1" applyFill="1" applyBorder="1" applyAlignment="1">
      <alignment horizontal="center" vertical="center" wrapText="1"/>
    </xf>
    <xf numFmtId="168" fontId="25" fillId="0" borderId="1" xfId="0" applyNumberFormat="1" applyFont="1" applyFill="1" applyBorder="1" applyAlignment="1">
      <alignment horizontal="center" vertical="center" wrapText="1"/>
    </xf>
    <xf numFmtId="168" fontId="26" fillId="4" borderId="1" xfId="0" applyNumberFormat="1" applyFont="1" applyFill="1" applyBorder="1" applyAlignment="1">
      <alignment horizontal="center" vertical="center" wrapText="1"/>
    </xf>
    <xf numFmtId="14" fontId="25" fillId="0" borderId="1" xfId="0" applyNumberFormat="1" applyFont="1" applyFill="1" applyBorder="1" applyAlignment="1">
      <alignment horizontal="center" vertical="center" wrapText="1"/>
    </xf>
    <xf numFmtId="14" fontId="25" fillId="0" borderId="3" xfId="0" applyNumberFormat="1" applyFont="1" applyFill="1" applyBorder="1" applyAlignment="1">
      <alignment horizontal="center" vertical="center" wrapText="1"/>
    </xf>
    <xf numFmtId="14" fontId="28" fillId="0" borderId="0" xfId="0" applyNumberFormat="1" applyFont="1" applyFill="1" applyAlignment="1">
      <alignment horizontal="center" vertical="center" wrapText="1"/>
    </xf>
    <xf numFmtId="168" fontId="29" fillId="0" borderId="1" xfId="0" applyNumberFormat="1" applyFont="1" applyFill="1" applyBorder="1" applyAlignment="1">
      <alignment horizontal="center" vertical="center" wrapText="1"/>
    </xf>
    <xf numFmtId="168" fontId="29" fillId="0" borderId="1" xfId="0" quotePrefix="1" applyNumberFormat="1" applyFont="1" applyFill="1" applyBorder="1" applyAlignment="1">
      <alignment horizontal="center" vertical="center"/>
    </xf>
    <xf numFmtId="168" fontId="29" fillId="0" borderId="1" xfId="0" quotePrefix="1" applyNumberFormat="1" applyFont="1" applyFill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horizontal="center" vertical="center" wrapText="1"/>
    </xf>
    <xf numFmtId="168" fontId="30" fillId="0" borderId="1" xfId="0" quotePrefix="1" applyNumberFormat="1" applyFont="1" applyFill="1" applyBorder="1" applyAlignment="1">
      <alignment horizontal="center" vertical="center" wrapText="1"/>
    </xf>
    <xf numFmtId="14" fontId="4" fillId="0" borderId="9" xfId="0" applyNumberFormat="1" applyFont="1" applyFill="1" applyBorder="1" applyAlignment="1">
      <alignment horizontal="center" vertical="center" wrapText="1"/>
    </xf>
    <xf numFmtId="14" fontId="4" fillId="0" borderId="8" xfId="0" applyNumberFormat="1" applyFont="1" applyFill="1" applyBorder="1" applyAlignment="1">
      <alignment horizontal="center" vertical="center" wrapText="1"/>
    </xf>
    <xf numFmtId="14" fontId="4" fillId="0" borderId="6" xfId="0" applyNumberFormat="1" applyFont="1" applyFill="1" applyBorder="1" applyAlignment="1">
      <alignment horizontal="center" vertical="center" wrapText="1"/>
    </xf>
    <xf numFmtId="14" fontId="4" fillId="0" borderId="5" xfId="0" applyNumberFormat="1" applyFont="1" applyFill="1" applyBorder="1" applyAlignment="1">
      <alignment horizontal="center" vertical="center" wrapText="1"/>
    </xf>
    <xf numFmtId="14" fontId="26" fillId="0" borderId="10" xfId="0" applyNumberFormat="1" applyFont="1" applyFill="1" applyBorder="1" applyAlignment="1">
      <alignment horizontal="center" vertical="center" wrapText="1"/>
    </xf>
    <xf numFmtId="14" fontId="26" fillId="0" borderId="2" xfId="0" applyNumberFormat="1" applyFont="1" applyFill="1" applyBorder="1" applyAlignment="1">
      <alignment horizontal="center" vertical="center" wrapText="1"/>
    </xf>
    <xf numFmtId="14" fontId="26" fillId="0" borderId="7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center" vertical="center" wrapText="1"/>
    </xf>
    <xf numFmtId="167" fontId="4" fillId="0" borderId="1" xfId="0" applyNumberFormat="1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165" fontId="4" fillId="0" borderId="3" xfId="1" applyNumberFormat="1" applyFont="1" applyFill="1" applyBorder="1" applyAlignment="1">
      <alignment horizontal="center" vertical="center" wrapText="1"/>
    </xf>
    <xf numFmtId="165" fontId="4" fillId="0" borderId="14" xfId="1" applyNumberFormat="1" applyFont="1" applyFill="1" applyBorder="1" applyAlignment="1">
      <alignment horizontal="center" vertical="center" wrapText="1"/>
    </xf>
    <xf numFmtId="165" fontId="4" fillId="0" borderId="4" xfId="1" applyNumberFormat="1" applyFont="1" applyFill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horizontal="center" vertical="center" wrapText="1"/>
    </xf>
    <xf numFmtId="166" fontId="4" fillId="0" borderId="1" xfId="1" applyNumberFormat="1" applyFont="1" applyFill="1" applyBorder="1" applyAlignment="1">
      <alignment horizontal="center" vertical="center" wrapText="1"/>
    </xf>
    <xf numFmtId="14" fontId="4" fillId="0" borderId="13" xfId="0" applyNumberFormat="1" applyFont="1" applyFill="1" applyBorder="1" applyAlignment="1">
      <alignment horizontal="center" vertical="center" wrapText="1"/>
    </xf>
    <xf numFmtId="14" fontId="4" fillId="0" borderId="12" xfId="0" applyNumberFormat="1" applyFont="1" applyFill="1" applyBorder="1" applyAlignment="1">
      <alignment horizontal="center" vertical="center" wrapText="1"/>
    </xf>
    <xf numFmtId="14" fontId="4" fillId="0" borderId="11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14" fontId="4" fillId="0" borderId="4" xfId="0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165" fontId="15" fillId="2" borderId="1" xfId="1" applyNumberFormat="1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14" fontId="4" fillId="0" borderId="14" xfId="0" applyNumberFormat="1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204107</xdr:colOff>
      <xdr:row>1</xdr:row>
      <xdr:rowOff>272143</xdr:rowOff>
    </xdr:from>
    <xdr:to>
      <xdr:col>1</xdr:col>
      <xdr:colOff>680356</xdr:colOff>
      <xdr:row>1</xdr:row>
      <xdr:rowOff>272143</xdr:rowOff>
    </xdr:to>
    <xdr:cxnSp macro="">
      <xdr:nvCxnSpPr>
        <xdr:cNvPr id="2" name="Straight Connector 1"/>
        <xdr:cNvCxnSpPr/>
      </xdr:nvCxnSpPr>
      <xdr:spPr>
        <a:xfrm>
          <a:off x="612321" y="517072"/>
          <a:ext cx="476249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1061357</xdr:colOff>
      <xdr:row>1</xdr:row>
      <xdr:rowOff>285750</xdr:rowOff>
    </xdr:from>
    <xdr:to>
      <xdr:col>29</xdr:col>
      <xdr:colOff>557892</xdr:colOff>
      <xdr:row>1</xdr:row>
      <xdr:rowOff>285751</xdr:rowOff>
    </xdr:to>
    <xdr:cxnSp macro="">
      <xdr:nvCxnSpPr>
        <xdr:cNvPr id="3" name="Straight Connector 2"/>
        <xdr:cNvCxnSpPr/>
      </xdr:nvCxnSpPr>
      <xdr:spPr>
        <a:xfrm flipV="1">
          <a:off x="16913678" y="530679"/>
          <a:ext cx="1891393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136069</xdr:colOff>
      <xdr:row>1</xdr:row>
      <xdr:rowOff>312964</xdr:rowOff>
    </xdr:from>
    <xdr:to>
      <xdr:col>18</xdr:col>
      <xdr:colOff>870854</xdr:colOff>
      <xdr:row>1</xdr:row>
      <xdr:rowOff>312964</xdr:rowOff>
    </xdr:to>
    <xdr:cxnSp macro="">
      <xdr:nvCxnSpPr>
        <xdr:cNvPr id="6" name="Straight Connector 5"/>
        <xdr:cNvCxnSpPr/>
      </xdr:nvCxnSpPr>
      <xdr:spPr>
        <a:xfrm>
          <a:off x="9824355" y="557893"/>
          <a:ext cx="1891392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312964</xdr:colOff>
      <xdr:row>4</xdr:row>
      <xdr:rowOff>13607</xdr:rowOff>
    </xdr:from>
    <xdr:to>
      <xdr:col>20</xdr:col>
      <xdr:colOff>571499</xdr:colOff>
      <xdr:row>4</xdr:row>
      <xdr:rowOff>13607</xdr:rowOff>
    </xdr:to>
    <xdr:cxnSp macro="">
      <xdr:nvCxnSpPr>
        <xdr:cNvPr id="8" name="Straight Connector 7"/>
        <xdr:cNvCxnSpPr/>
      </xdr:nvCxnSpPr>
      <xdr:spPr>
        <a:xfrm>
          <a:off x="9361714" y="2013857"/>
          <a:ext cx="3619499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38"/>
  <sheetViews>
    <sheetView tabSelected="1" topLeftCell="D17" zoomScale="70" zoomScaleNormal="70" workbookViewId="0">
      <selection activeCell="F4" sqref="F4:AN4"/>
    </sheetView>
  </sheetViews>
  <sheetFormatPr defaultColWidth="8.88671875" defaultRowHeight="17.399999999999999" x14ac:dyDescent="0.3"/>
  <cols>
    <col min="1" max="1" width="6.109375" style="18" customWidth="1"/>
    <col min="2" max="2" width="22.44140625" style="33" customWidth="1"/>
    <col min="3" max="3" width="12.6640625" style="162" hidden="1" customWidth="1"/>
    <col min="4" max="4" width="15.109375" style="43" customWidth="1"/>
    <col min="5" max="5" width="13.88671875" style="43" customWidth="1"/>
    <col min="6" max="6" width="10.33203125" style="45" customWidth="1"/>
    <col min="7" max="7" width="17.5546875" style="45" customWidth="1"/>
    <col min="8" max="8" width="7.109375" style="4" hidden="1" customWidth="1"/>
    <col min="9" max="9" width="7.5546875" style="4" customWidth="1"/>
    <col min="10" max="10" width="7.109375" style="4" customWidth="1"/>
    <col min="11" max="12" width="6.88671875" style="36" customWidth="1"/>
    <col min="13" max="13" width="6.6640625" style="36" customWidth="1"/>
    <col min="14" max="14" width="7.88671875" style="37" customWidth="1"/>
    <col min="15" max="15" width="7.109375" style="36" customWidth="1"/>
    <col min="16" max="16" width="9.5546875" style="39" customWidth="1"/>
    <col min="17" max="17" width="17.44140625" style="12" customWidth="1"/>
    <col min="18" max="18" width="12.33203125" style="38" hidden="1" customWidth="1"/>
    <col min="19" max="19" width="14.88671875" style="42" customWidth="1"/>
    <col min="20" max="20" width="8.5546875" style="13" customWidth="1"/>
    <col min="21" max="21" width="9" style="13" customWidth="1"/>
    <col min="22" max="22" width="7.5546875" style="13" customWidth="1"/>
    <col min="23" max="23" width="9.88671875" style="13" customWidth="1"/>
    <col min="24" max="24" width="8.109375" style="39" hidden="1" customWidth="1"/>
    <col min="25" max="25" width="7.5546875" style="14" hidden="1" customWidth="1"/>
    <col min="26" max="26" width="9.44140625" style="12" hidden="1" customWidth="1"/>
    <col min="27" max="27" width="7.33203125" style="86" hidden="1" customWidth="1"/>
    <col min="28" max="28" width="18" style="12" hidden="1" customWidth="1"/>
    <col min="29" max="29" width="17.88671875" style="12" hidden="1" customWidth="1"/>
    <col min="30" max="30" width="15.5546875" style="12" hidden="1" customWidth="1"/>
    <col min="31" max="31" width="16.33203125" style="12" hidden="1" customWidth="1"/>
    <col min="32" max="32" width="15.6640625" style="40" customWidth="1"/>
    <col min="33" max="33" width="20.5546875" style="40" customWidth="1"/>
    <col min="34" max="34" width="20.88671875" style="40" customWidth="1"/>
    <col min="35" max="35" width="19.6640625" style="74" hidden="1" customWidth="1"/>
    <col min="36" max="36" width="16.44140625" style="75" hidden="1" customWidth="1"/>
    <col min="37" max="37" width="16.88671875" style="4" hidden="1" customWidth="1"/>
    <col min="38" max="38" width="19.33203125" style="48" hidden="1" customWidth="1"/>
    <col min="39" max="39" width="3.88671875" style="4" hidden="1" customWidth="1"/>
    <col min="40" max="40" width="19.5546875" style="64" customWidth="1"/>
    <col min="41" max="41" width="46" style="47" customWidth="1"/>
    <col min="42" max="16384" width="8.88671875" style="3"/>
  </cols>
  <sheetData>
    <row r="1" spans="1:41" ht="18.75" customHeight="1" x14ac:dyDescent="0.3">
      <c r="A1" s="207" t="s">
        <v>133</v>
      </c>
      <c r="B1" s="207"/>
      <c r="C1" s="153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207" t="s">
        <v>42</v>
      </c>
      <c r="O1" s="207"/>
      <c r="P1" s="207"/>
      <c r="Q1" s="207"/>
      <c r="R1" s="207"/>
      <c r="S1" s="207"/>
      <c r="T1" s="207"/>
      <c r="U1" s="207"/>
      <c r="V1" s="207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</row>
    <row r="2" spans="1:41" ht="25.5" customHeight="1" x14ac:dyDescent="0.3">
      <c r="A2" s="207"/>
      <c r="B2" s="207"/>
      <c r="C2" s="153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207" t="s">
        <v>43</v>
      </c>
      <c r="O2" s="207"/>
      <c r="P2" s="207"/>
      <c r="Q2" s="207"/>
      <c r="R2" s="207"/>
      <c r="S2" s="207"/>
      <c r="T2" s="207"/>
      <c r="U2" s="207"/>
      <c r="V2" s="207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</row>
    <row r="3" spans="1:41" ht="25.5" customHeight="1" x14ac:dyDescent="0.25">
      <c r="A3" s="103"/>
      <c r="B3" s="103"/>
      <c r="C3" s="154"/>
      <c r="D3" s="105"/>
      <c r="E3" s="105"/>
      <c r="F3" s="103"/>
      <c r="G3" s="103"/>
      <c r="H3" s="106"/>
      <c r="I3" s="106"/>
      <c r="J3" s="103"/>
      <c r="K3" s="103"/>
      <c r="L3" s="103"/>
      <c r="M3" s="103"/>
      <c r="N3" s="107"/>
      <c r="O3" s="103"/>
      <c r="P3" s="108"/>
      <c r="Q3" s="64"/>
      <c r="R3" s="103"/>
      <c r="S3" s="109"/>
      <c r="T3" s="110"/>
      <c r="U3" s="110"/>
      <c r="V3" s="110"/>
      <c r="W3" s="110"/>
      <c r="X3" s="103"/>
      <c r="Y3" s="103"/>
      <c r="Z3" s="103"/>
      <c r="AA3" s="111"/>
      <c r="AB3" s="64"/>
      <c r="AC3" s="64"/>
      <c r="AD3" s="64"/>
      <c r="AE3" s="64"/>
      <c r="AF3" s="103"/>
      <c r="AG3" s="103"/>
      <c r="AH3" s="103"/>
      <c r="AI3" s="112"/>
      <c r="AJ3" s="113"/>
      <c r="AK3" s="106"/>
      <c r="AL3" s="114"/>
      <c r="AM3" s="106"/>
      <c r="AO3" s="102"/>
    </row>
    <row r="4" spans="1:41" ht="86.25" customHeight="1" x14ac:dyDescent="0.3">
      <c r="A4" s="104"/>
      <c r="B4" s="104"/>
      <c r="C4" s="153"/>
      <c r="D4" s="104"/>
      <c r="E4" s="104"/>
      <c r="F4" s="207" t="s">
        <v>175</v>
      </c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  <c r="AD4" s="207"/>
      <c r="AE4" s="207"/>
      <c r="AF4" s="207"/>
      <c r="AG4" s="207"/>
      <c r="AH4" s="207"/>
      <c r="AI4" s="207"/>
      <c r="AJ4" s="207"/>
      <c r="AK4" s="207"/>
      <c r="AL4" s="207"/>
      <c r="AM4" s="207"/>
      <c r="AN4" s="207"/>
      <c r="AO4" s="104"/>
    </row>
    <row r="5" spans="1:41" ht="16.5" customHeight="1" x14ac:dyDescent="0.3">
      <c r="A5" s="81"/>
      <c r="B5" s="19"/>
      <c r="C5" s="155"/>
      <c r="D5" s="46"/>
      <c r="E5" s="46"/>
      <c r="F5" s="44"/>
      <c r="G5" s="44"/>
      <c r="H5" s="5"/>
      <c r="I5" s="5"/>
      <c r="J5" s="5"/>
      <c r="K5" s="20"/>
      <c r="L5" s="20"/>
      <c r="M5" s="20"/>
      <c r="N5" s="21"/>
      <c r="O5" s="20"/>
      <c r="P5" s="22"/>
      <c r="Q5" s="9"/>
      <c r="R5" s="17"/>
      <c r="S5" s="41"/>
      <c r="T5" s="10"/>
      <c r="U5" s="10"/>
      <c r="V5" s="10"/>
      <c r="W5" s="10"/>
      <c r="X5" s="22"/>
      <c r="Y5" s="8"/>
      <c r="Z5" s="9"/>
      <c r="AA5" s="82"/>
      <c r="AB5" s="9"/>
      <c r="AC5" s="9"/>
      <c r="AD5" s="9"/>
      <c r="AE5" s="9" t="s">
        <v>8</v>
      </c>
      <c r="AF5" s="23"/>
      <c r="AG5" s="23"/>
      <c r="AH5" s="23"/>
      <c r="AI5" s="76"/>
    </row>
    <row r="6" spans="1:41" s="15" customFormat="1" ht="42.75" customHeight="1" x14ac:dyDescent="0.3">
      <c r="A6" s="181" t="s">
        <v>0</v>
      </c>
      <c r="B6" s="181" t="s">
        <v>1</v>
      </c>
      <c r="C6" s="172" t="s">
        <v>9</v>
      </c>
      <c r="D6" s="168" t="s">
        <v>9</v>
      </c>
      <c r="E6" s="169"/>
      <c r="F6" s="181" t="s">
        <v>46</v>
      </c>
      <c r="G6" s="176" t="s">
        <v>136</v>
      </c>
      <c r="H6" s="176" t="s">
        <v>13</v>
      </c>
      <c r="I6" s="181" t="s">
        <v>63</v>
      </c>
      <c r="J6" s="181"/>
      <c r="K6" s="181"/>
      <c r="L6" s="181"/>
      <c r="M6" s="181"/>
      <c r="N6" s="181"/>
      <c r="O6" s="181"/>
      <c r="P6" s="181"/>
      <c r="Q6" s="194" t="s">
        <v>65</v>
      </c>
      <c r="R6" s="179" t="s">
        <v>57</v>
      </c>
      <c r="S6" s="196" t="s">
        <v>58</v>
      </c>
      <c r="T6" s="197"/>
      <c r="U6" s="197"/>
      <c r="V6" s="198"/>
      <c r="W6" s="199" t="s">
        <v>103</v>
      </c>
      <c r="X6" s="180" t="s">
        <v>17</v>
      </c>
      <c r="Y6" s="181" t="s">
        <v>2</v>
      </c>
      <c r="Z6" s="181" t="s">
        <v>3</v>
      </c>
      <c r="AA6" s="181"/>
      <c r="AB6" s="194" t="s">
        <v>47</v>
      </c>
      <c r="AC6" s="194"/>
      <c r="AD6" s="194"/>
      <c r="AE6" s="194"/>
      <c r="AF6" s="179" t="s">
        <v>57</v>
      </c>
      <c r="AG6" s="179" t="s">
        <v>48</v>
      </c>
      <c r="AH6" s="179"/>
      <c r="AI6" s="201" t="s">
        <v>48</v>
      </c>
      <c r="AJ6" s="201"/>
      <c r="AK6" s="204" t="s">
        <v>49</v>
      </c>
      <c r="AL6" s="205"/>
      <c r="AM6" s="206"/>
      <c r="AN6" s="191" t="s">
        <v>174</v>
      </c>
      <c r="AO6" s="188" t="s">
        <v>50</v>
      </c>
    </row>
    <row r="7" spans="1:41" s="15" customFormat="1" ht="36" customHeight="1" x14ac:dyDescent="0.3">
      <c r="A7" s="181"/>
      <c r="B7" s="181"/>
      <c r="C7" s="173"/>
      <c r="D7" s="170"/>
      <c r="E7" s="171"/>
      <c r="F7" s="181"/>
      <c r="G7" s="177"/>
      <c r="H7" s="177"/>
      <c r="I7" s="181" t="s">
        <v>124</v>
      </c>
      <c r="J7" s="181" t="s">
        <v>51</v>
      </c>
      <c r="K7" s="175" t="s">
        <v>52</v>
      </c>
      <c r="L7" s="175" t="s">
        <v>54</v>
      </c>
      <c r="M7" s="175" t="s">
        <v>55</v>
      </c>
      <c r="N7" s="184" t="s">
        <v>64</v>
      </c>
      <c r="O7" s="175" t="s">
        <v>53</v>
      </c>
      <c r="P7" s="195" t="s">
        <v>56</v>
      </c>
      <c r="Q7" s="194"/>
      <c r="R7" s="179"/>
      <c r="S7" s="199" t="s">
        <v>59</v>
      </c>
      <c r="T7" s="182" t="s">
        <v>60</v>
      </c>
      <c r="U7" s="182" t="s">
        <v>61</v>
      </c>
      <c r="V7" s="182" t="s">
        <v>62</v>
      </c>
      <c r="W7" s="208"/>
      <c r="X7" s="180"/>
      <c r="Y7" s="181"/>
      <c r="Z7" s="181"/>
      <c r="AA7" s="181"/>
      <c r="AB7" s="194" t="s">
        <v>10</v>
      </c>
      <c r="AC7" s="194" t="s">
        <v>4</v>
      </c>
      <c r="AD7" s="194" t="s">
        <v>11</v>
      </c>
      <c r="AE7" s="194" t="s">
        <v>12</v>
      </c>
      <c r="AF7" s="179"/>
      <c r="AG7" s="179" t="s">
        <v>128</v>
      </c>
      <c r="AH7" s="179" t="s">
        <v>129</v>
      </c>
      <c r="AI7" s="202" t="s">
        <v>66</v>
      </c>
      <c r="AJ7" s="203" t="s">
        <v>67</v>
      </c>
      <c r="AK7" s="181" t="s">
        <v>5</v>
      </c>
      <c r="AL7" s="209" t="s">
        <v>40</v>
      </c>
      <c r="AM7" s="181" t="s">
        <v>41</v>
      </c>
      <c r="AN7" s="192"/>
      <c r="AO7" s="189"/>
    </row>
    <row r="8" spans="1:41" s="15" customFormat="1" ht="61.5" customHeight="1" x14ac:dyDescent="0.3">
      <c r="A8" s="181"/>
      <c r="B8" s="181"/>
      <c r="C8" s="174"/>
      <c r="D8" s="115" t="s">
        <v>14</v>
      </c>
      <c r="E8" s="115" t="s">
        <v>16</v>
      </c>
      <c r="F8" s="181"/>
      <c r="G8" s="178"/>
      <c r="H8" s="178"/>
      <c r="I8" s="181"/>
      <c r="J8" s="181"/>
      <c r="K8" s="175"/>
      <c r="L8" s="175"/>
      <c r="M8" s="175"/>
      <c r="N8" s="184"/>
      <c r="O8" s="175"/>
      <c r="P8" s="195"/>
      <c r="Q8" s="194"/>
      <c r="R8" s="179"/>
      <c r="S8" s="200"/>
      <c r="T8" s="183"/>
      <c r="U8" s="183"/>
      <c r="V8" s="183"/>
      <c r="W8" s="200"/>
      <c r="X8" s="180"/>
      <c r="Y8" s="181"/>
      <c r="Z8" s="24" t="s">
        <v>6</v>
      </c>
      <c r="AA8" s="116" t="s">
        <v>7</v>
      </c>
      <c r="AB8" s="194"/>
      <c r="AC8" s="194"/>
      <c r="AD8" s="194"/>
      <c r="AE8" s="194"/>
      <c r="AF8" s="179"/>
      <c r="AG8" s="179"/>
      <c r="AH8" s="179"/>
      <c r="AI8" s="202"/>
      <c r="AJ8" s="203"/>
      <c r="AK8" s="181"/>
      <c r="AL8" s="209"/>
      <c r="AM8" s="181"/>
      <c r="AN8" s="193"/>
      <c r="AO8" s="190"/>
    </row>
    <row r="9" spans="1:41" s="16" customFormat="1" ht="27.75" customHeight="1" x14ac:dyDescent="0.25">
      <c r="A9" s="117" t="s">
        <v>125</v>
      </c>
      <c r="B9" s="118" t="s">
        <v>135</v>
      </c>
      <c r="C9" s="156" t="s">
        <v>153</v>
      </c>
      <c r="D9" s="119">
        <v>3</v>
      </c>
      <c r="E9" s="120" t="s">
        <v>92</v>
      </c>
      <c r="F9" s="120" t="s">
        <v>154</v>
      </c>
      <c r="G9" s="119" t="s">
        <v>155</v>
      </c>
      <c r="H9" s="119"/>
      <c r="I9" s="121" t="s">
        <v>126</v>
      </c>
      <c r="J9" s="121" t="s">
        <v>127</v>
      </c>
      <c r="K9" s="121" t="s">
        <v>93</v>
      </c>
      <c r="L9" s="122" t="s">
        <v>94</v>
      </c>
      <c r="M9" s="121" t="s">
        <v>95</v>
      </c>
      <c r="N9" s="123" t="s">
        <v>96</v>
      </c>
      <c r="O9" s="124" t="s">
        <v>97</v>
      </c>
      <c r="P9" s="118" t="s">
        <v>156</v>
      </c>
      <c r="Q9" s="117" t="s">
        <v>98</v>
      </c>
      <c r="R9" s="125"/>
      <c r="S9" s="125" t="s">
        <v>99</v>
      </c>
      <c r="T9" s="125" t="s">
        <v>100</v>
      </c>
      <c r="U9" s="125" t="s">
        <v>101</v>
      </c>
      <c r="V9" s="126" t="s">
        <v>102</v>
      </c>
      <c r="W9" s="119" t="s">
        <v>157</v>
      </c>
      <c r="X9" s="127"/>
      <c r="Y9" s="128"/>
      <c r="Z9" s="127"/>
      <c r="AA9" s="127"/>
      <c r="AB9" s="127"/>
      <c r="AC9" s="127"/>
      <c r="AD9" s="118"/>
      <c r="AE9" s="118"/>
      <c r="AF9" s="118" t="s">
        <v>158</v>
      </c>
      <c r="AG9" s="124" t="s">
        <v>159</v>
      </c>
      <c r="AH9" s="146" t="s">
        <v>104</v>
      </c>
      <c r="AI9" s="129"/>
      <c r="AJ9" s="130"/>
      <c r="AK9" s="129"/>
      <c r="AL9" s="131"/>
      <c r="AM9" s="129"/>
      <c r="AN9" s="131" t="s">
        <v>160</v>
      </c>
      <c r="AO9" s="132" t="s">
        <v>161</v>
      </c>
    </row>
    <row r="10" spans="1:41" ht="32.25" customHeight="1" x14ac:dyDescent="0.3">
      <c r="A10" s="88" t="s">
        <v>44</v>
      </c>
      <c r="B10" s="133" t="s">
        <v>130</v>
      </c>
      <c r="C10" s="157"/>
      <c r="D10" s="93"/>
      <c r="E10" s="93"/>
      <c r="F10" s="88"/>
      <c r="G10" s="134"/>
      <c r="H10" s="88"/>
      <c r="I10" s="88"/>
      <c r="J10" s="88"/>
      <c r="K10" s="89"/>
      <c r="L10" s="89"/>
      <c r="M10" s="89"/>
      <c r="N10" s="90"/>
      <c r="O10" s="89"/>
      <c r="P10" s="91"/>
      <c r="Q10" s="92"/>
      <c r="R10" s="93"/>
      <c r="S10" s="93"/>
      <c r="T10" s="94"/>
      <c r="U10" s="94"/>
      <c r="V10" s="94"/>
      <c r="W10" s="94"/>
      <c r="X10" s="95"/>
      <c r="Y10" s="88"/>
      <c r="Z10" s="92"/>
      <c r="AA10" s="88"/>
      <c r="AB10" s="92"/>
      <c r="AC10" s="92"/>
      <c r="AD10" s="92"/>
      <c r="AE10" s="92"/>
      <c r="AF10" s="93"/>
      <c r="AG10" s="93"/>
      <c r="AH10" s="93"/>
      <c r="AI10" s="92" t="e">
        <f t="shared" ref="AI10:AN10" si="0">SUM(AI11:AI11)</f>
        <v>#REF!</v>
      </c>
      <c r="AJ10" s="92">
        <f t="shared" si="0"/>
        <v>0</v>
      </c>
      <c r="AK10" s="92">
        <f t="shared" si="0"/>
        <v>0</v>
      </c>
      <c r="AL10" s="92">
        <f t="shared" si="0"/>
        <v>0</v>
      </c>
      <c r="AM10" s="92">
        <f t="shared" si="0"/>
        <v>0</v>
      </c>
      <c r="AN10" s="92" t="e">
        <f t="shared" si="0"/>
        <v>#REF!</v>
      </c>
      <c r="AO10" s="135"/>
    </row>
    <row r="11" spans="1:41" s="33" customFormat="1" ht="109.2" x14ac:dyDescent="0.3">
      <c r="A11" s="25">
        <v>1</v>
      </c>
      <c r="B11" s="136" t="s">
        <v>15</v>
      </c>
      <c r="C11" s="158">
        <f t="shared" ref="C11:C37" si="1">DATE(YEAR(D11),MONTH(D11),1)</f>
        <v>26115</v>
      </c>
      <c r="D11" s="163">
        <v>26131</v>
      </c>
      <c r="E11" s="148">
        <v>26131</v>
      </c>
      <c r="F11" s="25" t="s">
        <v>69</v>
      </c>
      <c r="G11" s="25" t="s">
        <v>137</v>
      </c>
      <c r="H11" s="25" t="s">
        <v>16</v>
      </c>
      <c r="I11" s="25">
        <v>4.9800000000000004</v>
      </c>
      <c r="J11" s="25">
        <v>0.3</v>
      </c>
      <c r="K11" s="26">
        <v>0.06</v>
      </c>
      <c r="L11" s="26"/>
      <c r="M11" s="26"/>
      <c r="N11" s="27"/>
      <c r="O11" s="26">
        <v>0.25</v>
      </c>
      <c r="P11" s="32"/>
      <c r="Q11" s="6">
        <f t="shared" ref="Q11:Q29" si="2">((I11+J11)+(I11*K11)+(((I11+J11)+(I11*K11))*O11)+(((I11+J11)+(I11*K11))*L11)+(((I11+J11)+(I11*K11))*M11)+N11)*2340+(P11*2340)</f>
        <v>16317.990000000002</v>
      </c>
      <c r="R11" s="29">
        <v>45748</v>
      </c>
      <c r="S11" s="138" t="s">
        <v>79</v>
      </c>
      <c r="T11" s="30">
        <v>30</v>
      </c>
      <c r="U11" s="30">
        <v>7</v>
      </c>
      <c r="V11" s="7">
        <f t="shared" ref="V11:V37" si="3">(T11*12)+U11</f>
        <v>367</v>
      </c>
      <c r="W11" s="7" t="s">
        <v>105</v>
      </c>
      <c r="X11" s="32">
        <v>31</v>
      </c>
      <c r="Y11" s="1" t="e">
        <f>IF(H11="Nam",VLOOKUP(C11,#REF!,2,0)-(DATEDIF(D11+1,R11,"M")),VLOOKUP(C11,#REF!,2,0)-(DATEDIF(D11+1,R11,"M")))</f>
        <v>#REF!</v>
      </c>
      <c r="Z11" s="24" t="e">
        <f t="shared" ref="Z11:Z37" si="4">Y11/12</f>
        <v>#REF!</v>
      </c>
      <c r="AA11" s="28" t="e">
        <f t="shared" ref="AA11:AA37" si="5">IF(MOD(Z11,1) = 0, INT(Z11), IF(MOD(Z11,1) &lt; 0.5, INT(Z11) + 0.5, INT(Z11) + 1))</f>
        <v>#REF!</v>
      </c>
      <c r="AB11" s="24" t="e">
        <f>IF(Y11&lt;=60,Y11*Q11,Q11*0.9*60)</f>
        <v>#REF!</v>
      </c>
      <c r="AC11" s="24" t="e">
        <f>IF(Y11&lt;=60,5*Q11*AA11,4*Q11*AA11)</f>
        <v>#REF!</v>
      </c>
      <c r="AD11" s="24">
        <f>5*Q11</f>
        <v>81589.950000000012</v>
      </c>
      <c r="AE11" s="24">
        <f>(X11-20)*0.5*Q11</f>
        <v>89748.945000000007</v>
      </c>
      <c r="AF11" s="151">
        <v>45748</v>
      </c>
      <c r="AG11" s="29" t="s">
        <v>162</v>
      </c>
      <c r="AH11" s="31"/>
      <c r="AI11" s="24" t="e">
        <f>AB11+AC11+AD11+AE11</f>
        <v>#REF!</v>
      </c>
      <c r="AJ11" s="87">
        <f t="shared" ref="AJ11:AJ37" si="6">AK11+AL11+AM11</f>
        <v>0</v>
      </c>
      <c r="AK11" s="11"/>
      <c r="AL11" s="49"/>
      <c r="AM11" s="11"/>
      <c r="AN11" s="24" t="e">
        <f t="shared" ref="AN11:AN37" si="7">AI11+AJ11</f>
        <v>#REF!</v>
      </c>
      <c r="AO11" s="25" t="s">
        <v>166</v>
      </c>
    </row>
    <row r="12" spans="1:41" s="34" customFormat="1" ht="31.5" customHeight="1" x14ac:dyDescent="0.3">
      <c r="A12" s="88" t="s">
        <v>45</v>
      </c>
      <c r="B12" s="133" t="s">
        <v>132</v>
      </c>
      <c r="C12" s="159"/>
      <c r="D12" s="147"/>
      <c r="E12" s="139"/>
      <c r="F12" s="88"/>
      <c r="G12" s="88"/>
      <c r="H12" s="88"/>
      <c r="I12" s="88"/>
      <c r="J12" s="88"/>
      <c r="K12" s="89"/>
      <c r="L12" s="89"/>
      <c r="M12" s="89"/>
      <c r="N12" s="90"/>
      <c r="O12" s="89"/>
      <c r="P12" s="91"/>
      <c r="Q12" s="96">
        <f t="shared" si="2"/>
        <v>0</v>
      </c>
      <c r="R12" s="97"/>
      <c r="S12" s="97"/>
      <c r="T12" s="98"/>
      <c r="U12" s="98"/>
      <c r="V12" s="99"/>
      <c r="W12" s="99"/>
      <c r="X12" s="91"/>
      <c r="Y12" s="100"/>
      <c r="Z12" s="92"/>
      <c r="AA12" s="101"/>
      <c r="AB12" s="92"/>
      <c r="AC12" s="92"/>
      <c r="AD12" s="92"/>
      <c r="AE12" s="92"/>
      <c r="AF12" s="152"/>
      <c r="AG12" s="97"/>
      <c r="AH12" s="97"/>
      <c r="AI12" s="92" t="e">
        <f t="shared" ref="AI12:AN12" si="8">SUM(AI13:AI29)</f>
        <v>#REF!</v>
      </c>
      <c r="AJ12" s="92">
        <f t="shared" si="8"/>
        <v>6292040.3910000008</v>
      </c>
      <c r="AK12" s="92">
        <f t="shared" si="8"/>
        <v>3831459.8400000008</v>
      </c>
      <c r="AL12" s="92">
        <f t="shared" si="8"/>
        <v>2460580.551</v>
      </c>
      <c r="AM12" s="92">
        <f t="shared" si="8"/>
        <v>0</v>
      </c>
      <c r="AN12" s="92" t="e">
        <f t="shared" si="8"/>
        <v>#REF!</v>
      </c>
      <c r="AO12" s="88"/>
    </row>
    <row r="13" spans="1:41" ht="109.2" x14ac:dyDescent="0.3">
      <c r="A13" s="25">
        <v>2</v>
      </c>
      <c r="B13" s="140" t="s">
        <v>23</v>
      </c>
      <c r="C13" s="158">
        <f>DATE(YEAR(D13),MONTH(D13),1)</f>
        <v>23651</v>
      </c>
      <c r="D13" s="148">
        <v>23660</v>
      </c>
      <c r="E13" s="137"/>
      <c r="F13" s="25" t="s">
        <v>71</v>
      </c>
      <c r="G13" s="25" t="s">
        <v>138</v>
      </c>
      <c r="H13" s="25" t="s">
        <v>14</v>
      </c>
      <c r="I13" s="25">
        <v>6.44</v>
      </c>
      <c r="J13" s="25">
        <v>0.25</v>
      </c>
      <c r="K13" s="26"/>
      <c r="L13" s="26"/>
      <c r="M13" s="26"/>
      <c r="N13" s="27"/>
      <c r="O13" s="26"/>
      <c r="P13" s="32"/>
      <c r="Q13" s="6">
        <f t="shared" si="2"/>
        <v>15654.6</v>
      </c>
      <c r="R13" s="29">
        <v>45717</v>
      </c>
      <c r="S13" s="138" t="s">
        <v>87</v>
      </c>
      <c r="T13" s="30">
        <v>28</v>
      </c>
      <c r="U13" s="30">
        <v>9</v>
      </c>
      <c r="V13" s="7">
        <f t="shared" si="3"/>
        <v>345</v>
      </c>
      <c r="W13" s="7" t="s">
        <v>106</v>
      </c>
      <c r="X13" s="32">
        <v>29</v>
      </c>
      <c r="Y13" s="1" t="e">
        <f>IF(H13="Nam",VLOOKUP(C13,#REF!,2,0)-(DATEDIF(D13+1,R13,"M")),VLOOKUP(C13,#REF!,2,0)-(DATEDIF(D13+1,R13,"M")))</f>
        <v>#REF!</v>
      </c>
      <c r="Z13" s="24" t="e">
        <f>Y13/12</f>
        <v>#REF!</v>
      </c>
      <c r="AA13" s="83" t="e">
        <f>IF(MOD(Z13,1) = 0, INT(Z13), IF(MOD(Z13,1) &lt; 0.5, INT(Z13) + 0.5, INT(Z13) + 1))</f>
        <v>#REF!</v>
      </c>
      <c r="AB13" s="24" t="e">
        <f>Y13*Q13</f>
        <v>#REF!</v>
      </c>
      <c r="AC13" s="24"/>
      <c r="AD13" s="24"/>
      <c r="AE13" s="24"/>
      <c r="AF13" s="151">
        <v>45717</v>
      </c>
      <c r="AG13" s="29" t="s">
        <v>163</v>
      </c>
      <c r="AH13" s="31"/>
      <c r="AI13" s="77" t="e">
        <f>AB13+AC13+AD13+AE13</f>
        <v>#REF!</v>
      </c>
      <c r="AJ13" s="78"/>
      <c r="AK13" s="35"/>
      <c r="AL13" s="49"/>
      <c r="AM13" s="35"/>
      <c r="AN13" s="24" t="e">
        <f t="shared" si="7"/>
        <v>#REF!</v>
      </c>
      <c r="AO13" s="25" t="s">
        <v>167</v>
      </c>
    </row>
    <row r="14" spans="1:41" ht="109.2" x14ac:dyDescent="0.3">
      <c r="A14" s="25">
        <v>3</v>
      </c>
      <c r="B14" s="140" t="s">
        <v>18</v>
      </c>
      <c r="C14" s="158">
        <f t="shared" si="1"/>
        <v>24685</v>
      </c>
      <c r="D14" s="149">
        <v>24699</v>
      </c>
      <c r="E14" s="141"/>
      <c r="F14" s="25" t="s">
        <v>68</v>
      </c>
      <c r="G14" s="25" t="s">
        <v>139</v>
      </c>
      <c r="H14" s="25" t="s">
        <v>14</v>
      </c>
      <c r="I14" s="25">
        <v>6.44</v>
      </c>
      <c r="J14" s="25">
        <v>0.7</v>
      </c>
      <c r="K14" s="26"/>
      <c r="L14" s="26"/>
      <c r="M14" s="26">
        <v>0.5</v>
      </c>
      <c r="N14" s="27"/>
      <c r="O14" s="26"/>
      <c r="P14" s="32"/>
      <c r="Q14" s="6">
        <f t="shared" si="2"/>
        <v>25061.4</v>
      </c>
      <c r="R14" s="29">
        <v>45717</v>
      </c>
      <c r="S14" s="138" t="s">
        <v>88</v>
      </c>
      <c r="T14" s="30">
        <v>34</v>
      </c>
      <c r="U14" s="30">
        <v>6</v>
      </c>
      <c r="V14" s="7">
        <f t="shared" si="3"/>
        <v>414</v>
      </c>
      <c r="W14" s="7" t="s">
        <v>107</v>
      </c>
      <c r="X14" s="32">
        <v>34.5</v>
      </c>
      <c r="Y14" s="1" t="e">
        <f>IF(H14="Nam",VLOOKUP(C14,#REF!,2,0)-(DATEDIF(D14+1,R14,"M")),VLOOKUP(C14,#REF!,2,0)-(DATEDIF(D14+1,R14,"M")))</f>
        <v>#REF!</v>
      </c>
      <c r="Z14" s="24" t="e">
        <f t="shared" si="4"/>
        <v>#REF!</v>
      </c>
      <c r="AA14" s="83" t="e">
        <f>IF(MOD(Z14,1)=0,INT(Z14),IF(MOD(Z14,1)&lt;0.5,INT(Z14)+0.5,INT(Z14)+1))-0.5</f>
        <v>#REF!</v>
      </c>
      <c r="AB14" s="24" t="e">
        <f t="shared" ref="AB14:AB24" si="9">IF(Y14&lt;=60,Y14*Q14,Q14*0.9*60)</f>
        <v>#REF!</v>
      </c>
      <c r="AC14" s="24" t="e">
        <f t="shared" ref="AC14:AC24" si="10">IF(Y14&lt;=60,5*Q14*AA14,4*Q14*AA14)</f>
        <v>#REF!</v>
      </c>
      <c r="AD14" s="24">
        <f t="shared" ref="AD14:AD24" si="11">5*Q14</f>
        <v>125307</v>
      </c>
      <c r="AE14" s="24">
        <f t="shared" ref="AE14:AE24" si="12">(X14-20)*0.5*Q14</f>
        <v>181695.15000000002</v>
      </c>
      <c r="AF14" s="151">
        <v>45717</v>
      </c>
      <c r="AG14" s="29" t="s">
        <v>162</v>
      </c>
      <c r="AH14" s="31"/>
      <c r="AI14" s="77" t="e">
        <f t="shared" ref="AI14:AI24" si="13">AB14+AC14+AD14+AE14</f>
        <v>#REF!</v>
      </c>
      <c r="AJ14" s="78">
        <f t="shared" si="6"/>
        <v>0</v>
      </c>
      <c r="AK14" s="35"/>
      <c r="AL14" s="49"/>
      <c r="AM14" s="35"/>
      <c r="AN14" s="24" t="e">
        <f t="shared" si="7"/>
        <v>#REF!</v>
      </c>
      <c r="AO14" s="25" t="s">
        <v>168</v>
      </c>
    </row>
    <row r="15" spans="1:41" ht="109.2" x14ac:dyDescent="0.3">
      <c r="A15" s="25">
        <v>4</v>
      </c>
      <c r="B15" s="140" t="s">
        <v>19</v>
      </c>
      <c r="C15" s="158">
        <f t="shared" si="1"/>
        <v>25324</v>
      </c>
      <c r="D15" s="148">
        <v>25347</v>
      </c>
      <c r="E15" s="137"/>
      <c r="F15" s="25" t="s">
        <v>72</v>
      </c>
      <c r="G15" s="25" t="s">
        <v>140</v>
      </c>
      <c r="H15" s="25" t="s">
        <v>14</v>
      </c>
      <c r="I15" s="25">
        <v>6.44</v>
      </c>
      <c r="J15" s="25">
        <v>0.25</v>
      </c>
      <c r="K15" s="26"/>
      <c r="L15" s="26"/>
      <c r="M15" s="26"/>
      <c r="N15" s="27"/>
      <c r="O15" s="26"/>
      <c r="P15" s="32"/>
      <c r="Q15" s="6">
        <f t="shared" si="2"/>
        <v>15654.6</v>
      </c>
      <c r="R15" s="29">
        <v>45717</v>
      </c>
      <c r="S15" s="138" t="s">
        <v>89</v>
      </c>
      <c r="T15" s="30">
        <v>33</v>
      </c>
      <c r="U15" s="30">
        <v>7</v>
      </c>
      <c r="V15" s="7">
        <f t="shared" si="3"/>
        <v>403</v>
      </c>
      <c r="W15" s="7" t="s">
        <v>108</v>
      </c>
      <c r="X15" s="32">
        <v>34</v>
      </c>
      <c r="Y15" s="1" t="e">
        <f>IF(H15="Nam",VLOOKUP(C15,#REF!,2,0)-(DATEDIF(D15+1,R15,"M")),VLOOKUP(C15,#REF!,2,0)-(DATEDIF(D15+1,R15,"M")))</f>
        <v>#REF!</v>
      </c>
      <c r="Z15" s="24" t="e">
        <f t="shared" si="4"/>
        <v>#REF!</v>
      </c>
      <c r="AA15" s="83" t="e">
        <f>IF(MOD(Z15,1) = 0, INT(Z15), IF(MOD(Z15,1) &lt; 0.5, INT(Z15) + 0.5, INT(Z15) + 1))</f>
        <v>#REF!</v>
      </c>
      <c r="AB15" s="24" t="e">
        <f t="shared" si="9"/>
        <v>#REF!</v>
      </c>
      <c r="AC15" s="24" t="e">
        <f t="shared" si="10"/>
        <v>#REF!</v>
      </c>
      <c r="AD15" s="24">
        <f t="shared" si="11"/>
        <v>78273</v>
      </c>
      <c r="AE15" s="24">
        <f t="shared" si="12"/>
        <v>109582.2</v>
      </c>
      <c r="AF15" s="151">
        <v>45717</v>
      </c>
      <c r="AG15" s="29" t="s">
        <v>164</v>
      </c>
      <c r="AH15" s="31"/>
      <c r="AI15" s="77" t="e">
        <f t="shared" si="13"/>
        <v>#REF!</v>
      </c>
      <c r="AJ15" s="78">
        <f t="shared" si="6"/>
        <v>0</v>
      </c>
      <c r="AK15" s="35"/>
      <c r="AL15" s="49"/>
      <c r="AM15" s="35"/>
      <c r="AN15" s="24" t="e">
        <f t="shared" si="7"/>
        <v>#REF!</v>
      </c>
      <c r="AO15" s="25" t="s">
        <v>169</v>
      </c>
    </row>
    <row r="16" spans="1:41" ht="109.2" x14ac:dyDescent="0.3">
      <c r="A16" s="25">
        <v>5</v>
      </c>
      <c r="B16" s="140" t="s">
        <v>20</v>
      </c>
      <c r="C16" s="158">
        <f t="shared" si="1"/>
        <v>24777</v>
      </c>
      <c r="D16" s="148">
        <v>24790</v>
      </c>
      <c r="E16" s="137"/>
      <c r="F16" s="25" t="s">
        <v>71</v>
      </c>
      <c r="G16" s="25" t="s">
        <v>142</v>
      </c>
      <c r="H16" s="25" t="s">
        <v>14</v>
      </c>
      <c r="I16" s="25">
        <v>6.44</v>
      </c>
      <c r="J16" s="25"/>
      <c r="K16" s="26"/>
      <c r="L16" s="26"/>
      <c r="M16" s="26"/>
      <c r="N16" s="27"/>
      <c r="O16" s="26"/>
      <c r="P16" s="32"/>
      <c r="Q16" s="6">
        <f t="shared" si="2"/>
        <v>15069.6</v>
      </c>
      <c r="R16" s="29">
        <v>45717</v>
      </c>
      <c r="S16" s="138" t="s">
        <v>90</v>
      </c>
      <c r="T16" s="30">
        <v>35</v>
      </c>
      <c r="U16" s="30">
        <v>4</v>
      </c>
      <c r="V16" s="7">
        <f t="shared" si="3"/>
        <v>424</v>
      </c>
      <c r="W16" s="7" t="s">
        <v>109</v>
      </c>
      <c r="X16" s="32">
        <v>35.5</v>
      </c>
      <c r="Y16" s="1" t="e">
        <f>IF(H16="Nam",VLOOKUP(C16,#REF!,2,0)-(DATEDIF(D16+1,R16,"M")),VLOOKUP(C16,#REF!,2,0)-(DATEDIF(D16+1,R16,"M")))</f>
        <v>#REF!</v>
      </c>
      <c r="Z16" s="24" t="e">
        <f t="shared" si="4"/>
        <v>#REF!</v>
      </c>
      <c r="AA16" s="83" t="e">
        <f t="shared" si="5"/>
        <v>#REF!</v>
      </c>
      <c r="AB16" s="24" t="e">
        <f t="shared" si="9"/>
        <v>#REF!</v>
      </c>
      <c r="AC16" s="24" t="e">
        <f t="shared" si="10"/>
        <v>#REF!</v>
      </c>
      <c r="AD16" s="24">
        <f t="shared" si="11"/>
        <v>75348</v>
      </c>
      <c r="AE16" s="24">
        <f t="shared" si="12"/>
        <v>116789.40000000001</v>
      </c>
      <c r="AF16" s="151">
        <v>45717</v>
      </c>
      <c r="AG16" s="29" t="s">
        <v>162</v>
      </c>
      <c r="AH16" s="31"/>
      <c r="AI16" s="77" t="e">
        <f t="shared" si="13"/>
        <v>#REF!</v>
      </c>
      <c r="AJ16" s="78">
        <f t="shared" si="6"/>
        <v>0</v>
      </c>
      <c r="AK16" s="35"/>
      <c r="AL16" s="49"/>
      <c r="AM16" s="35"/>
      <c r="AN16" s="24" t="e">
        <f t="shared" si="7"/>
        <v>#REF!</v>
      </c>
      <c r="AO16" s="25" t="s">
        <v>169</v>
      </c>
    </row>
    <row r="17" spans="1:41" ht="109.2" x14ac:dyDescent="0.3">
      <c r="A17" s="25">
        <v>6</v>
      </c>
      <c r="B17" s="140" t="s">
        <v>21</v>
      </c>
      <c r="C17" s="158">
        <f t="shared" si="1"/>
        <v>26451</v>
      </c>
      <c r="D17" s="167">
        <v>26452</v>
      </c>
      <c r="E17" s="148">
        <v>26452</v>
      </c>
      <c r="F17" s="25" t="s">
        <v>73</v>
      </c>
      <c r="G17" s="25" t="s">
        <v>141</v>
      </c>
      <c r="H17" s="25" t="s">
        <v>16</v>
      </c>
      <c r="I17" s="25">
        <v>4.6500000000000004</v>
      </c>
      <c r="J17" s="25">
        <v>0.15</v>
      </c>
      <c r="K17" s="26"/>
      <c r="L17" s="26"/>
      <c r="M17" s="26"/>
      <c r="N17" s="27"/>
      <c r="O17" s="26"/>
      <c r="P17" s="32"/>
      <c r="Q17" s="6">
        <f t="shared" si="2"/>
        <v>11232.000000000002</v>
      </c>
      <c r="R17" s="29">
        <v>45717</v>
      </c>
      <c r="S17" s="138" t="s">
        <v>80</v>
      </c>
      <c r="T17" s="30">
        <v>31</v>
      </c>
      <c r="U17" s="30">
        <v>8</v>
      </c>
      <c r="V17" s="7">
        <f t="shared" si="3"/>
        <v>380</v>
      </c>
      <c r="W17" s="7" t="s">
        <v>110</v>
      </c>
      <c r="X17" s="32">
        <v>32</v>
      </c>
      <c r="Y17" s="1" t="e">
        <f>IF(H17="Nam",VLOOKUP(C17,#REF!,2,0)-(DATEDIF(D17+1,R17,"M")),VLOOKUP(C17,#REF!,2,0)-(DATEDIF(D17+1,R17,"M")))</f>
        <v>#REF!</v>
      </c>
      <c r="Z17" s="166" t="e">
        <f t="shared" si="4"/>
        <v>#REF!</v>
      </c>
      <c r="AA17" s="28" t="e">
        <f t="shared" si="5"/>
        <v>#REF!</v>
      </c>
      <c r="AB17" s="166" t="e">
        <f t="shared" si="9"/>
        <v>#REF!</v>
      </c>
      <c r="AC17" s="166" t="e">
        <f t="shared" si="10"/>
        <v>#REF!</v>
      </c>
      <c r="AD17" s="166">
        <f t="shared" si="11"/>
        <v>56160.000000000007</v>
      </c>
      <c r="AE17" s="166">
        <f t="shared" si="12"/>
        <v>67392.000000000015</v>
      </c>
      <c r="AF17" s="151">
        <v>45717</v>
      </c>
      <c r="AG17" s="29" t="s">
        <v>164</v>
      </c>
      <c r="AH17" s="31"/>
      <c r="AI17" s="166" t="e">
        <f t="shared" si="13"/>
        <v>#REF!</v>
      </c>
      <c r="AJ17" s="87">
        <f t="shared" si="6"/>
        <v>0</v>
      </c>
      <c r="AK17" s="35"/>
      <c r="AL17" s="49"/>
      <c r="AM17" s="35"/>
      <c r="AN17" s="166" t="e">
        <f t="shared" si="7"/>
        <v>#REF!</v>
      </c>
      <c r="AO17" s="25" t="s">
        <v>169</v>
      </c>
    </row>
    <row r="18" spans="1:41" ht="109.2" x14ac:dyDescent="0.3">
      <c r="A18" s="25">
        <v>7</v>
      </c>
      <c r="B18" s="140" t="s">
        <v>26</v>
      </c>
      <c r="C18" s="158">
        <f>DATE(YEAR(D18),MONTH(D18),1)</f>
        <v>26573</v>
      </c>
      <c r="D18" s="148">
        <v>26578</v>
      </c>
      <c r="E18" s="137"/>
      <c r="F18" s="25" t="s">
        <v>71</v>
      </c>
      <c r="G18" s="25" t="s">
        <v>143</v>
      </c>
      <c r="H18" s="25" t="s">
        <v>14</v>
      </c>
      <c r="I18" s="25">
        <v>4.9800000000000004</v>
      </c>
      <c r="J18" s="25"/>
      <c r="K18" s="26">
        <v>0.05</v>
      </c>
      <c r="L18" s="26">
        <v>0.09</v>
      </c>
      <c r="M18" s="26">
        <v>0.5</v>
      </c>
      <c r="N18" s="27"/>
      <c r="O18" s="26"/>
      <c r="P18" s="32"/>
      <c r="Q18" s="6">
        <f t="shared" si="2"/>
        <v>19455.017399999997</v>
      </c>
      <c r="R18" s="29">
        <v>45717</v>
      </c>
      <c r="S18" s="138" t="s">
        <v>91</v>
      </c>
      <c r="T18" s="30">
        <v>28</v>
      </c>
      <c r="U18" s="30">
        <v>3</v>
      </c>
      <c r="V18" s="7">
        <f t="shared" si="3"/>
        <v>339</v>
      </c>
      <c r="W18" s="7" t="s">
        <v>111</v>
      </c>
      <c r="X18" s="32">
        <v>28.5</v>
      </c>
      <c r="Y18" s="1" t="e">
        <f>IF(H18="Nam",VLOOKUP(C18,#REF!,2,0)-(DATEDIF(D18+1,R18,"M")),VLOOKUP(C18,#REF!,2,0)-(DATEDIF(D18+1,R18,"M")))</f>
        <v>#REF!</v>
      </c>
      <c r="Z18" s="24" t="e">
        <f>Y18/12</f>
        <v>#REF!</v>
      </c>
      <c r="AA18" s="83" t="e">
        <f>IF(MOD(Z18,1) = 0, INT(Z18), IF(MOD(Z18,1) &lt; 0.5, INT(Z18) + 0.5, INT(Z18) + 1))</f>
        <v>#REF!</v>
      </c>
      <c r="AB18" s="24" t="e">
        <f t="shared" si="9"/>
        <v>#REF!</v>
      </c>
      <c r="AC18" s="24" t="e">
        <f t="shared" si="10"/>
        <v>#REF!</v>
      </c>
      <c r="AD18" s="24">
        <f t="shared" si="11"/>
        <v>97275.086999999985</v>
      </c>
      <c r="AE18" s="24">
        <f t="shared" si="12"/>
        <v>82683.823949999991</v>
      </c>
      <c r="AF18" s="151">
        <v>45717</v>
      </c>
      <c r="AG18" s="29" t="s">
        <v>164</v>
      </c>
      <c r="AH18" s="31"/>
      <c r="AI18" s="77" t="e">
        <f>AB18+AC18+AD18+AE18-0.042</f>
        <v>#REF!</v>
      </c>
      <c r="AJ18" s="78">
        <f t="shared" si="6"/>
        <v>0</v>
      </c>
      <c r="AK18" s="35"/>
      <c r="AL18" s="49"/>
      <c r="AM18" s="35"/>
      <c r="AN18" s="24" t="e">
        <f t="shared" si="7"/>
        <v>#REF!</v>
      </c>
      <c r="AO18" s="25" t="s">
        <v>169</v>
      </c>
    </row>
    <row r="19" spans="1:41" ht="128.25" customHeight="1" x14ac:dyDescent="0.3">
      <c r="A19" s="25">
        <v>8</v>
      </c>
      <c r="B19" s="142" t="s">
        <v>32</v>
      </c>
      <c r="C19" s="158">
        <f t="shared" si="1"/>
        <v>25842</v>
      </c>
      <c r="D19" s="164">
        <v>25865</v>
      </c>
      <c r="E19" s="149">
        <v>25865</v>
      </c>
      <c r="F19" s="143" t="s">
        <v>74</v>
      </c>
      <c r="G19" s="25" t="s">
        <v>144</v>
      </c>
      <c r="H19" s="25" t="s">
        <v>16</v>
      </c>
      <c r="I19" s="25">
        <v>4.9800000000000004</v>
      </c>
      <c r="J19" s="25">
        <v>0.8</v>
      </c>
      <c r="K19" s="26"/>
      <c r="L19" s="26"/>
      <c r="M19" s="26"/>
      <c r="N19" s="27"/>
      <c r="O19" s="26"/>
      <c r="P19" s="32"/>
      <c r="Q19" s="6">
        <f t="shared" si="2"/>
        <v>13525.2</v>
      </c>
      <c r="R19" s="29">
        <v>45748</v>
      </c>
      <c r="S19" s="138" t="s">
        <v>79</v>
      </c>
      <c r="T19" s="30">
        <v>30</v>
      </c>
      <c r="U19" s="30">
        <v>7</v>
      </c>
      <c r="V19" s="7">
        <f t="shared" si="3"/>
        <v>367</v>
      </c>
      <c r="W19" s="7" t="s">
        <v>112</v>
      </c>
      <c r="X19" s="32">
        <v>31</v>
      </c>
      <c r="Y19" s="1" t="e">
        <f>IF(H19="Nam",VLOOKUP(C19,#REF!,2,0)-(DATEDIF(D19+1,R19,"M")),VLOOKUP(C19,#REF!,2,0)-(DATEDIF(D19+1,R19,"M")))</f>
        <v>#REF!</v>
      </c>
      <c r="Z19" s="24" t="e">
        <f t="shared" si="4"/>
        <v>#REF!</v>
      </c>
      <c r="AA19" s="83" t="e">
        <f t="shared" si="5"/>
        <v>#REF!</v>
      </c>
      <c r="AB19" s="24" t="e">
        <f t="shared" si="9"/>
        <v>#REF!</v>
      </c>
      <c r="AC19" s="24" t="e">
        <f t="shared" si="10"/>
        <v>#REF!</v>
      </c>
      <c r="AD19" s="24">
        <f t="shared" si="11"/>
        <v>67626</v>
      </c>
      <c r="AE19" s="24">
        <f t="shared" si="12"/>
        <v>74388.600000000006</v>
      </c>
      <c r="AF19" s="151">
        <v>45748</v>
      </c>
      <c r="AG19" s="29" t="s">
        <v>162</v>
      </c>
      <c r="AH19" s="31"/>
      <c r="AI19" s="77" t="e">
        <f t="shared" si="13"/>
        <v>#REF!</v>
      </c>
      <c r="AJ19" s="78">
        <f t="shared" si="6"/>
        <v>0</v>
      </c>
      <c r="AK19" s="35"/>
      <c r="AL19" s="49"/>
      <c r="AM19" s="35"/>
      <c r="AN19" s="24" t="e">
        <f t="shared" si="7"/>
        <v>#REF!</v>
      </c>
      <c r="AO19" s="25" t="s">
        <v>170</v>
      </c>
    </row>
    <row r="20" spans="1:41" ht="109.2" x14ac:dyDescent="0.3">
      <c r="A20" s="25">
        <v>9</v>
      </c>
      <c r="B20" s="142" t="s">
        <v>33</v>
      </c>
      <c r="C20" s="158">
        <f t="shared" si="1"/>
        <v>23955</v>
      </c>
      <c r="D20" s="149">
        <v>23973</v>
      </c>
      <c r="E20" s="141"/>
      <c r="F20" s="25" t="s">
        <v>73</v>
      </c>
      <c r="G20" s="25" t="s">
        <v>146</v>
      </c>
      <c r="H20" s="25" t="s">
        <v>14</v>
      </c>
      <c r="I20" s="25">
        <v>4.6500000000000004</v>
      </c>
      <c r="J20" s="25"/>
      <c r="K20" s="26"/>
      <c r="L20" s="26"/>
      <c r="M20" s="26"/>
      <c r="N20" s="27"/>
      <c r="O20" s="26"/>
      <c r="P20" s="32"/>
      <c r="Q20" s="6">
        <f t="shared" si="2"/>
        <v>10881</v>
      </c>
      <c r="R20" s="29">
        <v>45717</v>
      </c>
      <c r="S20" s="138" t="s">
        <v>81</v>
      </c>
      <c r="T20" s="30">
        <v>32</v>
      </c>
      <c r="U20" s="30">
        <v>1</v>
      </c>
      <c r="V20" s="7">
        <f t="shared" si="3"/>
        <v>385</v>
      </c>
      <c r="W20" s="7" t="s">
        <v>113</v>
      </c>
      <c r="X20" s="32">
        <v>32.5</v>
      </c>
      <c r="Y20" s="1" t="e">
        <f>IF(H20="Nam",VLOOKUP(C20,#REF!,2,0)-(DATEDIF(D20+1,R20,"M")),VLOOKUP(C20,#REF!,2,0)-(DATEDIF(D20+1,R20,"M")))</f>
        <v>#REF!</v>
      </c>
      <c r="Z20" s="24" t="e">
        <f t="shared" si="4"/>
        <v>#REF!</v>
      </c>
      <c r="AA20" s="83" t="e">
        <f t="shared" si="5"/>
        <v>#REF!</v>
      </c>
      <c r="AB20" s="24" t="e">
        <f t="shared" si="9"/>
        <v>#REF!</v>
      </c>
      <c r="AC20" s="24" t="e">
        <f t="shared" si="10"/>
        <v>#REF!</v>
      </c>
      <c r="AD20" s="24">
        <f t="shared" si="11"/>
        <v>54405</v>
      </c>
      <c r="AE20" s="24">
        <f t="shared" si="12"/>
        <v>68006.25</v>
      </c>
      <c r="AF20" s="151">
        <v>45717</v>
      </c>
      <c r="AG20" s="29" t="s">
        <v>162</v>
      </c>
      <c r="AH20" s="31"/>
      <c r="AI20" s="77" t="e">
        <f t="shared" si="13"/>
        <v>#REF!</v>
      </c>
      <c r="AJ20" s="78">
        <f t="shared" si="6"/>
        <v>0</v>
      </c>
      <c r="AK20" s="35"/>
      <c r="AL20" s="49"/>
      <c r="AM20" s="35"/>
      <c r="AN20" s="24" t="e">
        <f t="shared" si="7"/>
        <v>#REF!</v>
      </c>
      <c r="AO20" s="25" t="s">
        <v>171</v>
      </c>
    </row>
    <row r="21" spans="1:41" ht="109.2" x14ac:dyDescent="0.3">
      <c r="A21" s="25">
        <v>10</v>
      </c>
      <c r="B21" s="142" t="s">
        <v>34</v>
      </c>
      <c r="C21" s="158">
        <f t="shared" si="1"/>
        <v>24869</v>
      </c>
      <c r="D21" s="149">
        <v>24877</v>
      </c>
      <c r="E21" s="141"/>
      <c r="F21" s="25" t="s">
        <v>73</v>
      </c>
      <c r="G21" s="25" t="s">
        <v>149</v>
      </c>
      <c r="H21" s="25" t="s">
        <v>14</v>
      </c>
      <c r="I21" s="25">
        <v>3.99</v>
      </c>
      <c r="J21" s="25">
        <v>0.4</v>
      </c>
      <c r="K21" s="26"/>
      <c r="L21" s="26"/>
      <c r="M21" s="26"/>
      <c r="N21" s="27"/>
      <c r="O21" s="26"/>
      <c r="P21" s="32"/>
      <c r="Q21" s="6">
        <f t="shared" si="2"/>
        <v>10272.600000000002</v>
      </c>
      <c r="R21" s="29">
        <v>45717</v>
      </c>
      <c r="S21" s="138" t="s">
        <v>82</v>
      </c>
      <c r="T21" s="30">
        <v>20</v>
      </c>
      <c r="U21" s="30">
        <v>9</v>
      </c>
      <c r="V21" s="7">
        <f t="shared" si="3"/>
        <v>249</v>
      </c>
      <c r="W21" s="7" t="s">
        <v>114</v>
      </c>
      <c r="X21" s="32">
        <v>21</v>
      </c>
      <c r="Y21" s="1" t="e">
        <f>IF(H21="Nam",VLOOKUP(C21,#REF!,2,0)-(DATEDIF(D21+1,R21,"M")),VLOOKUP(C21,#REF!,2,0)-(DATEDIF(D21+1,R21,"M")))</f>
        <v>#REF!</v>
      </c>
      <c r="Z21" s="24" t="e">
        <f t="shared" si="4"/>
        <v>#REF!</v>
      </c>
      <c r="AA21" s="83" t="e">
        <f t="shared" si="5"/>
        <v>#REF!</v>
      </c>
      <c r="AB21" s="24" t="e">
        <f t="shared" si="9"/>
        <v>#REF!</v>
      </c>
      <c r="AC21" s="24" t="e">
        <f t="shared" si="10"/>
        <v>#REF!</v>
      </c>
      <c r="AD21" s="24">
        <f t="shared" si="11"/>
        <v>51363.000000000015</v>
      </c>
      <c r="AE21" s="24">
        <f t="shared" si="12"/>
        <v>5136.3000000000011</v>
      </c>
      <c r="AF21" s="151">
        <v>45717</v>
      </c>
      <c r="AG21" s="29" t="s">
        <v>162</v>
      </c>
      <c r="AH21" s="31"/>
      <c r="AI21" s="77" t="e">
        <f t="shared" si="13"/>
        <v>#REF!</v>
      </c>
      <c r="AJ21" s="78">
        <f t="shared" si="6"/>
        <v>0</v>
      </c>
      <c r="AK21" s="35"/>
      <c r="AL21" s="49"/>
      <c r="AM21" s="35"/>
      <c r="AN21" s="24" t="e">
        <f t="shared" si="7"/>
        <v>#REF!</v>
      </c>
      <c r="AO21" s="25" t="s">
        <v>171</v>
      </c>
    </row>
    <row r="22" spans="1:41" ht="109.2" x14ac:dyDescent="0.3">
      <c r="A22" s="25">
        <v>11</v>
      </c>
      <c r="B22" s="142" t="s">
        <v>35</v>
      </c>
      <c r="C22" s="158">
        <f t="shared" si="1"/>
        <v>24532</v>
      </c>
      <c r="D22" s="149">
        <v>24541</v>
      </c>
      <c r="E22" s="141"/>
      <c r="F22" s="25" t="s">
        <v>73</v>
      </c>
      <c r="G22" s="25" t="s">
        <v>148</v>
      </c>
      <c r="H22" s="25" t="s">
        <v>14</v>
      </c>
      <c r="I22" s="25">
        <v>4.9800000000000004</v>
      </c>
      <c r="J22" s="25">
        <v>0.4</v>
      </c>
      <c r="K22" s="26"/>
      <c r="L22" s="26"/>
      <c r="M22" s="26"/>
      <c r="N22" s="27"/>
      <c r="O22" s="26"/>
      <c r="P22" s="32"/>
      <c r="Q22" s="6">
        <f t="shared" si="2"/>
        <v>12589.200000000003</v>
      </c>
      <c r="R22" s="29">
        <v>45717</v>
      </c>
      <c r="S22" s="150">
        <v>34700</v>
      </c>
      <c r="T22" s="30">
        <v>30</v>
      </c>
      <c r="U22" s="30">
        <v>2</v>
      </c>
      <c r="V22" s="7">
        <f t="shared" si="3"/>
        <v>362</v>
      </c>
      <c r="W22" s="7" t="s">
        <v>115</v>
      </c>
      <c r="X22" s="32">
        <v>30.5</v>
      </c>
      <c r="Y22" s="1" t="e">
        <f>IF(H22="Nam",VLOOKUP(C22,#REF!,2,0)-(DATEDIF(D22+1,R22,"M")),VLOOKUP(C22,#REF!,2,0)-(DATEDIF(D22+1,R22,"M")))</f>
        <v>#REF!</v>
      </c>
      <c r="Z22" s="24" t="e">
        <f t="shared" si="4"/>
        <v>#REF!</v>
      </c>
      <c r="AA22" s="83" t="e">
        <f t="shared" si="5"/>
        <v>#REF!</v>
      </c>
      <c r="AB22" s="24" t="e">
        <f t="shared" si="9"/>
        <v>#REF!</v>
      </c>
      <c r="AC22" s="24" t="e">
        <f t="shared" si="10"/>
        <v>#REF!</v>
      </c>
      <c r="AD22" s="24">
        <f t="shared" si="11"/>
        <v>62946.000000000015</v>
      </c>
      <c r="AE22" s="24">
        <f t="shared" si="12"/>
        <v>66093.300000000017</v>
      </c>
      <c r="AF22" s="151">
        <v>45717</v>
      </c>
      <c r="AG22" s="29" t="s">
        <v>162</v>
      </c>
      <c r="AH22" s="31"/>
      <c r="AI22" s="77" t="e">
        <f t="shared" si="13"/>
        <v>#REF!</v>
      </c>
      <c r="AJ22" s="78">
        <f t="shared" si="6"/>
        <v>0</v>
      </c>
      <c r="AK22" s="35"/>
      <c r="AL22" s="49"/>
      <c r="AM22" s="35"/>
      <c r="AN22" s="24" t="e">
        <f t="shared" si="7"/>
        <v>#REF!</v>
      </c>
      <c r="AO22" s="25" t="s">
        <v>171</v>
      </c>
    </row>
    <row r="23" spans="1:41" ht="109.2" x14ac:dyDescent="0.3">
      <c r="A23" s="25">
        <v>12</v>
      </c>
      <c r="B23" s="142" t="s">
        <v>36</v>
      </c>
      <c r="C23" s="158">
        <f t="shared" si="1"/>
        <v>24746</v>
      </c>
      <c r="D23" s="149" t="s">
        <v>38</v>
      </c>
      <c r="E23" s="141"/>
      <c r="F23" s="143" t="s">
        <v>70</v>
      </c>
      <c r="G23" s="25" t="s">
        <v>145</v>
      </c>
      <c r="H23" s="25" t="s">
        <v>14</v>
      </c>
      <c r="I23" s="25">
        <v>5.0199999999999996</v>
      </c>
      <c r="J23" s="25">
        <v>0.3</v>
      </c>
      <c r="K23" s="26"/>
      <c r="L23" s="26"/>
      <c r="M23" s="26"/>
      <c r="N23" s="27"/>
      <c r="O23" s="26"/>
      <c r="P23" s="32"/>
      <c r="Q23" s="6">
        <f t="shared" si="2"/>
        <v>12448.8</v>
      </c>
      <c r="R23" s="29">
        <v>45748</v>
      </c>
      <c r="S23" s="138" t="s">
        <v>79</v>
      </c>
      <c r="T23" s="30">
        <v>30</v>
      </c>
      <c r="U23" s="30">
        <v>7</v>
      </c>
      <c r="V23" s="7">
        <f t="shared" si="3"/>
        <v>367</v>
      </c>
      <c r="W23" s="7" t="s">
        <v>116</v>
      </c>
      <c r="X23" s="32">
        <v>31</v>
      </c>
      <c r="Y23" s="1" t="e">
        <f>IF(H23="Nam",VLOOKUP(C23,#REF!,2,0)-(DATEDIF(D23+1,R23,"M")),VLOOKUP(C23,#REF!,2,0)-(DATEDIF(D23+1,R23,"M")))</f>
        <v>#REF!</v>
      </c>
      <c r="Z23" s="24" t="e">
        <f t="shared" si="4"/>
        <v>#REF!</v>
      </c>
      <c r="AA23" s="83" t="e">
        <f t="shared" si="5"/>
        <v>#REF!</v>
      </c>
      <c r="AB23" s="24" t="e">
        <f t="shared" si="9"/>
        <v>#REF!</v>
      </c>
      <c r="AC23" s="24" t="e">
        <f t="shared" si="10"/>
        <v>#REF!</v>
      </c>
      <c r="AD23" s="24">
        <f t="shared" si="11"/>
        <v>62244</v>
      </c>
      <c r="AE23" s="24">
        <f t="shared" si="12"/>
        <v>68468.399999999994</v>
      </c>
      <c r="AF23" s="151">
        <v>45748</v>
      </c>
      <c r="AG23" s="29" t="s">
        <v>162</v>
      </c>
      <c r="AH23" s="31"/>
      <c r="AI23" s="77" t="e">
        <f t="shared" si="13"/>
        <v>#REF!</v>
      </c>
      <c r="AJ23" s="78">
        <f t="shared" si="6"/>
        <v>0</v>
      </c>
      <c r="AK23" s="35"/>
      <c r="AL23" s="49"/>
      <c r="AM23" s="35"/>
      <c r="AN23" s="24" t="e">
        <f t="shared" si="7"/>
        <v>#REF!</v>
      </c>
      <c r="AO23" s="25" t="s">
        <v>131</v>
      </c>
    </row>
    <row r="24" spans="1:41" ht="109.2" x14ac:dyDescent="0.3">
      <c r="A24" s="25">
        <v>13</v>
      </c>
      <c r="B24" s="142" t="s">
        <v>37</v>
      </c>
      <c r="C24" s="158">
        <f t="shared" si="1"/>
        <v>26359</v>
      </c>
      <c r="D24" s="164" t="s">
        <v>39</v>
      </c>
      <c r="E24" s="141" t="s">
        <v>39</v>
      </c>
      <c r="F24" s="143" t="s">
        <v>70</v>
      </c>
      <c r="G24" s="25" t="s">
        <v>146</v>
      </c>
      <c r="H24" s="25" t="s">
        <v>16</v>
      </c>
      <c r="I24" s="25">
        <v>4.6500000000000004</v>
      </c>
      <c r="J24" s="25"/>
      <c r="K24" s="26"/>
      <c r="L24" s="26"/>
      <c r="M24" s="26"/>
      <c r="N24" s="27"/>
      <c r="O24" s="26"/>
      <c r="P24" s="32"/>
      <c r="Q24" s="6">
        <f t="shared" si="2"/>
        <v>10881</v>
      </c>
      <c r="R24" s="29">
        <v>45717</v>
      </c>
      <c r="S24" s="138" t="s">
        <v>83</v>
      </c>
      <c r="T24" s="30">
        <v>29</v>
      </c>
      <c r="U24" s="30">
        <v>2</v>
      </c>
      <c r="V24" s="7">
        <f t="shared" si="3"/>
        <v>350</v>
      </c>
      <c r="W24" s="7" t="s">
        <v>117</v>
      </c>
      <c r="X24" s="32">
        <v>29.5</v>
      </c>
      <c r="Y24" s="1" t="e">
        <f>IF(H24="Nam",VLOOKUP(C24,#REF!,2,0)-(DATEDIF(D24+1,R24,"M")),VLOOKUP(C24,#REF!,2,0)-(DATEDIF(D24+1,R24,"M")))</f>
        <v>#REF!</v>
      </c>
      <c r="Z24" s="24" t="e">
        <f t="shared" si="4"/>
        <v>#REF!</v>
      </c>
      <c r="AA24" s="83" t="e">
        <f t="shared" si="5"/>
        <v>#REF!</v>
      </c>
      <c r="AB24" s="24" t="e">
        <f t="shared" si="9"/>
        <v>#REF!</v>
      </c>
      <c r="AC24" s="24" t="e">
        <f t="shared" si="10"/>
        <v>#REF!</v>
      </c>
      <c r="AD24" s="24">
        <f t="shared" si="11"/>
        <v>54405</v>
      </c>
      <c r="AE24" s="24">
        <f t="shared" si="12"/>
        <v>51684.75</v>
      </c>
      <c r="AF24" s="151">
        <v>45717</v>
      </c>
      <c r="AG24" s="29" t="s">
        <v>164</v>
      </c>
      <c r="AH24" s="31"/>
      <c r="AI24" s="77" t="e">
        <f t="shared" si="13"/>
        <v>#REF!</v>
      </c>
      <c r="AJ24" s="78">
        <f t="shared" si="6"/>
        <v>0</v>
      </c>
      <c r="AK24" s="35"/>
      <c r="AL24" s="49"/>
      <c r="AM24" s="35"/>
      <c r="AN24" s="24" t="e">
        <f t="shared" si="7"/>
        <v>#REF!</v>
      </c>
      <c r="AO24" s="25" t="s">
        <v>172</v>
      </c>
    </row>
    <row r="25" spans="1:41" ht="109.2" x14ac:dyDescent="0.3">
      <c r="A25" s="25">
        <v>14</v>
      </c>
      <c r="B25" s="140" t="s">
        <v>22</v>
      </c>
      <c r="C25" s="158">
        <f t="shared" si="1"/>
        <v>28399</v>
      </c>
      <c r="D25" s="165">
        <v>28418</v>
      </c>
      <c r="E25" s="137">
        <v>28418</v>
      </c>
      <c r="F25" s="25" t="s">
        <v>71</v>
      </c>
      <c r="G25" s="25" t="s">
        <v>147</v>
      </c>
      <c r="H25" s="25" t="s">
        <v>16</v>
      </c>
      <c r="I25" s="25">
        <v>4.32</v>
      </c>
      <c r="J25" s="25"/>
      <c r="K25" s="26"/>
      <c r="L25" s="26"/>
      <c r="M25" s="26"/>
      <c r="N25" s="27"/>
      <c r="O25" s="26"/>
      <c r="P25" s="32"/>
      <c r="Q25" s="6">
        <f t="shared" si="2"/>
        <v>10108.800000000001</v>
      </c>
      <c r="R25" s="29">
        <v>45717</v>
      </c>
      <c r="S25" s="138" t="s">
        <v>84</v>
      </c>
      <c r="T25" s="30">
        <v>20</v>
      </c>
      <c r="U25" s="30">
        <v>1</v>
      </c>
      <c r="V25" s="7">
        <f t="shared" si="3"/>
        <v>241</v>
      </c>
      <c r="W25" s="7" t="s">
        <v>118</v>
      </c>
      <c r="X25" s="32">
        <v>20.5</v>
      </c>
      <c r="Y25" s="1" t="e">
        <f>IF(H25="Nam",VLOOKUP(C25,#REF!,2,0)-(DATEDIF(D25+1,R25,"M")),VLOOKUP(C25,#REF!,2,0)-(DATEDIF(D25+1,R25,"M")))</f>
        <v>#REF!</v>
      </c>
      <c r="Z25" s="24" t="e">
        <f t="shared" si="4"/>
        <v>#REF!</v>
      </c>
      <c r="AA25" s="83" t="e">
        <f t="shared" si="5"/>
        <v>#REF!</v>
      </c>
      <c r="AB25" s="24"/>
      <c r="AC25" s="24"/>
      <c r="AD25" s="24"/>
      <c r="AE25" s="24"/>
      <c r="AF25" s="151">
        <v>45717</v>
      </c>
      <c r="AG25" s="29"/>
      <c r="AH25" s="29" t="s">
        <v>165</v>
      </c>
      <c r="AI25" s="77">
        <f t="shared" ref="AI25:AI37" si="14">AB25+AC25+AD25+AE25</f>
        <v>0</v>
      </c>
      <c r="AJ25" s="78">
        <f t="shared" si="6"/>
        <v>796068</v>
      </c>
      <c r="AK25" s="35">
        <f t="shared" ref="AK25:AK37" si="15">Q25*0.8*60</f>
        <v>485222.40000000002</v>
      </c>
      <c r="AL25" s="49">
        <f t="shared" ref="AL25:AL37" si="16">X25*1.5*Q25</f>
        <v>310845.60000000003</v>
      </c>
      <c r="AM25" s="35"/>
      <c r="AN25" s="24">
        <f t="shared" si="7"/>
        <v>796068</v>
      </c>
      <c r="AO25" s="25" t="s">
        <v>173</v>
      </c>
    </row>
    <row r="26" spans="1:41" ht="93.6" x14ac:dyDescent="0.3">
      <c r="A26" s="25">
        <v>15</v>
      </c>
      <c r="B26" s="140" t="s">
        <v>24</v>
      </c>
      <c r="C26" s="158">
        <f t="shared" si="1"/>
        <v>29190</v>
      </c>
      <c r="D26" s="165" t="s">
        <v>29</v>
      </c>
      <c r="E26" s="137" t="s">
        <v>29</v>
      </c>
      <c r="F26" s="25" t="s">
        <v>75</v>
      </c>
      <c r="G26" s="25" t="s">
        <v>150</v>
      </c>
      <c r="H26" s="25" t="s">
        <v>16</v>
      </c>
      <c r="I26" s="25">
        <v>4.32</v>
      </c>
      <c r="J26" s="25">
        <v>0.15</v>
      </c>
      <c r="K26" s="26"/>
      <c r="L26" s="26">
        <v>0.16</v>
      </c>
      <c r="M26" s="26">
        <v>0.5</v>
      </c>
      <c r="N26" s="27"/>
      <c r="O26" s="26"/>
      <c r="P26" s="32"/>
      <c r="Q26" s="6">
        <f t="shared" si="2"/>
        <v>17363.268000000004</v>
      </c>
      <c r="R26" s="29">
        <v>45717</v>
      </c>
      <c r="S26" s="138" t="s">
        <v>85</v>
      </c>
      <c r="T26" s="30">
        <v>19</v>
      </c>
      <c r="U26" s="30">
        <v>6</v>
      </c>
      <c r="V26" s="7">
        <f t="shared" si="3"/>
        <v>234</v>
      </c>
      <c r="W26" s="7" t="s">
        <v>119</v>
      </c>
      <c r="X26" s="32">
        <v>19.5</v>
      </c>
      <c r="Y26" s="1" t="e">
        <f>IF(H26="Nam",VLOOKUP(C26,#REF!,2,0)-(DATEDIF(D26+1,R26,"M")),VLOOKUP(C26,#REF!,2,0)-(DATEDIF(D26+1,R26,"M")))</f>
        <v>#REF!</v>
      </c>
      <c r="Z26" s="24" t="e">
        <f t="shared" si="4"/>
        <v>#REF!</v>
      </c>
      <c r="AA26" s="83" t="e">
        <f t="shared" si="5"/>
        <v>#REF!</v>
      </c>
      <c r="AB26" s="24"/>
      <c r="AC26" s="24"/>
      <c r="AD26" s="24"/>
      <c r="AE26" s="24"/>
      <c r="AF26" s="151">
        <v>45717</v>
      </c>
      <c r="AG26" s="31"/>
      <c r="AH26" s="29" t="s">
        <v>134</v>
      </c>
      <c r="AI26" s="77">
        <f t="shared" si="14"/>
        <v>0</v>
      </c>
      <c r="AJ26" s="78">
        <f t="shared" si="6"/>
        <v>1341312.4530000004</v>
      </c>
      <c r="AK26" s="35">
        <f t="shared" si="15"/>
        <v>833436.86400000029</v>
      </c>
      <c r="AL26" s="49">
        <f t="shared" si="16"/>
        <v>507875.58900000009</v>
      </c>
      <c r="AM26" s="35"/>
      <c r="AN26" s="24">
        <f t="shared" si="7"/>
        <v>1341312.4530000004</v>
      </c>
      <c r="AO26" s="25" t="s">
        <v>173</v>
      </c>
    </row>
    <row r="27" spans="1:41" ht="109.2" x14ac:dyDescent="0.3">
      <c r="A27" s="25">
        <v>16</v>
      </c>
      <c r="B27" s="140" t="s">
        <v>25</v>
      </c>
      <c r="C27" s="158">
        <f t="shared" si="1"/>
        <v>31533</v>
      </c>
      <c r="D27" s="165">
        <v>31535</v>
      </c>
      <c r="E27" s="148">
        <v>31535</v>
      </c>
      <c r="F27" s="25" t="s">
        <v>76</v>
      </c>
      <c r="G27" s="25" t="s">
        <v>151</v>
      </c>
      <c r="H27" s="25" t="s">
        <v>16</v>
      </c>
      <c r="I27" s="25">
        <v>3.99</v>
      </c>
      <c r="J27" s="25"/>
      <c r="K27" s="26"/>
      <c r="L27" s="26">
        <v>0.15</v>
      </c>
      <c r="M27" s="26">
        <v>0.5</v>
      </c>
      <c r="N27" s="27"/>
      <c r="O27" s="26"/>
      <c r="P27" s="32"/>
      <c r="Q27" s="6">
        <f t="shared" si="2"/>
        <v>15405.39</v>
      </c>
      <c r="R27" s="29">
        <v>45717</v>
      </c>
      <c r="S27" s="150">
        <v>39661</v>
      </c>
      <c r="T27" s="30">
        <v>16</v>
      </c>
      <c r="U27" s="30">
        <v>7</v>
      </c>
      <c r="V27" s="7">
        <f t="shared" si="3"/>
        <v>199</v>
      </c>
      <c r="W27" s="7" t="s">
        <v>120</v>
      </c>
      <c r="X27" s="32">
        <v>17</v>
      </c>
      <c r="Y27" s="1" t="e">
        <f>IF(H27="Nam",VLOOKUP(C27,#REF!,2,0)-(DATEDIF(D27+1,R27,"M")),VLOOKUP(C27,#REF!,2,0)-(DATEDIF(D27+1,R27,"M")))</f>
        <v>#REF!</v>
      </c>
      <c r="Z27" s="24" t="e">
        <f t="shared" si="4"/>
        <v>#REF!</v>
      </c>
      <c r="AA27" s="83" t="e">
        <f t="shared" si="5"/>
        <v>#REF!</v>
      </c>
      <c r="AB27" s="24"/>
      <c r="AC27" s="24"/>
      <c r="AD27" s="24"/>
      <c r="AE27" s="24"/>
      <c r="AF27" s="151">
        <v>45717</v>
      </c>
      <c r="AG27" s="31"/>
      <c r="AH27" s="29" t="s">
        <v>165</v>
      </c>
      <c r="AI27" s="77">
        <f t="shared" si="14"/>
        <v>0</v>
      </c>
      <c r="AJ27" s="78">
        <f t="shared" si="6"/>
        <v>1132296.165</v>
      </c>
      <c r="AK27" s="35">
        <f t="shared" si="15"/>
        <v>739458.72</v>
      </c>
      <c r="AL27" s="49">
        <f t="shared" si="16"/>
        <v>392837.44500000001</v>
      </c>
      <c r="AM27" s="35"/>
      <c r="AN27" s="24">
        <f t="shared" si="7"/>
        <v>1132296.165</v>
      </c>
      <c r="AO27" s="25" t="s">
        <v>173</v>
      </c>
    </row>
    <row r="28" spans="1:41" ht="109.2" x14ac:dyDescent="0.3">
      <c r="A28" s="25">
        <v>17</v>
      </c>
      <c r="B28" s="140" t="s">
        <v>27</v>
      </c>
      <c r="C28" s="158">
        <f t="shared" si="1"/>
        <v>28369</v>
      </c>
      <c r="D28" s="165" t="s">
        <v>30</v>
      </c>
      <c r="E28" s="137" t="s">
        <v>30</v>
      </c>
      <c r="F28" s="25" t="s">
        <v>77</v>
      </c>
      <c r="G28" s="25" t="s">
        <v>152</v>
      </c>
      <c r="H28" s="25" t="s">
        <v>16</v>
      </c>
      <c r="I28" s="25">
        <v>4.9800000000000004</v>
      </c>
      <c r="J28" s="25">
        <v>0.25</v>
      </c>
      <c r="K28" s="26"/>
      <c r="L28" s="26">
        <v>0.26</v>
      </c>
      <c r="M28" s="26">
        <v>0.5</v>
      </c>
      <c r="N28" s="27"/>
      <c r="O28" s="26"/>
      <c r="P28" s="32"/>
      <c r="Q28" s="6">
        <f t="shared" si="2"/>
        <v>21539.232</v>
      </c>
      <c r="R28" s="29">
        <v>45717</v>
      </c>
      <c r="S28" s="138" t="s">
        <v>86</v>
      </c>
      <c r="T28" s="30">
        <v>26</v>
      </c>
      <c r="U28" s="30">
        <v>6</v>
      </c>
      <c r="V28" s="7">
        <f t="shared" si="3"/>
        <v>318</v>
      </c>
      <c r="W28" s="7" t="s">
        <v>121</v>
      </c>
      <c r="X28" s="32">
        <v>26.5</v>
      </c>
      <c r="Y28" s="1" t="e">
        <f>IF(H28="Nam",VLOOKUP(C28,#REF!,2,0)-(DATEDIF(D28+1,R28,"M")),VLOOKUP(C28,#REF!,2,0)-(DATEDIF(D28+1,R28,"M")))</f>
        <v>#REF!</v>
      </c>
      <c r="Z28" s="24" t="e">
        <f t="shared" si="4"/>
        <v>#REF!</v>
      </c>
      <c r="AA28" s="83" t="e">
        <f t="shared" si="5"/>
        <v>#REF!</v>
      </c>
      <c r="AB28" s="24"/>
      <c r="AC28" s="24"/>
      <c r="AD28" s="24"/>
      <c r="AE28" s="24"/>
      <c r="AF28" s="151">
        <v>45717</v>
      </c>
      <c r="AG28" s="31"/>
      <c r="AH28" s="29" t="s">
        <v>165</v>
      </c>
      <c r="AI28" s="77">
        <f t="shared" si="14"/>
        <v>0</v>
      </c>
      <c r="AJ28" s="78">
        <f t="shared" si="6"/>
        <v>1890067.608</v>
      </c>
      <c r="AK28" s="35">
        <f t="shared" si="15"/>
        <v>1033883.1360000001</v>
      </c>
      <c r="AL28" s="49">
        <f t="shared" si="16"/>
        <v>856184.47199999995</v>
      </c>
      <c r="AM28" s="35"/>
      <c r="AN28" s="24">
        <f t="shared" si="7"/>
        <v>1890067.608</v>
      </c>
      <c r="AO28" s="25" t="s">
        <v>173</v>
      </c>
    </row>
    <row r="29" spans="1:41" ht="109.2" x14ac:dyDescent="0.3">
      <c r="A29" s="25">
        <v>18</v>
      </c>
      <c r="B29" s="140" t="s">
        <v>28</v>
      </c>
      <c r="C29" s="158">
        <f t="shared" si="1"/>
        <v>30529</v>
      </c>
      <c r="D29" s="148" t="s">
        <v>31</v>
      </c>
      <c r="E29" s="2"/>
      <c r="F29" s="25" t="s">
        <v>78</v>
      </c>
      <c r="G29" s="25" t="s">
        <v>151</v>
      </c>
      <c r="H29" s="25" t="s">
        <v>14</v>
      </c>
      <c r="I29" s="25">
        <v>3.99</v>
      </c>
      <c r="J29" s="25"/>
      <c r="K29" s="26"/>
      <c r="L29" s="26">
        <v>0.15</v>
      </c>
      <c r="M29" s="26">
        <v>0.5</v>
      </c>
      <c r="N29" s="27"/>
      <c r="O29" s="26"/>
      <c r="P29" s="32"/>
      <c r="Q29" s="6">
        <f t="shared" si="2"/>
        <v>15405.39</v>
      </c>
      <c r="R29" s="29">
        <v>45717</v>
      </c>
      <c r="S29" s="150">
        <v>39661</v>
      </c>
      <c r="T29" s="30">
        <v>16</v>
      </c>
      <c r="U29" s="30">
        <v>7</v>
      </c>
      <c r="V29" s="7">
        <f t="shared" si="3"/>
        <v>199</v>
      </c>
      <c r="W29" s="7" t="s">
        <v>122</v>
      </c>
      <c r="X29" s="32">
        <v>17</v>
      </c>
      <c r="Y29" s="1" t="e">
        <f>IF(H29="Nam",VLOOKUP(C29,#REF!,2,0)-(DATEDIF(D29+1,R29,"M")),VLOOKUP(C29,#REF!,2,0)-(DATEDIF(D29+1,R29,"M")))</f>
        <v>#REF!</v>
      </c>
      <c r="Z29" s="24" t="e">
        <f t="shared" si="4"/>
        <v>#REF!</v>
      </c>
      <c r="AA29" s="83" t="e">
        <f t="shared" si="5"/>
        <v>#REF!</v>
      </c>
      <c r="AB29" s="24"/>
      <c r="AC29" s="24"/>
      <c r="AD29" s="24"/>
      <c r="AE29" s="24"/>
      <c r="AF29" s="151">
        <v>45717</v>
      </c>
      <c r="AG29" s="31"/>
      <c r="AH29" s="29" t="s">
        <v>165</v>
      </c>
      <c r="AI29" s="77">
        <f t="shared" si="14"/>
        <v>0</v>
      </c>
      <c r="AJ29" s="78">
        <f t="shared" si="6"/>
        <v>1132296.165</v>
      </c>
      <c r="AK29" s="35">
        <f t="shared" si="15"/>
        <v>739458.72</v>
      </c>
      <c r="AL29" s="49">
        <f t="shared" si="16"/>
        <v>392837.44500000001</v>
      </c>
      <c r="AM29" s="35"/>
      <c r="AN29" s="24">
        <f t="shared" si="7"/>
        <v>1132296.165</v>
      </c>
      <c r="AO29" s="25" t="s">
        <v>173</v>
      </c>
    </row>
    <row r="30" spans="1:41" ht="26.4" hidden="1" customHeight="1" x14ac:dyDescent="0.25">
      <c r="A30" s="25"/>
      <c r="B30" s="136"/>
      <c r="C30" s="160">
        <f t="shared" si="1"/>
        <v>1</v>
      </c>
      <c r="D30" s="2"/>
      <c r="E30" s="2"/>
      <c r="F30" s="25"/>
      <c r="G30" s="25"/>
      <c r="H30" s="25"/>
      <c r="I30" s="25"/>
      <c r="J30" s="25"/>
      <c r="K30" s="26"/>
      <c r="L30" s="26"/>
      <c r="M30" s="26"/>
      <c r="N30" s="27"/>
      <c r="O30" s="26"/>
      <c r="P30" s="32"/>
      <c r="Q30" s="6">
        <f t="shared" ref="Q30:Q37" si="17">((I30+J30)+(I30*K30)+(((I30+J30)+(I30*K30))*O30)+(((I30+J30)+(I30*K30))*L30)+(((I30+J30)+(I30*K30))*M30))*2340</f>
        <v>0</v>
      </c>
      <c r="R30" s="29"/>
      <c r="S30" s="29"/>
      <c r="T30" s="30"/>
      <c r="U30" s="30"/>
      <c r="V30" s="7">
        <f t="shared" si="3"/>
        <v>0</v>
      </c>
      <c r="W30" s="7"/>
      <c r="X30" s="32"/>
      <c r="Y30" s="1" t="e">
        <f>IF(H30="Nam",VLOOKUP(C30,#REF!,2,0)-(DATEDIF(D30+1,R30,"M")),VLOOKUP(C30,#REF!,2,0)-(DATEDIF(D30+1,R30,"M")))</f>
        <v>#REF!</v>
      </c>
      <c r="Z30" s="24" t="e">
        <f t="shared" si="4"/>
        <v>#REF!</v>
      </c>
      <c r="AA30" s="83" t="e">
        <f t="shared" si="5"/>
        <v>#REF!</v>
      </c>
      <c r="AB30" s="24" t="e">
        <f t="shared" ref="AB30:AB37" si="18">IF(Y30&lt;=60,Y30*Q30,Q30*0.9*60)</f>
        <v>#REF!</v>
      </c>
      <c r="AC30" s="24" t="e">
        <f t="shared" ref="AC30:AC37" si="19">IF(Y30&lt;=60,5*Q30*AA30,4*Q30*AA30)</f>
        <v>#REF!</v>
      </c>
      <c r="AD30" s="24">
        <f t="shared" ref="AD30:AD37" si="20">5*Q30</f>
        <v>0</v>
      </c>
      <c r="AE30" s="24">
        <f t="shared" ref="AE30:AE37" si="21">(X30-20)*0.5*Q30</f>
        <v>0</v>
      </c>
      <c r="AF30" s="31"/>
      <c r="AG30" s="31"/>
      <c r="AH30" s="31"/>
      <c r="AI30" s="77" t="e">
        <f t="shared" si="14"/>
        <v>#REF!</v>
      </c>
      <c r="AJ30" s="78">
        <f t="shared" si="6"/>
        <v>0</v>
      </c>
      <c r="AK30" s="35">
        <f t="shared" si="15"/>
        <v>0</v>
      </c>
      <c r="AL30" s="49">
        <f t="shared" si="16"/>
        <v>0</v>
      </c>
      <c r="AM30" s="35">
        <f t="shared" ref="AM30:AM37" si="22">Q30*3</f>
        <v>0</v>
      </c>
      <c r="AN30" s="24" t="e">
        <f t="shared" si="7"/>
        <v>#REF!</v>
      </c>
      <c r="AO30" s="11"/>
    </row>
    <row r="31" spans="1:41" ht="26.4" hidden="1" customHeight="1" x14ac:dyDescent="0.25">
      <c r="A31" s="25"/>
      <c r="B31" s="136"/>
      <c r="C31" s="160">
        <f t="shared" si="1"/>
        <v>1</v>
      </c>
      <c r="D31" s="2"/>
      <c r="E31" s="2"/>
      <c r="F31" s="25"/>
      <c r="G31" s="25"/>
      <c r="H31" s="25"/>
      <c r="I31" s="25"/>
      <c r="J31" s="25"/>
      <c r="K31" s="26"/>
      <c r="L31" s="26"/>
      <c r="M31" s="26"/>
      <c r="N31" s="27"/>
      <c r="O31" s="26"/>
      <c r="P31" s="32"/>
      <c r="Q31" s="6">
        <f t="shared" si="17"/>
        <v>0</v>
      </c>
      <c r="R31" s="29"/>
      <c r="S31" s="29"/>
      <c r="T31" s="30"/>
      <c r="U31" s="30"/>
      <c r="V31" s="7">
        <f t="shared" si="3"/>
        <v>0</v>
      </c>
      <c r="W31" s="7"/>
      <c r="X31" s="32"/>
      <c r="Y31" s="1" t="e">
        <f>IF(H31="Nam",VLOOKUP(C31,#REF!,2,0)-(DATEDIF(D31+1,R31,"M")),VLOOKUP(C31,#REF!,2,0)-(DATEDIF(D31+1,R31,"M")))</f>
        <v>#REF!</v>
      </c>
      <c r="Z31" s="24" t="e">
        <f t="shared" si="4"/>
        <v>#REF!</v>
      </c>
      <c r="AA31" s="83" t="e">
        <f t="shared" si="5"/>
        <v>#REF!</v>
      </c>
      <c r="AB31" s="24" t="e">
        <f t="shared" si="18"/>
        <v>#REF!</v>
      </c>
      <c r="AC31" s="24" t="e">
        <f t="shared" si="19"/>
        <v>#REF!</v>
      </c>
      <c r="AD31" s="24">
        <f t="shared" si="20"/>
        <v>0</v>
      </c>
      <c r="AE31" s="24">
        <f t="shared" si="21"/>
        <v>0</v>
      </c>
      <c r="AF31" s="31"/>
      <c r="AG31" s="31"/>
      <c r="AH31" s="31"/>
      <c r="AI31" s="77" t="e">
        <f t="shared" si="14"/>
        <v>#REF!</v>
      </c>
      <c r="AJ31" s="78">
        <f t="shared" si="6"/>
        <v>0</v>
      </c>
      <c r="AK31" s="35">
        <f t="shared" si="15"/>
        <v>0</v>
      </c>
      <c r="AL31" s="49">
        <f t="shared" si="16"/>
        <v>0</v>
      </c>
      <c r="AM31" s="35">
        <f t="shared" si="22"/>
        <v>0</v>
      </c>
      <c r="AN31" s="24" t="e">
        <f t="shared" si="7"/>
        <v>#REF!</v>
      </c>
      <c r="AO31" s="11"/>
    </row>
    <row r="32" spans="1:41" ht="26.4" hidden="1" customHeight="1" x14ac:dyDescent="0.25">
      <c r="A32" s="25"/>
      <c r="B32" s="136"/>
      <c r="C32" s="160">
        <f t="shared" si="1"/>
        <v>1</v>
      </c>
      <c r="D32" s="2"/>
      <c r="E32" s="2"/>
      <c r="F32" s="25"/>
      <c r="G32" s="25"/>
      <c r="H32" s="25"/>
      <c r="I32" s="25"/>
      <c r="J32" s="25"/>
      <c r="K32" s="26"/>
      <c r="L32" s="26"/>
      <c r="M32" s="26"/>
      <c r="N32" s="27"/>
      <c r="O32" s="26"/>
      <c r="P32" s="32"/>
      <c r="Q32" s="6">
        <f t="shared" si="17"/>
        <v>0</v>
      </c>
      <c r="R32" s="29"/>
      <c r="S32" s="29"/>
      <c r="T32" s="30"/>
      <c r="U32" s="30"/>
      <c r="V32" s="7">
        <f t="shared" si="3"/>
        <v>0</v>
      </c>
      <c r="W32" s="7"/>
      <c r="X32" s="32"/>
      <c r="Y32" s="1" t="e">
        <f>IF(H32="Nam",VLOOKUP(C32,#REF!,2,0)-(DATEDIF(D32+1,R32,"M")),VLOOKUP(C32,#REF!,2,0)-(DATEDIF(D32+1,R32,"M")))</f>
        <v>#REF!</v>
      </c>
      <c r="Z32" s="24" t="e">
        <f t="shared" si="4"/>
        <v>#REF!</v>
      </c>
      <c r="AA32" s="83" t="e">
        <f t="shared" si="5"/>
        <v>#REF!</v>
      </c>
      <c r="AB32" s="24" t="e">
        <f t="shared" si="18"/>
        <v>#REF!</v>
      </c>
      <c r="AC32" s="24" t="e">
        <f t="shared" si="19"/>
        <v>#REF!</v>
      </c>
      <c r="AD32" s="24">
        <f t="shared" si="20"/>
        <v>0</v>
      </c>
      <c r="AE32" s="24">
        <f t="shared" si="21"/>
        <v>0</v>
      </c>
      <c r="AF32" s="31"/>
      <c r="AG32" s="31"/>
      <c r="AH32" s="31"/>
      <c r="AI32" s="77" t="e">
        <f t="shared" si="14"/>
        <v>#REF!</v>
      </c>
      <c r="AJ32" s="78">
        <f t="shared" si="6"/>
        <v>0</v>
      </c>
      <c r="AK32" s="35">
        <f t="shared" si="15"/>
        <v>0</v>
      </c>
      <c r="AL32" s="49">
        <f t="shared" si="16"/>
        <v>0</v>
      </c>
      <c r="AM32" s="35">
        <f t="shared" si="22"/>
        <v>0</v>
      </c>
      <c r="AN32" s="24" t="e">
        <f t="shared" si="7"/>
        <v>#REF!</v>
      </c>
      <c r="AO32" s="11"/>
    </row>
    <row r="33" spans="1:41" ht="26.4" hidden="1" customHeight="1" x14ac:dyDescent="0.25">
      <c r="A33" s="25"/>
      <c r="B33" s="136"/>
      <c r="C33" s="160">
        <f t="shared" si="1"/>
        <v>1</v>
      </c>
      <c r="D33" s="2"/>
      <c r="E33" s="2"/>
      <c r="F33" s="25"/>
      <c r="G33" s="25"/>
      <c r="H33" s="25"/>
      <c r="I33" s="25"/>
      <c r="J33" s="25"/>
      <c r="K33" s="26"/>
      <c r="L33" s="26"/>
      <c r="M33" s="26"/>
      <c r="N33" s="27"/>
      <c r="O33" s="26"/>
      <c r="P33" s="32"/>
      <c r="Q33" s="6">
        <f t="shared" si="17"/>
        <v>0</v>
      </c>
      <c r="R33" s="29"/>
      <c r="S33" s="29"/>
      <c r="T33" s="30"/>
      <c r="U33" s="30"/>
      <c r="V33" s="7">
        <f t="shared" si="3"/>
        <v>0</v>
      </c>
      <c r="W33" s="7"/>
      <c r="X33" s="32"/>
      <c r="Y33" s="1" t="e">
        <f>IF(H33="Nam",VLOOKUP(C33,#REF!,2,0)-(DATEDIF(D33+1,R33,"M")),VLOOKUP(C33,#REF!,2,0)-(DATEDIF(D33+1,R33,"M")))</f>
        <v>#REF!</v>
      </c>
      <c r="Z33" s="24" t="e">
        <f t="shared" si="4"/>
        <v>#REF!</v>
      </c>
      <c r="AA33" s="83" t="e">
        <f t="shared" si="5"/>
        <v>#REF!</v>
      </c>
      <c r="AB33" s="24" t="e">
        <f t="shared" si="18"/>
        <v>#REF!</v>
      </c>
      <c r="AC33" s="24" t="e">
        <f t="shared" si="19"/>
        <v>#REF!</v>
      </c>
      <c r="AD33" s="24">
        <f t="shared" si="20"/>
        <v>0</v>
      </c>
      <c r="AE33" s="24">
        <f t="shared" si="21"/>
        <v>0</v>
      </c>
      <c r="AF33" s="31"/>
      <c r="AG33" s="31"/>
      <c r="AH33" s="31"/>
      <c r="AI33" s="77" t="e">
        <f t="shared" si="14"/>
        <v>#REF!</v>
      </c>
      <c r="AJ33" s="78">
        <f t="shared" si="6"/>
        <v>0</v>
      </c>
      <c r="AK33" s="35">
        <f t="shared" si="15"/>
        <v>0</v>
      </c>
      <c r="AL33" s="49">
        <f t="shared" si="16"/>
        <v>0</v>
      </c>
      <c r="AM33" s="35">
        <f t="shared" si="22"/>
        <v>0</v>
      </c>
      <c r="AN33" s="24" t="e">
        <f t="shared" si="7"/>
        <v>#REF!</v>
      </c>
      <c r="AO33" s="11"/>
    </row>
    <row r="34" spans="1:41" ht="26.4" hidden="1" customHeight="1" x14ac:dyDescent="0.25">
      <c r="A34" s="25"/>
      <c r="B34" s="136"/>
      <c r="C34" s="160">
        <f t="shared" si="1"/>
        <v>1</v>
      </c>
      <c r="D34" s="2"/>
      <c r="E34" s="2"/>
      <c r="F34" s="25"/>
      <c r="G34" s="25"/>
      <c r="H34" s="25"/>
      <c r="I34" s="25"/>
      <c r="J34" s="25"/>
      <c r="K34" s="26"/>
      <c r="L34" s="26"/>
      <c r="M34" s="26"/>
      <c r="N34" s="27"/>
      <c r="O34" s="26"/>
      <c r="P34" s="32"/>
      <c r="Q34" s="6">
        <f t="shared" si="17"/>
        <v>0</v>
      </c>
      <c r="R34" s="29"/>
      <c r="S34" s="29"/>
      <c r="T34" s="30"/>
      <c r="U34" s="30"/>
      <c r="V34" s="7">
        <f t="shared" si="3"/>
        <v>0</v>
      </c>
      <c r="W34" s="7"/>
      <c r="X34" s="32"/>
      <c r="Y34" s="1" t="e">
        <f>IF(H34="Nam",VLOOKUP(C34,#REF!,2,0)-(DATEDIF(D34+1,R34,"M")),VLOOKUP(C34,#REF!,2,0)-(DATEDIF(D34+1,R34,"M")))</f>
        <v>#REF!</v>
      </c>
      <c r="Z34" s="24" t="e">
        <f t="shared" si="4"/>
        <v>#REF!</v>
      </c>
      <c r="AA34" s="83" t="e">
        <f t="shared" si="5"/>
        <v>#REF!</v>
      </c>
      <c r="AB34" s="24" t="e">
        <f t="shared" si="18"/>
        <v>#REF!</v>
      </c>
      <c r="AC34" s="24" t="e">
        <f t="shared" si="19"/>
        <v>#REF!</v>
      </c>
      <c r="AD34" s="24">
        <f t="shared" si="20"/>
        <v>0</v>
      </c>
      <c r="AE34" s="24">
        <f t="shared" si="21"/>
        <v>0</v>
      </c>
      <c r="AF34" s="31"/>
      <c r="AG34" s="31"/>
      <c r="AH34" s="31"/>
      <c r="AI34" s="77" t="e">
        <f t="shared" si="14"/>
        <v>#REF!</v>
      </c>
      <c r="AJ34" s="78">
        <f t="shared" si="6"/>
        <v>0</v>
      </c>
      <c r="AK34" s="35">
        <f t="shared" si="15"/>
        <v>0</v>
      </c>
      <c r="AL34" s="49">
        <f t="shared" si="16"/>
        <v>0</v>
      </c>
      <c r="AM34" s="35">
        <f t="shared" si="22"/>
        <v>0</v>
      </c>
      <c r="AN34" s="24" t="e">
        <f t="shared" si="7"/>
        <v>#REF!</v>
      </c>
      <c r="AO34" s="11"/>
    </row>
    <row r="35" spans="1:41" ht="26.4" hidden="1" customHeight="1" x14ac:dyDescent="0.25">
      <c r="A35" s="25"/>
      <c r="B35" s="136"/>
      <c r="C35" s="160">
        <f t="shared" si="1"/>
        <v>1</v>
      </c>
      <c r="D35" s="2"/>
      <c r="E35" s="2"/>
      <c r="F35" s="25"/>
      <c r="G35" s="25"/>
      <c r="H35" s="25"/>
      <c r="I35" s="25"/>
      <c r="J35" s="25"/>
      <c r="K35" s="26"/>
      <c r="L35" s="26"/>
      <c r="M35" s="26"/>
      <c r="N35" s="27"/>
      <c r="O35" s="26"/>
      <c r="P35" s="32"/>
      <c r="Q35" s="6">
        <f t="shared" si="17"/>
        <v>0</v>
      </c>
      <c r="R35" s="29"/>
      <c r="S35" s="29"/>
      <c r="T35" s="30"/>
      <c r="U35" s="30"/>
      <c r="V35" s="7">
        <f t="shared" si="3"/>
        <v>0</v>
      </c>
      <c r="W35" s="7"/>
      <c r="X35" s="32"/>
      <c r="Y35" s="1" t="e">
        <f>IF(H35="Nam",VLOOKUP(C35,#REF!,2,0)-(DATEDIF(D35+1,R35,"M")),VLOOKUP(C35,#REF!,2,0)-(DATEDIF(D35+1,R35,"M")))</f>
        <v>#REF!</v>
      </c>
      <c r="Z35" s="24" t="e">
        <f t="shared" si="4"/>
        <v>#REF!</v>
      </c>
      <c r="AA35" s="83" t="e">
        <f t="shared" si="5"/>
        <v>#REF!</v>
      </c>
      <c r="AB35" s="24" t="e">
        <f t="shared" si="18"/>
        <v>#REF!</v>
      </c>
      <c r="AC35" s="24" t="e">
        <f t="shared" si="19"/>
        <v>#REF!</v>
      </c>
      <c r="AD35" s="24">
        <f t="shared" si="20"/>
        <v>0</v>
      </c>
      <c r="AE35" s="24">
        <f t="shared" si="21"/>
        <v>0</v>
      </c>
      <c r="AF35" s="31"/>
      <c r="AG35" s="31"/>
      <c r="AH35" s="31"/>
      <c r="AI35" s="77" t="e">
        <f t="shared" si="14"/>
        <v>#REF!</v>
      </c>
      <c r="AJ35" s="78">
        <f t="shared" si="6"/>
        <v>0</v>
      </c>
      <c r="AK35" s="35">
        <f t="shared" si="15"/>
        <v>0</v>
      </c>
      <c r="AL35" s="49">
        <f t="shared" si="16"/>
        <v>0</v>
      </c>
      <c r="AM35" s="35">
        <f t="shared" si="22"/>
        <v>0</v>
      </c>
      <c r="AN35" s="24" t="e">
        <f t="shared" si="7"/>
        <v>#REF!</v>
      </c>
      <c r="AO35" s="11"/>
    </row>
    <row r="36" spans="1:41" ht="26.4" hidden="1" customHeight="1" x14ac:dyDescent="0.25">
      <c r="A36" s="25"/>
      <c r="B36" s="136"/>
      <c r="C36" s="160">
        <f t="shared" si="1"/>
        <v>1</v>
      </c>
      <c r="D36" s="2"/>
      <c r="E36" s="2"/>
      <c r="F36" s="25"/>
      <c r="G36" s="25"/>
      <c r="H36" s="25"/>
      <c r="I36" s="25"/>
      <c r="J36" s="25"/>
      <c r="K36" s="26"/>
      <c r="L36" s="26"/>
      <c r="M36" s="26"/>
      <c r="N36" s="27"/>
      <c r="O36" s="26"/>
      <c r="P36" s="32"/>
      <c r="Q36" s="6">
        <f t="shared" si="17"/>
        <v>0</v>
      </c>
      <c r="R36" s="29"/>
      <c r="S36" s="29"/>
      <c r="T36" s="30"/>
      <c r="U36" s="30"/>
      <c r="V36" s="7">
        <f t="shared" si="3"/>
        <v>0</v>
      </c>
      <c r="W36" s="7"/>
      <c r="X36" s="32"/>
      <c r="Y36" s="1" t="e">
        <f>IF(H36="Nam",VLOOKUP(C36,#REF!,2,0)-(DATEDIF(D36+1,R36,"M")),VLOOKUP(C36,#REF!,2,0)-(DATEDIF(D36+1,R36,"M")))</f>
        <v>#REF!</v>
      </c>
      <c r="Z36" s="24" t="e">
        <f t="shared" si="4"/>
        <v>#REF!</v>
      </c>
      <c r="AA36" s="83" t="e">
        <f t="shared" si="5"/>
        <v>#REF!</v>
      </c>
      <c r="AB36" s="24" t="e">
        <f t="shared" si="18"/>
        <v>#REF!</v>
      </c>
      <c r="AC36" s="24" t="e">
        <f t="shared" si="19"/>
        <v>#REF!</v>
      </c>
      <c r="AD36" s="24">
        <f t="shared" si="20"/>
        <v>0</v>
      </c>
      <c r="AE36" s="24">
        <f t="shared" si="21"/>
        <v>0</v>
      </c>
      <c r="AF36" s="31"/>
      <c r="AG36" s="31"/>
      <c r="AH36" s="31"/>
      <c r="AI36" s="77" t="e">
        <f t="shared" si="14"/>
        <v>#REF!</v>
      </c>
      <c r="AJ36" s="78">
        <f t="shared" si="6"/>
        <v>0</v>
      </c>
      <c r="AK36" s="35">
        <f t="shared" si="15"/>
        <v>0</v>
      </c>
      <c r="AL36" s="49">
        <f t="shared" si="16"/>
        <v>0</v>
      </c>
      <c r="AM36" s="35">
        <f t="shared" si="22"/>
        <v>0</v>
      </c>
      <c r="AN36" s="24" t="e">
        <f t="shared" si="7"/>
        <v>#REF!</v>
      </c>
      <c r="AO36" s="11"/>
    </row>
    <row r="37" spans="1:41" ht="15.75" hidden="1" x14ac:dyDescent="0.25">
      <c r="A37" s="50"/>
      <c r="B37" s="144"/>
      <c r="C37" s="161">
        <f t="shared" si="1"/>
        <v>1</v>
      </c>
      <c r="D37" s="51"/>
      <c r="E37" s="51"/>
      <c r="F37" s="50"/>
      <c r="G37" s="50"/>
      <c r="H37" s="50"/>
      <c r="I37" s="50"/>
      <c r="J37" s="50"/>
      <c r="K37" s="52"/>
      <c r="L37" s="52"/>
      <c r="M37" s="52"/>
      <c r="N37" s="53"/>
      <c r="O37" s="52"/>
      <c r="P37" s="58"/>
      <c r="Q37" s="54">
        <f t="shared" si="17"/>
        <v>0</v>
      </c>
      <c r="R37" s="55"/>
      <c r="S37" s="55"/>
      <c r="T37" s="56"/>
      <c r="U37" s="56"/>
      <c r="V37" s="57">
        <f t="shared" si="3"/>
        <v>0</v>
      </c>
      <c r="W37" s="57"/>
      <c r="X37" s="58"/>
      <c r="Y37" s="59" t="e">
        <f>IF(H37="Nam",VLOOKUP(C37,#REF!,2,0)-(DATEDIF(D37+1,R37,"M")),VLOOKUP(C37,#REF!,2,0)-(DATEDIF(D37+1,R37,"M")))</f>
        <v>#REF!</v>
      </c>
      <c r="Z37" s="60" t="e">
        <f t="shared" si="4"/>
        <v>#REF!</v>
      </c>
      <c r="AA37" s="85" t="e">
        <f t="shared" si="5"/>
        <v>#REF!</v>
      </c>
      <c r="AB37" s="60" t="e">
        <f t="shared" si="18"/>
        <v>#REF!</v>
      </c>
      <c r="AC37" s="60" t="e">
        <f t="shared" si="19"/>
        <v>#REF!</v>
      </c>
      <c r="AD37" s="60">
        <f t="shared" si="20"/>
        <v>0</v>
      </c>
      <c r="AE37" s="60">
        <f t="shared" si="21"/>
        <v>0</v>
      </c>
      <c r="AF37" s="61"/>
      <c r="AG37" s="61"/>
      <c r="AH37" s="61"/>
      <c r="AI37" s="79" t="e">
        <f t="shared" si="14"/>
        <v>#REF!</v>
      </c>
      <c r="AJ37" s="80">
        <f t="shared" si="6"/>
        <v>0</v>
      </c>
      <c r="AK37" s="62">
        <f t="shared" si="15"/>
        <v>0</v>
      </c>
      <c r="AL37" s="63">
        <f t="shared" si="16"/>
        <v>0</v>
      </c>
      <c r="AM37" s="62">
        <f t="shared" si="22"/>
        <v>0</v>
      </c>
      <c r="AN37" s="60" t="e">
        <f t="shared" si="7"/>
        <v>#REF!</v>
      </c>
      <c r="AO37" s="4"/>
    </row>
    <row r="38" spans="1:41" s="34" customFormat="1" ht="37.5" customHeight="1" x14ac:dyDescent="0.3">
      <c r="A38" s="185" t="s">
        <v>123</v>
      </c>
      <c r="B38" s="186"/>
      <c r="C38" s="186"/>
      <c r="D38" s="186"/>
      <c r="E38" s="186"/>
      <c r="F38" s="186"/>
      <c r="G38" s="187"/>
      <c r="H38" s="65"/>
      <c r="I38" s="65"/>
      <c r="J38" s="65"/>
      <c r="K38" s="66"/>
      <c r="L38" s="66"/>
      <c r="M38" s="66"/>
      <c r="N38" s="67"/>
      <c r="O38" s="66"/>
      <c r="P38" s="72"/>
      <c r="Q38" s="68"/>
      <c r="R38" s="69"/>
      <c r="S38" s="69"/>
      <c r="T38" s="70"/>
      <c r="U38" s="70"/>
      <c r="V38" s="71"/>
      <c r="W38" s="71"/>
      <c r="X38" s="72"/>
      <c r="Y38" s="73"/>
      <c r="Z38" s="68"/>
      <c r="AA38" s="84"/>
      <c r="AB38" s="68"/>
      <c r="AC38" s="68"/>
      <c r="AD38" s="68"/>
      <c r="AE38" s="68"/>
      <c r="AF38" s="69"/>
      <c r="AG38" s="69"/>
      <c r="AH38" s="69"/>
      <c r="AI38" s="77" t="e">
        <f t="shared" ref="AI38:AN38" si="23">AI10+AI12</f>
        <v>#REF!</v>
      </c>
      <c r="AJ38" s="77">
        <f t="shared" si="23"/>
        <v>6292040.3910000008</v>
      </c>
      <c r="AK38" s="68">
        <f t="shared" si="23"/>
        <v>3831459.8400000008</v>
      </c>
      <c r="AL38" s="68">
        <f t="shared" si="23"/>
        <v>2460580.551</v>
      </c>
      <c r="AM38" s="68">
        <f t="shared" si="23"/>
        <v>0</v>
      </c>
      <c r="AN38" s="68" t="e">
        <f t="shared" si="23"/>
        <v>#REF!</v>
      </c>
      <c r="AO38" s="145"/>
    </row>
  </sheetData>
  <mergeCells count="50">
    <mergeCell ref="N1:V1"/>
    <mergeCell ref="N2:V2"/>
    <mergeCell ref="F4:AN4"/>
    <mergeCell ref="A6:A8"/>
    <mergeCell ref="B6:B8"/>
    <mergeCell ref="W6:W8"/>
    <mergeCell ref="F6:F8"/>
    <mergeCell ref="G6:G8"/>
    <mergeCell ref="Z6:AA7"/>
    <mergeCell ref="I7:I8"/>
    <mergeCell ref="J7:J8"/>
    <mergeCell ref="K7:K8"/>
    <mergeCell ref="L7:L8"/>
    <mergeCell ref="AL7:AL8"/>
    <mergeCell ref="AM7:AM8"/>
    <mergeCell ref="A1:B2"/>
    <mergeCell ref="AK6:AM6"/>
    <mergeCell ref="AB7:AB8"/>
    <mergeCell ref="AC7:AC8"/>
    <mergeCell ref="AD7:AD8"/>
    <mergeCell ref="AE7:AE8"/>
    <mergeCell ref="AB6:AE6"/>
    <mergeCell ref="AG7:AG8"/>
    <mergeCell ref="AH7:AH8"/>
    <mergeCell ref="A38:G38"/>
    <mergeCell ref="AO6:AO8"/>
    <mergeCell ref="AN6:AN8"/>
    <mergeCell ref="I6:P6"/>
    <mergeCell ref="Q6:Q8"/>
    <mergeCell ref="P7:P8"/>
    <mergeCell ref="AF6:AF8"/>
    <mergeCell ref="S6:V6"/>
    <mergeCell ref="S7:S8"/>
    <mergeCell ref="T7:T8"/>
    <mergeCell ref="U7:U8"/>
    <mergeCell ref="AI6:AJ6"/>
    <mergeCell ref="AI7:AI8"/>
    <mergeCell ref="AJ7:AJ8"/>
    <mergeCell ref="AG6:AH6"/>
    <mergeCell ref="AK7:AK8"/>
    <mergeCell ref="X6:X8"/>
    <mergeCell ref="Y6:Y8"/>
    <mergeCell ref="V7:V8"/>
    <mergeCell ref="O7:O8"/>
    <mergeCell ref="N7:N8"/>
    <mergeCell ref="D6:E7"/>
    <mergeCell ref="C6:C8"/>
    <mergeCell ref="M7:M8"/>
    <mergeCell ref="H6:H8"/>
    <mergeCell ref="R6:R8"/>
  </mergeCells>
  <pageMargins left="0" right="0" top="0" bottom="0" header="0" footer="0"/>
  <pageSetup paperSize="9" scale="4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DS TONG HOP</vt:lpstr>
      <vt:lpstr>Sheet1</vt:lpstr>
      <vt:lpstr>'DS TONG HOP'!Print_Titles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Trung Kiên Hà</dc:creator>
  <cp:lastModifiedBy>HP</cp:lastModifiedBy>
  <cp:lastPrinted>2025-03-27T02:54:07Z</cp:lastPrinted>
  <dcterms:created xsi:type="dcterms:W3CDTF">2025-01-02T07:55:26Z</dcterms:created>
  <dcterms:modified xsi:type="dcterms:W3CDTF">2025-03-31T11:32:50Z</dcterms:modified>
</cp:coreProperties>
</file>

<file path=package/services/digital-signature/_rels/origin.psdsor.rels>&#65279;<?xml version="1.0" encoding="utf-8"?><Relationships xmlns="http://schemas.openxmlformats.org/package/2006/relationships"><Relationship Type="http://schemas.openxmlformats.org/package/2006/relationships/digital-signature/signature" Target="/package/services/digital-signature/xml-signature/f76a9dde883741e5a16e902545fd6440.psdsxs" Id="R3c8d7fa3fe734220" /></Relationships>
</file>