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psdsor" ContentType="application/vnd.openxmlformats-package.digital-signature-origin"/>
  <Default Extension="psdsxs" ContentType="application/vnd.openxmlformats-package.digital-signature-xmlsignatur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package/2006/relationships/digital-signature/origin" Target="/package/services/digital-signature/origin.psdsor" Id="R9c6f487feccd44e0" /></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0" windowHeight="1296" tabRatio="601" firstSheet="12" activeTab="12"/>
  </bookViews>
  <sheets>
    <sheet name="KL-NOTP" sheetId="59" state="hidden" r:id="rId1"/>
    <sheet name="THKP" sheetId="58" state="hidden" r:id="rId2"/>
    <sheet name="KPXD" sheetId="57" state="hidden" r:id="rId3"/>
    <sheet name="THKL" sheetId="34" state="hidden" r:id="rId4"/>
    <sheet name="KLTB" sheetId="66" state="hidden" r:id="rId5"/>
    <sheet name="CPTB" sheetId="65" state="hidden" r:id="rId6"/>
    <sheet name="DTCT" sheetId="64" state="hidden" r:id="rId7"/>
    <sheet name="PTDG" sheetId="47" state="hidden" r:id="rId8"/>
    <sheet name="THVL" sheetId="62" state="hidden" r:id="rId9"/>
    <sheet name="PTVT" sheetId="61" state="hidden" r:id="rId10"/>
    <sheet name="PLBGHĐ" sheetId="68" state="hidden" r:id="rId11"/>
    <sheet name="ĐONGIATĐ" sheetId="77" state="hidden" r:id="rId12"/>
    <sheet name="PL CTĐG" sheetId="67" r:id="rId13"/>
    <sheet name="Sheet2" sheetId="86" state="hidden" r:id="rId14"/>
    <sheet name="THĐGTĐ" sheetId="78" state="hidden" r:id="rId15"/>
    <sheet name="PTĐGTĐ" sheetId="79" state="hidden" r:id="rId16"/>
    <sheet name="THCĐ" sheetId="76" state="hidden" r:id="rId17"/>
    <sheet name="KLCT MC+KCG" sheetId="82" state="hidden" r:id="rId18"/>
    <sheet name="KLCT VSM +PQCD" sheetId="84" state="hidden" r:id="rId19"/>
    <sheet name="Mặt biển phàn quang 1" sheetId="69" state="hidden" r:id="rId20"/>
    <sheet name="CPKS" sheetId="63" state="hidden" r:id="rId21"/>
    <sheet name="Mặt biển phản quang 2" sheetId="83" state="hidden" r:id="rId22"/>
    <sheet name="số lượng cầu" sheetId="71" state="hidden" r:id="rId23"/>
    <sheet name="coc tiêu,km, biển báo" sheetId="72" state="hidden" r:id="rId24"/>
    <sheet name="TH phao," sheetId="73" state="hidden" r:id="rId25"/>
    <sheet name="TH BH" sheetId="74" state="hidden" r:id="rId26"/>
    <sheet name="TH rãnh kín" sheetId="75" state="hidden" r:id="rId27"/>
    <sheet name="Sheet1" sheetId="85" state="hidden" r:id="rId28"/>
    <sheet name="Sheet3" sheetId="87" state="hidden" r:id="rId29"/>
    <sheet name="danh mục định mức" sheetId="88" state="hidden" r:id="rId30"/>
    <sheet name="Thuyết minh đơn giá" sheetId="89" state="hidden" r:id="rId31"/>
    <sheet name="Thuyết minh công thức" sheetId="90" state="hidden" r:id="rId32"/>
  </sheets>
  <externalReferences>
    <externalReference r:id="rId33"/>
    <externalReference r:id="rId34"/>
  </externalReferences>
  <definedNames>
    <definedName name="_xlnm.Print_Titles" localSheetId="5">CPTB!$5:$5</definedName>
    <definedName name="_xlnm.Print_Titles" localSheetId="6">DTCT!$4:$5</definedName>
    <definedName name="_xlnm.Print_Titles" localSheetId="4">KLTB!$5:$5</definedName>
    <definedName name="_xlnm.Print_Titles" localSheetId="12">'PL CTĐG'!$5:$5</definedName>
    <definedName name="_xlnm.Print_Titles" localSheetId="7">PTDG!$5:$5</definedName>
    <definedName name="_xlnm.Print_Titles" localSheetId="9">PTVT!$4:$5</definedName>
    <definedName name="_xlnm.Print_Titles" localSheetId="3">THKL!$4:$4</definedName>
  </definedNames>
  <calcPr calcId="144525"/>
</workbook>
</file>

<file path=xl/calcChain.xml><?xml version="1.0" encoding="utf-8"?>
<calcChain xmlns="http://schemas.openxmlformats.org/spreadsheetml/2006/main">
  <c r="C62" i="67" l="1"/>
  <c r="O8" i="67" l="1"/>
  <c r="K9" i="67"/>
  <c r="K12" i="67"/>
  <c r="K13" i="67"/>
  <c r="K14" i="67"/>
  <c r="K15" i="67"/>
  <c r="K17" i="67"/>
  <c r="K18" i="67"/>
  <c r="K19" i="67"/>
  <c r="K20" i="67"/>
  <c r="K22" i="67"/>
  <c r="K23" i="67"/>
  <c r="K24" i="67"/>
  <c r="K25" i="67"/>
  <c r="K27" i="67"/>
  <c r="K28" i="67"/>
  <c r="K29" i="67"/>
  <c r="K30" i="67"/>
  <c r="K33" i="67"/>
  <c r="K34" i="67"/>
  <c r="K35" i="67"/>
  <c r="K37" i="67"/>
  <c r="K38" i="67"/>
  <c r="K40" i="67"/>
  <c r="K41" i="67"/>
  <c r="K42" i="67"/>
  <c r="K43" i="67"/>
  <c r="K45" i="67"/>
  <c r="K46" i="67"/>
  <c r="K47" i="67"/>
  <c r="K48" i="67"/>
  <c r="K50" i="67"/>
  <c r="K51" i="67"/>
  <c r="K53" i="67"/>
  <c r="K54" i="67"/>
  <c r="K55" i="67"/>
  <c r="K56" i="67"/>
  <c r="K58" i="67"/>
  <c r="K59" i="67"/>
  <c r="K60" i="67"/>
  <c r="K61" i="67"/>
  <c r="K64" i="67"/>
  <c r="K65" i="67"/>
  <c r="K67" i="67"/>
  <c r="K68" i="67"/>
  <c r="K69" i="67"/>
  <c r="K71" i="67"/>
  <c r="K72" i="67"/>
  <c r="K73" i="67"/>
  <c r="K74" i="67"/>
  <c r="K75" i="67"/>
  <c r="K76" i="67"/>
  <c r="K78" i="67"/>
  <c r="K79" i="67"/>
  <c r="K80" i="67"/>
  <c r="K81" i="67"/>
  <c r="K82" i="67"/>
  <c r="K84" i="67"/>
  <c r="K85" i="67"/>
  <c r="K87" i="67"/>
  <c r="K88" i="67"/>
  <c r="K90" i="67"/>
  <c r="K91" i="67"/>
  <c r="K92" i="67"/>
  <c r="K93" i="67"/>
  <c r="K94" i="67"/>
  <c r="K95" i="67"/>
  <c r="K96" i="67"/>
  <c r="K97" i="67"/>
  <c r="K98" i="67"/>
  <c r="K99" i="67"/>
  <c r="K100" i="67"/>
  <c r="K101" i="67"/>
  <c r="K8" i="67"/>
  <c r="G10" i="79" l="1"/>
  <c r="G9" i="79" s="1"/>
  <c r="G12" i="79"/>
  <c r="G13" i="79"/>
  <c r="G16" i="79"/>
  <c r="G15" i="79" s="1"/>
  <c r="I9" i="67" s="1"/>
  <c r="M9" i="67" s="1"/>
  <c r="G18" i="79"/>
  <c r="G17" i="79" s="1"/>
  <c r="J9" i="67" s="1"/>
  <c r="G19" i="79"/>
  <c r="G24" i="79"/>
  <c r="G23" i="79" s="1"/>
  <c r="G26" i="79"/>
  <c r="G25" i="79" s="1"/>
  <c r="G29" i="79"/>
  <c r="G28" i="79" s="1"/>
  <c r="I13" i="67" s="1"/>
  <c r="M13" i="67" s="1"/>
  <c r="G31" i="79"/>
  <c r="G30" i="79" s="1"/>
  <c r="J13" i="67" s="1"/>
  <c r="G34" i="79"/>
  <c r="G33" i="79" s="1"/>
  <c r="G36" i="79"/>
  <c r="G35" i="79" s="1"/>
  <c r="G39" i="79"/>
  <c r="G38" i="79" s="1"/>
  <c r="I15" i="67" s="1"/>
  <c r="G41" i="79"/>
  <c r="G40" i="79" s="1"/>
  <c r="J15" i="67" s="1"/>
  <c r="G45" i="79"/>
  <c r="G44" i="79" s="1"/>
  <c r="I17" i="67" s="1"/>
  <c r="G47" i="79"/>
  <c r="G46" i="79" s="1"/>
  <c r="J17" i="67" s="1"/>
  <c r="G50" i="79"/>
  <c r="G49" i="79" s="1"/>
  <c r="I18" i="67" s="1"/>
  <c r="M18" i="67" s="1"/>
  <c r="G52" i="79"/>
  <c r="G51" i="79" s="1"/>
  <c r="J18" i="67" s="1"/>
  <c r="G55" i="79"/>
  <c r="G54" i="79" s="1"/>
  <c r="G57" i="79"/>
  <c r="G56" i="79" s="1"/>
  <c r="J19" i="67" s="1"/>
  <c r="G60" i="79"/>
  <c r="G59" i="79" s="1"/>
  <c r="G62" i="79"/>
  <c r="G61" i="79" s="1"/>
  <c r="G66" i="79"/>
  <c r="G65" i="79" s="1"/>
  <c r="I22" i="67" s="1"/>
  <c r="M22" i="67" s="1"/>
  <c r="G68" i="79"/>
  <c r="G67" i="79" s="1"/>
  <c r="J22" i="67" s="1"/>
  <c r="G71" i="79"/>
  <c r="G70" i="79" s="1"/>
  <c r="G73" i="79"/>
  <c r="G72" i="79" s="1"/>
  <c r="G76" i="79"/>
  <c r="G75" i="79" s="1"/>
  <c r="I24" i="67" s="1"/>
  <c r="M24" i="67" s="1"/>
  <c r="G78" i="79"/>
  <c r="G77" i="79" s="1"/>
  <c r="J24" i="67" s="1"/>
  <c r="G81" i="79"/>
  <c r="G80" i="79" s="1"/>
  <c r="I25" i="67" s="1"/>
  <c r="G83" i="79"/>
  <c r="G82" i="79" s="1"/>
  <c r="G87" i="79"/>
  <c r="G86" i="79" s="1"/>
  <c r="G89" i="79"/>
  <c r="G88" i="79" s="1"/>
  <c r="J27" i="67" s="1"/>
  <c r="G92" i="79"/>
  <c r="G91" i="79" s="1"/>
  <c r="G94" i="79"/>
  <c r="G93" i="79" s="1"/>
  <c r="J28" i="67" s="1"/>
  <c r="G97" i="79"/>
  <c r="G96" i="79" s="1"/>
  <c r="I29" i="67" s="1"/>
  <c r="M29" i="67" s="1"/>
  <c r="G99" i="79"/>
  <c r="G98" i="79" s="1"/>
  <c r="J29" i="67" s="1"/>
  <c r="G102" i="79"/>
  <c r="G101" i="79" s="1"/>
  <c r="G104" i="79"/>
  <c r="G103" i="79" s="1"/>
  <c r="J30" i="67" s="1"/>
  <c r="G108" i="79"/>
  <c r="G109" i="79"/>
  <c r="G112" i="79"/>
  <c r="G111" i="79" s="1"/>
  <c r="I33" i="67" s="1"/>
  <c r="M33" i="67" s="1"/>
  <c r="G115" i="79"/>
  <c r="G116" i="79"/>
  <c r="G119" i="79"/>
  <c r="G118" i="79" s="1"/>
  <c r="G122" i="79"/>
  <c r="G123" i="79"/>
  <c r="G126" i="79"/>
  <c r="G125" i="79" s="1"/>
  <c r="G129" i="79"/>
  <c r="G130" i="79"/>
  <c r="G133" i="79"/>
  <c r="G132" i="79" s="1"/>
  <c r="G136" i="79"/>
  <c r="G137" i="79"/>
  <c r="G138" i="79"/>
  <c r="G139" i="79"/>
  <c r="F140" i="79"/>
  <c r="G140" i="79" s="1"/>
  <c r="G142" i="79"/>
  <c r="G141" i="79" s="1"/>
  <c r="I37" i="67" s="1"/>
  <c r="M37" i="67" s="1"/>
  <c r="G145" i="79"/>
  <c r="G146" i="79"/>
  <c r="G147" i="79"/>
  <c r="G148" i="79"/>
  <c r="F149" i="79"/>
  <c r="G149" i="79" s="1"/>
  <c r="G151" i="79"/>
  <c r="G150" i="79" s="1"/>
  <c r="I38" i="67" s="1"/>
  <c r="M38" i="67" s="1"/>
  <c r="G155" i="79"/>
  <c r="F156" i="79" s="1"/>
  <c r="G156" i="79" s="1"/>
  <c r="G154" i="79" s="1"/>
  <c r="G158" i="79"/>
  <c r="G157" i="79" s="1"/>
  <c r="I40" i="67" s="1"/>
  <c r="M40" i="67" s="1"/>
  <c r="G161" i="79"/>
  <c r="G164" i="79"/>
  <c r="G163" i="79" s="1"/>
  <c r="I41" i="67" s="1"/>
  <c r="M41" i="67" s="1"/>
  <c r="G167" i="79"/>
  <c r="F168" i="79" s="1"/>
  <c r="G168" i="79" s="1"/>
  <c r="G166" i="79" s="1"/>
  <c r="G170" i="79"/>
  <c r="G169" i="79" s="1"/>
  <c r="I42" i="67" s="1"/>
  <c r="M42" i="67" s="1"/>
  <c r="G173" i="79"/>
  <c r="G176" i="79"/>
  <c r="G175" i="79" s="1"/>
  <c r="I43" i="67" s="1"/>
  <c r="M43" i="67" s="1"/>
  <c r="G180" i="79"/>
  <c r="G181" i="79"/>
  <c r="G184" i="79"/>
  <c r="G183" i="79" s="1"/>
  <c r="G187" i="79"/>
  <c r="G188" i="79"/>
  <c r="G191" i="79"/>
  <c r="G190" i="79" s="1"/>
  <c r="G194" i="79"/>
  <c r="G195" i="79"/>
  <c r="G198" i="79"/>
  <c r="G197" i="79" s="1"/>
  <c r="I47" i="67" s="1"/>
  <c r="M47" i="67" s="1"/>
  <c r="G201" i="79"/>
  <c r="G202" i="79"/>
  <c r="G205" i="79"/>
  <c r="G204" i="79" s="1"/>
  <c r="G209" i="79"/>
  <c r="G210" i="79"/>
  <c r="G213" i="79"/>
  <c r="G212" i="79" s="1"/>
  <c r="G216" i="79"/>
  <c r="G217" i="79"/>
  <c r="G220" i="79"/>
  <c r="G219" i="79" s="1"/>
  <c r="G224" i="79"/>
  <c r="F225" i="79"/>
  <c r="G225" i="79" s="1"/>
  <c r="G223" i="79" s="1"/>
  <c r="G227" i="79"/>
  <c r="G226" i="79" s="1"/>
  <c r="I53" i="67" s="1"/>
  <c r="M53" i="67" s="1"/>
  <c r="G229" i="79"/>
  <c r="G228" i="79" s="1"/>
  <c r="J53" i="67" s="1"/>
  <c r="G232" i="79"/>
  <c r="G235" i="79"/>
  <c r="G234" i="79" s="1"/>
  <c r="G237" i="79"/>
  <c r="G236" i="79" s="1"/>
  <c r="J54" i="67" s="1"/>
  <c r="G240" i="79"/>
  <c r="F241" i="79" s="1"/>
  <c r="G241" i="79" s="1"/>
  <c r="G239" i="79" s="1"/>
  <c r="G243" i="79"/>
  <c r="G242" i="79" s="1"/>
  <c r="I55" i="67" s="1"/>
  <c r="M55" i="67" s="1"/>
  <c r="G245" i="79"/>
  <c r="G244" i="79" s="1"/>
  <c r="J55" i="67" s="1"/>
  <c r="G248" i="79"/>
  <c r="G251" i="79"/>
  <c r="G250" i="79" s="1"/>
  <c r="G253" i="79"/>
  <c r="G252" i="79" s="1"/>
  <c r="G257" i="79"/>
  <c r="F258" i="79" s="1"/>
  <c r="G258" i="79" s="1"/>
  <c r="G256" i="79" s="1"/>
  <c r="G260" i="79"/>
  <c r="G259" i="79" s="1"/>
  <c r="I58" i="67" s="1"/>
  <c r="M58" i="67" s="1"/>
  <c r="G263" i="79"/>
  <c r="G266" i="79"/>
  <c r="G265" i="79" s="1"/>
  <c r="G269" i="79"/>
  <c r="F270" i="79" s="1"/>
  <c r="G270" i="79" s="1"/>
  <c r="G268" i="79" s="1"/>
  <c r="G272" i="79"/>
  <c r="G271" i="79" s="1"/>
  <c r="I60" i="67" s="1"/>
  <c r="M60" i="67" s="1"/>
  <c r="G275" i="79"/>
  <c r="G278" i="79"/>
  <c r="G277" i="79" s="1"/>
  <c r="G282" i="79"/>
  <c r="G283" i="79"/>
  <c r="G286" i="79"/>
  <c r="G285" i="79" s="1"/>
  <c r="G288" i="79"/>
  <c r="G287" i="79" s="1"/>
  <c r="G291" i="79"/>
  <c r="G292" i="79"/>
  <c r="G295" i="79"/>
  <c r="G294" i="79" s="1"/>
  <c r="G297" i="79"/>
  <c r="G296" i="79" s="1"/>
  <c r="G301" i="79"/>
  <c r="G302" i="79"/>
  <c r="G305" i="79"/>
  <c r="G304" i="79" s="1"/>
  <c r="G307" i="79"/>
  <c r="G306" i="79" s="1"/>
  <c r="G310" i="79"/>
  <c r="G311" i="79"/>
  <c r="G314" i="79"/>
  <c r="G313" i="79" s="1"/>
  <c r="G316" i="79"/>
  <c r="G315" i="79" s="1"/>
  <c r="G319" i="79"/>
  <c r="G320" i="79"/>
  <c r="G323" i="79"/>
  <c r="G322" i="79" s="1"/>
  <c r="G325" i="79"/>
  <c r="G324" i="79" s="1"/>
  <c r="G329" i="79"/>
  <c r="G330" i="79"/>
  <c r="G333" i="79"/>
  <c r="G332" i="79" s="1"/>
  <c r="G336" i="79"/>
  <c r="G337" i="79"/>
  <c r="G340" i="79"/>
  <c r="G339" i="79" s="1"/>
  <c r="G343" i="79"/>
  <c r="G344" i="79"/>
  <c r="G347" i="79"/>
  <c r="G346" i="79" s="1"/>
  <c r="G350" i="79"/>
  <c r="G351" i="79"/>
  <c r="G354" i="79"/>
  <c r="G353" i="79" s="1"/>
  <c r="G357" i="79"/>
  <c r="G358" i="79"/>
  <c r="G361" i="79"/>
  <c r="G360" i="79" s="1"/>
  <c r="G364" i="79"/>
  <c r="G365" i="79"/>
  <c r="F366" i="79" s="1"/>
  <c r="G366" i="79" s="1"/>
  <c r="G368" i="79"/>
  <c r="G367" i="79" s="1"/>
  <c r="G370" i="79"/>
  <c r="G369" i="79" s="1"/>
  <c r="G373" i="79"/>
  <c r="G372" i="79" s="1"/>
  <c r="F76" i="67" s="1"/>
  <c r="G375" i="79"/>
  <c r="G374" i="79" s="1"/>
  <c r="I76" i="67" s="1"/>
  <c r="M76" i="67" s="1"/>
  <c r="G379" i="79"/>
  <c r="G382" i="79"/>
  <c r="G381" i="79" s="1"/>
  <c r="G384" i="79"/>
  <c r="G383" i="79" s="1"/>
  <c r="G387" i="79"/>
  <c r="F388" i="79" s="1"/>
  <c r="G388" i="79" s="1"/>
  <c r="G386" i="79" s="1"/>
  <c r="G390" i="79"/>
  <c r="G389" i="79" s="1"/>
  <c r="I79" i="67" s="1"/>
  <c r="G392" i="79"/>
  <c r="G391" i="79" s="1"/>
  <c r="J79" i="67" s="1"/>
  <c r="G395" i="79"/>
  <c r="G398" i="79"/>
  <c r="G397" i="79" s="1"/>
  <c r="G400" i="79"/>
  <c r="G399" i="79" s="1"/>
  <c r="G403" i="79"/>
  <c r="F404" i="79" s="1"/>
  <c r="G404" i="79" s="1"/>
  <c r="G402" i="79" s="1"/>
  <c r="G406" i="79"/>
  <c r="G405" i="79" s="1"/>
  <c r="I81" i="67" s="1"/>
  <c r="M81" i="67" s="1"/>
  <c r="G408" i="79"/>
  <c r="G407" i="79" s="1"/>
  <c r="J81" i="67" s="1"/>
  <c r="G411" i="79"/>
  <c r="F412" i="79" s="1"/>
  <c r="G412" i="79" s="1"/>
  <c r="G410" i="79" s="1"/>
  <c r="G414" i="79"/>
  <c r="G413" i="79" s="1"/>
  <c r="I82" i="67" s="1"/>
  <c r="G416" i="79"/>
  <c r="G415" i="79" s="1"/>
  <c r="G419" i="79"/>
  <c r="F420" i="79" s="1"/>
  <c r="G420" i="79" s="1"/>
  <c r="G418" i="79" s="1"/>
  <c r="G422" i="79"/>
  <c r="G421" i="79" s="1"/>
  <c r="G424" i="79"/>
  <c r="G423" i="79" s="1"/>
  <c r="G428" i="79"/>
  <c r="F429" i="79" s="1"/>
  <c r="G429" i="79" s="1"/>
  <c r="G431" i="79"/>
  <c r="G430" i="79" s="1"/>
  <c r="G433" i="79"/>
  <c r="G432" i="79" s="1"/>
  <c r="J84" i="67" s="1"/>
  <c r="G436" i="79"/>
  <c r="G439" i="79"/>
  <c r="G438" i="79" s="1"/>
  <c r="I85" i="67" s="1"/>
  <c r="M85" i="67" s="1"/>
  <c r="G441" i="79"/>
  <c r="G440" i="79" s="1"/>
  <c r="J85" i="67" s="1"/>
  <c r="G445" i="79"/>
  <c r="F446" i="79" s="1"/>
  <c r="G446" i="79" s="1"/>
  <c r="G448" i="79"/>
  <c r="G447" i="79" s="1"/>
  <c r="I87" i="67" s="1"/>
  <c r="M87" i="67" s="1"/>
  <c r="G451" i="79"/>
  <c r="F452" i="79" s="1"/>
  <c r="G452" i="79" s="1"/>
  <c r="G454" i="79"/>
  <c r="G453" i="79" s="1"/>
  <c r="I88" i="67" s="1"/>
  <c r="M88" i="67" s="1"/>
  <c r="G458" i="79"/>
  <c r="F459" i="79" s="1"/>
  <c r="G459" i="79" s="1"/>
  <c r="G461" i="79"/>
  <c r="G460" i="79" s="1"/>
  <c r="I90" i="67" s="1"/>
  <c r="G464" i="79"/>
  <c r="F465" i="79" s="1"/>
  <c r="G465" i="79" s="1"/>
  <c r="G467" i="79"/>
  <c r="G466" i="79" s="1"/>
  <c r="I91" i="67" s="1"/>
  <c r="G470" i="79"/>
  <c r="F471" i="79" s="1"/>
  <c r="G471" i="79" s="1"/>
  <c r="G469" i="79" s="1"/>
  <c r="G473" i="79"/>
  <c r="G472" i="79" s="1"/>
  <c r="I92" i="67" s="1"/>
  <c r="G476" i="79"/>
  <c r="G479" i="79"/>
  <c r="G478" i="79" s="1"/>
  <c r="I93" i="67" s="1"/>
  <c r="G482" i="79"/>
  <c r="F483" i="79" s="1"/>
  <c r="G483" i="79" s="1"/>
  <c r="G481" i="79" s="1"/>
  <c r="G485" i="79"/>
  <c r="G484" i="79" s="1"/>
  <c r="I94" i="67" s="1"/>
  <c r="G487" i="79"/>
  <c r="G486" i="79" s="1"/>
  <c r="J94" i="67" s="1"/>
  <c r="G490" i="79"/>
  <c r="G489" i="79" s="1"/>
  <c r="G493" i="79"/>
  <c r="G492" i="79" s="1"/>
  <c r="G496" i="79"/>
  <c r="G495" i="79" s="1"/>
  <c r="G499" i="79"/>
  <c r="G498" i="79" s="1"/>
  <c r="G502" i="79"/>
  <c r="G501" i="79" s="1"/>
  <c r="G505" i="79"/>
  <c r="G504" i="79" s="1"/>
  <c r="G508" i="79"/>
  <c r="G507" i="79" s="1"/>
  <c r="C7" i="67"/>
  <c r="B8" i="67"/>
  <c r="C8" i="67"/>
  <c r="D8" i="67"/>
  <c r="I8" i="67"/>
  <c r="B9" i="67"/>
  <c r="C9" i="67"/>
  <c r="D9" i="67"/>
  <c r="C10" i="67"/>
  <c r="C11" i="67"/>
  <c r="B12" i="67"/>
  <c r="C12" i="67"/>
  <c r="D12" i="67"/>
  <c r="I12" i="67"/>
  <c r="M12" i="67" s="1"/>
  <c r="J12" i="67"/>
  <c r="B13" i="67"/>
  <c r="C13" i="67"/>
  <c r="D13" i="67"/>
  <c r="B14" i="67"/>
  <c r="C14" i="67"/>
  <c r="D14" i="67"/>
  <c r="J14" i="67"/>
  <c r="B15" i="67"/>
  <c r="C15" i="67"/>
  <c r="D15" i="67"/>
  <c r="E15" i="67"/>
  <c r="C16" i="67"/>
  <c r="B17" i="67"/>
  <c r="C17" i="67"/>
  <c r="D17" i="67"/>
  <c r="B18" i="67"/>
  <c r="C18" i="67"/>
  <c r="D18" i="67"/>
  <c r="B19" i="67"/>
  <c r="C19" i="67"/>
  <c r="D19" i="67"/>
  <c r="B20" i="67"/>
  <c r="C20" i="67"/>
  <c r="D20" i="67"/>
  <c r="J20" i="67"/>
  <c r="C21" i="67"/>
  <c r="B22" i="67"/>
  <c r="C22" i="67"/>
  <c r="D22" i="67"/>
  <c r="B23" i="67"/>
  <c r="C23" i="67"/>
  <c r="D23" i="67"/>
  <c r="I23" i="67"/>
  <c r="J23" i="67"/>
  <c r="B24" i="67"/>
  <c r="C24" i="67"/>
  <c r="D24" i="67"/>
  <c r="B25" i="67"/>
  <c r="C25" i="67"/>
  <c r="D25" i="67"/>
  <c r="J25" i="67"/>
  <c r="C26" i="67"/>
  <c r="B27" i="67"/>
  <c r="C27" i="67"/>
  <c r="D27" i="67"/>
  <c r="B28" i="67"/>
  <c r="C28" i="67"/>
  <c r="D28" i="67"/>
  <c r="I28" i="67"/>
  <c r="M28" i="67" s="1"/>
  <c r="B29" i="67"/>
  <c r="C29" i="67"/>
  <c r="D29" i="67"/>
  <c r="B30" i="67"/>
  <c r="C30" i="67"/>
  <c r="D30" i="67"/>
  <c r="C31" i="67"/>
  <c r="B32" i="67"/>
  <c r="C33" i="67"/>
  <c r="D33" i="67"/>
  <c r="C34" i="67"/>
  <c r="D34" i="67"/>
  <c r="I34" i="67"/>
  <c r="M34" i="67" s="1"/>
  <c r="C35" i="67"/>
  <c r="D35" i="67"/>
  <c r="I35" i="67"/>
  <c r="M35" i="67" s="1"/>
  <c r="C37" i="67"/>
  <c r="D37" i="67"/>
  <c r="C38" i="67"/>
  <c r="D38" i="67"/>
  <c r="B39" i="67"/>
  <c r="C39" i="67"/>
  <c r="C40" i="67"/>
  <c r="D40" i="67"/>
  <c r="C41" i="67"/>
  <c r="D41" i="67"/>
  <c r="C42" i="67"/>
  <c r="D42" i="67"/>
  <c r="C43" i="67"/>
  <c r="D43" i="67"/>
  <c r="C44" i="67"/>
  <c r="B45" i="67"/>
  <c r="C45" i="67"/>
  <c r="D45" i="67"/>
  <c r="I45" i="67"/>
  <c r="M45" i="67" s="1"/>
  <c r="B46" i="67"/>
  <c r="C46" i="67"/>
  <c r="D46" i="67"/>
  <c r="I46" i="67"/>
  <c r="M46" i="67" s="1"/>
  <c r="B47" i="67"/>
  <c r="C47" i="67"/>
  <c r="D47" i="67"/>
  <c r="B48" i="67"/>
  <c r="C48" i="67"/>
  <c r="D48" i="67"/>
  <c r="I48" i="67"/>
  <c r="M48" i="67" s="1"/>
  <c r="C49" i="67"/>
  <c r="B50" i="67"/>
  <c r="C50" i="67"/>
  <c r="D50" i="67"/>
  <c r="I50" i="67"/>
  <c r="M50" i="67" s="1"/>
  <c r="B51" i="67"/>
  <c r="C51" i="67"/>
  <c r="D51" i="67"/>
  <c r="I51" i="67"/>
  <c r="M51" i="67" s="1"/>
  <c r="B52" i="67"/>
  <c r="C52" i="67"/>
  <c r="C53" i="67"/>
  <c r="D53" i="67"/>
  <c r="C54" i="67"/>
  <c r="D54" i="67"/>
  <c r="I54" i="67"/>
  <c r="M54" i="67" s="1"/>
  <c r="C55" i="67"/>
  <c r="D55" i="67"/>
  <c r="C56" i="67"/>
  <c r="D56" i="67"/>
  <c r="I56" i="67"/>
  <c r="M56" i="67" s="1"/>
  <c r="J56" i="67"/>
  <c r="C57" i="67"/>
  <c r="B58" i="67"/>
  <c r="C58" i="67"/>
  <c r="D58" i="67"/>
  <c r="B59" i="67"/>
  <c r="C59" i="67"/>
  <c r="D59" i="67"/>
  <c r="I59" i="67"/>
  <c r="M59" i="67" s="1"/>
  <c r="B60" i="67"/>
  <c r="C60" i="67"/>
  <c r="D60" i="67"/>
  <c r="B61" i="67"/>
  <c r="C61" i="67"/>
  <c r="D61" i="67"/>
  <c r="I61" i="67"/>
  <c r="M61" i="67" s="1"/>
  <c r="B63" i="67"/>
  <c r="C64" i="67"/>
  <c r="D64" i="67"/>
  <c r="I64" i="67"/>
  <c r="M64" i="67" s="1"/>
  <c r="J64" i="67"/>
  <c r="C65" i="67"/>
  <c r="D65" i="67"/>
  <c r="I65" i="67"/>
  <c r="J65" i="67"/>
  <c r="B66" i="67"/>
  <c r="C66" i="67"/>
  <c r="D66" i="67"/>
  <c r="C67" i="67"/>
  <c r="D67" i="67"/>
  <c r="I67" i="67"/>
  <c r="M67" i="67" s="1"/>
  <c r="J67" i="67"/>
  <c r="C68" i="67"/>
  <c r="D68" i="67"/>
  <c r="I68" i="67"/>
  <c r="M68" i="67" s="1"/>
  <c r="J68" i="67"/>
  <c r="C69" i="67"/>
  <c r="D69" i="67"/>
  <c r="I69" i="67"/>
  <c r="M69" i="67" s="1"/>
  <c r="J69" i="67"/>
  <c r="C70" i="67"/>
  <c r="B71" i="67"/>
  <c r="C71" i="67"/>
  <c r="D71" i="67"/>
  <c r="I71" i="67"/>
  <c r="M71" i="67" s="1"/>
  <c r="B72" i="67"/>
  <c r="C72" i="67"/>
  <c r="D72" i="67"/>
  <c r="I72" i="67"/>
  <c r="M72" i="67" s="1"/>
  <c r="B73" i="67"/>
  <c r="C73" i="67"/>
  <c r="D73" i="67"/>
  <c r="I73" i="67"/>
  <c r="M73" i="67" s="1"/>
  <c r="B74" i="67"/>
  <c r="C74" i="67"/>
  <c r="D74" i="67"/>
  <c r="I74" i="67"/>
  <c r="M74" i="67" s="1"/>
  <c r="B75" i="67"/>
  <c r="C75" i="67"/>
  <c r="D75" i="67"/>
  <c r="I75" i="67"/>
  <c r="M75" i="67" s="1"/>
  <c r="J75" i="67"/>
  <c r="B76" i="67"/>
  <c r="C76" i="67"/>
  <c r="D76" i="67"/>
  <c r="C77" i="67"/>
  <c r="B78" i="67"/>
  <c r="C78" i="67"/>
  <c r="D78" i="67"/>
  <c r="I78" i="67"/>
  <c r="M78" i="67" s="1"/>
  <c r="J78" i="67"/>
  <c r="B79" i="67"/>
  <c r="C79" i="67"/>
  <c r="D79" i="67"/>
  <c r="B80" i="67"/>
  <c r="C80" i="67"/>
  <c r="D80" i="67"/>
  <c r="I80" i="67"/>
  <c r="M80" i="67" s="1"/>
  <c r="J80" i="67"/>
  <c r="B81" i="67"/>
  <c r="C81" i="67"/>
  <c r="D81" i="67"/>
  <c r="B82" i="67"/>
  <c r="C82" i="67"/>
  <c r="D82" i="67"/>
  <c r="E82" i="67"/>
  <c r="J82" i="67"/>
  <c r="C83" i="67"/>
  <c r="B84" i="67"/>
  <c r="C84" i="67"/>
  <c r="D84" i="67"/>
  <c r="I84" i="67"/>
  <c r="M84" i="67" s="1"/>
  <c r="B85" i="67"/>
  <c r="C85" i="67"/>
  <c r="D85" i="67"/>
  <c r="C86" i="67"/>
  <c r="B87" i="67"/>
  <c r="C87" i="67"/>
  <c r="D87" i="67"/>
  <c r="B88" i="67"/>
  <c r="C88" i="67"/>
  <c r="D88" i="67"/>
  <c r="C89" i="67"/>
  <c r="B90" i="67"/>
  <c r="C90" i="67"/>
  <c r="D90" i="67"/>
  <c r="B91" i="67"/>
  <c r="C91" i="67"/>
  <c r="D91" i="67"/>
  <c r="B92" i="67"/>
  <c r="C92" i="67"/>
  <c r="D92" i="67"/>
  <c r="B93" i="67"/>
  <c r="C93" i="67"/>
  <c r="D93" i="67"/>
  <c r="B94" i="67"/>
  <c r="C94" i="67"/>
  <c r="D94" i="67"/>
  <c r="B95" i="67"/>
  <c r="C95" i="67"/>
  <c r="B96" i="67"/>
  <c r="C96" i="67"/>
  <c r="B97" i="67"/>
  <c r="C97" i="67"/>
  <c r="B98" i="67"/>
  <c r="C98" i="67"/>
  <c r="B99" i="67"/>
  <c r="C99" i="67"/>
  <c r="B100" i="67"/>
  <c r="C100" i="67"/>
  <c r="B101" i="67"/>
  <c r="C101" i="67"/>
  <c r="F293" i="79" l="1"/>
  <c r="G293" i="79" s="1"/>
  <c r="G497" i="79"/>
  <c r="I98" i="67"/>
  <c r="M98" i="67" s="1"/>
  <c r="G85" i="79"/>
  <c r="G100" i="79"/>
  <c r="G32" i="79"/>
  <c r="F321" i="79"/>
  <c r="G321" i="79" s="1"/>
  <c r="G318" i="79" s="1"/>
  <c r="G317" i="79" s="1"/>
  <c r="F312" i="79"/>
  <c r="G312" i="79" s="1"/>
  <c r="I30" i="67"/>
  <c r="M30" i="67" s="1"/>
  <c r="G69" i="79"/>
  <c r="G14" i="79"/>
  <c r="L30" i="67"/>
  <c r="N30" i="67" s="1"/>
  <c r="O30" i="67" s="1"/>
  <c r="L9" i="67"/>
  <c r="N9" i="67" s="1"/>
  <c r="O9" i="67" s="1"/>
  <c r="L29" i="67"/>
  <c r="N29" i="67" s="1"/>
  <c r="O29" i="67" s="1"/>
  <c r="I14" i="67"/>
  <c r="L14" i="67" s="1"/>
  <c r="L12" i="67"/>
  <c r="N12" i="67" s="1"/>
  <c r="O12" i="67" s="1"/>
  <c r="F345" i="79"/>
  <c r="G345" i="79" s="1"/>
  <c r="G342" i="79" s="1"/>
  <c r="G341" i="79" s="1"/>
  <c r="F338" i="79"/>
  <c r="G338" i="79" s="1"/>
  <c r="G335" i="79" s="1"/>
  <c r="G90" i="79"/>
  <c r="F189" i="79"/>
  <c r="G189" i="79" s="1"/>
  <c r="G186" i="79" s="1"/>
  <c r="G185" i="79" s="1"/>
  <c r="G503" i="79"/>
  <c r="I100" i="67"/>
  <c r="M100" i="67" s="1"/>
  <c r="G491" i="79"/>
  <c r="I96" i="67"/>
  <c r="G53" i="79"/>
  <c r="I19" i="67"/>
  <c r="L19" i="67" s="1"/>
  <c r="L76" i="67"/>
  <c r="N76" i="67" s="1"/>
  <c r="O76" i="67" s="1"/>
  <c r="G444" i="79"/>
  <c r="F87" i="67" s="1"/>
  <c r="L87" i="67" s="1"/>
  <c r="F437" i="79"/>
  <c r="G437" i="79" s="1"/>
  <c r="G435" i="79" s="1"/>
  <c r="F359" i="79"/>
  <c r="G359" i="79" s="1"/>
  <c r="G356" i="79" s="1"/>
  <c r="F352" i="79"/>
  <c r="G352" i="79" s="1"/>
  <c r="G349" i="79" s="1"/>
  <c r="G348" i="79" s="1"/>
  <c r="F218" i="79"/>
  <c r="G218" i="79" s="1"/>
  <c r="G215" i="79" s="1"/>
  <c r="G214" i="79" s="1"/>
  <c r="F117" i="79"/>
  <c r="G117" i="79" s="1"/>
  <c r="G114" i="79" s="1"/>
  <c r="F34" i="67" s="1"/>
  <c r="L34" i="67" s="1"/>
  <c r="G22" i="79"/>
  <c r="G371" i="79"/>
  <c r="G135" i="79"/>
  <c r="G48" i="79"/>
  <c r="G37" i="79"/>
  <c r="F203" i="79"/>
  <c r="G203" i="79" s="1"/>
  <c r="G200" i="79" s="1"/>
  <c r="G144" i="79"/>
  <c r="F131" i="79"/>
  <c r="G131" i="79" s="1"/>
  <c r="G128" i="79" s="1"/>
  <c r="G127" i="79" s="1"/>
  <c r="G79" i="79"/>
  <c r="G58" i="79"/>
  <c r="G11" i="79"/>
  <c r="G8" i="79" s="1"/>
  <c r="L18" i="67"/>
  <c r="N18" i="67" s="1"/>
  <c r="O18" i="67" s="1"/>
  <c r="G488" i="79"/>
  <c r="I95" i="67"/>
  <c r="M95" i="67" s="1"/>
  <c r="G409" i="79"/>
  <c r="F82" i="67"/>
  <c r="L82" i="67" s="1"/>
  <c r="G267" i="79"/>
  <c r="F60" i="67"/>
  <c r="L60" i="67" s="1"/>
  <c r="G222" i="79"/>
  <c r="F53" i="67"/>
  <c r="L53" i="67" s="1"/>
  <c r="N53" i="67" s="1"/>
  <c r="O53" i="67" s="1"/>
  <c r="G153" i="79"/>
  <c r="F40" i="67"/>
  <c r="L40" i="67" s="1"/>
  <c r="I97" i="67"/>
  <c r="G494" i="79"/>
  <c r="G480" i="79"/>
  <c r="F94" i="67"/>
  <c r="L94" i="67" s="1"/>
  <c r="G443" i="79"/>
  <c r="G401" i="79"/>
  <c r="F81" i="67"/>
  <c r="G113" i="79"/>
  <c r="G500" i="79"/>
  <c r="I99" i="67"/>
  <c r="G385" i="79"/>
  <c r="F79" i="67"/>
  <c r="L79" i="67" s="1"/>
  <c r="G255" i="79"/>
  <c r="F58" i="67"/>
  <c r="L58" i="67" s="1"/>
  <c r="N58" i="67" s="1"/>
  <c r="O58" i="67" s="1"/>
  <c r="G165" i="79"/>
  <c r="F42" i="67"/>
  <c r="L42" i="67" s="1"/>
  <c r="G134" i="79"/>
  <c r="F37" i="67"/>
  <c r="L37" i="67" s="1"/>
  <c r="N37" i="67" s="1"/>
  <c r="O37" i="67" s="1"/>
  <c r="M17" i="67"/>
  <c r="L17" i="67"/>
  <c r="G506" i="79"/>
  <c r="I101" i="67"/>
  <c r="G468" i="79"/>
  <c r="F92" i="67"/>
  <c r="L92" i="67" s="1"/>
  <c r="G417" i="79"/>
  <c r="G238" i="79"/>
  <c r="F55" i="67"/>
  <c r="L55" i="67" s="1"/>
  <c r="N55" i="67" s="1"/>
  <c r="G143" i="79"/>
  <c r="F38" i="67"/>
  <c r="L38" i="67" s="1"/>
  <c r="N38" i="67" s="1"/>
  <c r="L28" i="67"/>
  <c r="N28" i="67" s="1"/>
  <c r="O28" i="67" s="1"/>
  <c r="I27" i="67"/>
  <c r="J8" i="67"/>
  <c r="L8" i="67" s="1"/>
  <c r="F477" i="79"/>
  <c r="G477" i="79" s="1"/>
  <c r="G475" i="79" s="1"/>
  <c r="G463" i="79"/>
  <c r="G450" i="79"/>
  <c r="F303" i="79"/>
  <c r="G303" i="79" s="1"/>
  <c r="G300" i="79" s="1"/>
  <c r="F284" i="79"/>
  <c r="G284" i="79" s="1"/>
  <c r="G281" i="79" s="1"/>
  <c r="G274" i="79"/>
  <c r="F276" i="79"/>
  <c r="G276" i="79" s="1"/>
  <c r="F211" i="79"/>
  <c r="G211" i="79" s="1"/>
  <c r="G208" i="79" s="1"/>
  <c r="G207" i="79" s="1"/>
  <c r="F182" i="79"/>
  <c r="G182" i="79" s="1"/>
  <c r="G179" i="79" s="1"/>
  <c r="G172" i="79"/>
  <c r="F174" i="79"/>
  <c r="G174" i="79" s="1"/>
  <c r="F124" i="79"/>
  <c r="G124" i="79" s="1"/>
  <c r="G121" i="79" s="1"/>
  <c r="G74" i="79"/>
  <c r="G27" i="79"/>
  <c r="F264" i="79"/>
  <c r="G264" i="79" s="1"/>
  <c r="G262" i="79" s="1"/>
  <c r="F162" i="79"/>
  <c r="G162" i="79" s="1"/>
  <c r="G160" i="79" s="1"/>
  <c r="L98" i="67"/>
  <c r="L24" i="67"/>
  <c r="N24" i="67" s="1"/>
  <c r="O24" i="67" s="1"/>
  <c r="I20" i="67"/>
  <c r="M20" i="67" s="1"/>
  <c r="L13" i="67"/>
  <c r="N13" i="67" s="1"/>
  <c r="O13" i="67" s="1"/>
  <c r="M8" i="67"/>
  <c r="G457" i="79"/>
  <c r="G363" i="79"/>
  <c r="F331" i="79"/>
  <c r="G331" i="79" s="1"/>
  <c r="G328" i="79" s="1"/>
  <c r="F196" i="79"/>
  <c r="G196" i="79" s="1"/>
  <c r="G193" i="79" s="1"/>
  <c r="F110" i="79"/>
  <c r="G110" i="79" s="1"/>
  <c r="G107" i="79" s="1"/>
  <c r="G95" i="79"/>
  <c r="L25" i="67"/>
  <c r="G427" i="79"/>
  <c r="F396" i="79"/>
  <c r="G396" i="79" s="1"/>
  <c r="G394" i="79" s="1"/>
  <c r="F380" i="79"/>
  <c r="G380" i="79" s="1"/>
  <c r="G378" i="79" s="1"/>
  <c r="G309" i="79"/>
  <c r="G290" i="79"/>
  <c r="F249" i="79"/>
  <c r="G249" i="79" s="1"/>
  <c r="G247" i="79" s="1"/>
  <c r="F233" i="79"/>
  <c r="G233" i="79" s="1"/>
  <c r="G231" i="79" s="1"/>
  <c r="G64" i="79"/>
  <c r="M92" i="67"/>
  <c r="L81" i="67"/>
  <c r="M93" i="67"/>
  <c r="M90" i="67"/>
  <c r="M94" i="67"/>
  <c r="M91" i="67"/>
  <c r="M82" i="67"/>
  <c r="M79" i="67"/>
  <c r="M25" i="67"/>
  <c r="L23" i="67"/>
  <c r="L15" i="67"/>
  <c r="M65" i="67"/>
  <c r="M23" i="67"/>
  <c r="L22" i="67"/>
  <c r="M15" i="67"/>
  <c r="C5" i="87"/>
  <c r="C6" i="87"/>
  <c r="C7" i="87"/>
  <c r="C8" i="87"/>
  <c r="C9" i="87"/>
  <c r="C10" i="87"/>
  <c r="C11" i="87"/>
  <c r="C12" i="87"/>
  <c r="C13" i="87"/>
  <c r="C14" i="87"/>
  <c r="C15" i="87"/>
  <c r="C16" i="87"/>
  <c r="C17" i="87"/>
  <c r="C18" i="87"/>
  <c r="C19" i="87"/>
  <c r="C20" i="87"/>
  <c r="C21" i="87"/>
  <c r="C22" i="87"/>
  <c r="C23" i="87"/>
  <c r="C24" i="87"/>
  <c r="C25" i="87"/>
  <c r="C26" i="87"/>
  <c r="C27" i="87"/>
  <c r="C28" i="87"/>
  <c r="C29" i="87"/>
  <c r="C30" i="87"/>
  <c r="C31" i="87"/>
  <c r="C32" i="87"/>
  <c r="C33" i="87"/>
  <c r="C34" i="87"/>
  <c r="M19" i="67" l="1"/>
  <c r="N19" i="67" s="1"/>
  <c r="O19" i="67" s="1"/>
  <c r="P19" i="67" s="1"/>
  <c r="Q19" i="67" s="1"/>
  <c r="F69" i="67"/>
  <c r="L69" i="67" s="1"/>
  <c r="N69" i="67" s="1"/>
  <c r="F50" i="67"/>
  <c r="L50" i="67" s="1"/>
  <c r="N50" i="67" s="1"/>
  <c r="O50" i="67" s="1"/>
  <c r="F51" i="67"/>
  <c r="L51" i="67" s="1"/>
  <c r="F46" i="67"/>
  <c r="L46" i="67" s="1"/>
  <c r="N46" i="67" s="1"/>
  <c r="O46" i="67" s="1"/>
  <c r="P46" i="67" s="1"/>
  <c r="Q46" i="67" s="1"/>
  <c r="O69" i="67"/>
  <c r="L95" i="67"/>
  <c r="L100" i="67"/>
  <c r="N100" i="67" s="1"/>
  <c r="O100" i="67" s="1"/>
  <c r="M14" i="67"/>
  <c r="N14" i="67" s="1"/>
  <c r="O38" i="67"/>
  <c r="P38" i="67" s="1"/>
  <c r="Q38" i="67" s="1"/>
  <c r="N94" i="67"/>
  <c r="O94" i="67" s="1"/>
  <c r="P94" i="67" s="1"/>
  <c r="Q94" i="67" s="1"/>
  <c r="F85" i="67"/>
  <c r="L85" i="67" s="1"/>
  <c r="N85" i="67" s="1"/>
  <c r="O85" i="67" s="1"/>
  <c r="G434" i="79"/>
  <c r="G199" i="79"/>
  <c r="F48" i="67"/>
  <c r="L48" i="67" s="1"/>
  <c r="N48" i="67" s="1"/>
  <c r="O48" i="67" s="1"/>
  <c r="L96" i="67"/>
  <c r="M96" i="67"/>
  <c r="F73" i="67"/>
  <c r="L73" i="67" s="1"/>
  <c r="N79" i="67"/>
  <c r="O79" i="67" s="1"/>
  <c r="P79" i="67" s="1"/>
  <c r="Q79" i="67" s="1"/>
  <c r="N8" i="67"/>
  <c r="P8" i="67" s="1"/>
  <c r="Q8" i="67" s="1"/>
  <c r="O55" i="67"/>
  <c r="P55" i="67" s="1"/>
  <c r="Q55" i="67" s="1"/>
  <c r="G327" i="79"/>
  <c r="F71" i="67"/>
  <c r="L71" i="67" s="1"/>
  <c r="N71" i="67" s="1"/>
  <c r="O71" i="67" s="1"/>
  <c r="G106" i="79"/>
  <c r="F33" i="67"/>
  <c r="L33" i="67" s="1"/>
  <c r="N33" i="67" s="1"/>
  <c r="O33" i="67" s="1"/>
  <c r="P33" i="67" s="1"/>
  <c r="Q33" i="67" s="1"/>
  <c r="G246" i="79"/>
  <c r="F56" i="67"/>
  <c r="L56" i="67" s="1"/>
  <c r="N56" i="67" s="1"/>
  <c r="O56" i="67" s="1"/>
  <c r="P56" i="67" s="1"/>
  <c r="Q56" i="67" s="1"/>
  <c r="F78" i="67"/>
  <c r="L78" i="67" s="1"/>
  <c r="N78" i="67" s="1"/>
  <c r="O78" i="67" s="1"/>
  <c r="P78" i="67" s="1"/>
  <c r="Q78" i="67" s="1"/>
  <c r="G377" i="79"/>
  <c r="G192" i="79"/>
  <c r="F47" i="67"/>
  <c r="L47" i="67" s="1"/>
  <c r="N47" i="67" s="1"/>
  <c r="O47" i="67" s="1"/>
  <c r="F84" i="67"/>
  <c r="L84" i="67" s="1"/>
  <c r="N84" i="67" s="1"/>
  <c r="O84" i="67" s="1"/>
  <c r="P84" i="67" s="1"/>
  <c r="Q84" i="67" s="1"/>
  <c r="G426" i="79"/>
  <c r="G456" i="79"/>
  <c r="F90" i="67"/>
  <c r="L90" i="67" s="1"/>
  <c r="N90" i="67" s="1"/>
  <c r="O90" i="67" s="1"/>
  <c r="G159" i="79"/>
  <c r="F41" i="67"/>
  <c r="L41" i="67" s="1"/>
  <c r="N41" i="67" s="1"/>
  <c r="O41" i="67" s="1"/>
  <c r="F43" i="67"/>
  <c r="L43" i="67" s="1"/>
  <c r="N43" i="67" s="1"/>
  <c r="O43" i="67" s="1"/>
  <c r="G171" i="79"/>
  <c r="F61" i="67"/>
  <c r="L61" i="67" s="1"/>
  <c r="N61" i="67" s="1"/>
  <c r="O61" i="67" s="1"/>
  <c r="G273" i="79"/>
  <c r="F91" i="67"/>
  <c r="L91" i="67" s="1"/>
  <c r="N91" i="67" s="1"/>
  <c r="O91" i="67" s="1"/>
  <c r="G462" i="79"/>
  <c r="G334" i="79"/>
  <c r="F72" i="67"/>
  <c r="L72" i="67" s="1"/>
  <c r="M101" i="67"/>
  <c r="L101" i="67"/>
  <c r="M97" i="67"/>
  <c r="L97" i="67"/>
  <c r="G289" i="79"/>
  <c r="F65" i="67"/>
  <c r="L65" i="67" s="1"/>
  <c r="N65" i="67" s="1"/>
  <c r="O65" i="67" s="1"/>
  <c r="L20" i="67"/>
  <c r="N20" i="67" s="1"/>
  <c r="O20" i="67" s="1"/>
  <c r="G178" i="79"/>
  <c r="F45" i="67"/>
  <c r="L45" i="67" s="1"/>
  <c r="G280" i="79"/>
  <c r="F64" i="67"/>
  <c r="L64" i="67" s="1"/>
  <c r="N64" i="67" s="1"/>
  <c r="O64" i="67" s="1"/>
  <c r="M99" i="67"/>
  <c r="L99" i="67"/>
  <c r="F54" i="67"/>
  <c r="L54" i="67" s="1"/>
  <c r="N54" i="67" s="1"/>
  <c r="O54" i="67" s="1"/>
  <c r="P54" i="67" s="1"/>
  <c r="Q54" i="67" s="1"/>
  <c r="G230" i="79"/>
  <c r="G308" i="79"/>
  <c r="F68" i="67"/>
  <c r="L68" i="67" s="1"/>
  <c r="N68" i="67" s="1"/>
  <c r="O68" i="67" s="1"/>
  <c r="P68" i="67" s="1"/>
  <c r="Q68" i="67" s="1"/>
  <c r="G393" i="79"/>
  <c r="F80" i="67"/>
  <c r="L80" i="67" s="1"/>
  <c r="N80" i="67" s="1"/>
  <c r="O80" i="67" s="1"/>
  <c r="P80" i="67" s="1"/>
  <c r="Q80" i="67" s="1"/>
  <c r="G261" i="79"/>
  <c r="F59" i="67"/>
  <c r="L59" i="67" s="1"/>
  <c r="G120" i="79"/>
  <c r="F35" i="67"/>
  <c r="L35" i="67" s="1"/>
  <c r="N35" i="67" s="1"/>
  <c r="O35" i="67" s="1"/>
  <c r="P35" i="67" s="1"/>
  <c r="Q35" i="67" s="1"/>
  <c r="G299" i="79"/>
  <c r="F67" i="67"/>
  <c r="L67" i="67" s="1"/>
  <c r="N67" i="67" s="1"/>
  <c r="O67" i="67" s="1"/>
  <c r="P67" i="67" s="1"/>
  <c r="G474" i="79"/>
  <c r="F93" i="67"/>
  <c r="L93" i="67" s="1"/>
  <c r="N93" i="67" s="1"/>
  <c r="O93" i="67" s="1"/>
  <c r="G355" i="79"/>
  <c r="F74" i="67"/>
  <c r="L74" i="67" s="1"/>
  <c r="N74" i="67" s="1"/>
  <c r="O74" i="67" s="1"/>
  <c r="G362" i="79"/>
  <c r="F75" i="67"/>
  <c r="L75" i="67" s="1"/>
  <c r="N75" i="67" s="1"/>
  <c r="O75" i="67" s="1"/>
  <c r="P75" i="67" s="1"/>
  <c r="Q75" i="67" s="1"/>
  <c r="N98" i="67"/>
  <c r="O98" i="67" s="1"/>
  <c r="G449" i="79"/>
  <c r="F88" i="67"/>
  <c r="L88" i="67" s="1"/>
  <c r="N88" i="67" s="1"/>
  <c r="O88" i="67" s="1"/>
  <c r="L27" i="67"/>
  <c r="M27" i="67"/>
  <c r="N17" i="67"/>
  <c r="O17" i="67" s="1"/>
  <c r="P37" i="67"/>
  <c r="Q37" i="67" s="1"/>
  <c r="N82" i="67"/>
  <c r="O82" i="67" s="1"/>
  <c r="P53" i="67"/>
  <c r="Q53" i="67" s="1"/>
  <c r="P58" i="67"/>
  <c r="Q58" i="67" s="1"/>
  <c r="P24" i="67"/>
  <c r="Q24" i="67" s="1"/>
  <c r="N40" i="67"/>
  <c r="O40" i="67" s="1"/>
  <c r="P29" i="67"/>
  <c r="Q29" i="67" s="1"/>
  <c r="P76" i="67"/>
  <c r="Q76" i="67" s="1"/>
  <c r="N25" i="67"/>
  <c r="O25" i="67" s="1"/>
  <c r="P18" i="67"/>
  <c r="Q18" i="67" s="1"/>
  <c r="P28" i="67"/>
  <c r="Q28" i="67" s="1"/>
  <c r="N81" i="67"/>
  <c r="O81" i="67" s="1"/>
  <c r="N92" i="67"/>
  <c r="O92" i="67" s="1"/>
  <c r="N22" i="67"/>
  <c r="O22" i="67" s="1"/>
  <c r="N42" i="67"/>
  <c r="O42" i="67" s="1"/>
  <c r="N34" i="67"/>
  <c r="O34" i="67" s="1"/>
  <c r="P69" i="67"/>
  <c r="Q69" i="67" s="1"/>
  <c r="N95" i="67"/>
  <c r="O95" i="67" s="1"/>
  <c r="N87" i="67"/>
  <c r="O87" i="67" s="1"/>
  <c r="N23" i="67"/>
  <c r="O23" i="67" s="1"/>
  <c r="P12" i="67"/>
  <c r="Q12" i="67" s="1"/>
  <c r="P9" i="67"/>
  <c r="Q9" i="67" s="1"/>
  <c r="P30" i="67"/>
  <c r="Q30" i="67" s="1"/>
  <c r="P13" i="67"/>
  <c r="Q13" i="67" s="1"/>
  <c r="N60" i="67"/>
  <c r="O60" i="67" s="1"/>
  <c r="N15" i="67"/>
  <c r="O15" i="67" s="1"/>
  <c r="N51" i="67"/>
  <c r="O51" i="67" s="1"/>
  <c r="B34" i="87"/>
  <c r="B32" i="87"/>
  <c r="B33" i="87"/>
  <c r="B31" i="87"/>
  <c r="B30" i="87"/>
  <c r="B29" i="87"/>
  <c r="B28" i="87"/>
  <c r="B27" i="87"/>
  <c r="B26" i="87"/>
  <c r="B25" i="87"/>
  <c r="B24" i="87"/>
  <c r="B23" i="87"/>
  <c r="B22" i="87"/>
  <c r="B21" i="87"/>
  <c r="B20" i="87"/>
  <c r="B19" i="87"/>
  <c r="B18" i="87"/>
  <c r="B17" i="87"/>
  <c r="B16" i="87"/>
  <c r="B15" i="87"/>
  <c r="B14" i="87"/>
  <c r="B13" i="87"/>
  <c r="B12" i="87"/>
  <c r="B11" i="87"/>
  <c r="B10" i="87"/>
  <c r="B9" i="87"/>
  <c r="B8" i="87"/>
  <c r="B7" i="87"/>
  <c r="B6" i="87"/>
  <c r="B5" i="87"/>
  <c r="O14" i="67" l="1"/>
  <c r="P14" i="67" s="1"/>
  <c r="Q14" i="67" s="1"/>
  <c r="P20" i="67"/>
  <c r="Q20" i="67" s="1"/>
  <c r="Q67" i="67"/>
  <c r="N27" i="67"/>
  <c r="O27" i="67" s="1"/>
  <c r="P27" i="67" s="1"/>
  <c r="Q27" i="67" s="1"/>
  <c r="N73" i="67"/>
  <c r="O73" i="67" s="1"/>
  <c r="N96" i="67"/>
  <c r="O96" i="67" s="1"/>
  <c r="P96" i="67" s="1"/>
  <c r="Q96" i="67" s="1"/>
  <c r="P17" i="67"/>
  <c r="Q17" i="67" s="1"/>
  <c r="P98" i="67"/>
  <c r="Q98" i="67" s="1"/>
  <c r="N101" i="67"/>
  <c r="O101" i="67" s="1"/>
  <c r="P101" i="67" s="1"/>
  <c r="Q101" i="67" s="1"/>
  <c r="N59" i="67"/>
  <c r="O59" i="67" s="1"/>
  <c r="N99" i="67"/>
  <c r="O99" i="67" s="1"/>
  <c r="P99" i="67" s="1"/>
  <c r="Q99" i="67" s="1"/>
  <c r="N45" i="67"/>
  <c r="O45" i="67" s="1"/>
  <c r="P45" i="67" s="1"/>
  <c r="Q45" i="67" s="1"/>
  <c r="N97" i="67"/>
  <c r="O97" i="67" s="1"/>
  <c r="P97" i="67" s="1"/>
  <c r="Q97" i="67" s="1"/>
  <c r="N72" i="67"/>
  <c r="O72" i="67" s="1"/>
  <c r="P72" i="67" s="1"/>
  <c r="Q72" i="67" s="1"/>
  <c r="P23" i="67"/>
  <c r="Q23" i="67" s="1"/>
  <c r="P43" i="67"/>
  <c r="Q43" i="67" s="1"/>
  <c r="P41" i="67"/>
  <c r="Q41" i="67" s="1"/>
  <c r="P51" i="67"/>
  <c r="Q51" i="67" s="1"/>
  <c r="P64" i="67"/>
  <c r="Q64" i="67" s="1"/>
  <c r="P47" i="67"/>
  <c r="Q47" i="67" s="1"/>
  <c r="P71" i="67"/>
  <c r="Q71" i="67" s="1"/>
  <c r="P100" i="67"/>
  <c r="Q100" i="67" s="1"/>
  <c r="P61" i="67"/>
  <c r="Q61" i="67" s="1"/>
  <c r="P87" i="67"/>
  <c r="Q87" i="67" s="1"/>
  <c r="P22" i="67"/>
  <c r="Q22" i="67" s="1"/>
  <c r="P81" i="67"/>
  <c r="Q81" i="67" s="1"/>
  <c r="P60" i="67"/>
  <c r="Q60" i="67" s="1"/>
  <c r="P88" i="67"/>
  <c r="Q88" i="67" s="1"/>
  <c r="P90" i="67"/>
  <c r="Q90" i="67" s="1"/>
  <c r="P65" i="67"/>
  <c r="Q65" i="67" s="1"/>
  <c r="P74" i="67"/>
  <c r="Q74" i="67" s="1"/>
  <c r="P82" i="67"/>
  <c r="Q82" i="67" s="1"/>
  <c r="P48" i="67"/>
  <c r="Q48" i="67" s="1"/>
  <c r="P95" i="67"/>
  <c r="Q95" i="67" s="1"/>
  <c r="P42" i="67"/>
  <c r="Q42" i="67" s="1"/>
  <c r="P25" i="67"/>
  <c r="Q25" i="67" s="1"/>
  <c r="P85" i="67"/>
  <c r="Q85" i="67" s="1"/>
  <c r="P34" i="67"/>
  <c r="Q34" i="67" s="1"/>
  <c r="P92" i="67"/>
  <c r="Q92" i="67" s="1"/>
  <c r="P15" i="67"/>
  <c r="Q15" i="67" s="1"/>
  <c r="P91" i="67"/>
  <c r="Q91" i="67" s="1"/>
  <c r="P93" i="67"/>
  <c r="Q93" i="67" s="1"/>
  <c r="P50" i="67"/>
  <c r="Q50" i="67" s="1"/>
  <c r="P40" i="67"/>
  <c r="Q40" i="67" s="1"/>
  <c r="P73" i="67" l="1"/>
  <c r="Q73" i="67" s="1"/>
  <c r="P59" i="67"/>
  <c r="Q59" i="67" s="1"/>
  <c r="F22" i="77" l="1"/>
  <c r="F27" i="77"/>
  <c r="F28" i="77"/>
  <c r="F32" i="77"/>
  <c r="A287" i="85"/>
  <c r="A12" i="68"/>
  <c r="A11" i="85"/>
  <c r="A17" i="68"/>
  <c r="D336" i="34"/>
  <c r="D20" i="34"/>
  <c r="D312" i="34"/>
  <c r="E313" i="64" s="1"/>
  <c r="D288" i="34"/>
  <c r="D256" i="34"/>
  <c r="D227" i="34"/>
  <c r="D198" i="34"/>
  <c r="E199" i="64" s="1"/>
  <c r="D173" i="34"/>
  <c r="D144" i="34"/>
  <c r="D111" i="34"/>
  <c r="D82" i="34"/>
  <c r="D49" i="34"/>
  <c r="E169" i="85"/>
  <c r="D169" i="85"/>
  <c r="C169" i="85"/>
  <c r="G33" i="78"/>
  <c r="B35" i="78"/>
  <c r="H35" i="78"/>
  <c r="J35" i="78"/>
  <c r="B36" i="78"/>
  <c r="B37" i="78"/>
  <c r="F37" i="78"/>
  <c r="H37" i="78"/>
  <c r="J37" i="78" s="1"/>
  <c r="G38" i="78"/>
  <c r="B40" i="78"/>
  <c r="H40" i="78"/>
  <c r="J40" i="78" s="1"/>
  <c r="B41" i="78"/>
  <c r="H41" i="78"/>
  <c r="J41" i="78" s="1"/>
  <c r="B42" i="78"/>
  <c r="H42" i="78"/>
  <c r="J42" i="78" s="1"/>
  <c r="B43" i="78"/>
  <c r="F43" i="78"/>
  <c r="H43" i="78"/>
  <c r="J43" i="78" s="1"/>
  <c r="B44" i="78"/>
  <c r="F44" i="78"/>
  <c r="H44" i="78"/>
  <c r="J44" i="78" s="1"/>
  <c r="B45" i="78"/>
  <c r="G45" i="78"/>
  <c r="B46" i="78"/>
  <c r="F46" i="78"/>
  <c r="H46" i="78"/>
  <c r="J46" i="78" s="1"/>
  <c r="B47" i="78"/>
  <c r="F47" i="78"/>
  <c r="H47" i="78"/>
  <c r="J47" i="78" s="1"/>
  <c r="B48" i="78"/>
  <c r="F48" i="78"/>
  <c r="H48" i="78"/>
  <c r="J48" i="78" s="1"/>
  <c r="B49" i="78"/>
  <c r="F49" i="78"/>
  <c r="G49" i="78"/>
  <c r="B50" i="78"/>
  <c r="H50" i="78"/>
  <c r="J50" i="78" s="1"/>
  <c r="B51" i="78"/>
  <c r="F51" i="78"/>
  <c r="H51" i="78"/>
  <c r="J51" i="78" s="1"/>
  <c r="B53" i="78"/>
  <c r="H53" i="78"/>
  <c r="J53" i="78" s="1"/>
  <c r="B54" i="78"/>
  <c r="F54" i="78"/>
  <c r="H54" i="78"/>
  <c r="J54" i="78" s="1"/>
  <c r="B55" i="78"/>
  <c r="F55" i="78"/>
  <c r="H55" i="78"/>
  <c r="J55" i="78" s="1"/>
  <c r="B56" i="78"/>
  <c r="F56" i="78"/>
  <c r="H56" i="78"/>
  <c r="J56" i="78" s="1"/>
  <c r="B59" i="78"/>
  <c r="H59" i="78"/>
  <c r="J59" i="78" s="1"/>
  <c r="B60" i="78"/>
  <c r="H60" i="78"/>
  <c r="J60" i="78" s="1"/>
  <c r="B61" i="78"/>
  <c r="F61" i="78"/>
  <c r="H61" i="78"/>
  <c r="J61" i="78" s="1"/>
  <c r="G62" i="78"/>
  <c r="A7" i="78"/>
  <c r="G7" i="78"/>
  <c r="M66" i="84"/>
  <c r="M67" i="84"/>
  <c r="S67" i="84" s="1"/>
  <c r="U67" i="84" s="1"/>
  <c r="M68" i="84"/>
  <c r="S68" i="84" s="1"/>
  <c r="U68" i="84" s="1"/>
  <c r="M69" i="84"/>
  <c r="O69" i="84" s="1"/>
  <c r="M70" i="84"/>
  <c r="M71" i="84"/>
  <c r="M72" i="84"/>
  <c r="S72" i="84" s="1"/>
  <c r="U72" i="84" s="1"/>
  <c r="M73" i="84"/>
  <c r="S73" i="84" s="1"/>
  <c r="U73" i="84" s="1"/>
  <c r="M74" i="84"/>
  <c r="M75" i="84"/>
  <c r="M76" i="84"/>
  <c r="S76" i="84" s="1"/>
  <c r="U76" i="84" s="1"/>
  <c r="M77" i="84"/>
  <c r="S77" i="84" s="1"/>
  <c r="U77" i="84" s="1"/>
  <c r="M78" i="84"/>
  <c r="M79" i="84"/>
  <c r="M80" i="84"/>
  <c r="S80" i="84" s="1"/>
  <c r="U80" i="84" s="1"/>
  <c r="M81" i="84"/>
  <c r="M82" i="84"/>
  <c r="M83" i="84"/>
  <c r="M84" i="84"/>
  <c r="S84" i="84" s="1"/>
  <c r="U84" i="84" s="1"/>
  <c r="M85" i="84"/>
  <c r="S85" i="84"/>
  <c r="U85" i="84" s="1"/>
  <c r="M86" i="84"/>
  <c r="M65" i="84"/>
  <c r="L40" i="84"/>
  <c r="S70" i="84"/>
  <c r="U70" i="84" s="1"/>
  <c r="S71" i="84"/>
  <c r="U71" i="84" s="1"/>
  <c r="S74" i="84"/>
  <c r="U74" i="84" s="1"/>
  <c r="S78" i="84"/>
  <c r="U78" i="84" s="1"/>
  <c r="S79" i="84"/>
  <c r="U79" i="84" s="1"/>
  <c r="S82" i="84"/>
  <c r="S83" i="84"/>
  <c r="U83" i="84" s="1"/>
  <c r="S86" i="84"/>
  <c r="U86" i="84" s="1"/>
  <c r="P66" i="84"/>
  <c r="P67" i="84"/>
  <c r="R67" i="84" s="1"/>
  <c r="P68" i="84"/>
  <c r="R68" i="84" s="1"/>
  <c r="P69" i="84"/>
  <c r="P70" i="84"/>
  <c r="R70" i="84" s="1"/>
  <c r="P71" i="84"/>
  <c r="R71" i="84" s="1"/>
  <c r="P72" i="84"/>
  <c r="R72" i="84" s="1"/>
  <c r="P73" i="84"/>
  <c r="R73" i="84" s="1"/>
  <c r="P74" i="84"/>
  <c r="R74" i="84" s="1"/>
  <c r="P75" i="84"/>
  <c r="R75" i="84" s="1"/>
  <c r="P76" i="84"/>
  <c r="R76" i="84" s="1"/>
  <c r="P77" i="84"/>
  <c r="P78" i="84"/>
  <c r="P79" i="84"/>
  <c r="P80" i="84"/>
  <c r="R80" i="84" s="1"/>
  <c r="P81" i="84"/>
  <c r="R81" i="84" s="1"/>
  <c r="P82" i="84"/>
  <c r="P83" i="84"/>
  <c r="R83" i="84" s="1"/>
  <c r="P84" i="84"/>
  <c r="R84" i="84" s="1"/>
  <c r="P85" i="84"/>
  <c r="R85" i="84" s="1"/>
  <c r="P86" i="84"/>
  <c r="R86" i="84" s="1"/>
  <c r="P65" i="84"/>
  <c r="U180" i="84"/>
  <c r="R180" i="84"/>
  <c r="O180" i="84"/>
  <c r="L180" i="84"/>
  <c r="H180" i="84"/>
  <c r="E180" i="84"/>
  <c r="U179" i="84"/>
  <c r="R179" i="84"/>
  <c r="O179" i="84"/>
  <c r="L179" i="84"/>
  <c r="H179" i="84"/>
  <c r="E179" i="84"/>
  <c r="U178" i="84"/>
  <c r="R178" i="84"/>
  <c r="O178" i="84"/>
  <c r="L178" i="84"/>
  <c r="H178" i="84"/>
  <c r="E178" i="84"/>
  <c r="U177" i="84"/>
  <c r="R177" i="84"/>
  <c r="O177" i="84"/>
  <c r="L177" i="84"/>
  <c r="H177" i="84"/>
  <c r="E177" i="84"/>
  <c r="U176" i="84"/>
  <c r="R176" i="84"/>
  <c r="O176" i="84"/>
  <c r="L176" i="84"/>
  <c r="H176" i="84"/>
  <c r="I176" i="84" s="1"/>
  <c r="E176" i="84"/>
  <c r="U175" i="84"/>
  <c r="R175" i="84"/>
  <c r="O175" i="84"/>
  <c r="L175" i="84"/>
  <c r="H175" i="84"/>
  <c r="E175" i="84"/>
  <c r="U174" i="84"/>
  <c r="R174" i="84"/>
  <c r="O174" i="84"/>
  <c r="L174" i="84"/>
  <c r="H174" i="84"/>
  <c r="E174" i="84"/>
  <c r="U173" i="84"/>
  <c r="R173" i="84"/>
  <c r="O173" i="84"/>
  <c r="L173" i="84"/>
  <c r="H173" i="84"/>
  <c r="E173" i="84"/>
  <c r="U172" i="84"/>
  <c r="R172" i="84"/>
  <c r="O172" i="84"/>
  <c r="L172" i="84"/>
  <c r="H172" i="84"/>
  <c r="E172" i="84"/>
  <c r="U171" i="84"/>
  <c r="R171" i="84"/>
  <c r="O171" i="84"/>
  <c r="L171" i="84"/>
  <c r="H171" i="84"/>
  <c r="E171" i="84"/>
  <c r="U170" i="84"/>
  <c r="R170" i="84"/>
  <c r="O170" i="84"/>
  <c r="L170" i="84"/>
  <c r="H170" i="84"/>
  <c r="E170" i="84"/>
  <c r="U169" i="84"/>
  <c r="R169" i="84"/>
  <c r="O169" i="84"/>
  <c r="L169" i="84"/>
  <c r="H169" i="84"/>
  <c r="E169" i="84"/>
  <c r="U168" i="84"/>
  <c r="R168" i="84"/>
  <c r="O168" i="84"/>
  <c r="L168" i="84"/>
  <c r="H168" i="84"/>
  <c r="E168" i="84"/>
  <c r="U167" i="84"/>
  <c r="R167" i="84"/>
  <c r="O167" i="84"/>
  <c r="L167" i="84"/>
  <c r="H167" i="84"/>
  <c r="E167" i="84"/>
  <c r="U166" i="84"/>
  <c r="R166" i="84"/>
  <c r="O166" i="84"/>
  <c r="L166" i="84"/>
  <c r="H166" i="84"/>
  <c r="E166" i="84"/>
  <c r="U165" i="84"/>
  <c r="R165" i="84"/>
  <c r="O165" i="84"/>
  <c r="L165" i="84"/>
  <c r="H165" i="84"/>
  <c r="E165" i="84"/>
  <c r="U162" i="84"/>
  <c r="R162" i="84"/>
  <c r="O162" i="84"/>
  <c r="L162" i="84"/>
  <c r="H162" i="84"/>
  <c r="E162" i="84"/>
  <c r="U161" i="84"/>
  <c r="R161" i="84"/>
  <c r="O161" i="84"/>
  <c r="L161" i="84"/>
  <c r="H161" i="84"/>
  <c r="E161" i="84"/>
  <c r="U160" i="84"/>
  <c r="R160" i="84"/>
  <c r="O160" i="84"/>
  <c r="L160" i="84"/>
  <c r="H160" i="84"/>
  <c r="E160" i="84"/>
  <c r="U159" i="84"/>
  <c r="R159" i="84"/>
  <c r="O159" i="84"/>
  <c r="L159" i="84"/>
  <c r="H159" i="84"/>
  <c r="E159" i="84"/>
  <c r="U158" i="84"/>
  <c r="R158" i="84"/>
  <c r="O158" i="84"/>
  <c r="O157" i="84" s="1"/>
  <c r="L158" i="84"/>
  <c r="H158" i="84"/>
  <c r="H157" i="84" s="1"/>
  <c r="E158" i="84"/>
  <c r="U156" i="84"/>
  <c r="R156" i="84"/>
  <c r="O156" i="84"/>
  <c r="L156" i="84"/>
  <c r="H156" i="84"/>
  <c r="E156" i="84"/>
  <c r="U155" i="84"/>
  <c r="R155" i="84"/>
  <c r="O155" i="84"/>
  <c r="L155" i="84"/>
  <c r="H155" i="84"/>
  <c r="E155" i="84"/>
  <c r="U154" i="84"/>
  <c r="R154" i="84"/>
  <c r="O154" i="84"/>
  <c r="L154" i="84"/>
  <c r="H154" i="84"/>
  <c r="E154" i="84"/>
  <c r="U153" i="84"/>
  <c r="R153" i="84"/>
  <c r="O153" i="84"/>
  <c r="L153" i="84"/>
  <c r="H153" i="84"/>
  <c r="E153" i="84"/>
  <c r="U152" i="84"/>
  <c r="R152" i="84"/>
  <c r="O152" i="84"/>
  <c r="L152" i="84"/>
  <c r="H152" i="84"/>
  <c r="E152" i="84"/>
  <c r="U151" i="84"/>
  <c r="R151" i="84"/>
  <c r="O151" i="84"/>
  <c r="L151" i="84"/>
  <c r="V151" i="84"/>
  <c r="H151" i="84"/>
  <c r="E151" i="84"/>
  <c r="U150" i="84"/>
  <c r="R150" i="84"/>
  <c r="O150" i="84"/>
  <c r="L150" i="84"/>
  <c r="H150" i="84"/>
  <c r="E150" i="84"/>
  <c r="I150" i="84" s="1"/>
  <c r="U149" i="84"/>
  <c r="R149" i="84"/>
  <c r="O149" i="84"/>
  <c r="L149" i="84"/>
  <c r="H149" i="84"/>
  <c r="E149" i="84"/>
  <c r="U148" i="84"/>
  <c r="R148" i="84"/>
  <c r="O148" i="84"/>
  <c r="L148" i="84"/>
  <c r="V148" i="84" s="1"/>
  <c r="H148" i="84"/>
  <c r="E148" i="84"/>
  <c r="U147" i="84"/>
  <c r="R147" i="84"/>
  <c r="O147" i="84"/>
  <c r="L147" i="84"/>
  <c r="H147" i="84"/>
  <c r="E147" i="84"/>
  <c r="U146" i="84"/>
  <c r="R146" i="84"/>
  <c r="O146" i="84"/>
  <c r="L146" i="84"/>
  <c r="H146" i="84"/>
  <c r="E146" i="84"/>
  <c r="U144" i="84"/>
  <c r="R144" i="84"/>
  <c r="O144" i="84"/>
  <c r="L144" i="84"/>
  <c r="H144" i="84"/>
  <c r="E144" i="84"/>
  <c r="U143" i="84"/>
  <c r="R143" i="84"/>
  <c r="O143" i="84"/>
  <c r="L143" i="84"/>
  <c r="H143" i="84"/>
  <c r="E143" i="84"/>
  <c r="U142" i="84"/>
  <c r="R142" i="84"/>
  <c r="O142" i="84"/>
  <c r="L142" i="84"/>
  <c r="V142" i="84" s="1"/>
  <c r="H142" i="84"/>
  <c r="E142" i="84"/>
  <c r="I142" i="84" s="1"/>
  <c r="U141" i="84"/>
  <c r="R141" i="84"/>
  <c r="O141" i="84"/>
  <c r="L141" i="84"/>
  <c r="H141" i="84"/>
  <c r="E141" i="84"/>
  <c r="U140" i="84"/>
  <c r="R140" i="84"/>
  <c r="O140" i="84"/>
  <c r="L140" i="84"/>
  <c r="H140" i="84"/>
  <c r="E140" i="84"/>
  <c r="U139" i="84"/>
  <c r="R139" i="84"/>
  <c r="O139" i="84"/>
  <c r="L139" i="84"/>
  <c r="H139" i="84"/>
  <c r="E139" i="84"/>
  <c r="U138" i="84"/>
  <c r="R138" i="84"/>
  <c r="O138" i="84"/>
  <c r="L138" i="84"/>
  <c r="H138" i="84"/>
  <c r="E138" i="84"/>
  <c r="U137" i="84"/>
  <c r="R137" i="84"/>
  <c r="O137" i="84"/>
  <c r="L137" i="84"/>
  <c r="H137" i="84"/>
  <c r="E137" i="84"/>
  <c r="U136" i="84"/>
  <c r="R136" i="84"/>
  <c r="O136" i="84"/>
  <c r="L136" i="84"/>
  <c r="H136" i="84"/>
  <c r="E136" i="84"/>
  <c r="I136" i="84" s="1"/>
  <c r="U135" i="84"/>
  <c r="R135" i="84"/>
  <c r="O135" i="84"/>
  <c r="L135" i="84"/>
  <c r="V135" i="84" s="1"/>
  <c r="H135" i="84"/>
  <c r="E135" i="84"/>
  <c r="U134" i="84"/>
  <c r="R134" i="84"/>
  <c r="O134" i="84"/>
  <c r="L134" i="84"/>
  <c r="H134" i="84"/>
  <c r="E134" i="84"/>
  <c r="U133" i="84"/>
  <c r="R133" i="84"/>
  <c r="O133" i="84"/>
  <c r="L133" i="84"/>
  <c r="H133" i="84"/>
  <c r="E133" i="84"/>
  <c r="U132" i="84"/>
  <c r="R132" i="84"/>
  <c r="O132" i="84"/>
  <c r="L132" i="84"/>
  <c r="H132" i="84"/>
  <c r="E132" i="84"/>
  <c r="U131" i="84"/>
  <c r="R131" i="84"/>
  <c r="O131" i="84"/>
  <c r="L131" i="84"/>
  <c r="H131" i="84"/>
  <c r="E131" i="84"/>
  <c r="U130" i="84"/>
  <c r="R130" i="84"/>
  <c r="O130" i="84"/>
  <c r="L130" i="84"/>
  <c r="V130" i="84" s="1"/>
  <c r="H130" i="84"/>
  <c r="E130" i="84"/>
  <c r="U129" i="84"/>
  <c r="R129" i="84"/>
  <c r="O129" i="84"/>
  <c r="L129" i="84"/>
  <c r="V129" i="84" s="1"/>
  <c r="H129" i="84"/>
  <c r="E129" i="84"/>
  <c r="U128" i="84"/>
  <c r="R128" i="84"/>
  <c r="O128" i="84"/>
  <c r="L128" i="84"/>
  <c r="H128" i="84"/>
  <c r="E128" i="84"/>
  <c r="U127" i="84"/>
  <c r="R127" i="84"/>
  <c r="O127" i="84"/>
  <c r="L127" i="84"/>
  <c r="H127" i="84"/>
  <c r="E127" i="84"/>
  <c r="U126" i="84"/>
  <c r="R126" i="84"/>
  <c r="O126" i="84"/>
  <c r="L126" i="84"/>
  <c r="H126" i="84"/>
  <c r="E126" i="84"/>
  <c r="U123" i="84"/>
  <c r="R123" i="84"/>
  <c r="O123" i="84"/>
  <c r="L123" i="84"/>
  <c r="H123" i="84"/>
  <c r="E123" i="84"/>
  <c r="U122" i="84"/>
  <c r="R122" i="84"/>
  <c r="O122" i="84"/>
  <c r="L122" i="84"/>
  <c r="H122" i="84"/>
  <c r="E122" i="84"/>
  <c r="U121" i="84"/>
  <c r="R121" i="84"/>
  <c r="O121" i="84"/>
  <c r="L121" i="84"/>
  <c r="H121" i="84"/>
  <c r="E121" i="84"/>
  <c r="U120" i="84"/>
  <c r="R120" i="84"/>
  <c r="O120" i="84"/>
  <c r="L120" i="84"/>
  <c r="H120" i="84"/>
  <c r="E120" i="84"/>
  <c r="I120" i="84" s="1"/>
  <c r="U119" i="84"/>
  <c r="R119" i="84"/>
  <c r="O119" i="84"/>
  <c r="L119" i="84"/>
  <c r="H119" i="84"/>
  <c r="E119" i="84"/>
  <c r="U118" i="84"/>
  <c r="R118" i="84"/>
  <c r="O118" i="84"/>
  <c r="L118" i="84"/>
  <c r="H118" i="84"/>
  <c r="E118" i="84"/>
  <c r="U117" i="84"/>
  <c r="R117" i="84"/>
  <c r="O117" i="84"/>
  <c r="L117" i="84"/>
  <c r="H117" i="84"/>
  <c r="E117" i="84"/>
  <c r="U116" i="84"/>
  <c r="R116" i="84"/>
  <c r="O116" i="84"/>
  <c r="L116" i="84"/>
  <c r="H116" i="84"/>
  <c r="E116" i="84"/>
  <c r="U115" i="84"/>
  <c r="R115" i="84"/>
  <c r="O115" i="84"/>
  <c r="L115" i="84"/>
  <c r="H115" i="84"/>
  <c r="E115" i="84"/>
  <c r="U114" i="84"/>
  <c r="R114" i="84"/>
  <c r="O114" i="84"/>
  <c r="L114" i="84"/>
  <c r="H114" i="84"/>
  <c r="E114" i="84"/>
  <c r="I114" i="84" s="1"/>
  <c r="U113" i="84"/>
  <c r="R113" i="84"/>
  <c r="O113" i="84"/>
  <c r="L113" i="84"/>
  <c r="H113" i="84"/>
  <c r="E113" i="84"/>
  <c r="U112" i="84"/>
  <c r="R112" i="84"/>
  <c r="O112" i="84"/>
  <c r="L112" i="84"/>
  <c r="H112" i="84"/>
  <c r="E112" i="84"/>
  <c r="U111" i="84"/>
  <c r="R111" i="84"/>
  <c r="O111" i="84"/>
  <c r="L111" i="84"/>
  <c r="H111" i="84"/>
  <c r="E111" i="84"/>
  <c r="U110" i="84"/>
  <c r="R110" i="84"/>
  <c r="O110" i="84"/>
  <c r="L110" i="84"/>
  <c r="H110" i="84"/>
  <c r="E110" i="84"/>
  <c r="U109" i="84"/>
  <c r="R109" i="84"/>
  <c r="O109" i="84"/>
  <c r="L109" i="84"/>
  <c r="H109" i="84"/>
  <c r="E109" i="84"/>
  <c r="U108" i="84"/>
  <c r="R108" i="84"/>
  <c r="O108" i="84"/>
  <c r="L108" i="84"/>
  <c r="H108" i="84"/>
  <c r="E108" i="84"/>
  <c r="U107" i="84"/>
  <c r="R107" i="84"/>
  <c r="O107" i="84"/>
  <c r="L107" i="84"/>
  <c r="H107" i="84"/>
  <c r="E107" i="84"/>
  <c r="U106" i="84"/>
  <c r="R106" i="84"/>
  <c r="O106" i="84"/>
  <c r="V106" i="84" s="1"/>
  <c r="L106" i="84"/>
  <c r="H106" i="84"/>
  <c r="E106" i="84"/>
  <c r="U105" i="84"/>
  <c r="R105" i="84"/>
  <c r="O105" i="84"/>
  <c r="L105" i="84"/>
  <c r="H105" i="84"/>
  <c r="E105" i="84"/>
  <c r="U104" i="84"/>
  <c r="R104" i="84"/>
  <c r="O104" i="84"/>
  <c r="L104" i="84"/>
  <c r="H104" i="84"/>
  <c r="I104" i="84" s="1"/>
  <c r="E104" i="84"/>
  <c r="U103" i="84"/>
  <c r="R103" i="84"/>
  <c r="O103" i="84"/>
  <c r="L103" i="84"/>
  <c r="H103" i="84"/>
  <c r="E103" i="84"/>
  <c r="U102" i="84"/>
  <c r="R102" i="84"/>
  <c r="O102" i="84"/>
  <c r="L102" i="84"/>
  <c r="H102" i="84"/>
  <c r="E102" i="84"/>
  <c r="U101" i="84"/>
  <c r="R101" i="84"/>
  <c r="O101" i="84"/>
  <c r="L101" i="84"/>
  <c r="H101" i="84"/>
  <c r="E101" i="84"/>
  <c r="U100" i="84"/>
  <c r="R100" i="84"/>
  <c r="O100" i="84"/>
  <c r="L100" i="84"/>
  <c r="H100" i="84"/>
  <c r="E100" i="84"/>
  <c r="I100" i="84"/>
  <c r="U99" i="84"/>
  <c r="R99" i="84"/>
  <c r="O99" i="84"/>
  <c r="L99" i="84"/>
  <c r="H99" i="84"/>
  <c r="E99" i="84"/>
  <c r="U97" i="84"/>
  <c r="R97" i="84"/>
  <c r="O97" i="84"/>
  <c r="L97" i="84"/>
  <c r="H97" i="84"/>
  <c r="E97" i="84"/>
  <c r="U96" i="84"/>
  <c r="R96" i="84"/>
  <c r="O96" i="84"/>
  <c r="L96" i="84"/>
  <c r="V96" i="84" s="1"/>
  <c r="H96" i="84"/>
  <c r="E96" i="84"/>
  <c r="I96" i="84" s="1"/>
  <c r="U95" i="84"/>
  <c r="R95" i="84"/>
  <c r="O95" i="84"/>
  <c r="L95" i="84"/>
  <c r="H95" i="84"/>
  <c r="E95" i="84"/>
  <c r="U94" i="84"/>
  <c r="R94" i="84"/>
  <c r="O94" i="84"/>
  <c r="L94" i="84"/>
  <c r="H94" i="84"/>
  <c r="E94" i="84"/>
  <c r="I94" i="84" s="1"/>
  <c r="U93" i="84"/>
  <c r="R93" i="84"/>
  <c r="O93" i="84"/>
  <c r="L93" i="84"/>
  <c r="H93" i="84"/>
  <c r="E93" i="84"/>
  <c r="U92" i="84"/>
  <c r="R92" i="84"/>
  <c r="O92" i="84"/>
  <c r="L92" i="84"/>
  <c r="H92" i="84"/>
  <c r="E92" i="84"/>
  <c r="U91" i="84"/>
  <c r="R91" i="84"/>
  <c r="O91" i="84"/>
  <c r="L91" i="84"/>
  <c r="H91" i="84"/>
  <c r="E91" i="84"/>
  <c r="U90" i="84"/>
  <c r="R90" i="84"/>
  <c r="O90" i="84"/>
  <c r="L90" i="84"/>
  <c r="V90" i="84" s="1"/>
  <c r="H90" i="84"/>
  <c r="E90" i="84"/>
  <c r="U89" i="84"/>
  <c r="R89" i="84"/>
  <c r="O89" i="84"/>
  <c r="L89" i="84"/>
  <c r="H89" i="84"/>
  <c r="E89" i="84"/>
  <c r="O86" i="84"/>
  <c r="L86" i="84"/>
  <c r="H86" i="84"/>
  <c r="E86" i="84"/>
  <c r="O85" i="84"/>
  <c r="L85" i="84"/>
  <c r="H85" i="84"/>
  <c r="E85" i="84"/>
  <c r="L84" i="84"/>
  <c r="H84" i="84"/>
  <c r="E84" i="84"/>
  <c r="O83" i="84"/>
  <c r="L83" i="84"/>
  <c r="H83" i="84"/>
  <c r="E83" i="84"/>
  <c r="U82" i="84"/>
  <c r="R82" i="84"/>
  <c r="O82" i="84"/>
  <c r="L82" i="84"/>
  <c r="H82" i="84"/>
  <c r="E82" i="84"/>
  <c r="L81" i="84"/>
  <c r="H81" i="84"/>
  <c r="E81" i="84"/>
  <c r="L80" i="84"/>
  <c r="H80" i="84"/>
  <c r="E80" i="84"/>
  <c r="R79" i="84"/>
  <c r="O79" i="84"/>
  <c r="L79" i="84"/>
  <c r="H79" i="84"/>
  <c r="E79" i="84"/>
  <c r="R78" i="84"/>
  <c r="O78" i="84"/>
  <c r="L78" i="84"/>
  <c r="H78" i="84"/>
  <c r="E78" i="84"/>
  <c r="R77" i="84"/>
  <c r="L77" i="84"/>
  <c r="H77" i="84"/>
  <c r="E77" i="84"/>
  <c r="O76" i="84"/>
  <c r="L76" i="84"/>
  <c r="H76" i="84"/>
  <c r="E76" i="84"/>
  <c r="L75" i="84"/>
  <c r="H75" i="84"/>
  <c r="E75" i="84"/>
  <c r="I75" i="84" s="1"/>
  <c r="O74" i="84"/>
  <c r="L74" i="84"/>
  <c r="H74" i="84"/>
  <c r="E74" i="84"/>
  <c r="O73" i="84"/>
  <c r="L73" i="84"/>
  <c r="H73" i="84"/>
  <c r="E73" i="84"/>
  <c r="L72" i="84"/>
  <c r="H72" i="84"/>
  <c r="E72" i="84"/>
  <c r="O71" i="84"/>
  <c r="L71" i="84"/>
  <c r="H71" i="84"/>
  <c r="E71" i="84"/>
  <c r="O70" i="84"/>
  <c r="L70" i="84"/>
  <c r="H70" i="84"/>
  <c r="E70" i="84"/>
  <c r="R69" i="84"/>
  <c r="L69" i="84"/>
  <c r="H69" i="84"/>
  <c r="E69" i="84"/>
  <c r="L68" i="84"/>
  <c r="H68" i="84"/>
  <c r="E68" i="84"/>
  <c r="O67" i="84"/>
  <c r="L67" i="84"/>
  <c r="H67" i="84"/>
  <c r="E67" i="84"/>
  <c r="R66" i="84"/>
  <c r="L66" i="84"/>
  <c r="H66" i="84"/>
  <c r="E66" i="84"/>
  <c r="I66" i="84" s="1"/>
  <c r="R65" i="84"/>
  <c r="L65" i="84"/>
  <c r="H65" i="84"/>
  <c r="E65" i="84"/>
  <c r="U63" i="84"/>
  <c r="R63" i="84"/>
  <c r="O63" i="84"/>
  <c r="L63" i="84"/>
  <c r="H63" i="84"/>
  <c r="E63" i="84"/>
  <c r="U62" i="84"/>
  <c r="R62" i="84"/>
  <c r="O62" i="84"/>
  <c r="L62" i="84"/>
  <c r="V62" i="84" s="1"/>
  <c r="H62" i="84"/>
  <c r="E62" i="84"/>
  <c r="U61" i="84"/>
  <c r="R61" i="84"/>
  <c r="O61" i="84"/>
  <c r="L61" i="84"/>
  <c r="H61" i="84"/>
  <c r="E61" i="84"/>
  <c r="U60" i="84"/>
  <c r="R60" i="84"/>
  <c r="O60" i="84"/>
  <c r="L60" i="84"/>
  <c r="H60" i="84"/>
  <c r="E60" i="84"/>
  <c r="U59" i="84"/>
  <c r="R59" i="84"/>
  <c r="O59" i="84"/>
  <c r="L59" i="84"/>
  <c r="H59" i="84"/>
  <c r="E59" i="84"/>
  <c r="U58" i="84"/>
  <c r="R58" i="84"/>
  <c r="O58" i="84"/>
  <c r="L58" i="84"/>
  <c r="H58" i="84"/>
  <c r="E58" i="84"/>
  <c r="U57" i="84"/>
  <c r="R57" i="84"/>
  <c r="O57" i="84"/>
  <c r="L57" i="84"/>
  <c r="H57" i="84"/>
  <c r="E57" i="84"/>
  <c r="U56" i="84"/>
  <c r="R56" i="84"/>
  <c r="O56" i="84"/>
  <c r="L56" i="84"/>
  <c r="H56" i="84"/>
  <c r="E56" i="84"/>
  <c r="U55" i="84"/>
  <c r="R55" i="84"/>
  <c r="O55" i="84"/>
  <c r="L55" i="84"/>
  <c r="H55" i="84"/>
  <c r="E55" i="84"/>
  <c r="U54" i="84"/>
  <c r="R54" i="84"/>
  <c r="O54" i="84"/>
  <c r="L54" i="84"/>
  <c r="H54" i="84"/>
  <c r="E54" i="84"/>
  <c r="U52" i="84"/>
  <c r="R52" i="84"/>
  <c r="O52" i="84"/>
  <c r="L52" i="84"/>
  <c r="H52" i="84"/>
  <c r="E52" i="84"/>
  <c r="U51" i="84"/>
  <c r="R51" i="84"/>
  <c r="O51" i="84"/>
  <c r="L51" i="84"/>
  <c r="H51" i="84"/>
  <c r="E51" i="84"/>
  <c r="U50" i="84"/>
  <c r="R50" i="84"/>
  <c r="O50" i="84"/>
  <c r="L50" i="84"/>
  <c r="H50" i="84"/>
  <c r="H49" i="84" s="1"/>
  <c r="E50" i="84"/>
  <c r="D81" i="85"/>
  <c r="U47" i="84"/>
  <c r="R47" i="84"/>
  <c r="O47" i="84"/>
  <c r="L47" i="84"/>
  <c r="H47" i="84"/>
  <c r="E47" i="84"/>
  <c r="U46" i="84"/>
  <c r="R46" i="84"/>
  <c r="O46" i="84"/>
  <c r="L46" i="84"/>
  <c r="V46" i="84" s="1"/>
  <c r="H46" i="84"/>
  <c r="E46" i="84"/>
  <c r="U45" i="84"/>
  <c r="R45" i="84"/>
  <c r="O45" i="84"/>
  <c r="L45" i="84"/>
  <c r="H45" i="84"/>
  <c r="E45" i="84"/>
  <c r="U44" i="84"/>
  <c r="R44" i="84"/>
  <c r="O44" i="84"/>
  <c r="L44" i="84"/>
  <c r="H44" i="84"/>
  <c r="E44" i="84"/>
  <c r="U43" i="84"/>
  <c r="R43" i="84"/>
  <c r="O43" i="84"/>
  <c r="L43" i="84"/>
  <c r="H43" i="84"/>
  <c r="E43" i="84"/>
  <c r="U42" i="84"/>
  <c r="R42" i="84"/>
  <c r="O42" i="84"/>
  <c r="L42" i="84"/>
  <c r="L41" i="84" s="1"/>
  <c r="H42" i="84"/>
  <c r="E42" i="84"/>
  <c r="U40" i="84"/>
  <c r="R40" i="84"/>
  <c r="O40" i="84"/>
  <c r="H40" i="84"/>
  <c r="E40" i="84"/>
  <c r="U39" i="84"/>
  <c r="R39" i="84"/>
  <c r="O39" i="84"/>
  <c r="L39" i="84"/>
  <c r="H39" i="84"/>
  <c r="E39" i="84"/>
  <c r="U38" i="84"/>
  <c r="R38" i="84"/>
  <c r="O38" i="84"/>
  <c r="L38" i="84"/>
  <c r="H38" i="84"/>
  <c r="I38" i="84" s="1"/>
  <c r="E38" i="84"/>
  <c r="U37" i="84"/>
  <c r="R37" i="84"/>
  <c r="O37" i="84"/>
  <c r="L37" i="84"/>
  <c r="H37" i="84"/>
  <c r="E37" i="84"/>
  <c r="U36" i="84"/>
  <c r="R36" i="84"/>
  <c r="O36" i="84"/>
  <c r="L36" i="84"/>
  <c r="H36" i="84"/>
  <c r="E36" i="84"/>
  <c r="U35" i="84"/>
  <c r="R35" i="84"/>
  <c r="O35" i="84"/>
  <c r="L35" i="84"/>
  <c r="H35" i="84"/>
  <c r="E35" i="84"/>
  <c r="U34" i="84"/>
  <c r="R34" i="84"/>
  <c r="O34" i="84"/>
  <c r="L34" i="84"/>
  <c r="H34" i="84"/>
  <c r="E34" i="84"/>
  <c r="U33" i="84"/>
  <c r="R33" i="84"/>
  <c r="O33" i="84"/>
  <c r="L33" i="84"/>
  <c r="H33" i="84"/>
  <c r="E33" i="84"/>
  <c r="U32" i="84"/>
  <c r="R32" i="84"/>
  <c r="O32" i="84"/>
  <c r="L32" i="84"/>
  <c r="H32" i="84"/>
  <c r="E32" i="84"/>
  <c r="U31" i="84"/>
  <c r="R31" i="84"/>
  <c r="O31" i="84"/>
  <c r="L31" i="84"/>
  <c r="H31" i="84"/>
  <c r="E31" i="84"/>
  <c r="U30" i="84"/>
  <c r="R30" i="84"/>
  <c r="O30" i="84"/>
  <c r="L30" i="84"/>
  <c r="H30" i="84"/>
  <c r="E30" i="84"/>
  <c r="U29" i="84"/>
  <c r="R29" i="84"/>
  <c r="O29" i="84"/>
  <c r="L29" i="84"/>
  <c r="H29" i="84"/>
  <c r="E29" i="84"/>
  <c r="U28" i="84"/>
  <c r="R28" i="84"/>
  <c r="O28" i="84"/>
  <c r="L28" i="84"/>
  <c r="H28" i="84"/>
  <c r="E28" i="84"/>
  <c r="I28" i="84"/>
  <c r="U27" i="84"/>
  <c r="R27" i="84"/>
  <c r="O27" i="84"/>
  <c r="L27" i="84"/>
  <c r="H27" i="84"/>
  <c r="E27" i="84"/>
  <c r="I27" i="84" s="1"/>
  <c r="U26" i="84"/>
  <c r="R26" i="84"/>
  <c r="O26" i="84"/>
  <c r="L26" i="84"/>
  <c r="V26" i="84" s="1"/>
  <c r="H26" i="84"/>
  <c r="E26" i="84"/>
  <c r="U25" i="84"/>
  <c r="R25" i="84"/>
  <c r="O25" i="84"/>
  <c r="L25" i="84"/>
  <c r="H25" i="84"/>
  <c r="E25" i="84"/>
  <c r="I25" i="84" s="1"/>
  <c r="U24" i="84"/>
  <c r="R24" i="84"/>
  <c r="O24" i="84"/>
  <c r="L24" i="84"/>
  <c r="H24" i="84"/>
  <c r="E24" i="84"/>
  <c r="I24" i="84" s="1"/>
  <c r="U23" i="84"/>
  <c r="R23" i="84"/>
  <c r="O23" i="84"/>
  <c r="L23" i="84"/>
  <c r="H23" i="84"/>
  <c r="I23" i="84"/>
  <c r="E23" i="84"/>
  <c r="U22" i="84"/>
  <c r="R22" i="84"/>
  <c r="O22" i="84"/>
  <c r="L22" i="84"/>
  <c r="H22" i="84"/>
  <c r="E22" i="84"/>
  <c r="I22" i="84"/>
  <c r="U21" i="84"/>
  <c r="R21" i="84"/>
  <c r="O21" i="84"/>
  <c r="L21" i="84"/>
  <c r="H21" i="84"/>
  <c r="I21" i="84"/>
  <c r="E21" i="84"/>
  <c r="U20" i="84"/>
  <c r="R20" i="84"/>
  <c r="O20" i="84"/>
  <c r="L20" i="84"/>
  <c r="H20" i="84"/>
  <c r="E20" i="84"/>
  <c r="U19" i="84"/>
  <c r="R19" i="84"/>
  <c r="O19" i="84"/>
  <c r="L19" i="84"/>
  <c r="H19" i="84"/>
  <c r="E19" i="84"/>
  <c r="U18" i="84"/>
  <c r="R18" i="84"/>
  <c r="O18" i="84"/>
  <c r="L18" i="84"/>
  <c r="H18" i="84"/>
  <c r="E18" i="84"/>
  <c r="U16" i="84"/>
  <c r="R16" i="84"/>
  <c r="O16" i="84"/>
  <c r="L16" i="84"/>
  <c r="H16" i="84"/>
  <c r="E16" i="84"/>
  <c r="U15" i="84"/>
  <c r="R15" i="84"/>
  <c r="O15" i="84"/>
  <c r="L15" i="84"/>
  <c r="V15" i="84"/>
  <c r="H15" i="84"/>
  <c r="E15" i="84"/>
  <c r="U14" i="84"/>
  <c r="R14" i="84"/>
  <c r="O14" i="84"/>
  <c r="L14" i="84"/>
  <c r="H14" i="84"/>
  <c r="E14" i="84"/>
  <c r="U13" i="84"/>
  <c r="R13" i="84"/>
  <c r="O13" i="84"/>
  <c r="L13" i="84"/>
  <c r="V13" i="84" s="1"/>
  <c r="H13" i="84"/>
  <c r="E13" i="84"/>
  <c r="U12" i="84"/>
  <c r="R12" i="84"/>
  <c r="O12" i="84"/>
  <c r="L12" i="84"/>
  <c r="H12" i="84"/>
  <c r="E12" i="84"/>
  <c r="I12" i="84" s="1"/>
  <c r="U11" i="84"/>
  <c r="R11" i="84"/>
  <c r="O11" i="84"/>
  <c r="L11" i="84"/>
  <c r="V11" i="84" s="1"/>
  <c r="H11" i="84"/>
  <c r="E11" i="84"/>
  <c r="U10" i="84"/>
  <c r="R10" i="84"/>
  <c r="O10" i="84"/>
  <c r="L10" i="84"/>
  <c r="H10" i="84"/>
  <c r="E10" i="84"/>
  <c r="I10" i="84" s="1"/>
  <c r="E23" i="62"/>
  <c r="E33" i="62" s="1"/>
  <c r="E43" i="62" s="1"/>
  <c r="E53" i="62" s="1"/>
  <c r="E63" i="62" s="1"/>
  <c r="E73" i="62" s="1"/>
  <c r="E83" i="62" s="1"/>
  <c r="E97" i="62" s="1"/>
  <c r="E107" i="62" s="1"/>
  <c r="E117" i="62" s="1"/>
  <c r="F113" i="47"/>
  <c r="F335" i="47" s="1"/>
  <c r="F557" i="47" s="1"/>
  <c r="F1186" i="47"/>
  <c r="F1183" i="47"/>
  <c r="G1183" i="47" s="1"/>
  <c r="G1182" i="47" s="1"/>
  <c r="G338" i="64" s="1"/>
  <c r="F1180" i="47"/>
  <c r="F1175" i="47"/>
  <c r="G1175" i="47" s="1"/>
  <c r="G1174" i="47" s="1"/>
  <c r="G336" i="64" s="1"/>
  <c r="F1170" i="47"/>
  <c r="F1165" i="47"/>
  <c r="G1165" i="47" s="1"/>
  <c r="G1164" i="47" s="1"/>
  <c r="G334" i="64" s="1"/>
  <c r="G75" i="78" s="1"/>
  <c r="I75" i="78" s="1"/>
  <c r="F1108" i="47"/>
  <c r="F1109" i="47"/>
  <c r="G1109" i="47" s="1"/>
  <c r="F1114" i="47"/>
  <c r="F1115" i="47"/>
  <c r="G1115" i="47" s="1"/>
  <c r="F1124" i="47"/>
  <c r="G1124" i="47" s="1"/>
  <c r="F1125" i="47"/>
  <c r="G1125" i="47" s="1"/>
  <c r="F1130" i="47"/>
  <c r="G1130" i="47" s="1"/>
  <c r="F1131" i="47"/>
  <c r="F1135" i="47"/>
  <c r="G1135" i="47" s="1"/>
  <c r="G1134" i="47" s="1"/>
  <c r="H326" i="64" s="1"/>
  <c r="F1142" i="47"/>
  <c r="F1143" i="47"/>
  <c r="G1143" i="47" s="1"/>
  <c r="F1148" i="47"/>
  <c r="G1148" i="47" s="1"/>
  <c r="F1149" i="47"/>
  <c r="G1149" i="47" s="1"/>
  <c r="F1153" i="47"/>
  <c r="G1153" i="47" s="1"/>
  <c r="G1152" i="47" s="1"/>
  <c r="H330" i="64" s="1"/>
  <c r="F946" i="47"/>
  <c r="G946" i="47" s="1"/>
  <c r="F947" i="47"/>
  <c r="F952" i="47"/>
  <c r="G952" i="47" s="1"/>
  <c r="G951" i="47" s="1"/>
  <c r="F274" i="64" s="1"/>
  <c r="F953" i="47"/>
  <c r="G953" i="47" s="1"/>
  <c r="F957" i="47"/>
  <c r="G957" i="47" s="1"/>
  <c r="G956" i="47" s="1"/>
  <c r="H274" i="64" s="1"/>
  <c r="F569" i="47"/>
  <c r="F600" i="47"/>
  <c r="F469" i="47"/>
  <c r="F470" i="47"/>
  <c r="F478" i="47"/>
  <c r="F447" i="47"/>
  <c r="G447" i="47" s="1"/>
  <c r="G446" i="47" s="1"/>
  <c r="H129" i="64" s="1"/>
  <c r="F442" i="47"/>
  <c r="G442" i="47" s="1"/>
  <c r="F443" i="47"/>
  <c r="G443" i="47" s="1"/>
  <c r="F436" i="47"/>
  <c r="G436" i="47" s="1"/>
  <c r="F437" i="47"/>
  <c r="G437" i="47" s="1"/>
  <c r="F418" i="47"/>
  <c r="G418" i="47" s="1"/>
  <c r="F419" i="47"/>
  <c r="G419" i="47" s="1"/>
  <c r="F424" i="47"/>
  <c r="G424" i="47" s="1"/>
  <c r="F425" i="47"/>
  <c r="G425" i="47" s="1"/>
  <c r="F429" i="47"/>
  <c r="G429" i="47" s="1"/>
  <c r="G428" i="47" s="1"/>
  <c r="H125" i="64" s="1"/>
  <c r="F402" i="47"/>
  <c r="F624" i="47" s="1"/>
  <c r="F708" i="47" s="1"/>
  <c r="F403" i="47"/>
  <c r="F408" i="47"/>
  <c r="F409" i="47"/>
  <c r="F631" i="47" s="1"/>
  <c r="F386" i="47"/>
  <c r="F375" i="47"/>
  <c r="F374" i="47"/>
  <c r="F596" i="47" s="1"/>
  <c r="F680" i="47" s="1"/>
  <c r="F782" i="47" s="1"/>
  <c r="F377" i="47"/>
  <c r="F599" i="47" s="1"/>
  <c r="F379" i="47"/>
  <c r="F357" i="47"/>
  <c r="F579" i="47"/>
  <c r="F359" i="47"/>
  <c r="F581" i="47" s="1"/>
  <c r="F665" i="47" s="1"/>
  <c r="F351" i="47"/>
  <c r="F348" i="47"/>
  <c r="F570" i="47" s="1"/>
  <c r="F340" i="47"/>
  <c r="F562" i="47" s="1"/>
  <c r="F341" i="47"/>
  <c r="F563" i="47" s="1"/>
  <c r="F647" i="47" s="1"/>
  <c r="F749" i="47" s="1"/>
  <c r="F343" i="47"/>
  <c r="F565" i="47" s="1"/>
  <c r="F337" i="47"/>
  <c r="F559" i="47" s="1"/>
  <c r="F322" i="47"/>
  <c r="F544" i="47" s="1"/>
  <c r="F730" i="47" s="1"/>
  <c r="F323" i="47"/>
  <c r="F545" i="47" s="1"/>
  <c r="F327" i="47"/>
  <c r="F549" i="47" s="1"/>
  <c r="F316" i="47"/>
  <c r="F317" i="47"/>
  <c r="F539" i="47" s="1"/>
  <c r="F725" i="47" s="1"/>
  <c r="F300" i="47"/>
  <c r="F301" i="47"/>
  <c r="F523" i="47" s="1"/>
  <c r="G523" i="47" s="1"/>
  <c r="F306" i="47"/>
  <c r="F528" i="47" s="1"/>
  <c r="F307" i="47"/>
  <c r="F529" i="47" s="1"/>
  <c r="G529" i="47" s="1"/>
  <c r="F284" i="47"/>
  <c r="F272" i="47"/>
  <c r="F275" i="47"/>
  <c r="F497" i="47" s="1"/>
  <c r="G497" i="47" s="1"/>
  <c r="G496" i="47" s="1"/>
  <c r="F144" i="64" s="1"/>
  <c r="F277" i="47"/>
  <c r="F255" i="47"/>
  <c r="F477" i="47" s="1"/>
  <c r="F257" i="47"/>
  <c r="F249" i="47"/>
  <c r="F246" i="47"/>
  <c r="F468" i="47" s="1"/>
  <c r="G468" i="47" s="1"/>
  <c r="G467" i="47" s="1"/>
  <c r="G135" i="64" s="1"/>
  <c r="F241" i="47"/>
  <c r="F463" i="47" s="1"/>
  <c r="G463" i="47" s="1"/>
  <c r="G462" i="47" s="1"/>
  <c r="G134" i="64" s="1"/>
  <c r="F239" i="47"/>
  <c r="F238" i="47"/>
  <c r="F460" i="47" s="1"/>
  <c r="G460" i="47" s="1"/>
  <c r="F235" i="47"/>
  <c r="F192" i="47"/>
  <c r="F312" i="47" s="1"/>
  <c r="G207" i="47"/>
  <c r="G206" i="47" s="1"/>
  <c r="H63" i="64" s="1"/>
  <c r="F183" i="47"/>
  <c r="G203" i="47"/>
  <c r="G202" i="47"/>
  <c r="G197" i="47"/>
  <c r="G196" i="47"/>
  <c r="G187" i="47"/>
  <c r="G186" i="47"/>
  <c r="G181" i="47"/>
  <c r="G180" i="47"/>
  <c r="F140" i="47"/>
  <c r="F260" i="47" s="1"/>
  <c r="F482" i="47" s="1"/>
  <c r="G482" i="47" s="1"/>
  <c r="G481" i="47" s="1"/>
  <c r="G139" i="64" s="1"/>
  <c r="F160" i="47"/>
  <c r="F280" i="47" s="1"/>
  <c r="F502" i="47" s="1"/>
  <c r="G502" i="47" s="1"/>
  <c r="G501" i="47" s="1"/>
  <c r="G145" i="64" s="1"/>
  <c r="F166" i="47"/>
  <c r="G164" i="47"/>
  <c r="G163" i="47" s="1"/>
  <c r="F52" i="64" s="1"/>
  <c r="G157" i="47"/>
  <c r="G156" i="47" s="1"/>
  <c r="G49" i="64" s="1"/>
  <c r="G155" i="47"/>
  <c r="G154" i="47" s="1"/>
  <c r="F49" i="64" s="1"/>
  <c r="G152" i="47"/>
  <c r="G151" i="47" s="1"/>
  <c r="H48" i="64" s="1"/>
  <c r="G137" i="47"/>
  <c r="G136" i="47" s="1"/>
  <c r="H43" i="64" s="1"/>
  <c r="G135" i="47"/>
  <c r="G134" i="47" s="1"/>
  <c r="F43" i="64" s="1"/>
  <c r="F132" i="47"/>
  <c r="G129" i="47"/>
  <c r="G128" i="47" s="1"/>
  <c r="G41" i="64" s="1"/>
  <c r="G126" i="47"/>
  <c r="G125" i="47" s="1"/>
  <c r="G40" i="64" s="1"/>
  <c r="G121" i="47"/>
  <c r="G120" i="47" s="1"/>
  <c r="G39" i="64" s="1"/>
  <c r="E39" i="64"/>
  <c r="G119" i="47"/>
  <c r="G118" i="47"/>
  <c r="G115" i="47"/>
  <c r="G114" i="47" s="1"/>
  <c r="G38" i="64" s="1"/>
  <c r="B208" i="47"/>
  <c r="B184" i="47"/>
  <c r="B190" i="47"/>
  <c r="B194" i="47"/>
  <c r="B200" i="47"/>
  <c r="B162" i="47"/>
  <c r="B167" i="47"/>
  <c r="B170" i="47"/>
  <c r="C54" i="64"/>
  <c r="B173" i="47"/>
  <c r="B178" i="47"/>
  <c r="B116" i="47"/>
  <c r="B122" i="47"/>
  <c r="C40" i="64"/>
  <c r="C122" i="47" s="1"/>
  <c r="B127" i="47"/>
  <c r="B130" i="47"/>
  <c r="B133" i="47"/>
  <c r="B138" i="47"/>
  <c r="B141" i="47"/>
  <c r="B144" i="47"/>
  <c r="B147" i="47"/>
  <c r="B150" i="47"/>
  <c r="C48" i="64"/>
  <c r="B153" i="47"/>
  <c r="B158" i="47"/>
  <c r="B111" i="47"/>
  <c r="B9" i="47"/>
  <c r="G11" i="47"/>
  <c r="G10" i="47" s="1"/>
  <c r="F9" i="64" s="1"/>
  <c r="G13" i="47"/>
  <c r="G12" i="47" s="1"/>
  <c r="G9" i="64" s="1"/>
  <c r="B14" i="47"/>
  <c r="G16" i="47"/>
  <c r="G17" i="47"/>
  <c r="G19" i="47"/>
  <c r="G18" i="47" s="1"/>
  <c r="G10" i="64" s="1"/>
  <c r="B20" i="47"/>
  <c r="F22" i="47"/>
  <c r="G22" i="47"/>
  <c r="G21" i="47" s="1"/>
  <c r="F11" i="64" s="1"/>
  <c r="G24" i="47"/>
  <c r="G23" i="47" s="1"/>
  <c r="G11" i="64" s="1"/>
  <c r="B25" i="47"/>
  <c r="G27" i="47"/>
  <c r="G26" i="47" s="1"/>
  <c r="G12" i="64" s="1"/>
  <c r="B28" i="47"/>
  <c r="F30" i="47"/>
  <c r="G30" i="47" s="1"/>
  <c r="G29" i="47" s="1"/>
  <c r="G13" i="64" s="1"/>
  <c r="B31" i="47"/>
  <c r="D14" i="64"/>
  <c r="D31" i="47" s="1"/>
  <c r="G33" i="47"/>
  <c r="G32" i="47" s="1"/>
  <c r="F14" i="64" s="1"/>
  <c r="G35" i="47"/>
  <c r="G34" i="47" s="1"/>
  <c r="H14" i="64" s="1"/>
  <c r="B36" i="47"/>
  <c r="F38" i="47"/>
  <c r="B39" i="47"/>
  <c r="B42" i="47"/>
  <c r="B45" i="47"/>
  <c r="B48" i="47"/>
  <c r="G50" i="47"/>
  <c r="G49" i="47" s="1"/>
  <c r="H19" i="64" s="1"/>
  <c r="B51" i="47"/>
  <c r="G53" i="47"/>
  <c r="G52" i="47" s="1"/>
  <c r="F20" i="64" s="1"/>
  <c r="G55" i="47"/>
  <c r="G54" i="47" s="1"/>
  <c r="G20" i="64" s="1"/>
  <c r="B56" i="47"/>
  <c r="F58" i="47"/>
  <c r="B60" i="47"/>
  <c r="G62" i="47"/>
  <c r="G61" i="47"/>
  <c r="F23" i="64" s="1"/>
  <c r="F64" i="47"/>
  <c r="G64" i="47" s="1"/>
  <c r="G63" i="47" s="1"/>
  <c r="G23" i="64" s="1"/>
  <c r="B65" i="47"/>
  <c r="B68" i="47"/>
  <c r="B71" i="47"/>
  <c r="B76" i="47"/>
  <c r="G78" i="47"/>
  <c r="G79" i="47"/>
  <c r="F81" i="47"/>
  <c r="G81" i="47" s="1"/>
  <c r="G80" i="47" s="1"/>
  <c r="G29" i="64" s="1"/>
  <c r="B82" i="47"/>
  <c r="G84" i="47"/>
  <c r="G85" i="47"/>
  <c r="B88" i="47"/>
  <c r="F90" i="47"/>
  <c r="B92" i="47"/>
  <c r="G94" i="47"/>
  <c r="G95" i="47"/>
  <c r="B98" i="47"/>
  <c r="D34" i="64"/>
  <c r="D98" i="47" s="1"/>
  <c r="G100" i="47"/>
  <c r="G101" i="47"/>
  <c r="G105" i="47"/>
  <c r="G104" i="47" s="1"/>
  <c r="H34" i="64" s="1"/>
  <c r="B106" i="47"/>
  <c r="G38" i="73"/>
  <c r="D333" i="34" s="1"/>
  <c r="D335" i="34" s="1"/>
  <c r="F38" i="73"/>
  <c r="D332" i="34" s="1"/>
  <c r="D313" i="68"/>
  <c r="E289" i="64"/>
  <c r="E51" i="78" s="1"/>
  <c r="D289" i="68"/>
  <c r="E174" i="64"/>
  <c r="D168" i="85"/>
  <c r="E50" i="64"/>
  <c r="E21" i="64"/>
  <c r="D18" i="85" s="1"/>
  <c r="H165" i="82"/>
  <c r="H166" i="82"/>
  <c r="H167" i="82"/>
  <c r="H168" i="82"/>
  <c r="H169" i="82"/>
  <c r="H170" i="82"/>
  <c r="H171" i="82"/>
  <c r="H172" i="82"/>
  <c r="H173" i="82"/>
  <c r="H174" i="82"/>
  <c r="H175" i="82"/>
  <c r="H176" i="82"/>
  <c r="H177" i="82"/>
  <c r="H178" i="82"/>
  <c r="H179" i="82"/>
  <c r="H164" i="82"/>
  <c r="H158" i="82"/>
  <c r="H159" i="82"/>
  <c r="H160" i="82"/>
  <c r="H161" i="82"/>
  <c r="H157" i="82"/>
  <c r="H146" i="82"/>
  <c r="H147" i="82"/>
  <c r="H148" i="82"/>
  <c r="H149" i="82"/>
  <c r="H150" i="82"/>
  <c r="H151" i="82"/>
  <c r="H152" i="82"/>
  <c r="H153" i="82"/>
  <c r="H154" i="82"/>
  <c r="H155" i="82"/>
  <c r="H145" i="82"/>
  <c r="H126" i="82"/>
  <c r="H127" i="82"/>
  <c r="H128" i="82"/>
  <c r="H129" i="82"/>
  <c r="H130" i="82"/>
  <c r="H131" i="82"/>
  <c r="H132" i="82"/>
  <c r="H133" i="82"/>
  <c r="H134" i="82"/>
  <c r="H135" i="82"/>
  <c r="H136" i="82"/>
  <c r="H137" i="82"/>
  <c r="H138" i="82"/>
  <c r="H139" i="82"/>
  <c r="H140" i="82"/>
  <c r="H141" i="82"/>
  <c r="H142" i="82"/>
  <c r="H143" i="82"/>
  <c r="H125" i="82"/>
  <c r="H99" i="82"/>
  <c r="H100" i="82"/>
  <c r="H101" i="82"/>
  <c r="H102" i="82"/>
  <c r="H103" i="82"/>
  <c r="H104" i="82"/>
  <c r="H105" i="82"/>
  <c r="H106" i="82"/>
  <c r="H107" i="82"/>
  <c r="H108" i="82"/>
  <c r="H109" i="82"/>
  <c r="H110" i="82"/>
  <c r="H111" i="82"/>
  <c r="H112" i="82"/>
  <c r="H113" i="82"/>
  <c r="H114" i="82"/>
  <c r="H115" i="82"/>
  <c r="H116" i="82"/>
  <c r="H117" i="82"/>
  <c r="H118" i="82"/>
  <c r="H119" i="82"/>
  <c r="H120" i="82"/>
  <c r="H121" i="82"/>
  <c r="H122" i="82"/>
  <c r="H98" i="82"/>
  <c r="H89" i="82"/>
  <c r="H90" i="82"/>
  <c r="H91" i="82"/>
  <c r="H92" i="82"/>
  <c r="H93" i="82"/>
  <c r="H94" i="82"/>
  <c r="H95" i="82"/>
  <c r="H96" i="82"/>
  <c r="H88" i="82"/>
  <c r="H65" i="82"/>
  <c r="H66" i="82"/>
  <c r="H67" i="82"/>
  <c r="H68" i="82"/>
  <c r="H69" i="82"/>
  <c r="H70" i="82"/>
  <c r="H71" i="82"/>
  <c r="H72" i="82"/>
  <c r="H73" i="82"/>
  <c r="H74" i="82"/>
  <c r="H75" i="82"/>
  <c r="H76" i="82"/>
  <c r="H77" i="82"/>
  <c r="H78" i="82"/>
  <c r="H79" i="82"/>
  <c r="H80" i="82"/>
  <c r="H81" i="82"/>
  <c r="H82" i="82"/>
  <c r="H83" i="82"/>
  <c r="H84" i="82"/>
  <c r="H85" i="82"/>
  <c r="H64" i="82"/>
  <c r="H54" i="82"/>
  <c r="H55" i="82"/>
  <c r="H56" i="82"/>
  <c r="H57" i="82"/>
  <c r="H58" i="82"/>
  <c r="H59" i="82"/>
  <c r="H60" i="82"/>
  <c r="H61" i="82"/>
  <c r="H62" i="82"/>
  <c r="H53" i="82"/>
  <c r="H50" i="82"/>
  <c r="H51" i="82"/>
  <c r="H49" i="82"/>
  <c r="H42" i="82"/>
  <c r="H43" i="82"/>
  <c r="H44" i="82"/>
  <c r="H41" i="82"/>
  <c r="H18" i="82"/>
  <c r="H19" i="82"/>
  <c r="H20" i="82"/>
  <c r="H21" i="82"/>
  <c r="H22" i="82"/>
  <c r="H23" i="82"/>
  <c r="H24" i="82"/>
  <c r="H25" i="82"/>
  <c r="H26" i="82"/>
  <c r="H27" i="82"/>
  <c r="H28" i="82"/>
  <c r="H29" i="82"/>
  <c r="H30" i="82"/>
  <c r="H31" i="82"/>
  <c r="H32" i="82"/>
  <c r="H33" i="82"/>
  <c r="H34" i="82"/>
  <c r="H35" i="82"/>
  <c r="H36" i="82"/>
  <c r="H37" i="82"/>
  <c r="H38" i="82"/>
  <c r="H39" i="82"/>
  <c r="H17" i="82"/>
  <c r="H10" i="82"/>
  <c r="H11" i="82"/>
  <c r="H12" i="82"/>
  <c r="H13" i="82"/>
  <c r="H14" i="82"/>
  <c r="H15" i="82"/>
  <c r="H9" i="82"/>
  <c r="E165" i="82"/>
  <c r="E166" i="82"/>
  <c r="E167" i="82"/>
  <c r="E168" i="82"/>
  <c r="E169" i="82"/>
  <c r="E170" i="82"/>
  <c r="E171" i="82"/>
  <c r="E172" i="82"/>
  <c r="E173" i="82"/>
  <c r="E174" i="82"/>
  <c r="E175" i="82"/>
  <c r="E176" i="82"/>
  <c r="E177" i="82"/>
  <c r="E178" i="82"/>
  <c r="E179" i="82"/>
  <c r="E164" i="82"/>
  <c r="E163" i="82" s="1"/>
  <c r="D22" i="34" s="1"/>
  <c r="E158" i="82"/>
  <c r="E159" i="82"/>
  <c r="E160" i="82"/>
  <c r="E161" i="82"/>
  <c r="E157" i="82"/>
  <c r="E146" i="82"/>
  <c r="E147" i="82"/>
  <c r="E148" i="82"/>
  <c r="E149" i="82"/>
  <c r="E150" i="82"/>
  <c r="E151" i="82"/>
  <c r="E152" i="82"/>
  <c r="E153" i="82"/>
  <c r="E154" i="82"/>
  <c r="E155" i="82"/>
  <c r="E145" i="82"/>
  <c r="E126" i="82"/>
  <c r="E127" i="82"/>
  <c r="E128" i="82"/>
  <c r="E129" i="82"/>
  <c r="E130" i="82"/>
  <c r="E131" i="82"/>
  <c r="E132" i="82"/>
  <c r="E133" i="82"/>
  <c r="E134" i="82"/>
  <c r="E135" i="82"/>
  <c r="E136" i="82"/>
  <c r="E137" i="82"/>
  <c r="E138" i="82"/>
  <c r="E139" i="82"/>
  <c r="E140" i="82"/>
  <c r="E141" i="82"/>
  <c r="E142" i="82"/>
  <c r="E143" i="82"/>
  <c r="E125" i="82"/>
  <c r="E99" i="82"/>
  <c r="E100" i="82"/>
  <c r="E101" i="82"/>
  <c r="E102" i="82"/>
  <c r="E103" i="82"/>
  <c r="E104" i="82"/>
  <c r="E105" i="82"/>
  <c r="E106" i="82"/>
  <c r="E107" i="82"/>
  <c r="E108" i="82"/>
  <c r="E109" i="82"/>
  <c r="E110" i="82"/>
  <c r="E111" i="82"/>
  <c r="E112" i="82"/>
  <c r="E113" i="82"/>
  <c r="E114" i="82"/>
  <c r="E115" i="82"/>
  <c r="E116" i="82"/>
  <c r="E117" i="82"/>
  <c r="E118" i="82"/>
  <c r="E119" i="82"/>
  <c r="E120" i="82"/>
  <c r="E121" i="82"/>
  <c r="E122" i="82"/>
  <c r="E98" i="82"/>
  <c r="E89" i="82"/>
  <c r="E90" i="82"/>
  <c r="E91" i="82"/>
  <c r="E92" i="82"/>
  <c r="E93" i="82"/>
  <c r="E94" i="82"/>
  <c r="E95" i="82"/>
  <c r="E96" i="82"/>
  <c r="E88" i="82"/>
  <c r="E65" i="82"/>
  <c r="E66" i="82"/>
  <c r="E67" i="82"/>
  <c r="E68" i="82"/>
  <c r="E69" i="82"/>
  <c r="E70" i="82"/>
  <c r="E71" i="82"/>
  <c r="E72" i="82"/>
  <c r="E73" i="82"/>
  <c r="E74" i="82"/>
  <c r="E75" i="82"/>
  <c r="E76" i="82"/>
  <c r="E77" i="82"/>
  <c r="E78" i="82"/>
  <c r="E79" i="82"/>
  <c r="E80" i="82"/>
  <c r="E81" i="82"/>
  <c r="E82" i="82"/>
  <c r="E83" i="82"/>
  <c r="E84" i="82"/>
  <c r="E85" i="82"/>
  <c r="E64" i="82"/>
  <c r="E54" i="82"/>
  <c r="E55" i="82"/>
  <c r="E56" i="82"/>
  <c r="E57" i="82"/>
  <c r="E58" i="82"/>
  <c r="E59" i="82"/>
  <c r="E60" i="82"/>
  <c r="E61" i="82"/>
  <c r="E62" i="82"/>
  <c r="E53" i="82"/>
  <c r="E50" i="82"/>
  <c r="E51" i="82"/>
  <c r="E49" i="82"/>
  <c r="E46" i="82"/>
  <c r="E45" i="82"/>
  <c r="E42" i="82"/>
  <c r="E43" i="82"/>
  <c r="E44" i="82"/>
  <c r="E41" i="82"/>
  <c r="E18" i="82"/>
  <c r="E19" i="82"/>
  <c r="E20" i="82"/>
  <c r="E21" i="82"/>
  <c r="E22" i="82"/>
  <c r="E23" i="82"/>
  <c r="E24" i="82"/>
  <c r="E25" i="82"/>
  <c r="E26" i="82"/>
  <c r="E27" i="82"/>
  <c r="E28" i="82"/>
  <c r="E29" i="82"/>
  <c r="E30" i="82"/>
  <c r="E31" i="82"/>
  <c r="E32" i="82"/>
  <c r="E33" i="82"/>
  <c r="E34" i="82"/>
  <c r="E35" i="82"/>
  <c r="E36" i="82"/>
  <c r="E37" i="82"/>
  <c r="E38" i="82"/>
  <c r="E39" i="82"/>
  <c r="E17" i="82"/>
  <c r="E10" i="82"/>
  <c r="E11" i="82"/>
  <c r="E12" i="82"/>
  <c r="E13" i="82"/>
  <c r="E14" i="82"/>
  <c r="E15" i="82"/>
  <c r="E9" i="82"/>
  <c r="E257" i="64"/>
  <c r="D251" i="85"/>
  <c r="E145" i="64"/>
  <c r="E83" i="64"/>
  <c r="D77" i="85"/>
  <c r="H80" i="78"/>
  <c r="J80" i="78" s="1"/>
  <c r="F80" i="78"/>
  <c r="B80" i="78"/>
  <c r="H79" i="78"/>
  <c r="J79" i="78"/>
  <c r="F79" i="78"/>
  <c r="B79" i="78"/>
  <c r="H78" i="78"/>
  <c r="J78" i="78"/>
  <c r="F78" i="78"/>
  <c r="B78" i="78"/>
  <c r="F77" i="78"/>
  <c r="B77" i="78"/>
  <c r="F76" i="78"/>
  <c r="B76" i="78"/>
  <c r="F75" i="78"/>
  <c r="B75" i="78"/>
  <c r="F74" i="78"/>
  <c r="B74" i="78"/>
  <c r="G73" i="78"/>
  <c r="H72" i="78"/>
  <c r="J72" i="78" s="1"/>
  <c r="F72" i="78"/>
  <c r="B72" i="78"/>
  <c r="A72" i="78"/>
  <c r="B71" i="78"/>
  <c r="A71" i="78"/>
  <c r="H70" i="78"/>
  <c r="J70" i="78" s="1"/>
  <c r="B70" i="78"/>
  <c r="A70" i="78"/>
  <c r="H68" i="78"/>
  <c r="J68" i="78" s="1"/>
  <c r="F68" i="78"/>
  <c r="B68" i="78"/>
  <c r="A68" i="78"/>
  <c r="B67" i="78"/>
  <c r="A67" i="78"/>
  <c r="H66" i="78"/>
  <c r="J66" i="78" s="1"/>
  <c r="B66" i="78"/>
  <c r="A66" i="78"/>
  <c r="H64" i="78"/>
  <c r="J64" i="78" s="1"/>
  <c r="F64" i="78"/>
  <c r="B64" i="78"/>
  <c r="H63" i="78"/>
  <c r="J63" i="78"/>
  <c r="F63" i="78"/>
  <c r="B63" i="78"/>
  <c r="H32" i="78"/>
  <c r="J32" i="78"/>
  <c r="F32" i="78"/>
  <c r="B32" i="78"/>
  <c r="B31" i="78"/>
  <c r="H30" i="78"/>
  <c r="J30" i="78" s="1"/>
  <c r="B30" i="78"/>
  <c r="H28" i="78"/>
  <c r="J28" i="78" s="1"/>
  <c r="F28" i="78"/>
  <c r="B28" i="78"/>
  <c r="H27" i="78"/>
  <c r="J27" i="78" s="1"/>
  <c r="B27" i="78"/>
  <c r="H26" i="78"/>
  <c r="J26" i="78"/>
  <c r="B26" i="78"/>
  <c r="H24" i="78"/>
  <c r="J24" i="78" s="1"/>
  <c r="F24" i="78"/>
  <c r="B24" i="78"/>
  <c r="H23" i="78"/>
  <c r="J23" i="78" s="1"/>
  <c r="F23" i="78"/>
  <c r="B23" i="78"/>
  <c r="H22" i="78"/>
  <c r="J22" i="78" s="1"/>
  <c r="F22" i="78"/>
  <c r="B22" i="78"/>
  <c r="H21" i="78"/>
  <c r="J21" i="78" s="1"/>
  <c r="B21" i="78"/>
  <c r="H20" i="78"/>
  <c r="J20" i="78" s="1"/>
  <c r="F20" i="78"/>
  <c r="B20" i="78"/>
  <c r="H19" i="78"/>
  <c r="J19" i="78" s="1"/>
  <c r="B19" i="78"/>
  <c r="G18" i="78"/>
  <c r="F18" i="78"/>
  <c r="B18" i="78"/>
  <c r="H17" i="78"/>
  <c r="J17" i="78" s="1"/>
  <c r="F17" i="78"/>
  <c r="B17" i="78"/>
  <c r="H16" i="78"/>
  <c r="J16" i="78" s="1"/>
  <c r="F16" i="78"/>
  <c r="B16" i="78"/>
  <c r="H15" i="78"/>
  <c r="J15" i="78" s="1"/>
  <c r="F15" i="78"/>
  <c r="B15" i="78"/>
  <c r="H14" i="78"/>
  <c r="J14" i="78" s="1"/>
  <c r="F14" i="78"/>
  <c r="B14" i="78"/>
  <c r="G13" i="78"/>
  <c r="C14" i="64"/>
  <c r="B13" i="78"/>
  <c r="H12" i="78"/>
  <c r="J12" i="78" s="1"/>
  <c r="F12" i="78"/>
  <c r="B12" i="78"/>
  <c r="H11" i="78"/>
  <c r="J11" i="78" s="1"/>
  <c r="F11" i="78"/>
  <c r="B11" i="78"/>
  <c r="H10" i="78"/>
  <c r="J10" i="78" s="1"/>
  <c r="B10" i="78"/>
  <c r="H9" i="78"/>
  <c r="J9" i="78" s="1"/>
  <c r="B9" i="78"/>
  <c r="H8" i="78"/>
  <c r="J8" i="78" s="1"/>
  <c r="B8" i="78"/>
  <c r="A323" i="68"/>
  <c r="A322" i="68"/>
  <c r="A321" i="68"/>
  <c r="A318" i="68"/>
  <c r="A317" i="68"/>
  <c r="A316" i="68"/>
  <c r="A315" i="68"/>
  <c r="A7" i="68"/>
  <c r="D311" i="34"/>
  <c r="E312" i="64" s="1"/>
  <c r="D310" i="34"/>
  <c r="E311" i="64" s="1"/>
  <c r="D309" i="34"/>
  <c r="E310" i="64" s="1"/>
  <c r="D285" i="34"/>
  <c r="E286" i="64" s="1"/>
  <c r="D284" i="34"/>
  <c r="E285" i="64" s="1"/>
  <c r="D285" i="68"/>
  <c r="D253" i="34"/>
  <c r="E254" i="64" s="1"/>
  <c r="D252" i="34"/>
  <c r="E253" i="64" s="1"/>
  <c r="D251" i="34"/>
  <c r="E252" i="64" s="1"/>
  <c r="D224" i="34"/>
  <c r="E225" i="64" s="1"/>
  <c r="D219" i="85"/>
  <c r="D223" i="34"/>
  <c r="E224" i="64" s="1"/>
  <c r="D222" i="34"/>
  <c r="E223" i="64" s="1"/>
  <c r="D195" i="34"/>
  <c r="E196" i="64" s="1"/>
  <c r="I196" i="64" s="1"/>
  <c r="K196" i="64"/>
  <c r="D194" i="34"/>
  <c r="E195" i="64"/>
  <c r="D193" i="34"/>
  <c r="E194" i="64"/>
  <c r="D170" i="34"/>
  <c r="E171" i="64"/>
  <c r="I171" i="64" s="1"/>
  <c r="D169" i="34"/>
  <c r="E170" i="64" s="1"/>
  <c r="D168" i="34"/>
  <c r="E169" i="64" s="1"/>
  <c r="D141" i="34"/>
  <c r="E142" i="64" s="1"/>
  <c r="D140" i="34"/>
  <c r="E141" i="64"/>
  <c r="D139" i="34"/>
  <c r="E140" i="64" s="1"/>
  <c r="D108" i="34"/>
  <c r="E109" i="64" s="1"/>
  <c r="D107" i="34"/>
  <c r="E108" i="64" s="1"/>
  <c r="D106" i="34"/>
  <c r="E107" i="64"/>
  <c r="K107" i="64" s="1"/>
  <c r="D79" i="34"/>
  <c r="E80" i="64" s="1"/>
  <c r="I80" i="64" s="1"/>
  <c r="D78" i="34"/>
  <c r="E79" i="64" s="1"/>
  <c r="I79" i="64" s="1"/>
  <c r="D77" i="34"/>
  <c r="E78" i="64" s="1"/>
  <c r="D46" i="34"/>
  <c r="E47" i="64" s="1"/>
  <c r="D45" i="34"/>
  <c r="E46" i="64" s="1"/>
  <c r="D44" i="34"/>
  <c r="E45" i="64" s="1"/>
  <c r="K45" i="64" s="1"/>
  <c r="D17" i="34"/>
  <c r="E18" i="64"/>
  <c r="D16" i="34"/>
  <c r="E17" i="64" s="1"/>
  <c r="D15" i="34"/>
  <c r="E16" i="64" s="1"/>
  <c r="E41" i="76"/>
  <c r="H41" i="76" s="1"/>
  <c r="H40" i="76"/>
  <c r="B39" i="76"/>
  <c r="H39" i="76" s="1"/>
  <c r="E38" i="76"/>
  <c r="B37" i="76"/>
  <c r="H37" i="76" s="1"/>
  <c r="C36" i="76"/>
  <c r="H36" i="76" s="1"/>
  <c r="B35" i="76"/>
  <c r="H35" i="76" s="1"/>
  <c r="D34" i="76"/>
  <c r="H34" i="76" s="1"/>
  <c r="D33" i="76"/>
  <c r="H33" i="76" s="1"/>
  <c r="B32" i="76"/>
  <c r="H32" i="76" s="1"/>
  <c r="C31" i="76"/>
  <c r="H31" i="76" s="1"/>
  <c r="C30" i="76"/>
  <c r="E29" i="76"/>
  <c r="F28" i="76"/>
  <c r="H28" i="76" s="1"/>
  <c r="G20" i="76"/>
  <c r="E20" i="76"/>
  <c r="G18" i="76"/>
  <c r="G17" i="76"/>
  <c r="H16" i="76"/>
  <c r="G15" i="76"/>
  <c r="H15" i="76" s="1"/>
  <c r="G14" i="76"/>
  <c r="H14" i="76" s="1"/>
  <c r="D277" i="34" s="1"/>
  <c r="G13" i="76"/>
  <c r="H13" i="76" s="1"/>
  <c r="D244" i="34" s="1"/>
  <c r="D255" i="34" s="1"/>
  <c r="E256" i="64" s="1"/>
  <c r="E273" i="61" s="1"/>
  <c r="H274" i="61" s="1"/>
  <c r="G12" i="76"/>
  <c r="H12" i="76" s="1"/>
  <c r="D215" i="34" s="1"/>
  <c r="D225" i="34" s="1"/>
  <c r="E226" i="64" s="1"/>
  <c r="G11" i="76"/>
  <c r="H11" i="76" s="1"/>
  <c r="D186" i="34" s="1"/>
  <c r="E187" i="64" s="1"/>
  <c r="E202" i="61" s="1"/>
  <c r="H203" i="61" s="1"/>
  <c r="G10" i="76"/>
  <c r="H10" i="76" s="1"/>
  <c r="D161" i="34" s="1"/>
  <c r="G9" i="76"/>
  <c r="H9" i="76" s="1"/>
  <c r="D132" i="34" s="1"/>
  <c r="H8" i="76"/>
  <c r="D99" i="34" s="1"/>
  <c r="G7" i="76"/>
  <c r="H7" i="76" s="1"/>
  <c r="D70" i="34" s="1"/>
  <c r="D74" i="34" s="1"/>
  <c r="E75" i="64" s="1"/>
  <c r="G6" i="76"/>
  <c r="H6" i="76" s="1"/>
  <c r="D37" i="34" s="1"/>
  <c r="G5" i="76"/>
  <c r="F21" i="76" s="1"/>
  <c r="F22" i="76" s="1"/>
  <c r="C18" i="75"/>
  <c r="C17" i="75"/>
  <c r="H139" i="74"/>
  <c r="D338" i="34" s="1"/>
  <c r="E339" i="64" s="1"/>
  <c r="E16" i="72"/>
  <c r="D16" i="72"/>
  <c r="C16" i="72"/>
  <c r="F164" i="71"/>
  <c r="F163" i="71" s="1"/>
  <c r="E164" i="71"/>
  <c r="D33" i="34" s="1"/>
  <c r="D164" i="71"/>
  <c r="D29" i="34" s="1"/>
  <c r="C164" i="71"/>
  <c r="C163" i="71" s="1"/>
  <c r="F157" i="71"/>
  <c r="E157" i="71"/>
  <c r="D157" i="71"/>
  <c r="C157" i="71"/>
  <c r="F145" i="71"/>
  <c r="E145" i="71"/>
  <c r="D145" i="71"/>
  <c r="C145" i="71"/>
  <c r="F125" i="71"/>
  <c r="E125" i="71"/>
  <c r="D125" i="71"/>
  <c r="C125" i="71"/>
  <c r="C124" i="71" s="1"/>
  <c r="F98" i="71"/>
  <c r="E98" i="71"/>
  <c r="D98" i="71"/>
  <c r="C98" i="71"/>
  <c r="F88" i="71"/>
  <c r="F87" i="71" s="1"/>
  <c r="E88" i="71"/>
  <c r="D88" i="71"/>
  <c r="C88" i="71"/>
  <c r="C87" i="71" s="1"/>
  <c r="D87" i="71"/>
  <c r="F64" i="71"/>
  <c r="D273" i="34" s="1"/>
  <c r="E64" i="71"/>
  <c r="D64" i="71"/>
  <c r="C64" i="71"/>
  <c r="F53" i="71"/>
  <c r="E53" i="71"/>
  <c r="D53" i="71"/>
  <c r="C53" i="71"/>
  <c r="F49" i="71"/>
  <c r="E49" i="71"/>
  <c r="D49" i="71"/>
  <c r="C49" i="71"/>
  <c r="F36" i="71"/>
  <c r="E36" i="71"/>
  <c r="D36" i="71"/>
  <c r="C36" i="71"/>
  <c r="F12" i="71"/>
  <c r="E12" i="71"/>
  <c r="D12" i="71"/>
  <c r="D235" i="34" s="1"/>
  <c r="C12" i="71"/>
  <c r="F4" i="71"/>
  <c r="F3" i="71" s="1"/>
  <c r="E4" i="71"/>
  <c r="D4" i="71"/>
  <c r="D153" i="34" s="1"/>
  <c r="C4" i="71"/>
  <c r="C3" i="71" s="1"/>
  <c r="B1002" i="47"/>
  <c r="A313" i="64"/>
  <c r="A313" i="68"/>
  <c r="A302" i="34"/>
  <c r="E228" i="64"/>
  <c r="D222" i="85"/>
  <c r="E112" i="64"/>
  <c r="D106" i="85"/>
  <c r="D16" i="69"/>
  <c r="A2" i="68"/>
  <c r="A3" i="68"/>
  <c r="E337" i="64"/>
  <c r="G1160" i="47"/>
  <c r="G1159" i="47" s="1"/>
  <c r="G333" i="64" s="1"/>
  <c r="G1162" i="47"/>
  <c r="G1161" i="47" s="1"/>
  <c r="H333" i="64" s="1"/>
  <c r="G1167" i="47"/>
  <c r="G1166" i="47" s="1"/>
  <c r="H334" i="64" s="1"/>
  <c r="H75" i="78" s="1"/>
  <c r="J75" i="78" s="1"/>
  <c r="G1170" i="47"/>
  <c r="G1169" i="47" s="1"/>
  <c r="G335" i="64" s="1"/>
  <c r="G76" i="78" s="1"/>
  <c r="G1172" i="47"/>
  <c r="G1171" i="47" s="1"/>
  <c r="H335" i="64" s="1"/>
  <c r="G1177" i="47"/>
  <c r="G1176" i="47" s="1"/>
  <c r="H336" i="64" s="1"/>
  <c r="G1180" i="47"/>
  <c r="G1179" i="47" s="1"/>
  <c r="G337" i="64" s="1"/>
  <c r="E338" i="64"/>
  <c r="G1186" i="47"/>
  <c r="G1185" i="47" s="1"/>
  <c r="G339" i="64" s="1"/>
  <c r="E303" i="64"/>
  <c r="G1108" i="47"/>
  <c r="G1114" i="47"/>
  <c r="G1131" i="47"/>
  <c r="G1142" i="47"/>
  <c r="G1141" i="47" s="1"/>
  <c r="F329" i="64" s="1"/>
  <c r="F70" i="78" s="1"/>
  <c r="E279" i="64"/>
  <c r="E246" i="64"/>
  <c r="G947" i="47"/>
  <c r="E217" i="64"/>
  <c r="D211" i="85"/>
  <c r="E188" i="64"/>
  <c r="E163" i="64"/>
  <c r="G581" i="47"/>
  <c r="G580" i="47" s="1"/>
  <c r="H167" i="64" s="1"/>
  <c r="E175" i="68"/>
  <c r="D175" i="68"/>
  <c r="G624" i="47"/>
  <c r="E134" i="64"/>
  <c r="G477" i="47"/>
  <c r="G476" i="47" s="1"/>
  <c r="F138" i="64" s="1"/>
  <c r="G528" i="47"/>
  <c r="G337" i="47"/>
  <c r="G336" i="47" s="1"/>
  <c r="G100" i="64" s="1"/>
  <c r="G341" i="47"/>
  <c r="G343" i="47"/>
  <c r="G342" i="47" s="1"/>
  <c r="G101" i="64" s="1"/>
  <c r="E101" i="64"/>
  <c r="G348" i="47"/>
  <c r="G347" i="47" s="1"/>
  <c r="G102" i="64" s="1"/>
  <c r="G357" i="47"/>
  <c r="G356" i="47" s="1"/>
  <c r="F105" i="64" s="1"/>
  <c r="G359" i="47"/>
  <c r="G358" i="47" s="1"/>
  <c r="H105" i="64" s="1"/>
  <c r="G374" i="47"/>
  <c r="G373" i="47" s="1"/>
  <c r="H110" i="64" s="1"/>
  <c r="G377" i="47"/>
  <c r="G376" i="47" s="1"/>
  <c r="F111" i="64" s="1"/>
  <c r="G402" i="47"/>
  <c r="G409" i="47"/>
  <c r="G238" i="47"/>
  <c r="G241" i="47"/>
  <c r="G240" i="47" s="1"/>
  <c r="G72" i="64" s="1"/>
  <c r="E72" i="64"/>
  <c r="G255" i="47"/>
  <c r="G254" i="47" s="1"/>
  <c r="F76" i="64" s="1"/>
  <c r="G275" i="47"/>
  <c r="G274" i="47" s="1"/>
  <c r="F82" i="64" s="1"/>
  <c r="G280" i="47"/>
  <c r="G279" i="47" s="1"/>
  <c r="G83" i="64" s="1"/>
  <c r="G301" i="47"/>
  <c r="G306" i="47"/>
  <c r="G317" i="47"/>
  <c r="G323" i="47"/>
  <c r="G327" i="47"/>
  <c r="G326" i="47" s="1"/>
  <c r="H96" i="64" s="1"/>
  <c r="G214" i="47"/>
  <c r="G215" i="47"/>
  <c r="G213" i="47" s="1"/>
  <c r="F66" i="64" s="1"/>
  <c r="F35" i="78" s="1"/>
  <c r="G220" i="47"/>
  <c r="G221" i="47"/>
  <c r="G219" i="47" s="1"/>
  <c r="G225" i="47"/>
  <c r="G224" i="47" s="1"/>
  <c r="H67" i="64" s="1"/>
  <c r="E10" i="64"/>
  <c r="E9" i="78" s="1"/>
  <c r="C313" i="64"/>
  <c r="D313" i="64"/>
  <c r="C289" i="64"/>
  <c r="C51" i="78" s="1"/>
  <c r="D289" i="64"/>
  <c r="D51" i="78" s="1"/>
  <c r="D288" i="64"/>
  <c r="D50" i="78" s="1"/>
  <c r="C288" i="68"/>
  <c r="C288" i="64"/>
  <c r="C50" i="78"/>
  <c r="A278" i="34"/>
  <c r="C257" i="64"/>
  <c r="D257" i="64"/>
  <c r="D890" i="47"/>
  <c r="D256" i="64"/>
  <c r="C256" i="64"/>
  <c r="A245" i="34"/>
  <c r="A246" i="64"/>
  <c r="A246" i="34"/>
  <c r="C228" i="64"/>
  <c r="D228" i="64"/>
  <c r="D227" i="64"/>
  <c r="C227" i="64"/>
  <c r="A216" i="34"/>
  <c r="C199" i="64"/>
  <c r="D199" i="64"/>
  <c r="D198" i="64"/>
  <c r="C198" i="64"/>
  <c r="C681" i="47" s="1"/>
  <c r="A187" i="34"/>
  <c r="C174" i="64"/>
  <c r="D174" i="64"/>
  <c r="C174" i="68"/>
  <c r="D173" i="64"/>
  <c r="C173" i="64"/>
  <c r="A162" i="34"/>
  <c r="C145" i="64"/>
  <c r="D145" i="64"/>
  <c r="D144" i="64"/>
  <c r="C144" i="64"/>
  <c r="C156" i="61"/>
  <c r="B144" i="68"/>
  <c r="A133" i="34"/>
  <c r="A134" i="34" s="1"/>
  <c r="A100" i="34"/>
  <c r="C112" i="64"/>
  <c r="D112" i="64"/>
  <c r="D380" i="47" s="1"/>
  <c r="C111" i="64"/>
  <c r="D111" i="64"/>
  <c r="C83" i="64"/>
  <c r="D83" i="64"/>
  <c r="D82" i="64"/>
  <c r="D87" i="61" s="1"/>
  <c r="C82" i="64"/>
  <c r="B82" i="68"/>
  <c r="A71" i="34"/>
  <c r="A72" i="34" s="1"/>
  <c r="A73" i="64" s="1"/>
  <c r="C50" i="64"/>
  <c r="D50" i="64"/>
  <c r="D158" i="47" s="1"/>
  <c r="D49" i="64"/>
  <c r="C49" i="64"/>
  <c r="C49" i="61" s="1"/>
  <c r="A38" i="34"/>
  <c r="A39" i="34" s="1"/>
  <c r="A40" i="64" s="1"/>
  <c r="C21" i="64"/>
  <c r="C56" i="47"/>
  <c r="D21" i="64"/>
  <c r="D56" i="47" s="1"/>
  <c r="D20" i="64"/>
  <c r="C20" i="64"/>
  <c r="A9" i="34"/>
  <c r="B1086" i="47"/>
  <c r="B1007" i="47"/>
  <c r="B311" i="61"/>
  <c r="B273" i="61"/>
  <c r="B890" i="47"/>
  <c r="B885" i="47"/>
  <c r="B242" i="61"/>
  <c r="B788" i="47"/>
  <c r="B783" i="47"/>
  <c r="B211" i="61"/>
  <c r="B686" i="47"/>
  <c r="B681" i="47"/>
  <c r="B187" i="61"/>
  <c r="B602" i="47"/>
  <c r="B597" i="47"/>
  <c r="B156" i="61"/>
  <c r="B500" i="47"/>
  <c r="B495" i="47"/>
  <c r="B118" i="61"/>
  <c r="B380" i="47"/>
  <c r="B375" i="47"/>
  <c r="B87" i="61"/>
  <c r="B278" i="47"/>
  <c r="B273" i="47"/>
  <c r="B49" i="61"/>
  <c r="C34" i="64"/>
  <c r="C33" i="64"/>
  <c r="C92" i="47" s="1"/>
  <c r="C32" i="64"/>
  <c r="C30" i="64"/>
  <c r="C82" i="47"/>
  <c r="C29" i="64"/>
  <c r="C28" i="64"/>
  <c r="C27" i="64"/>
  <c r="C23" i="64"/>
  <c r="C22" i="64"/>
  <c r="C11" i="64"/>
  <c r="C10" i="64"/>
  <c r="C9" i="64"/>
  <c r="C8" i="64"/>
  <c r="C7" i="64"/>
  <c r="C7" i="61" s="1"/>
  <c r="C6" i="64"/>
  <c r="B18" i="61"/>
  <c r="D287" i="64"/>
  <c r="D49" i="78" s="1"/>
  <c r="C287" i="64"/>
  <c r="C255" i="64"/>
  <c r="D255" i="64"/>
  <c r="D226" i="64"/>
  <c r="C226" i="64"/>
  <c r="D197" i="64"/>
  <c r="C197" i="64"/>
  <c r="D172" i="64"/>
  <c r="C172" i="64"/>
  <c r="D143" i="64"/>
  <c r="C143" i="64"/>
  <c r="D110" i="64"/>
  <c r="D372" i="47" s="1"/>
  <c r="C110" i="64"/>
  <c r="D81" i="64"/>
  <c r="C81" i="64"/>
  <c r="D48" i="64"/>
  <c r="D150" i="47"/>
  <c r="D19" i="64"/>
  <c r="D18" i="78" s="1"/>
  <c r="C19" i="64"/>
  <c r="A321" i="34"/>
  <c r="A322" i="34" s="1"/>
  <c r="A325" i="34"/>
  <c r="A326" i="34" s="1"/>
  <c r="A329" i="34"/>
  <c r="A330" i="34" s="1"/>
  <c r="A291" i="34"/>
  <c r="A292" i="34" s="1"/>
  <c r="A293" i="64" s="1"/>
  <c r="A55" i="78" s="1"/>
  <c r="A297" i="34"/>
  <c r="A298" i="64" s="1"/>
  <c r="A259" i="34"/>
  <c r="A265" i="34"/>
  <c r="A266" i="64"/>
  <c r="A269" i="34"/>
  <c r="A270" i="34" s="1"/>
  <c r="A273" i="34"/>
  <c r="A230" i="34"/>
  <c r="A236" i="34"/>
  <c r="A240" i="34"/>
  <c r="A241" i="34" s="1"/>
  <c r="A242" i="64" s="1"/>
  <c r="A201" i="34"/>
  <c r="A207" i="34"/>
  <c r="A208" i="34" s="1"/>
  <c r="A209" i="64" s="1"/>
  <c r="A211" i="34"/>
  <c r="A176" i="34"/>
  <c r="A177" i="34" s="1"/>
  <c r="A182" i="34"/>
  <c r="A183" i="34" s="1"/>
  <c r="A184" i="64" s="1"/>
  <c r="A634" i="47" s="1"/>
  <c r="A147" i="34"/>
  <c r="A148" i="34" s="1"/>
  <c r="A149" i="34" s="1"/>
  <c r="A150" i="64" s="1"/>
  <c r="A515" i="47" s="1"/>
  <c r="A153" i="34"/>
  <c r="A154" i="34" s="1"/>
  <c r="A157" i="34"/>
  <c r="A114" i="34"/>
  <c r="A120" i="34"/>
  <c r="A121" i="64" s="1"/>
  <c r="A124" i="34"/>
  <c r="A128" i="34"/>
  <c r="A85" i="34"/>
  <c r="A91" i="34"/>
  <c r="A92" i="34" s="1"/>
  <c r="A93" i="64" s="1"/>
  <c r="A95" i="34"/>
  <c r="A96" i="64" s="1"/>
  <c r="A66" i="34"/>
  <c r="A67" i="34"/>
  <c r="A68" i="64" s="1"/>
  <c r="A62" i="34"/>
  <c r="A58" i="34"/>
  <c r="A52" i="34"/>
  <c r="A33" i="34"/>
  <c r="A29" i="34"/>
  <c r="A30" i="64" s="1"/>
  <c r="A82" i="47" s="1"/>
  <c r="A23" i="34"/>
  <c r="B999" i="47"/>
  <c r="B882" i="47"/>
  <c r="B780" i="47"/>
  <c r="B678" i="47"/>
  <c r="B594" i="47"/>
  <c r="B492" i="47"/>
  <c r="B372" i="47"/>
  <c r="B270" i="47"/>
  <c r="J94" i="64"/>
  <c r="K94" i="64"/>
  <c r="I94" i="64"/>
  <c r="C175" i="68"/>
  <c r="I240" i="57"/>
  <c r="A2" i="64"/>
  <c r="B354" i="61"/>
  <c r="B357" i="61"/>
  <c r="B340" i="61"/>
  <c r="B343" i="61"/>
  <c r="B347" i="61"/>
  <c r="B350" i="61"/>
  <c r="B336" i="61"/>
  <c r="B328" i="61"/>
  <c r="B331" i="61"/>
  <c r="B333" i="61"/>
  <c r="B314" i="61"/>
  <c r="B318" i="61"/>
  <c r="B321" i="61"/>
  <c r="B326" i="61"/>
  <c r="B297" i="61"/>
  <c r="B302" i="61"/>
  <c r="B304" i="61"/>
  <c r="B307" i="61"/>
  <c r="B309" i="61"/>
  <c r="B280" i="61"/>
  <c r="B283" i="61"/>
  <c r="B287" i="61"/>
  <c r="B290" i="61"/>
  <c r="B294" i="61"/>
  <c r="B264" i="61"/>
  <c r="B266" i="61"/>
  <c r="B269" i="61"/>
  <c r="B271" i="61"/>
  <c r="B276" i="61"/>
  <c r="B249" i="61"/>
  <c r="B252" i="61"/>
  <c r="B256" i="61"/>
  <c r="B259" i="61"/>
  <c r="B238" i="61"/>
  <c r="B240" i="61"/>
  <c r="B245" i="61"/>
  <c r="B218" i="61"/>
  <c r="B221" i="61"/>
  <c r="B225" i="61"/>
  <c r="B228" i="61"/>
  <c r="B233" i="61"/>
  <c r="B235" i="61"/>
  <c r="B214" i="61"/>
  <c r="B194" i="61"/>
  <c r="B197" i="61"/>
  <c r="B202" i="61"/>
  <c r="B204" i="61"/>
  <c r="B207" i="61"/>
  <c r="B209" i="61"/>
  <c r="B9" i="61"/>
  <c r="B11" i="61"/>
  <c r="B14" i="61"/>
  <c r="B16" i="61"/>
  <c r="B21" i="61"/>
  <c r="B25" i="61"/>
  <c r="B28" i="61"/>
  <c r="B32" i="61"/>
  <c r="B35" i="61"/>
  <c r="B40" i="61"/>
  <c r="B42" i="61"/>
  <c r="B45" i="61"/>
  <c r="B47" i="61"/>
  <c r="B52" i="61"/>
  <c r="B56" i="61"/>
  <c r="B59" i="61"/>
  <c r="B63" i="61"/>
  <c r="B66" i="61"/>
  <c r="B70" i="61"/>
  <c r="B73" i="61"/>
  <c r="B78" i="61"/>
  <c r="B80" i="61"/>
  <c r="B83" i="61"/>
  <c r="B85" i="61"/>
  <c r="B90" i="61"/>
  <c r="B94" i="61"/>
  <c r="B97" i="61"/>
  <c r="B101" i="61"/>
  <c r="B104" i="61"/>
  <c r="B109" i="61"/>
  <c r="B111" i="61"/>
  <c r="B114" i="61"/>
  <c r="B116" i="61"/>
  <c r="B121" i="61"/>
  <c r="B125" i="61"/>
  <c r="B128" i="61"/>
  <c r="B132" i="61"/>
  <c r="B135" i="61"/>
  <c r="B139" i="61"/>
  <c r="B142" i="61"/>
  <c r="B147" i="61"/>
  <c r="B149" i="61"/>
  <c r="B152" i="61"/>
  <c r="B154" i="61"/>
  <c r="B159" i="61"/>
  <c r="B163" i="61"/>
  <c r="B166" i="61"/>
  <c r="B170" i="61"/>
  <c r="B173" i="61"/>
  <c r="B178" i="61"/>
  <c r="B180" i="61"/>
  <c r="B183" i="61"/>
  <c r="B185" i="61"/>
  <c r="B190" i="61"/>
  <c r="A7" i="61"/>
  <c r="B1181" i="47"/>
  <c r="B1184" i="47"/>
  <c r="B1118" i="47"/>
  <c r="B1122" i="47"/>
  <c r="B1128" i="47"/>
  <c r="B1136" i="47"/>
  <c r="D1139" i="47"/>
  <c r="B1140" i="47"/>
  <c r="B1146" i="47"/>
  <c r="B1154" i="47"/>
  <c r="B1158" i="47"/>
  <c r="B1163" i="47"/>
  <c r="B1168" i="47"/>
  <c r="B1173" i="47"/>
  <c r="B1178" i="47"/>
  <c r="B1071" i="47"/>
  <c r="B1074" i="47"/>
  <c r="B1077" i="47"/>
  <c r="B1080" i="47"/>
  <c r="B1083" i="47"/>
  <c r="B1090" i="47"/>
  <c r="B1095" i="47"/>
  <c r="B1098" i="47"/>
  <c r="B1101" i="47"/>
  <c r="B1106" i="47"/>
  <c r="B1112" i="47"/>
  <c r="B910" i="47"/>
  <c r="B916" i="47"/>
  <c r="B922" i="47"/>
  <c r="B926" i="47"/>
  <c r="B932" i="47"/>
  <c r="B940" i="47"/>
  <c r="B944" i="47"/>
  <c r="B950" i="47"/>
  <c r="B958" i="47"/>
  <c r="B963" i="47"/>
  <c r="B968" i="47"/>
  <c r="B974" i="47"/>
  <c r="B979" i="47"/>
  <c r="B982" i="47"/>
  <c r="B985" i="47"/>
  <c r="B990" i="47"/>
  <c r="B993" i="47"/>
  <c r="B996" i="47"/>
  <c r="B1011" i="47"/>
  <c r="B1016" i="47"/>
  <c r="B1019" i="47"/>
  <c r="B1022" i="47"/>
  <c r="B1027" i="47"/>
  <c r="B1033" i="47"/>
  <c r="B1039" i="47"/>
  <c r="B1044" i="47"/>
  <c r="B1049" i="47"/>
  <c r="B1055" i="47"/>
  <c r="B1060" i="47"/>
  <c r="B1063" i="47"/>
  <c r="B1066" i="47"/>
  <c r="B639" i="47"/>
  <c r="B644" i="47"/>
  <c r="B650" i="47"/>
  <c r="B655" i="47"/>
  <c r="B658" i="47"/>
  <c r="B661" i="47"/>
  <c r="B666" i="47"/>
  <c r="B669" i="47"/>
  <c r="B672" i="47"/>
  <c r="B675" i="47"/>
  <c r="D689" i="47"/>
  <c r="B690" i="47"/>
  <c r="B695" i="47"/>
  <c r="B698" i="47"/>
  <c r="B701" i="47"/>
  <c r="D704" i="47"/>
  <c r="D705" i="47"/>
  <c r="B706" i="47"/>
  <c r="B712" i="47"/>
  <c r="B718" i="47"/>
  <c r="D721" i="47"/>
  <c r="B722" i="47"/>
  <c r="B728" i="47"/>
  <c r="B736" i="47"/>
  <c r="B741" i="47"/>
  <c r="B746" i="47"/>
  <c r="B752" i="47"/>
  <c r="B757" i="47"/>
  <c r="B760" i="47"/>
  <c r="B763" i="47"/>
  <c r="B768" i="47"/>
  <c r="B771" i="47"/>
  <c r="B774" i="47"/>
  <c r="B777" i="47"/>
  <c r="B792" i="47"/>
  <c r="B797" i="47"/>
  <c r="B800" i="47"/>
  <c r="B803" i="47"/>
  <c r="D806" i="47"/>
  <c r="D807" i="47"/>
  <c r="B808" i="47"/>
  <c r="B814" i="47"/>
  <c r="B820" i="47"/>
  <c r="D823" i="47"/>
  <c r="B824" i="47"/>
  <c r="B830" i="47"/>
  <c r="B838" i="47"/>
  <c r="B843" i="47"/>
  <c r="B848" i="47"/>
  <c r="B854" i="47"/>
  <c r="B859" i="47"/>
  <c r="B862" i="47"/>
  <c r="B865" i="47"/>
  <c r="B870" i="47"/>
  <c r="B873" i="47"/>
  <c r="B876" i="47"/>
  <c r="B879" i="47"/>
  <c r="B894" i="47"/>
  <c r="B899" i="47"/>
  <c r="B902" i="47"/>
  <c r="B905" i="47"/>
  <c r="B422" i="47"/>
  <c r="B430" i="47"/>
  <c r="B434" i="47"/>
  <c r="B440" i="47"/>
  <c r="B448" i="47"/>
  <c r="B453" i="47"/>
  <c r="B458" i="47"/>
  <c r="B464" i="47"/>
  <c r="B469" i="47"/>
  <c r="B472" i="47"/>
  <c r="B475" i="47"/>
  <c r="B480" i="47"/>
  <c r="B483" i="47"/>
  <c r="B486" i="47"/>
  <c r="B489" i="47"/>
  <c r="B504" i="47"/>
  <c r="B509" i="47"/>
  <c r="B512" i="47"/>
  <c r="B515" i="47"/>
  <c r="B520" i="47"/>
  <c r="B526" i="47"/>
  <c r="B532" i="47"/>
  <c r="B536" i="47"/>
  <c r="B542" i="47"/>
  <c r="B550" i="47"/>
  <c r="B555" i="47"/>
  <c r="B560" i="47"/>
  <c r="B566" i="47"/>
  <c r="B571" i="47"/>
  <c r="B574" i="47"/>
  <c r="B577" i="47"/>
  <c r="B582" i="47"/>
  <c r="B585" i="47"/>
  <c r="B588" i="47"/>
  <c r="B591" i="47"/>
  <c r="B606" i="47"/>
  <c r="B611" i="47"/>
  <c r="B614" i="47"/>
  <c r="B617" i="47"/>
  <c r="B622" i="47"/>
  <c r="B628" i="47"/>
  <c r="B634" i="47"/>
  <c r="B369" i="47"/>
  <c r="B384" i="47"/>
  <c r="B389" i="47"/>
  <c r="B392" i="47"/>
  <c r="B395" i="47"/>
  <c r="B400" i="47"/>
  <c r="B406" i="47"/>
  <c r="B412" i="47"/>
  <c r="B416" i="47"/>
  <c r="B212" i="47"/>
  <c r="B218" i="47"/>
  <c r="B226" i="47"/>
  <c r="B231" i="47"/>
  <c r="B236" i="47"/>
  <c r="B242" i="47"/>
  <c r="B247" i="47"/>
  <c r="B250" i="47"/>
  <c r="B253" i="47"/>
  <c r="B258" i="47"/>
  <c r="B261" i="47"/>
  <c r="B264" i="47"/>
  <c r="B267" i="47"/>
  <c r="B282" i="47"/>
  <c r="B287" i="47"/>
  <c r="B290" i="47"/>
  <c r="B293" i="47"/>
  <c r="B298" i="47"/>
  <c r="B304" i="47"/>
  <c r="B310" i="47"/>
  <c r="B314" i="47"/>
  <c r="B320" i="47"/>
  <c r="B328" i="47"/>
  <c r="B333" i="47"/>
  <c r="B338" i="47"/>
  <c r="B344" i="47"/>
  <c r="B349" i="47"/>
  <c r="B352" i="47"/>
  <c r="B355" i="47"/>
  <c r="B360" i="47"/>
  <c r="B363" i="47"/>
  <c r="B366" i="47"/>
  <c r="A7" i="47"/>
  <c r="C309" i="64"/>
  <c r="D309" i="64"/>
  <c r="D1074" i="47" s="1"/>
  <c r="A9" i="64"/>
  <c r="A9" i="47" s="1"/>
  <c r="D9" i="64"/>
  <c r="D10" i="64"/>
  <c r="D11" i="64"/>
  <c r="D20" i="47" s="1"/>
  <c r="C12" i="64"/>
  <c r="C25" i="47" s="1"/>
  <c r="D12" i="64"/>
  <c r="C13" i="64"/>
  <c r="C28" i="47" s="1"/>
  <c r="D13" i="64"/>
  <c r="D28" i="47" s="1"/>
  <c r="C15" i="64"/>
  <c r="C36" i="47" s="1"/>
  <c r="D15" i="64"/>
  <c r="C16" i="64"/>
  <c r="C39" i="47" s="1"/>
  <c r="D16" i="64"/>
  <c r="C17" i="64"/>
  <c r="C42" i="47" s="1"/>
  <c r="D17" i="64"/>
  <c r="D42" i="47" s="1"/>
  <c r="C18" i="64"/>
  <c r="D18" i="64"/>
  <c r="D45" i="47" s="1"/>
  <c r="A23" i="64"/>
  <c r="A21" i="78" s="1"/>
  <c r="D23" i="64"/>
  <c r="C24" i="64"/>
  <c r="C65" i="47" s="1"/>
  <c r="D24" i="64"/>
  <c r="D65" i="47" s="1"/>
  <c r="C25" i="64"/>
  <c r="C68" i="47" s="1"/>
  <c r="D25" i="64"/>
  <c r="D68" i="47" s="1"/>
  <c r="C26" i="64"/>
  <c r="C71" i="47" s="1"/>
  <c r="D26" i="64"/>
  <c r="D71" i="47" s="1"/>
  <c r="A29" i="64"/>
  <c r="A25" i="61" s="1"/>
  <c r="D29" i="64"/>
  <c r="D30" i="64"/>
  <c r="C31" i="64"/>
  <c r="C88" i="47"/>
  <c r="D31" i="64"/>
  <c r="A33" i="64"/>
  <c r="A32" i="61" s="1"/>
  <c r="D33" i="64"/>
  <c r="D92" i="47" s="1"/>
  <c r="D35" i="61"/>
  <c r="C35" i="64"/>
  <c r="C106" i="47" s="1"/>
  <c r="D35" i="64"/>
  <c r="A36" i="64"/>
  <c r="A33" i="78" s="1"/>
  <c r="C36" i="64"/>
  <c r="C37" i="64"/>
  <c r="A38" i="64"/>
  <c r="A111" i="47" s="1"/>
  <c r="C38" i="64"/>
  <c r="D38" i="64"/>
  <c r="D111" i="47" s="1"/>
  <c r="C39" i="64"/>
  <c r="D39" i="64"/>
  <c r="D40" i="64"/>
  <c r="C41" i="64"/>
  <c r="C127" i="47" s="1"/>
  <c r="D41" i="64"/>
  <c r="C42" i="64"/>
  <c r="B42" i="68"/>
  <c r="D42" i="64"/>
  <c r="D130" i="47" s="1"/>
  <c r="C43" i="64"/>
  <c r="D43" i="64"/>
  <c r="C44" i="64"/>
  <c r="C138" i="47" s="1"/>
  <c r="D44" i="64"/>
  <c r="C38" i="85"/>
  <c r="C45" i="64"/>
  <c r="D45" i="64"/>
  <c r="C46" i="64"/>
  <c r="D46" i="64"/>
  <c r="C47" i="64"/>
  <c r="D47" i="64"/>
  <c r="D147" i="47" s="1"/>
  <c r="C51" i="64"/>
  <c r="C161" i="47" s="1"/>
  <c r="A52" i="64"/>
  <c r="C52" i="64"/>
  <c r="D52" i="64"/>
  <c r="C53" i="64"/>
  <c r="D53" i="64"/>
  <c r="D167" i="47" s="1"/>
  <c r="D54" i="64"/>
  <c r="C55" i="64"/>
  <c r="D55" i="64"/>
  <c r="D173" i="47" s="1"/>
  <c r="C56" i="64"/>
  <c r="C57" i="64"/>
  <c r="A58" i="64"/>
  <c r="A178" i="47" s="1"/>
  <c r="C58" i="64"/>
  <c r="D58" i="64"/>
  <c r="C59" i="64"/>
  <c r="C184" i="47" s="1"/>
  <c r="D59" i="64"/>
  <c r="D184" i="47" s="1"/>
  <c r="C60" i="64"/>
  <c r="C190" i="47" s="1"/>
  <c r="D60" i="64"/>
  <c r="D190" i="47" s="1"/>
  <c r="C61" i="64"/>
  <c r="C193" i="47" s="1"/>
  <c r="A62" i="64"/>
  <c r="C62" i="64"/>
  <c r="D62" i="64"/>
  <c r="C63" i="64"/>
  <c r="C66" i="61" s="1"/>
  <c r="D63" i="64"/>
  <c r="C64" i="64"/>
  <c r="C208" i="47" s="1"/>
  <c r="B64" i="68"/>
  <c r="D64" i="64"/>
  <c r="C65" i="64"/>
  <c r="C34" i="78" s="1"/>
  <c r="A66" i="64"/>
  <c r="C66" i="64"/>
  <c r="D66" i="64"/>
  <c r="D35" i="78" s="1"/>
  <c r="C67" i="64"/>
  <c r="C36" i="78" s="1"/>
  <c r="D67" i="64"/>
  <c r="D36" i="78" s="1"/>
  <c r="C68" i="64"/>
  <c r="C37" i="78" s="1"/>
  <c r="D68" i="64"/>
  <c r="D226" i="47" s="1"/>
  <c r="A69" i="64"/>
  <c r="C69" i="64"/>
  <c r="C70" i="64"/>
  <c r="A71" i="64"/>
  <c r="C71" i="64"/>
  <c r="D71" i="64"/>
  <c r="C72" i="64"/>
  <c r="D72" i="64"/>
  <c r="C73" i="64"/>
  <c r="D73" i="64"/>
  <c r="D83" i="61" s="1"/>
  <c r="C74" i="64"/>
  <c r="D74" i="64"/>
  <c r="C75" i="64"/>
  <c r="C250" i="47" s="1"/>
  <c r="D75" i="64"/>
  <c r="C76" i="64"/>
  <c r="D76" i="64"/>
  <c r="D85" i="61" s="1"/>
  <c r="C77" i="64"/>
  <c r="D77" i="64"/>
  <c r="C78" i="64"/>
  <c r="D78" i="64"/>
  <c r="C79" i="64"/>
  <c r="C264" i="47" s="1"/>
  <c r="D79" i="64"/>
  <c r="C80" i="64"/>
  <c r="C267" i="47" s="1"/>
  <c r="B80" i="68"/>
  <c r="D80" i="64"/>
  <c r="D267" i="47" s="1"/>
  <c r="C84" i="64"/>
  <c r="A85" i="64"/>
  <c r="C85" i="64"/>
  <c r="D85" i="64"/>
  <c r="C86" i="64"/>
  <c r="C287" i="47" s="1"/>
  <c r="D86" i="64"/>
  <c r="D287" i="47" s="1"/>
  <c r="C87" i="64"/>
  <c r="C290" i="47" s="1"/>
  <c r="D87" i="64"/>
  <c r="D290" i="47" s="1"/>
  <c r="C88" i="64"/>
  <c r="D88" i="64"/>
  <c r="C89" i="64"/>
  <c r="C92" i="61" s="1"/>
  <c r="C90" i="64"/>
  <c r="A91" i="64"/>
  <c r="A94" i="61" s="1"/>
  <c r="C91" i="64"/>
  <c r="D91" i="64"/>
  <c r="C92" i="64"/>
  <c r="D92" i="64"/>
  <c r="C93" i="64"/>
  <c r="D93" i="64"/>
  <c r="C94" i="64"/>
  <c r="A95" i="64"/>
  <c r="C95" i="64"/>
  <c r="D95" i="64"/>
  <c r="D101" i="61" s="1"/>
  <c r="C96" i="64"/>
  <c r="D96" i="64"/>
  <c r="C97" i="64"/>
  <c r="D97" i="64"/>
  <c r="D328" i="47" s="1"/>
  <c r="A98" i="64"/>
  <c r="C98" i="64"/>
  <c r="C99" i="64"/>
  <c r="A100" i="64"/>
  <c r="C100" i="64"/>
  <c r="C333" i="47" s="1"/>
  <c r="D100" i="64"/>
  <c r="C101" i="64"/>
  <c r="C111" i="61" s="1"/>
  <c r="D101" i="64"/>
  <c r="C102" i="64"/>
  <c r="D102" i="64"/>
  <c r="C103" i="64"/>
  <c r="D103" i="64"/>
  <c r="C104" i="64"/>
  <c r="B104" i="68"/>
  <c r="C352" i="47"/>
  <c r="D104" i="64"/>
  <c r="D352" i="47" s="1"/>
  <c r="C105" i="64"/>
  <c r="D105" i="64"/>
  <c r="C106" i="64"/>
  <c r="D106" i="64"/>
  <c r="C107" i="64"/>
  <c r="C363" i="47" s="1"/>
  <c r="D107" i="64"/>
  <c r="C108" i="64"/>
  <c r="D108" i="64"/>
  <c r="C109" i="64"/>
  <c r="C369" i="47" s="1"/>
  <c r="B103" i="85"/>
  <c r="D109" i="64"/>
  <c r="C113" i="64"/>
  <c r="A114" i="64"/>
  <c r="C114" i="64"/>
  <c r="D114" i="64"/>
  <c r="C115" i="64"/>
  <c r="D115" i="64"/>
  <c r="C116" i="64"/>
  <c r="B110" i="85"/>
  <c r="D116" i="64"/>
  <c r="C117" i="64"/>
  <c r="C395" i="47" s="1"/>
  <c r="D117" i="64"/>
  <c r="C118" i="64"/>
  <c r="C119" i="64"/>
  <c r="C399" i="47" s="1"/>
  <c r="A120" i="64"/>
  <c r="C120" i="64"/>
  <c r="D120" i="64"/>
  <c r="C121" i="64"/>
  <c r="C128" i="61" s="1"/>
  <c r="D121" i="64"/>
  <c r="C122" i="64"/>
  <c r="D122" i="64"/>
  <c r="C123" i="64"/>
  <c r="C415" i="47" s="1"/>
  <c r="A124" i="64"/>
  <c r="C124" i="64"/>
  <c r="D124" i="64"/>
  <c r="C125" i="64"/>
  <c r="D125" i="64"/>
  <c r="D422" i="47" s="1"/>
  <c r="C126" i="64"/>
  <c r="D126" i="64"/>
  <c r="C127" i="64"/>
  <c r="A128" i="64"/>
  <c r="C128" i="64"/>
  <c r="D128" i="64"/>
  <c r="D139" i="61" s="1"/>
  <c r="C129" i="64"/>
  <c r="C142" i="61" s="1"/>
  <c r="D129" i="64"/>
  <c r="C130" i="64"/>
  <c r="C448" i="47" s="1"/>
  <c r="D130" i="64"/>
  <c r="D448" i="47" s="1"/>
  <c r="A131" i="64"/>
  <c r="C131" i="64"/>
  <c r="C132" i="64"/>
  <c r="A133" i="64"/>
  <c r="A453" i="47" s="1"/>
  <c r="C133" i="64"/>
  <c r="C147" i="61" s="1"/>
  <c r="D133" i="64"/>
  <c r="D453" i="47" s="1"/>
  <c r="C127" i="85"/>
  <c r="C134" i="64"/>
  <c r="D134" i="64"/>
  <c r="D149" i="61" s="1"/>
  <c r="C135" i="64"/>
  <c r="C152" i="61" s="1"/>
  <c r="B135" i="68"/>
  <c r="D135" i="64"/>
  <c r="D464" i="47" s="1"/>
  <c r="C136" i="64"/>
  <c r="D136" i="64"/>
  <c r="D469" i="47" s="1"/>
  <c r="C137" i="64"/>
  <c r="D137" i="64"/>
  <c r="D472" i="47" s="1"/>
  <c r="C138" i="64"/>
  <c r="D138" i="64"/>
  <c r="C139" i="64"/>
  <c r="C480" i="47" s="1"/>
  <c r="D139" i="64"/>
  <c r="C140" i="64"/>
  <c r="B134" i="85"/>
  <c r="D140" i="64"/>
  <c r="C141" i="64"/>
  <c r="D141" i="64"/>
  <c r="C142" i="64"/>
  <c r="D142" i="64"/>
  <c r="C146" i="64"/>
  <c r="C158" i="61" s="1"/>
  <c r="A147" i="64"/>
  <c r="C147" i="64"/>
  <c r="C159" i="61" s="1"/>
  <c r="D147" i="64"/>
  <c r="C148" i="64"/>
  <c r="C509" i="47" s="1"/>
  <c r="D148" i="64"/>
  <c r="C149" i="64"/>
  <c r="D149" i="64"/>
  <c r="C150" i="64"/>
  <c r="C515" i="47" s="1"/>
  <c r="D150" i="64"/>
  <c r="C151" i="64"/>
  <c r="C152" i="64"/>
  <c r="C162" i="61" s="1"/>
  <c r="A153" i="64"/>
  <c r="A520" i="47" s="1"/>
  <c r="C153" i="64"/>
  <c r="C163" i="61" s="1"/>
  <c r="D153" i="64"/>
  <c r="C154" i="64"/>
  <c r="C166" i="61" s="1"/>
  <c r="D154" i="64"/>
  <c r="C155" i="64"/>
  <c r="B155" i="68"/>
  <c r="D155" i="64"/>
  <c r="C156" i="64"/>
  <c r="C169" i="61" s="1"/>
  <c r="C158" i="64"/>
  <c r="C157" i="64"/>
  <c r="C536" i="47" s="1"/>
  <c r="A157" i="64"/>
  <c r="D157" i="64"/>
  <c r="D158" i="64"/>
  <c r="C159" i="64"/>
  <c r="D159" i="64"/>
  <c r="A160" i="64"/>
  <c r="A553" i="47" s="1"/>
  <c r="C160" i="64"/>
  <c r="C161" i="64"/>
  <c r="B155" i="85"/>
  <c r="A162" i="64"/>
  <c r="C162" i="64"/>
  <c r="C178" i="61" s="1"/>
  <c r="D162" i="64"/>
  <c r="D555" i="47"/>
  <c r="C163" i="64"/>
  <c r="D163" i="64"/>
  <c r="C164" i="64"/>
  <c r="D164" i="64"/>
  <c r="C165" i="64"/>
  <c r="D165" i="64"/>
  <c r="C165" i="68"/>
  <c r="C166" i="64"/>
  <c r="C574" i="47" s="1"/>
  <c r="D166" i="64"/>
  <c r="C166" i="68"/>
  <c r="D574" i="47"/>
  <c r="C167" i="64"/>
  <c r="D167" i="64"/>
  <c r="C168" i="64"/>
  <c r="D168" i="64"/>
  <c r="C169" i="64"/>
  <c r="C585" i="47" s="1"/>
  <c r="D169" i="64"/>
  <c r="C169" i="68"/>
  <c r="C170" i="64"/>
  <c r="C588" i="47" s="1"/>
  <c r="B164" i="85"/>
  <c r="D170" i="64"/>
  <c r="C171" i="64"/>
  <c r="D171" i="64"/>
  <c r="C175" i="64"/>
  <c r="A176" i="64"/>
  <c r="C176" i="64"/>
  <c r="C606" i="47" s="1"/>
  <c r="D176" i="64"/>
  <c r="D190" i="61" s="1"/>
  <c r="C177" i="64"/>
  <c r="D177" i="64"/>
  <c r="D611" i="47" s="1"/>
  <c r="C178" i="64"/>
  <c r="C614" i="47" s="1"/>
  <c r="D178" i="64"/>
  <c r="C179" i="64"/>
  <c r="C617" i="47" s="1"/>
  <c r="D179" i="64"/>
  <c r="D617" i="47" s="1"/>
  <c r="C180" i="64"/>
  <c r="C192" i="61" s="1"/>
  <c r="C181" i="64"/>
  <c r="A182" i="64"/>
  <c r="C182" i="64"/>
  <c r="D182" i="64"/>
  <c r="C183" i="64"/>
  <c r="D183" i="64"/>
  <c r="C183" i="68"/>
  <c r="C184" i="64"/>
  <c r="C634" i="47" s="1"/>
  <c r="D184" i="64"/>
  <c r="A185" i="64"/>
  <c r="A200" i="61" s="1"/>
  <c r="A179" i="85"/>
  <c r="C185" i="64"/>
  <c r="C186" i="64"/>
  <c r="C638" i="47" s="1"/>
  <c r="A187" i="64"/>
  <c r="A639" i="47" s="1"/>
  <c r="C187" i="64"/>
  <c r="D187" i="64"/>
  <c r="D202" i="61" s="1"/>
  <c r="C188" i="64"/>
  <c r="D188" i="64"/>
  <c r="C188" i="68"/>
  <c r="C189" i="64"/>
  <c r="C650" i="47" s="1"/>
  <c r="D189" i="64"/>
  <c r="C190" i="64"/>
  <c r="D190" i="64"/>
  <c r="C191" i="64"/>
  <c r="D191" i="64"/>
  <c r="C192" i="64"/>
  <c r="D192" i="64"/>
  <c r="C193" i="64"/>
  <c r="D193" i="64"/>
  <c r="D666" i="47"/>
  <c r="C194" i="64"/>
  <c r="B194" i="68"/>
  <c r="D194" i="64"/>
  <c r="D669" i="47" s="1"/>
  <c r="C195" i="64"/>
  <c r="D195" i="64"/>
  <c r="C196" i="64"/>
  <c r="D196" i="64"/>
  <c r="C200" i="64"/>
  <c r="A201" i="64"/>
  <c r="A690" i="47" s="1"/>
  <c r="C201" i="64"/>
  <c r="D201" i="64"/>
  <c r="C202" i="64"/>
  <c r="B202" i="68"/>
  <c r="D202" i="64"/>
  <c r="C203" i="64"/>
  <c r="C698" i="47" s="1"/>
  <c r="D203" i="64"/>
  <c r="C204" i="64"/>
  <c r="C701" i="47"/>
  <c r="D204" i="64"/>
  <c r="C205" i="64"/>
  <c r="C206" i="64"/>
  <c r="C705" i="47"/>
  <c r="A207" i="64"/>
  <c r="C207" i="64"/>
  <c r="C218" i="61" s="1"/>
  <c r="B207" i="68"/>
  <c r="D207" i="64"/>
  <c r="D218" i="61" s="1"/>
  <c r="C208" i="64"/>
  <c r="D208" i="64"/>
  <c r="C209" i="64"/>
  <c r="D209" i="64"/>
  <c r="C210" i="64"/>
  <c r="A211" i="64"/>
  <c r="C211" i="64"/>
  <c r="D211" i="64"/>
  <c r="D225" i="61" s="1"/>
  <c r="C212" i="64"/>
  <c r="D212" i="64"/>
  <c r="C213" i="64"/>
  <c r="C736" i="47" s="1"/>
  <c r="D213" i="64"/>
  <c r="A214" i="64"/>
  <c r="C214" i="64"/>
  <c r="C215" i="64"/>
  <c r="C232" i="61" s="1"/>
  <c r="A216" i="64"/>
  <c r="C216" i="64"/>
  <c r="D216" i="64"/>
  <c r="D741" i="47" s="1"/>
  <c r="C217" i="64"/>
  <c r="D217" i="64"/>
  <c r="D235" i="61" s="1"/>
  <c r="C218" i="64"/>
  <c r="D218" i="64"/>
  <c r="C219" i="64"/>
  <c r="D219" i="64"/>
  <c r="D757" i="47" s="1"/>
  <c r="C220" i="64"/>
  <c r="C760" i="47" s="1"/>
  <c r="D220" i="64"/>
  <c r="D760" i="47" s="1"/>
  <c r="C221" i="64"/>
  <c r="D221" i="64"/>
  <c r="C222" i="64"/>
  <c r="D222" i="64"/>
  <c r="C223" i="64"/>
  <c r="C771" i="47" s="1"/>
  <c r="D223" i="64"/>
  <c r="C224" i="64"/>
  <c r="D224" i="64"/>
  <c r="C224" i="68"/>
  <c r="C225" i="64"/>
  <c r="D225" i="64"/>
  <c r="C229" i="64"/>
  <c r="A230" i="64"/>
  <c r="C230" i="64"/>
  <c r="D230" i="64"/>
  <c r="C231" i="64"/>
  <c r="C797" i="47" s="1"/>
  <c r="D231" i="64"/>
  <c r="D797" i="47" s="1"/>
  <c r="C232" i="64"/>
  <c r="C800" i="47" s="1"/>
  <c r="B232" i="68"/>
  <c r="D232" i="64"/>
  <c r="C233" i="64"/>
  <c r="C803" i="47" s="1"/>
  <c r="D233" i="64"/>
  <c r="C234" i="64"/>
  <c r="C235" i="64"/>
  <c r="A236" i="64"/>
  <c r="C236" i="64"/>
  <c r="D236" i="64"/>
  <c r="C237" i="64"/>
  <c r="D237" i="64"/>
  <c r="C238" i="64"/>
  <c r="C820" i="47" s="1"/>
  <c r="D238" i="64"/>
  <c r="D820" i="47" s="1"/>
  <c r="C239" i="64"/>
  <c r="C255" i="61" s="1"/>
  <c r="A240" i="64"/>
  <c r="C240" i="64"/>
  <c r="D240" i="64"/>
  <c r="C241" i="64"/>
  <c r="D241" i="64"/>
  <c r="D259" i="61" s="1"/>
  <c r="C242" i="64"/>
  <c r="C838" i="47" s="1"/>
  <c r="D242" i="64"/>
  <c r="D838" i="47" s="1"/>
  <c r="A243" i="64"/>
  <c r="C243" i="64"/>
  <c r="C244" i="64"/>
  <c r="C263" i="61" s="1"/>
  <c r="A245" i="64"/>
  <c r="C245" i="64"/>
  <c r="B245" i="68"/>
  <c r="D245" i="64"/>
  <c r="C246" i="64"/>
  <c r="D246" i="64"/>
  <c r="C247" i="64"/>
  <c r="D247" i="64"/>
  <c r="D269" i="61" s="1"/>
  <c r="C248" i="64"/>
  <c r="D248" i="64"/>
  <c r="C249" i="64"/>
  <c r="B243" i="85"/>
  <c r="D249" i="64"/>
  <c r="C250" i="64"/>
  <c r="C271" i="61" s="1"/>
  <c r="D250" i="64"/>
  <c r="D271" i="61" s="1"/>
  <c r="C251" i="64"/>
  <c r="C870" i="47" s="1"/>
  <c r="D251" i="64"/>
  <c r="C252" i="64"/>
  <c r="D252" i="64"/>
  <c r="C253" i="64"/>
  <c r="C876" i="47" s="1"/>
  <c r="B247" i="85"/>
  <c r="D253" i="64"/>
  <c r="C254" i="64"/>
  <c r="D254" i="64"/>
  <c r="D879" i="47" s="1"/>
  <c r="C258" i="64"/>
  <c r="A259" i="64"/>
  <c r="C259" i="64"/>
  <c r="B253" i="85"/>
  <c r="D259" i="64"/>
  <c r="D276" i="61" s="1"/>
  <c r="C260" i="64"/>
  <c r="D260" i="64"/>
  <c r="D899" i="47" s="1"/>
  <c r="C261" i="64"/>
  <c r="C902" i="47" s="1"/>
  <c r="D261" i="64"/>
  <c r="C262" i="64"/>
  <c r="C905" i="47" s="1"/>
  <c r="D262" i="64"/>
  <c r="C262" i="68"/>
  <c r="C263" i="64"/>
  <c r="C264" i="64"/>
  <c r="C279" i="61" s="1"/>
  <c r="A265" i="64"/>
  <c r="C265" i="64"/>
  <c r="D265" i="64"/>
  <c r="C266" i="64"/>
  <c r="D266" i="64"/>
  <c r="C267" i="64"/>
  <c r="C922" i="47" s="1"/>
  <c r="D267" i="64"/>
  <c r="D922" i="47" s="1"/>
  <c r="C268" i="64"/>
  <c r="A269" i="64"/>
  <c r="A926" i="47" s="1"/>
  <c r="C269" i="64"/>
  <c r="D269" i="64"/>
  <c r="C269" i="68"/>
  <c r="C270" i="64"/>
  <c r="C932" i="47" s="1"/>
  <c r="D270" i="64"/>
  <c r="C271" i="64"/>
  <c r="D271" i="64"/>
  <c r="D940" i="47" s="1"/>
  <c r="C272" i="64"/>
  <c r="A273" i="64"/>
  <c r="A294" i="61" s="1"/>
  <c r="C273" i="64"/>
  <c r="D273" i="64"/>
  <c r="C274" i="64"/>
  <c r="C950" i="47" s="1"/>
  <c r="D274" i="64"/>
  <c r="C274" i="68"/>
  <c r="C275" i="64"/>
  <c r="C958" i="47" s="1"/>
  <c r="D275" i="64"/>
  <c r="A276" i="64"/>
  <c r="C276" i="64"/>
  <c r="C38" i="78" s="1"/>
  <c r="C277" i="64"/>
  <c r="C39" i="78" s="1"/>
  <c r="A278" i="64"/>
  <c r="A40" i="78" s="1"/>
  <c r="C278" i="64"/>
  <c r="C40" i="78" s="1"/>
  <c r="D278" i="64"/>
  <c r="C279" i="64"/>
  <c r="D279" i="64"/>
  <c r="D41" i="78" s="1"/>
  <c r="C280" i="64"/>
  <c r="D280" i="64"/>
  <c r="C281" i="64"/>
  <c r="C43" i="78" s="1"/>
  <c r="D281" i="64"/>
  <c r="C282" i="64"/>
  <c r="C44" i="78" s="1"/>
  <c r="C982" i="47"/>
  <c r="D282" i="64"/>
  <c r="D44" i="78" s="1"/>
  <c r="C283" i="64"/>
  <c r="C985" i="47" s="1"/>
  <c r="D283" i="64"/>
  <c r="D45" i="78" s="1"/>
  <c r="C284" i="64"/>
  <c r="C46" i="78" s="1"/>
  <c r="D284" i="64"/>
  <c r="D46" i="78" s="1"/>
  <c r="C285" i="64"/>
  <c r="C47" i="78" s="1"/>
  <c r="D285" i="64"/>
  <c r="D47" i="78" s="1"/>
  <c r="C285" i="68"/>
  <c r="C286" i="64"/>
  <c r="C48" i="78" s="1"/>
  <c r="D286" i="64"/>
  <c r="D48" i="78" s="1"/>
  <c r="C290" i="64"/>
  <c r="C52" i="78" s="1"/>
  <c r="A291" i="64"/>
  <c r="A1011" i="47" s="1"/>
  <c r="C291" i="64"/>
  <c r="D291" i="64"/>
  <c r="D53" i="78" s="1"/>
  <c r="C292" i="64"/>
  <c r="D292" i="64"/>
  <c r="D54" i="78"/>
  <c r="C293" i="64"/>
  <c r="C55" i="78" s="1"/>
  <c r="D293" i="64"/>
  <c r="D55" i="78" s="1"/>
  <c r="C294" i="64"/>
  <c r="C56" i="78" s="1"/>
  <c r="B294" i="68"/>
  <c r="D294" i="64"/>
  <c r="C295" i="64"/>
  <c r="C57" i="78" s="1"/>
  <c r="C296" i="64"/>
  <c r="C58" i="78" s="1"/>
  <c r="A297" i="64"/>
  <c r="A59" i="78" s="1"/>
  <c r="C297" i="64"/>
  <c r="D297" i="64"/>
  <c r="D59" i="78" s="1"/>
  <c r="C298" i="64"/>
  <c r="C321" i="61" s="1"/>
  <c r="D298" i="64"/>
  <c r="D60" i="78" s="1"/>
  <c r="C298" i="68"/>
  <c r="C299" i="64"/>
  <c r="C61" i="78" s="1"/>
  <c r="B299" i="68"/>
  <c r="D299" i="64"/>
  <c r="D61" i="78" s="1"/>
  <c r="A300" i="64"/>
  <c r="C300" i="64"/>
  <c r="C62" i="78" s="1"/>
  <c r="C301" i="64"/>
  <c r="A302" i="64"/>
  <c r="A1044" i="47" s="1"/>
  <c r="C302" i="64"/>
  <c r="D302" i="64"/>
  <c r="C303" i="64"/>
  <c r="D303" i="64"/>
  <c r="D328" i="61" s="1"/>
  <c r="C304" i="64"/>
  <c r="D304" i="64"/>
  <c r="D1055" i="47" s="1"/>
  <c r="C305" i="64"/>
  <c r="D305" i="64"/>
  <c r="C306" i="64"/>
  <c r="D306" i="64"/>
  <c r="C307" i="64"/>
  <c r="D307" i="64"/>
  <c r="C307" i="68"/>
  <c r="C308" i="64"/>
  <c r="C1071" i="47" s="1"/>
  <c r="D308" i="64"/>
  <c r="C310" i="64"/>
  <c r="C1077" i="47" s="1"/>
  <c r="D310" i="64"/>
  <c r="C310" i="68"/>
  <c r="C279" i="85"/>
  <c r="C311" i="64"/>
  <c r="D311" i="64"/>
  <c r="C312" i="64"/>
  <c r="D312" i="64"/>
  <c r="C314" i="64"/>
  <c r="C315" i="64"/>
  <c r="D315" i="64"/>
  <c r="C316" i="64"/>
  <c r="B316" i="68"/>
  <c r="D316" i="64"/>
  <c r="D1095" i="47" s="1"/>
  <c r="C316" i="68"/>
  <c r="C317" i="64"/>
  <c r="D317" i="64"/>
  <c r="C318" i="64"/>
  <c r="D318" i="64"/>
  <c r="C319" i="64"/>
  <c r="C338" i="61" s="1"/>
  <c r="C320" i="64"/>
  <c r="C321" i="64"/>
  <c r="C340" i="61" s="1"/>
  <c r="D321" i="64"/>
  <c r="D340" i="61" s="1"/>
  <c r="C322" i="64"/>
  <c r="C1112" i="47" s="1"/>
  <c r="D322" i="64"/>
  <c r="C323" i="64"/>
  <c r="D323" i="64"/>
  <c r="C324" i="64"/>
  <c r="A325" i="68"/>
  <c r="C325" i="64"/>
  <c r="D325" i="64"/>
  <c r="A326" i="68"/>
  <c r="C326" i="64"/>
  <c r="D326" i="64"/>
  <c r="A327" i="68"/>
  <c r="C327" i="64"/>
  <c r="C1136" i="47" s="1"/>
  <c r="D327" i="64"/>
  <c r="C328" i="64"/>
  <c r="A329" i="68"/>
  <c r="C329" i="64"/>
  <c r="D329" i="64"/>
  <c r="C330" i="64"/>
  <c r="C71" i="78" s="1"/>
  <c r="D330" i="64"/>
  <c r="D357" i="61" s="1"/>
  <c r="C330" i="68"/>
  <c r="A331" i="68"/>
  <c r="C331" i="64"/>
  <c r="C72" i="78" s="1"/>
  <c r="D331" i="64"/>
  <c r="A332" i="64"/>
  <c r="C332" i="64"/>
  <c r="A333" i="64"/>
  <c r="C333" i="64"/>
  <c r="D333" i="64"/>
  <c r="A334" i="64"/>
  <c r="C334" i="64"/>
  <c r="C1163" i="47" s="1"/>
  <c r="D334" i="64"/>
  <c r="A335" i="64"/>
  <c r="C335" i="64"/>
  <c r="C1168" i="47" s="1"/>
  <c r="D335" i="64"/>
  <c r="D1168" i="47" s="1"/>
  <c r="A336" i="64"/>
  <c r="C336" i="64"/>
  <c r="C77" i="78" s="1"/>
  <c r="D336" i="64"/>
  <c r="D77" i="78" s="1"/>
  <c r="A337" i="64"/>
  <c r="C337" i="64"/>
  <c r="C1178" i="47" s="1"/>
  <c r="D337" i="64"/>
  <c r="A338" i="64"/>
  <c r="C338" i="64"/>
  <c r="D338" i="64"/>
  <c r="D1181" i="47" s="1"/>
  <c r="A339" i="64"/>
  <c r="C339" i="64"/>
  <c r="D339" i="64"/>
  <c r="A6" i="64"/>
  <c r="A6" i="78" s="1"/>
  <c r="I12" i="58"/>
  <c r="A2" i="58"/>
  <c r="F16" i="65"/>
  <c r="F10" i="65"/>
  <c r="F13" i="65"/>
  <c r="F15" i="65"/>
  <c r="F18" i="65"/>
  <c r="F19" i="65"/>
  <c r="F21" i="65"/>
  <c r="F23" i="65"/>
  <c r="F25" i="65"/>
  <c r="F27" i="65"/>
  <c r="F30" i="65"/>
  <c r="F32" i="65"/>
  <c r="F33" i="65"/>
  <c r="F35" i="65"/>
  <c r="F36" i="65"/>
  <c r="F8" i="65"/>
  <c r="A4" i="57"/>
  <c r="A2" i="62"/>
  <c r="A2" i="61"/>
  <c r="J24" i="58"/>
  <c r="I20" i="63"/>
  <c r="J20" i="63"/>
  <c r="J19" i="63"/>
  <c r="I19" i="63"/>
  <c r="D11" i="63"/>
  <c r="F10" i="63" s="1"/>
  <c r="E19" i="63" s="1"/>
  <c r="D14" i="63"/>
  <c r="F13" i="63" s="1"/>
  <c r="E20" i="63" s="1"/>
  <c r="A2" i="63"/>
  <c r="C44" i="58"/>
  <c r="B37" i="58"/>
  <c r="I36" i="58"/>
  <c r="B36" i="58" s="1"/>
  <c r="E36" i="58"/>
  <c r="I35" i="58"/>
  <c r="B35" i="58" s="1"/>
  <c r="E35" i="58"/>
  <c r="I34" i="58"/>
  <c r="B34" i="58" s="1"/>
  <c r="E34" i="58"/>
  <c r="I33" i="58"/>
  <c r="B33" i="58" s="1"/>
  <c r="E33" i="58"/>
  <c r="B31" i="58"/>
  <c r="I28" i="58"/>
  <c r="B28" i="58" s="1"/>
  <c r="E28" i="58"/>
  <c r="I27" i="58"/>
  <c r="B27" i="58" s="1"/>
  <c r="E27" i="58"/>
  <c r="I26" i="58"/>
  <c r="B26" i="58" s="1"/>
  <c r="E26" i="58"/>
  <c r="I25" i="58"/>
  <c r="B25" i="58" s="1"/>
  <c r="E25" i="58"/>
  <c r="D44" i="59"/>
  <c r="D46" i="59" s="1"/>
  <c r="D77" i="59"/>
  <c r="A2" i="47"/>
  <c r="D74" i="59"/>
  <c r="D68" i="59"/>
  <c r="D53" i="59"/>
  <c r="D18" i="59"/>
  <c r="D16" i="59"/>
  <c r="D38" i="59"/>
  <c r="D24" i="59"/>
  <c r="D12" i="59"/>
  <c r="D35" i="59"/>
  <c r="D32" i="59"/>
  <c r="D40" i="59"/>
  <c r="D39" i="59"/>
  <c r="D36" i="59"/>
  <c r="D34" i="59"/>
  <c r="D30" i="59"/>
  <c r="D28" i="59"/>
  <c r="D26" i="59"/>
  <c r="D7" i="59"/>
  <c r="D10" i="59"/>
  <c r="D72" i="59"/>
  <c r="D70" i="59"/>
  <c r="D47" i="59"/>
  <c r="D55" i="59"/>
  <c r="D57" i="59"/>
  <c r="D59" i="59"/>
  <c r="D12" i="63"/>
  <c r="I52" i="58"/>
  <c r="B52" i="58" s="1"/>
  <c r="A3" i="63"/>
  <c r="B46" i="58"/>
  <c r="A1106" i="47"/>
  <c r="A330" i="68"/>
  <c r="A1146" i="47"/>
  <c r="A1112" i="47"/>
  <c r="A1090" i="47"/>
  <c r="A1140" i="47"/>
  <c r="A1122" i="47"/>
  <c r="A350" i="61"/>
  <c r="A1154" i="47"/>
  <c r="A354" i="61"/>
  <c r="A343" i="61"/>
  <c r="A336" i="61"/>
  <c r="A357" i="61"/>
  <c r="A347" i="61"/>
  <c r="A1118" i="47"/>
  <c r="A340" i="61"/>
  <c r="A1101" i="47"/>
  <c r="A1098" i="47"/>
  <c r="A1095" i="47"/>
  <c r="A1136" i="47"/>
  <c r="A1128" i="47"/>
  <c r="J47" i="58"/>
  <c r="D369" i="47"/>
  <c r="A292" i="64"/>
  <c r="A54" i="78" s="1"/>
  <c r="A72" i="64"/>
  <c r="A266" i="34"/>
  <c r="A267" i="64"/>
  <c r="A922" i="47" s="1"/>
  <c r="D634" i="47"/>
  <c r="B262" i="68"/>
  <c r="B143" i="68"/>
  <c r="C492" i="47"/>
  <c r="B187" i="68"/>
  <c r="A260" i="34"/>
  <c r="A260" i="64"/>
  <c r="C968" i="47"/>
  <c r="A208" i="64"/>
  <c r="A712" i="47" s="1"/>
  <c r="A188" i="68"/>
  <c r="B328" i="68"/>
  <c r="C842" i="47"/>
  <c r="A109" i="47"/>
  <c r="C230" i="47"/>
  <c r="C293" i="68"/>
  <c r="C757" i="47"/>
  <c r="A119" i="85"/>
  <c r="C24" i="85"/>
  <c r="D780" i="47"/>
  <c r="A291" i="68"/>
  <c r="C628" i="47"/>
  <c r="B122" i="85"/>
  <c r="C695" i="47"/>
  <c r="B41" i="68"/>
  <c r="D338" i="68"/>
  <c r="D1077" i="47"/>
  <c r="A276" i="68"/>
  <c r="A1168" i="47"/>
  <c r="D349" i="47"/>
  <c r="D830" i="47"/>
  <c r="A30" i="34"/>
  <c r="A31" i="64" s="1"/>
  <c r="A67" i="64"/>
  <c r="A37" i="78"/>
  <c r="A39" i="64"/>
  <c r="A116" i="47" s="1"/>
  <c r="C201" i="61"/>
  <c r="A231" i="61"/>
  <c r="C152" i="85"/>
  <c r="A59" i="64"/>
  <c r="A59" i="61" s="1"/>
  <c r="A59" i="34"/>
  <c r="A60" i="64" s="1"/>
  <c r="A190" i="47" s="1"/>
  <c r="C495" i="47"/>
  <c r="A93" i="68"/>
  <c r="A177" i="64"/>
  <c r="A611" i="47" s="1"/>
  <c r="K217" i="64"/>
  <c r="A739" i="47"/>
  <c r="C777" i="47"/>
  <c r="D197" i="61"/>
  <c r="B45" i="85"/>
  <c r="C6" i="61"/>
  <c r="B6" i="68"/>
  <c r="C80" i="85"/>
  <c r="K39" i="64"/>
  <c r="C909" i="47"/>
  <c r="D395" i="47"/>
  <c r="C117" i="68"/>
  <c r="C80" i="61"/>
  <c r="B287" i="68"/>
  <c r="D211" i="61"/>
  <c r="E204" i="61"/>
  <c r="C247" i="61"/>
  <c r="D80" i="61"/>
  <c r="A637" i="47"/>
  <c r="D52" i="61"/>
  <c r="B52" i="68"/>
  <c r="E235" i="61"/>
  <c r="A194" i="61"/>
  <c r="D70" i="61"/>
  <c r="D111" i="61"/>
  <c r="C343" i="61"/>
  <c r="B322" i="68"/>
  <c r="D366" i="47"/>
  <c r="D321" i="61"/>
  <c r="B130" i="68"/>
  <c r="B24" i="68"/>
  <c r="C6" i="85"/>
  <c r="D594" i="47"/>
  <c r="B19" i="85"/>
  <c r="D178" i="61"/>
  <c r="C162" i="68"/>
  <c r="D483" i="47"/>
  <c r="C140" i="68"/>
  <c r="A63" i="61"/>
  <c r="A56" i="61"/>
  <c r="C271" i="68"/>
  <c r="C894" i="47"/>
  <c r="C276" i="61"/>
  <c r="D614" i="47"/>
  <c r="C464" i="47"/>
  <c r="C372" i="47"/>
  <c r="B204" i="68"/>
  <c r="C90" i="61"/>
  <c r="D311" i="61"/>
  <c r="D672" i="47"/>
  <c r="B246" i="68"/>
  <c r="C806" i="47"/>
  <c r="B238" i="85"/>
  <c r="D550" i="47"/>
  <c r="C554" i="47"/>
  <c r="B291" i="68"/>
  <c r="B268" i="85"/>
  <c r="C238" i="68"/>
  <c r="A536" i="47"/>
  <c r="C503" i="47"/>
  <c r="D440" i="47"/>
  <c r="C96" i="85"/>
  <c r="C310" i="47"/>
  <c r="B93" i="68"/>
  <c r="C45" i="61"/>
  <c r="C605" i="47"/>
  <c r="C177" i="61"/>
  <c r="B314" i="68"/>
  <c r="D865" i="47"/>
  <c r="C244" i="85"/>
  <c r="H29" i="76"/>
  <c r="K80" i="64"/>
  <c r="K108" i="64"/>
  <c r="D286" i="68"/>
  <c r="D47" i="68"/>
  <c r="K171" i="64"/>
  <c r="D135" i="85"/>
  <c r="A29" i="85"/>
  <c r="E79" i="78"/>
  <c r="C1121" i="47"/>
  <c r="B324" i="68"/>
  <c r="B179" i="85"/>
  <c r="C637" i="47"/>
  <c r="C200" i="61"/>
  <c r="D628" i="47"/>
  <c r="C258" i="47"/>
  <c r="B71" i="68"/>
  <c r="A9" i="68"/>
  <c r="A158" i="34"/>
  <c r="A159" i="64" s="1"/>
  <c r="A550" i="47" s="1"/>
  <c r="A153" i="85"/>
  <c r="A158" i="64"/>
  <c r="A173" i="61" s="1"/>
  <c r="K10" i="64"/>
  <c r="E111" i="61"/>
  <c r="H112" i="61" s="1"/>
  <c r="K246" i="64"/>
  <c r="D854" i="47"/>
  <c r="A1027" i="47"/>
  <c r="C1090" i="47"/>
  <c r="K101" i="64"/>
  <c r="C1184" i="47"/>
  <c r="A202" i="61"/>
  <c r="C440" i="47"/>
  <c r="E15" i="78"/>
  <c r="I16" i="64"/>
  <c r="C1095" i="47"/>
  <c r="C746" i="47"/>
  <c r="C704" i="47"/>
  <c r="B199" i="85"/>
  <c r="C655" i="47"/>
  <c r="A202" i="64"/>
  <c r="A695" i="47" s="1"/>
  <c r="A202" i="34"/>
  <c r="C209" i="61"/>
  <c r="A298" i="47"/>
  <c r="D876" i="47"/>
  <c r="C253" i="68"/>
  <c r="A115" i="34"/>
  <c r="A116" i="64" s="1"/>
  <c r="A392" i="47" s="1"/>
  <c r="A115" i="64"/>
  <c r="A389" i="47" s="1"/>
  <c r="D287" i="61"/>
  <c r="D926" i="47"/>
  <c r="C873" i="47"/>
  <c r="C225" i="61"/>
  <c r="C722" i="47"/>
  <c r="C39" i="61"/>
  <c r="C110" i="47"/>
  <c r="A271" i="64"/>
  <c r="A940" i="47" s="1"/>
  <c r="A270" i="64"/>
  <c r="D278" i="47"/>
  <c r="A1086" i="47"/>
  <c r="A1007" i="47"/>
  <c r="C283" i="68"/>
  <c r="A160" i="68"/>
  <c r="A176" i="61"/>
  <c r="D480" i="47"/>
  <c r="C108" i="61"/>
  <c r="C332" i="47"/>
  <c r="D1002" i="47"/>
  <c r="D1007" i="47"/>
  <c r="C313" i="68"/>
  <c r="D1086" i="47"/>
  <c r="C325" i="61"/>
  <c r="C1043" i="47"/>
  <c r="D290" i="61"/>
  <c r="B227" i="85"/>
  <c r="D236" i="47"/>
  <c r="B36" i="68"/>
  <c r="D16" i="61"/>
  <c r="D777" i="47"/>
  <c r="A706" i="47"/>
  <c r="A218" i="61"/>
  <c r="A214" i="61"/>
  <c r="A622" i="47"/>
  <c r="D588" i="47"/>
  <c r="C153" i="68"/>
  <c r="B141" i="85"/>
  <c r="C344" i="47"/>
  <c r="C90" i="85"/>
  <c r="C282" i="47"/>
  <c r="C85" i="61"/>
  <c r="C253" i="47"/>
  <c r="C70" i="61"/>
  <c r="C10" i="85"/>
  <c r="C31" i="61"/>
  <c r="B32" i="68"/>
  <c r="C602" i="47"/>
  <c r="B174" i="68"/>
  <c r="C193" i="85"/>
  <c r="D686" i="47"/>
  <c r="C885" i="47"/>
  <c r="C273" i="61"/>
  <c r="C1086" i="47"/>
  <c r="D314" i="47"/>
  <c r="D279" i="68"/>
  <c r="D905" i="47"/>
  <c r="D571" i="47"/>
  <c r="C242" i="68"/>
  <c r="D695" i="47"/>
  <c r="B179" i="68"/>
  <c r="D147" i="61"/>
  <c r="B279" i="68"/>
  <c r="C862" i="47"/>
  <c r="C245" i="61"/>
  <c r="C792" i="47"/>
  <c r="D746" i="47"/>
  <c r="D25" i="61"/>
  <c r="B298" i="68"/>
  <c r="C1033" i="47"/>
  <c r="C225" i="85"/>
  <c r="D675" i="47"/>
  <c r="C190" i="85"/>
  <c r="D430" i="47"/>
  <c r="C62" i="61"/>
  <c r="B61" i="68"/>
  <c r="D885" i="47"/>
  <c r="B289" i="68"/>
  <c r="A1178" i="47"/>
  <c r="C1106" i="47"/>
  <c r="B321" i="68"/>
  <c r="A297" i="68"/>
  <c r="C1022" i="47"/>
  <c r="C925" i="47"/>
  <c r="D233" i="61"/>
  <c r="C210" i="85"/>
  <c r="C620" i="47"/>
  <c r="D585" i="47"/>
  <c r="A163" i="61"/>
  <c r="C116" i="85"/>
  <c r="D412" i="47"/>
  <c r="C120" i="68"/>
  <c r="C338" i="47"/>
  <c r="A333" i="47"/>
  <c r="A109" i="61"/>
  <c r="B22" i="68"/>
  <c r="E42" i="61"/>
  <c r="H44" i="61" s="1"/>
  <c r="D39" i="68"/>
  <c r="C325" i="68"/>
  <c r="C504" i="47"/>
  <c r="D658" i="47"/>
  <c r="C242" i="61"/>
  <c r="C783" i="47"/>
  <c r="A300" i="68"/>
  <c r="B286" i="68"/>
  <c r="C996" i="47"/>
  <c r="D774" i="47"/>
  <c r="D718" i="47"/>
  <c r="D706" i="47"/>
  <c r="D152" i="61"/>
  <c r="C129" i="85"/>
  <c r="C124" i="85"/>
  <c r="B25" i="68"/>
  <c r="D14" i="61"/>
  <c r="D1019" i="47"/>
  <c r="C294" i="68"/>
  <c r="A310" i="47"/>
  <c r="A226" i="47"/>
  <c r="C1118" i="47"/>
  <c r="B323" i="68"/>
  <c r="D307" i="61"/>
  <c r="C280" i="68"/>
  <c r="D968" i="47"/>
  <c r="D728" i="47"/>
  <c r="D228" i="61"/>
  <c r="C212" i="68"/>
  <c r="C566" i="47"/>
  <c r="C389" i="47"/>
  <c r="B115" i="68"/>
  <c r="B82" i="85"/>
  <c r="C293" i="47"/>
  <c r="A8" i="78"/>
  <c r="A9" i="61"/>
  <c r="D882" i="47"/>
  <c r="C7" i="47"/>
  <c r="B7" i="68"/>
  <c r="C27" i="78"/>
  <c r="C28" i="61"/>
  <c r="C380" i="47"/>
  <c r="D495" i="47"/>
  <c r="C597" i="47"/>
  <c r="C187" i="61"/>
  <c r="E328" i="61"/>
  <c r="K303" i="64"/>
  <c r="C189" i="61"/>
  <c r="C706" i="47"/>
  <c r="C297" i="61"/>
  <c r="C483" i="47"/>
  <c r="C349" i="47"/>
  <c r="C68" i="78"/>
  <c r="B327" i="68"/>
  <c r="D1106" i="47"/>
  <c r="C321" i="68"/>
  <c r="B320" i="68"/>
  <c r="C1039" i="47"/>
  <c r="C316" i="61"/>
  <c r="C672" i="47"/>
  <c r="C518" i="47"/>
  <c r="C512" i="47"/>
  <c r="C469" i="47"/>
  <c r="D242" i="47"/>
  <c r="B72" i="68"/>
  <c r="C236" i="47"/>
  <c r="C77" i="61"/>
  <c r="D23" i="78"/>
  <c r="C12" i="78"/>
  <c r="B10" i="85"/>
  <c r="D273" i="47"/>
  <c r="C82" i="68"/>
  <c r="A68" i="68"/>
  <c r="C281" i="68"/>
  <c r="A302" i="61"/>
  <c r="A278" i="68"/>
  <c r="C740" i="47"/>
  <c r="B215" i="68"/>
  <c r="D736" i="47"/>
  <c r="D661" i="47"/>
  <c r="C183" i="85"/>
  <c r="D207" i="61"/>
  <c r="C591" i="47"/>
  <c r="D185" i="61"/>
  <c r="D577" i="47"/>
  <c r="C161" i="85"/>
  <c r="C542" i="47"/>
  <c r="C535" i="47"/>
  <c r="C142" i="68"/>
  <c r="D489" i="47"/>
  <c r="C137" i="68"/>
  <c r="C384" i="47"/>
  <c r="C121" i="61"/>
  <c r="C89" i="61"/>
  <c r="C281" i="47"/>
  <c r="C59" i="68"/>
  <c r="D59" i="61"/>
  <c r="D9" i="78"/>
  <c r="C10" i="68"/>
  <c r="C63" i="78"/>
  <c r="B309" i="68"/>
  <c r="C30" i="78"/>
  <c r="C32" i="61"/>
  <c r="C890" i="47"/>
  <c r="B251" i="85"/>
  <c r="D209" i="61"/>
  <c r="A944" i="47"/>
  <c r="C1074" i="47"/>
  <c r="C183" i="61"/>
  <c r="D602" i="47"/>
  <c r="D650" i="47"/>
  <c r="E266" i="61"/>
  <c r="C279" i="68"/>
  <c r="C216" i="61"/>
  <c r="D771" i="47"/>
  <c r="C392" i="47"/>
  <c r="A298" i="68"/>
  <c r="C238" i="61"/>
  <c r="C752" i="47"/>
  <c r="D606" i="47"/>
  <c r="C176" i="68"/>
  <c r="B128" i="85"/>
  <c r="C412" i="47"/>
  <c r="C400" i="47"/>
  <c r="D40" i="61"/>
  <c r="D31" i="78"/>
  <c r="D24" i="78"/>
  <c r="C17" i="78"/>
  <c r="C11" i="78"/>
  <c r="C284" i="68"/>
  <c r="D990" i="47"/>
  <c r="D870" i="47"/>
  <c r="D843" i="47"/>
  <c r="A237" i="85"/>
  <c r="C526" i="47"/>
  <c r="A132" i="61"/>
  <c r="A416" i="47"/>
  <c r="C121" i="68"/>
  <c r="A125" i="61"/>
  <c r="A400" i="47"/>
  <c r="C22" i="78"/>
  <c r="D15" i="78"/>
  <c r="A542" i="47"/>
  <c r="C6" i="78"/>
  <c r="C6" i="47"/>
  <c r="C20" i="78"/>
  <c r="B18" i="85"/>
  <c r="K72" i="64"/>
  <c r="E80" i="61"/>
  <c r="E149" i="61"/>
  <c r="C302" i="68"/>
  <c r="C979" i="47"/>
  <c r="C520" i="47"/>
  <c r="C489" i="47"/>
  <c r="B136" i="85"/>
  <c r="A107" i="61"/>
  <c r="D247" i="47"/>
  <c r="B63" i="85"/>
  <c r="D212" i="47"/>
  <c r="C60" i="85"/>
  <c r="C36" i="85"/>
  <c r="D30" i="78"/>
  <c r="D32" i="61"/>
  <c r="C8" i="47"/>
  <c r="C80" i="78"/>
  <c r="C79" i="78"/>
  <c r="A78" i="78"/>
  <c r="C75" i="78"/>
  <c r="A30" i="78"/>
  <c r="D27" i="78"/>
  <c r="A26" i="78"/>
  <c r="D22" i="78"/>
  <c r="C15" i="78"/>
  <c r="D13" i="78"/>
  <c r="D10" i="78"/>
  <c r="D20" i="78"/>
  <c r="A77" i="78"/>
  <c r="A76" i="78"/>
  <c r="C28" i="78"/>
  <c r="C24" i="78"/>
  <c r="C23" i="78"/>
  <c r="D17" i="78"/>
  <c r="C16" i="78"/>
  <c r="D12" i="78"/>
  <c r="C25" i="78"/>
  <c r="B300" i="68"/>
  <c r="C961" i="47"/>
  <c r="A270" i="68"/>
  <c r="A116" i="34"/>
  <c r="A117" i="64" s="1"/>
  <c r="A1033" i="47"/>
  <c r="C14" i="78"/>
  <c r="D291" i="68"/>
  <c r="C259" i="61"/>
  <c r="C252" i="61"/>
  <c r="C235" i="61"/>
  <c r="C193" i="61"/>
  <c r="C190" i="61"/>
  <c r="H8" i="82"/>
  <c r="D147" i="34" s="1"/>
  <c r="E148" i="64" s="1"/>
  <c r="I148" i="64" s="1"/>
  <c r="H163" i="82"/>
  <c r="H124" i="82"/>
  <c r="E8" i="82"/>
  <c r="D146" i="34" s="1"/>
  <c r="E147" i="64" s="1"/>
  <c r="E159" i="61" s="1"/>
  <c r="H160" i="61" s="1"/>
  <c r="E144" i="82"/>
  <c r="H52" i="82"/>
  <c r="D114" i="34" s="1"/>
  <c r="E115" i="64" s="1"/>
  <c r="K115" i="64" s="1"/>
  <c r="D196" i="85"/>
  <c r="E97" i="82"/>
  <c r="D200" i="34" s="1"/>
  <c r="E201" i="64" s="1"/>
  <c r="D195" i="85"/>
  <c r="H63" i="82"/>
  <c r="D259" i="34" s="1"/>
  <c r="E260" i="64" s="1"/>
  <c r="H48" i="82"/>
  <c r="E124" i="82"/>
  <c r="D51" i="34" s="1"/>
  <c r="E52" i="64" s="1"/>
  <c r="E48" i="82"/>
  <c r="D84" i="34" s="1"/>
  <c r="E85" i="64" s="1"/>
  <c r="K85" i="64" s="1"/>
  <c r="C47" i="61"/>
  <c r="A1184" i="47"/>
  <c r="A1181" i="47"/>
  <c r="C284" i="85"/>
  <c r="D76" i="78"/>
  <c r="C1154" i="47"/>
  <c r="B331" i="68"/>
  <c r="B282" i="68"/>
  <c r="C814" i="47"/>
  <c r="C621" i="47"/>
  <c r="D582" i="47"/>
  <c r="A555" i="47"/>
  <c r="A178" i="61"/>
  <c r="C550" i="47"/>
  <c r="A283" i="61"/>
  <c r="A260" i="85"/>
  <c r="A916" i="47"/>
  <c r="A10" i="64"/>
  <c r="A14" i="47" s="1"/>
  <c r="A10" i="34"/>
  <c r="A11" i="34" s="1"/>
  <c r="A12" i="34" s="1"/>
  <c r="A13" i="64" s="1"/>
  <c r="A40" i="68"/>
  <c r="C111" i="68"/>
  <c r="D118" i="61"/>
  <c r="A134" i="64"/>
  <c r="A458" i="47" s="1"/>
  <c r="A135" i="64"/>
  <c r="A464" i="47"/>
  <c r="D375" i="47"/>
  <c r="C309" i="61"/>
  <c r="A73" i="34"/>
  <c r="A74" i="64" s="1"/>
  <c r="A247" i="47" s="1"/>
  <c r="A326" i="61"/>
  <c r="D993" i="47"/>
  <c r="B283" i="68"/>
  <c r="C182" i="68"/>
  <c r="D194" i="61"/>
  <c r="D622" i="47"/>
  <c r="A241" i="64"/>
  <c r="A830" i="47" s="1"/>
  <c r="A279" i="64"/>
  <c r="A968" i="47" s="1"/>
  <c r="A279" i="34"/>
  <c r="I107" i="64"/>
  <c r="I339" i="64"/>
  <c r="H113" i="61"/>
  <c r="C228" i="61"/>
  <c r="C217" i="61"/>
  <c r="C207" i="61"/>
  <c r="E23" i="64"/>
  <c r="C328" i="61"/>
  <c r="C1049" i="47"/>
  <c r="C611" i="47"/>
  <c r="B177" i="68"/>
  <c r="K109" i="64"/>
  <c r="I109" i="64"/>
  <c r="D217" i="85"/>
  <c r="A218" i="47"/>
  <c r="D71" i="78"/>
  <c r="C1104" i="47"/>
  <c r="B319" i="68"/>
  <c r="C519" i="47"/>
  <c r="A147" i="68"/>
  <c r="A159" i="61"/>
  <c r="A504" i="47"/>
  <c r="A147" i="61"/>
  <c r="A451" i="47"/>
  <c r="A145" i="61"/>
  <c r="D400" i="47"/>
  <c r="D125" i="61"/>
  <c r="D338" i="47"/>
  <c r="C101" i="68"/>
  <c r="D333" i="47"/>
  <c r="D109" i="61"/>
  <c r="C500" i="47"/>
  <c r="D64" i="78"/>
  <c r="D1080" i="47"/>
  <c r="C311" i="68"/>
  <c r="C1055" i="47"/>
  <c r="C264" i="61"/>
  <c r="C843" i="47"/>
  <c r="D256" i="61"/>
  <c r="D824" i="47"/>
  <c r="C240" i="68"/>
  <c r="C823" i="47"/>
  <c r="D142" i="61"/>
  <c r="A40" i="61"/>
  <c r="A121" i="34"/>
  <c r="A122" i="64" s="1"/>
  <c r="A412" i="47" s="1"/>
  <c r="A148" i="64"/>
  <c r="A718" i="47"/>
  <c r="D985" i="47"/>
  <c r="D309" i="61"/>
  <c r="C830" i="47"/>
  <c r="A824" i="47"/>
  <c r="A256" i="61"/>
  <c r="C669" i="47"/>
  <c r="C658" i="47"/>
  <c r="C532" i="47"/>
  <c r="C472" i="47"/>
  <c r="B137" i="68"/>
  <c r="C451" i="47"/>
  <c r="B131" i="68"/>
  <c r="C145" i="61"/>
  <c r="A212" i="34"/>
  <c r="A213" i="64" s="1"/>
  <c r="A736" i="47" s="1"/>
  <c r="A212" i="64"/>
  <c r="A728" i="47" s="1"/>
  <c r="A231" i="34"/>
  <c r="A232" i="34" s="1"/>
  <c r="A233" i="64" s="1"/>
  <c r="A231" i="64"/>
  <c r="A231" i="68"/>
  <c r="C278" i="47"/>
  <c r="B244" i="85"/>
  <c r="B211" i="85"/>
  <c r="C728" i="47"/>
  <c r="D135" i="61"/>
  <c r="C255" i="85"/>
  <c r="D902" i="47"/>
  <c r="C230" i="85"/>
  <c r="A183" i="64"/>
  <c r="A197" i="61" s="1"/>
  <c r="D434" i="47"/>
  <c r="C122" i="85"/>
  <c r="A96" i="34"/>
  <c r="A97" i="64" s="1"/>
  <c r="D134" i="68"/>
  <c r="K134" i="64"/>
  <c r="C353" i="61"/>
  <c r="C69" i="78"/>
  <c r="C1139" i="47"/>
  <c r="C312" i="68"/>
  <c r="D1083" i="47"/>
  <c r="A961" i="47"/>
  <c r="A300" i="61"/>
  <c r="B160" i="85"/>
  <c r="D363" i="47"/>
  <c r="C101" i="85"/>
  <c r="C12" i="68"/>
  <c r="A279" i="68"/>
  <c r="A149" i="61"/>
  <c r="A128" i="85"/>
  <c r="A232" i="64"/>
  <c r="A800" i="47" s="1"/>
  <c r="A9" i="78"/>
  <c r="A10" i="68"/>
  <c r="A11" i="61"/>
  <c r="A797" i="47"/>
  <c r="E162" i="82"/>
  <c r="J72" i="64"/>
  <c r="E20" i="78"/>
  <c r="B15" i="68"/>
  <c r="G1147" i="47"/>
  <c r="F330" i="64" s="1"/>
  <c r="F71" i="78" s="1"/>
  <c r="D79" i="78"/>
  <c r="B335" i="68"/>
  <c r="C76" i="78"/>
  <c r="C43" i="85"/>
  <c r="C686" i="47"/>
  <c r="C231" i="61"/>
  <c r="C224" i="61"/>
  <c r="C721" i="47"/>
  <c r="D701" i="47"/>
  <c r="C213" i="61"/>
  <c r="C689" i="47"/>
  <c r="A6" i="68"/>
  <c r="D1178" i="47"/>
  <c r="D78" i="78"/>
  <c r="C1173" i="47"/>
  <c r="B336" i="68"/>
  <c r="D74" i="78"/>
  <c r="A121" i="68"/>
  <c r="D254" i="85"/>
  <c r="C1140" i="47"/>
  <c r="D950" i="47"/>
  <c r="D297" i="61"/>
  <c r="B267" i="85"/>
  <c r="C294" i="61"/>
  <c r="C944" i="47"/>
  <c r="B266" i="68"/>
  <c r="C916" i="47"/>
  <c r="C283" i="61"/>
  <c r="A276" i="61"/>
  <c r="A253" i="85"/>
  <c r="A894" i="47"/>
  <c r="D808" i="47"/>
  <c r="D249" i="61"/>
  <c r="B218" i="85"/>
  <c r="C774" i="47"/>
  <c r="C212" i="85"/>
  <c r="D752" i="47"/>
  <c r="D238" i="61"/>
  <c r="C107" i="61"/>
  <c r="C331" i="47"/>
  <c r="C101" i="61"/>
  <c r="C298" i="47"/>
  <c r="C94" i="61"/>
  <c r="D264" i="47"/>
  <c r="D253" i="47"/>
  <c r="C141" i="47"/>
  <c r="C133" i="47"/>
  <c r="B37" i="85"/>
  <c r="A76" i="47"/>
  <c r="A1019" i="47"/>
  <c r="C74" i="47"/>
  <c r="C23" i="61"/>
  <c r="B27" i="68"/>
  <c r="A101" i="64"/>
  <c r="A101" i="34"/>
  <c r="F683" i="47"/>
  <c r="G599" i="47"/>
  <c r="G598" i="47" s="1"/>
  <c r="F173" i="64" s="1"/>
  <c r="D512" i="47"/>
  <c r="C149" i="68"/>
  <c r="D458" i="47"/>
  <c r="C134" i="68"/>
  <c r="A139" i="61"/>
  <c r="A434" i="47"/>
  <c r="A128" i="68"/>
  <c r="B94" i="85"/>
  <c r="C109" i="61"/>
  <c r="A331" i="47"/>
  <c r="A92" i="85"/>
  <c r="C320" i="47"/>
  <c r="C104" i="61"/>
  <c r="C296" i="47"/>
  <c r="B68" i="68"/>
  <c r="C226" i="47"/>
  <c r="C211" i="47"/>
  <c r="C69" i="61"/>
  <c r="D170" i="47"/>
  <c r="C54" i="68"/>
  <c r="D144" i="47"/>
  <c r="C46" i="68"/>
  <c r="D138" i="47"/>
  <c r="A63" i="64"/>
  <c r="A63" i="34"/>
  <c r="A64" i="64" s="1"/>
  <c r="A208" i="47" s="1"/>
  <c r="A86" i="64"/>
  <c r="A287" i="47"/>
  <c r="A86" i="34"/>
  <c r="A87" i="64" s="1"/>
  <c r="A290" i="47" s="1"/>
  <c r="D287" i="68"/>
  <c r="D486" i="47"/>
  <c r="C141" i="68"/>
  <c r="C100" i="61"/>
  <c r="C313" i="47"/>
  <c r="C173" i="47"/>
  <c r="C147" i="47"/>
  <c r="A60" i="47"/>
  <c r="A23" i="68"/>
  <c r="A21" i="61"/>
  <c r="D48" i="47"/>
  <c r="C211" i="61"/>
  <c r="A152" i="61"/>
  <c r="A293" i="68"/>
  <c r="A135" i="34"/>
  <c r="A136" i="68"/>
  <c r="A293" i="34"/>
  <c r="A294" i="64" s="1"/>
  <c r="C261" i="47"/>
  <c r="A80" i="78"/>
  <c r="A79" i="78"/>
  <c r="D1173" i="47"/>
  <c r="C334" i="68"/>
  <c r="D75" i="78"/>
  <c r="D1163" i="47"/>
  <c r="A75" i="78"/>
  <c r="A1163" i="47"/>
  <c r="A74" i="78"/>
  <c r="A1158" i="47"/>
  <c r="A1157" i="47"/>
  <c r="A73" i="78"/>
  <c r="C329" i="68"/>
  <c r="C293" i="61"/>
  <c r="C943" i="47"/>
  <c r="D932" i="47"/>
  <c r="C270" i="68"/>
  <c r="B265" i="68"/>
  <c r="D803" i="47"/>
  <c r="C741" i="47"/>
  <c r="C233" i="61"/>
  <c r="A225" i="61"/>
  <c r="A722" i="47"/>
  <c r="C197" i="85"/>
  <c r="D698" i="47"/>
  <c r="D639" i="47"/>
  <c r="B172" i="85"/>
  <c r="D520" i="47"/>
  <c r="D163" i="61"/>
  <c r="C161" i="61"/>
  <c r="C170" i="61"/>
  <c r="E87" i="71"/>
  <c r="I108" i="64"/>
  <c r="A241" i="85"/>
  <c r="F37" i="65"/>
  <c r="I10" i="58" s="1"/>
  <c r="C322" i="68"/>
  <c r="D1063" i="47"/>
  <c r="C275" i="85"/>
  <c r="D1044" i="47"/>
  <c r="D326" i="61"/>
  <c r="D1033" i="47"/>
  <c r="B295" i="68"/>
  <c r="B292" i="68"/>
  <c r="B267" i="68"/>
  <c r="D690" i="47"/>
  <c r="C201" i="68"/>
  <c r="D214" i="61"/>
  <c r="D591" i="47"/>
  <c r="C120" i="61"/>
  <c r="C383" i="47"/>
  <c r="D360" i="47"/>
  <c r="C355" i="47"/>
  <c r="C32" i="78"/>
  <c r="C45" i="47"/>
  <c r="A129" i="34"/>
  <c r="A130" i="64" s="1"/>
  <c r="A448" i="47" s="1"/>
  <c r="A124" i="85"/>
  <c r="A129" i="64"/>
  <c r="A142" i="61" s="1"/>
  <c r="C882" i="47"/>
  <c r="C287" i="68"/>
  <c r="D999" i="47"/>
  <c r="B8" i="68"/>
  <c r="C8" i="61"/>
  <c r="C24" i="61"/>
  <c r="C20" i="61"/>
  <c r="C59" i="47"/>
  <c r="C75" i="47"/>
  <c r="C1007" i="47"/>
  <c r="B313" i="68"/>
  <c r="D279" i="85"/>
  <c r="E334" i="64"/>
  <c r="I334" i="64" s="1"/>
  <c r="C323" i="68"/>
  <c r="D1118" i="47"/>
  <c r="C272" i="85"/>
  <c r="D1049" i="47"/>
  <c r="B293" i="68"/>
  <c r="D1011" i="47"/>
  <c r="C291" i="68"/>
  <c r="C963" i="47"/>
  <c r="B278" i="68"/>
  <c r="C962" i="47"/>
  <c r="C301" i="61"/>
  <c r="B262" i="85"/>
  <c r="C286" i="61"/>
  <c r="C768" i="47"/>
  <c r="C666" i="47"/>
  <c r="B182" i="85"/>
  <c r="C204" i="61"/>
  <c r="C644" i="47"/>
  <c r="A606" i="47"/>
  <c r="A190" i="61"/>
  <c r="B162" i="85"/>
  <c r="C582" i="47"/>
  <c r="A170" i="61"/>
  <c r="D532" i="47"/>
  <c r="D127" i="47"/>
  <c r="D116" i="47"/>
  <c r="D42" i="61"/>
  <c r="C40" i="61"/>
  <c r="C111" i="47"/>
  <c r="A38" i="61"/>
  <c r="A36" i="68"/>
  <c r="D16" i="78"/>
  <c r="C153" i="47"/>
  <c r="D788" i="47"/>
  <c r="D333" i="61"/>
  <c r="D1066" i="47"/>
  <c r="D800" i="47"/>
  <c r="C221" i="61"/>
  <c r="C712" i="47"/>
  <c r="C661" i="47"/>
  <c r="D655" i="47"/>
  <c r="C184" i="85"/>
  <c r="C197" i="61"/>
  <c r="B119" i="68"/>
  <c r="C124" i="61"/>
  <c r="C366" i="47"/>
  <c r="D344" i="47"/>
  <c r="D114" i="61"/>
  <c r="D250" i="47"/>
  <c r="C75" i="68"/>
  <c r="C61" i="85"/>
  <c r="C67" i="68"/>
  <c r="D218" i="47"/>
  <c r="D73" i="61"/>
  <c r="D122" i="47"/>
  <c r="A155" i="64"/>
  <c r="A532" i="47" s="1"/>
  <c r="A154" i="64"/>
  <c r="A148" i="85"/>
  <c r="A237" i="34"/>
  <c r="A238" i="64" s="1"/>
  <c r="A820" i="47" s="1"/>
  <c r="A237" i="64"/>
  <c r="A231" i="85"/>
  <c r="C678" i="47"/>
  <c r="B197" i="68"/>
  <c r="C48" i="71"/>
  <c r="B264" i="68"/>
  <c r="A314" i="61"/>
  <c r="C908" i="47"/>
  <c r="C278" i="61"/>
  <c r="D245" i="61"/>
  <c r="D792" i="47"/>
  <c r="C718" i="47"/>
  <c r="B203" i="85"/>
  <c r="D509" i="47"/>
  <c r="C434" i="47"/>
  <c r="C139" i="61"/>
  <c r="C132" i="61"/>
  <c r="C328" i="47"/>
  <c r="C200" i="47"/>
  <c r="A194" i="47"/>
  <c r="A56" i="85"/>
  <c r="D39" i="47"/>
  <c r="C81" i="68"/>
  <c r="D270" i="47"/>
  <c r="C273" i="47"/>
  <c r="C87" i="61"/>
  <c r="C59" i="61"/>
  <c r="A58" i="68"/>
  <c r="C26" i="68"/>
  <c r="D3" i="71"/>
  <c r="F715" i="47"/>
  <c r="F817" i="47" s="1"/>
  <c r="F919" i="47" s="1"/>
  <c r="G919" i="47" s="1"/>
  <c r="G631" i="47"/>
  <c r="G945" i="47"/>
  <c r="F273" i="64" s="1"/>
  <c r="E3" i="71"/>
  <c r="F48" i="71"/>
  <c r="E87" i="82"/>
  <c r="D175" i="34" s="1"/>
  <c r="D103" i="34"/>
  <c r="E104" i="64" s="1"/>
  <c r="K104" i="64" s="1"/>
  <c r="D124" i="71"/>
  <c r="E16" i="82"/>
  <c r="D229" i="34" s="1"/>
  <c r="E230" i="64" s="1"/>
  <c r="H87" i="82"/>
  <c r="D176" i="34" s="1"/>
  <c r="E177" i="64" s="1"/>
  <c r="K177" i="64" s="1"/>
  <c r="D177" i="68"/>
  <c r="G132" i="47"/>
  <c r="G131" i="47" s="1"/>
  <c r="G42" i="64" s="1"/>
  <c r="F252" i="47"/>
  <c r="G252" i="47" s="1"/>
  <c r="G251" i="47" s="1"/>
  <c r="G75" i="64" s="1"/>
  <c r="F354" i="47"/>
  <c r="D292" i="68"/>
  <c r="H144" i="82"/>
  <c r="G166" i="47"/>
  <c r="G165" i="47" s="1"/>
  <c r="G52" i="64" s="1"/>
  <c r="F405" i="47"/>
  <c r="F303" i="47"/>
  <c r="G303" i="47" s="1"/>
  <c r="G302" i="47" s="1"/>
  <c r="G91" i="64" s="1"/>
  <c r="F172" i="47"/>
  <c r="A102" i="34"/>
  <c r="A103" i="64" s="1"/>
  <c r="A102" i="64"/>
  <c r="A114" i="61" s="1"/>
  <c r="A87" i="34"/>
  <c r="A88" i="64" s="1"/>
  <c r="D98" i="85"/>
  <c r="A149" i="85"/>
  <c r="A64" i="68"/>
  <c r="A95" i="85"/>
  <c r="A185" i="85"/>
  <c r="A96" i="85"/>
  <c r="A187" i="85"/>
  <c r="A77" i="68"/>
  <c r="A104" i="68"/>
  <c r="F13" i="78"/>
  <c r="J338" i="64"/>
  <c r="G79" i="78"/>
  <c r="I79" i="78" s="1"/>
  <c r="K79" i="78" s="1"/>
  <c r="G26" i="78"/>
  <c r="G58" i="47"/>
  <c r="G57" i="47" s="1"/>
  <c r="G21" i="64" s="1"/>
  <c r="F70" i="47"/>
  <c r="G70" i="47" s="1"/>
  <c r="G69" i="47" s="1"/>
  <c r="G25" i="64" s="1"/>
  <c r="F19" i="78"/>
  <c r="F499" i="47"/>
  <c r="G499" i="47" s="1"/>
  <c r="G498" i="47" s="1"/>
  <c r="G144" i="64" s="1"/>
  <c r="G277" i="47"/>
  <c r="G276" i="47" s="1"/>
  <c r="G82" i="64" s="1"/>
  <c r="F731" i="47"/>
  <c r="G545" i="47"/>
  <c r="F643" i="47"/>
  <c r="G643" i="47" s="1"/>
  <c r="G642" i="47" s="1"/>
  <c r="G187" i="64" s="1"/>
  <c r="G559" i="47"/>
  <c r="G558" i="47" s="1"/>
  <c r="G162" i="64" s="1"/>
  <c r="F573" i="47"/>
  <c r="G573" i="47" s="1"/>
  <c r="G572" i="47" s="1"/>
  <c r="G165" i="64" s="1"/>
  <c r="G351" i="47"/>
  <c r="G350" i="47" s="1"/>
  <c r="G103" i="64" s="1"/>
  <c r="F601" i="47"/>
  <c r="G601" i="47" s="1"/>
  <c r="G600" i="47" s="1"/>
  <c r="G173" i="64" s="1"/>
  <c r="G379" i="47"/>
  <c r="G378" i="47" s="1"/>
  <c r="G111" i="64" s="1"/>
  <c r="F608" i="47"/>
  <c r="G608" i="47" s="1"/>
  <c r="G607" i="47" s="1"/>
  <c r="F176" i="64" s="1"/>
  <c r="G386" i="47"/>
  <c r="G385" i="47" s="1"/>
  <c r="F114" i="64" s="1"/>
  <c r="F625" i="47"/>
  <c r="G403" i="47"/>
  <c r="G401" i="47" s="1"/>
  <c r="F120" i="64" s="1"/>
  <c r="G8" i="78"/>
  <c r="I8" i="78" s="1"/>
  <c r="L8" i="78" s="1"/>
  <c r="G322" i="47"/>
  <c r="G321" i="47" s="1"/>
  <c r="F96" i="64" s="1"/>
  <c r="G563" i="47"/>
  <c r="F286" i="47"/>
  <c r="F508" i="47" s="1"/>
  <c r="G508" i="47" s="1"/>
  <c r="G507" i="47" s="1"/>
  <c r="G147" i="64" s="1"/>
  <c r="F388" i="47"/>
  <c r="F479" i="47"/>
  <c r="G479" i="47" s="1"/>
  <c r="G478" i="47" s="1"/>
  <c r="H138" i="64" s="1"/>
  <c r="G257" i="47"/>
  <c r="G256" i="47" s="1"/>
  <c r="H76" i="64" s="1"/>
  <c r="F494" i="47"/>
  <c r="G494" i="47" s="1"/>
  <c r="G493" i="47" s="1"/>
  <c r="H143" i="64" s="1"/>
  <c r="G272" i="47"/>
  <c r="G271" i="47" s="1"/>
  <c r="H81" i="64" s="1"/>
  <c r="F538" i="47"/>
  <c r="G316" i="47"/>
  <c r="G315" i="47" s="1"/>
  <c r="F95" i="64" s="1"/>
  <c r="F649" i="47"/>
  <c r="F751" i="47" s="1"/>
  <c r="G751" i="47" s="1"/>
  <c r="G750" i="47" s="1"/>
  <c r="G217" i="64" s="1"/>
  <c r="J217" i="64" s="1"/>
  <c r="G565" i="47"/>
  <c r="G564" i="47" s="1"/>
  <c r="G163" i="64" s="1"/>
  <c r="J163" i="64" s="1"/>
  <c r="G340" i="47"/>
  <c r="G339" i="47" s="1"/>
  <c r="F101" i="64" s="1"/>
  <c r="I101" i="64" s="1"/>
  <c r="F663" i="47"/>
  <c r="G663" i="47" s="1"/>
  <c r="G662" i="47" s="1"/>
  <c r="F192" i="64" s="1"/>
  <c r="G579" i="47"/>
  <c r="G578" i="47" s="1"/>
  <c r="F167" i="64" s="1"/>
  <c r="F884" i="47"/>
  <c r="G884" i="47" s="1"/>
  <c r="G883" i="47" s="1"/>
  <c r="H255" i="64" s="1"/>
  <c r="G782" i="47"/>
  <c r="G781" i="47" s="1"/>
  <c r="H226" i="64" s="1"/>
  <c r="G596" i="47"/>
  <c r="G595" i="47" s="1"/>
  <c r="H172" i="64" s="1"/>
  <c r="G78" i="78"/>
  <c r="G74" i="78"/>
  <c r="I74" i="78" s="1"/>
  <c r="G1113" i="47"/>
  <c r="F322" i="64" s="1"/>
  <c r="G284" i="47"/>
  <c r="G283" i="47" s="1"/>
  <c r="F85" i="64" s="1"/>
  <c r="I85" i="64" s="1"/>
  <c r="F506" i="47"/>
  <c r="G506" i="47" s="1"/>
  <c r="G505" i="47" s="1"/>
  <c r="F147" i="64" s="1"/>
  <c r="G441" i="47"/>
  <c r="F129" i="64" s="1"/>
  <c r="F461" i="47"/>
  <c r="G461" i="47" s="1"/>
  <c r="G459" i="47" s="1"/>
  <c r="F134" i="64" s="1"/>
  <c r="I134" i="64" s="1"/>
  <c r="G239" i="47"/>
  <c r="G237" i="47" s="1"/>
  <c r="F72" i="64" s="1"/>
  <c r="I72" i="64" s="1"/>
  <c r="F471" i="47"/>
  <c r="G471" i="47" s="1"/>
  <c r="G470" i="47" s="1"/>
  <c r="G136" i="64" s="1"/>
  <c r="G249" i="47"/>
  <c r="G248" i="47" s="1"/>
  <c r="G74" i="64" s="1"/>
  <c r="G83" i="47"/>
  <c r="F30" i="64" s="1"/>
  <c r="F27" i="78" s="1"/>
  <c r="G179" i="47"/>
  <c r="F58" i="64" s="1"/>
  <c r="G185" i="47"/>
  <c r="F59" i="64" s="1"/>
  <c r="G201" i="47"/>
  <c r="F63" i="64" s="1"/>
  <c r="G195" i="47"/>
  <c r="F62" i="64" s="1"/>
  <c r="G77" i="78"/>
  <c r="I77" i="78" s="1"/>
  <c r="L77" i="78" s="1"/>
  <c r="G21" i="78"/>
  <c r="G19" i="78"/>
  <c r="G11" i="78"/>
  <c r="J10" i="64"/>
  <c r="G9" i="78"/>
  <c r="J134" i="64"/>
  <c r="H67" i="78"/>
  <c r="J67" i="78" s="1"/>
  <c r="G12" i="78"/>
  <c r="F474" i="47"/>
  <c r="G474" i="47" s="1"/>
  <c r="G473" i="47" s="1"/>
  <c r="G137" i="64" s="1"/>
  <c r="F67" i="64"/>
  <c r="F36" i="78" s="1"/>
  <c r="F851" i="47"/>
  <c r="G851" i="47" s="1"/>
  <c r="G749" i="47"/>
  <c r="G539" i="47"/>
  <c r="G93" i="47"/>
  <c r="F33" i="64" s="1"/>
  <c r="F30" i="78" s="1"/>
  <c r="G38" i="47"/>
  <c r="G37" i="47" s="1"/>
  <c r="G15" i="64" s="1"/>
  <c r="F41" i="47"/>
  <c r="G260" i="47"/>
  <c r="G259" i="47" s="1"/>
  <c r="G77" i="64" s="1"/>
  <c r="F832" i="47"/>
  <c r="G832" i="47" s="1"/>
  <c r="G730" i="47"/>
  <c r="G286" i="47"/>
  <c r="G285" i="47" s="1"/>
  <c r="G85" i="64" s="1"/>
  <c r="J85" i="64" s="1"/>
  <c r="G544" i="47"/>
  <c r="G680" i="47"/>
  <c r="G679" i="47" s="1"/>
  <c r="H197" i="64" s="1"/>
  <c r="G1107" i="47"/>
  <c r="F321" i="64" s="1"/>
  <c r="G99" i="47"/>
  <c r="F34" i="64" s="1"/>
  <c r="G15" i="47"/>
  <c r="F10" i="64" s="1"/>
  <c r="F9" i="78" s="1"/>
  <c r="G160" i="47"/>
  <c r="G159" i="47" s="1"/>
  <c r="G50" i="64" s="1"/>
  <c r="J50" i="64" s="1"/>
  <c r="F189" i="47"/>
  <c r="F210" i="47"/>
  <c r="F382" i="47"/>
  <c r="F604" i="47" s="1"/>
  <c r="F143" i="47"/>
  <c r="G192" i="47"/>
  <c r="G191" i="47" s="1"/>
  <c r="G60" i="64" s="1"/>
  <c r="F1120" i="47"/>
  <c r="G1120" i="47" s="1"/>
  <c r="G1119" i="47" s="1"/>
  <c r="G323" i="64" s="1"/>
  <c r="G140" i="47"/>
  <c r="G139" i="47" s="1"/>
  <c r="G44" i="64" s="1"/>
  <c r="F362" i="47"/>
  <c r="G362" i="47" s="1"/>
  <c r="G361" i="47" s="1"/>
  <c r="G106" i="64" s="1"/>
  <c r="F414" i="47"/>
  <c r="F636" i="47" s="1"/>
  <c r="G636" i="47" s="1"/>
  <c r="G635" i="47" s="1"/>
  <c r="G184" i="64" s="1"/>
  <c r="F692" i="47"/>
  <c r="G692" i="47" s="1"/>
  <c r="G691" i="47" s="1"/>
  <c r="F201" i="64" s="1"/>
  <c r="I201" i="64" s="1"/>
  <c r="F657" i="47"/>
  <c r="G657" i="47" s="1"/>
  <c r="G656" i="47" s="1"/>
  <c r="G190" i="64" s="1"/>
  <c r="G649" i="47"/>
  <c r="G648" i="47" s="1"/>
  <c r="G188" i="64" s="1"/>
  <c r="J188" i="64" s="1"/>
  <c r="F709" i="47"/>
  <c r="G709" i="47" s="1"/>
  <c r="G625" i="47"/>
  <c r="G623" i="47" s="1"/>
  <c r="F182" i="64" s="1"/>
  <c r="F745" i="47"/>
  <c r="F646" i="47"/>
  <c r="G646" i="47" s="1"/>
  <c r="G562" i="47"/>
  <c r="G143" i="47"/>
  <c r="G142" i="47" s="1"/>
  <c r="G45" i="64" s="1"/>
  <c r="J45" i="64" s="1"/>
  <c r="F263" i="47"/>
  <c r="F934" i="47"/>
  <c r="G934" i="47" s="1"/>
  <c r="G414" i="47"/>
  <c r="G413" i="47" s="1"/>
  <c r="G122" i="64" s="1"/>
  <c r="F853" i="47"/>
  <c r="F973" i="47" s="1"/>
  <c r="G973" i="47" s="1"/>
  <c r="G972" i="47" s="1"/>
  <c r="G279" i="64" s="1"/>
  <c r="G41" i="78" s="1"/>
  <c r="I41" i="78" s="1"/>
  <c r="L41" i="78" s="1"/>
  <c r="F765" i="47"/>
  <c r="F1054" i="47"/>
  <c r="G1054" i="47" s="1"/>
  <c r="G1053" i="47" s="1"/>
  <c r="G303" i="64" s="1"/>
  <c r="J303" i="64" s="1"/>
  <c r="G382" i="47"/>
  <c r="G381" i="47" s="1"/>
  <c r="G112" i="64" s="1"/>
  <c r="J112" i="64" s="1"/>
  <c r="F794" i="47"/>
  <c r="F896" i="47" s="1"/>
  <c r="F759" i="47"/>
  <c r="G189" i="47"/>
  <c r="G188" i="47" s="1"/>
  <c r="G59" i="64" s="1"/>
  <c r="F1117" i="47"/>
  <c r="G1117" i="47" s="1"/>
  <c r="G1116" i="47" s="1"/>
  <c r="G322" i="64" s="1"/>
  <c r="F309" i="47"/>
  <c r="F531" i="47" s="1"/>
  <c r="G531" i="47" s="1"/>
  <c r="G530" i="47" s="1"/>
  <c r="G154" i="64" s="1"/>
  <c r="J154" i="64" s="1"/>
  <c r="F411" i="47"/>
  <c r="F633" i="47" s="1"/>
  <c r="G633" i="47" s="1"/>
  <c r="F199" i="47"/>
  <c r="F205" i="47" s="1"/>
  <c r="F427" i="47" s="1"/>
  <c r="G427" i="47" s="1"/>
  <c r="G426" i="47" s="1"/>
  <c r="G125" i="64" s="1"/>
  <c r="A213" i="85"/>
  <c r="G23" i="78"/>
  <c r="A199" i="68"/>
  <c r="F685" i="47"/>
  <c r="A294" i="68"/>
  <c r="F1001" i="47"/>
  <c r="G1001" i="47" s="1"/>
  <c r="G1000" i="47" s="1"/>
  <c r="H287" i="64" s="1"/>
  <c r="H49" i="78" s="1"/>
  <c r="J49" i="78" s="1"/>
  <c r="E176" i="64"/>
  <c r="I176" i="64" s="1"/>
  <c r="E86" i="82"/>
  <c r="A838" i="47"/>
  <c r="F330" i="47"/>
  <c r="F552" i="47" s="1"/>
  <c r="A256" i="85"/>
  <c r="D79" i="85"/>
  <c r="G715" i="47"/>
  <c r="C331" i="68"/>
  <c r="C324" i="61"/>
  <c r="C1042" i="47"/>
  <c r="G10" i="78"/>
  <c r="A628" i="47"/>
  <c r="A11" i="64"/>
  <c r="A10" i="78" s="1"/>
  <c r="A144" i="85"/>
  <c r="A149" i="64"/>
  <c r="A1016" i="47"/>
  <c r="A292" i="68"/>
  <c r="D1101" i="47"/>
  <c r="C318" i="68"/>
  <c r="B297" i="68"/>
  <c r="B285" i="68"/>
  <c r="C993" i="47"/>
  <c r="A228" i="61"/>
  <c r="I115" i="64"/>
  <c r="A198" i="85"/>
  <c r="A221" i="61"/>
  <c r="D67" i="78"/>
  <c r="C326" i="68"/>
  <c r="D1128" i="47"/>
  <c r="D350" i="61"/>
  <c r="B325" i="68"/>
  <c r="C347" i="61"/>
  <c r="C1122" i="47"/>
  <c r="C66" i="78"/>
  <c r="B284" i="68"/>
  <c r="C990" i="47"/>
  <c r="B280" i="68"/>
  <c r="C974" i="47"/>
  <c r="C278" i="68"/>
  <c r="D958" i="47"/>
  <c r="C269" i="85"/>
  <c r="D894" i="47"/>
  <c r="C859" i="47"/>
  <c r="D848" i="47"/>
  <c r="D266" i="61"/>
  <c r="C841" i="47"/>
  <c r="C262" i="61"/>
  <c r="C222" i="68"/>
  <c r="D768" i="47"/>
  <c r="D712" i="47"/>
  <c r="D221" i="61"/>
  <c r="C690" i="47"/>
  <c r="C214" i="61"/>
  <c r="B195" i="85"/>
  <c r="C675" i="47"/>
  <c r="D180" i="61"/>
  <c r="D560" i="47"/>
  <c r="C149" i="61"/>
  <c r="C458" i="47"/>
  <c r="D132" i="61"/>
  <c r="D416" i="47"/>
  <c r="C124" i="68"/>
  <c r="C131" i="61"/>
  <c r="D320" i="47"/>
  <c r="D104" i="61"/>
  <c r="C314" i="47"/>
  <c r="C304" i="47"/>
  <c r="C97" i="61"/>
  <c r="B92" i="68"/>
  <c r="C247" i="47"/>
  <c r="C218" i="47"/>
  <c r="C73" i="61"/>
  <c r="D162" i="47"/>
  <c r="C144" i="47"/>
  <c r="B40" i="85"/>
  <c r="D106" i="47"/>
  <c r="D32" i="78"/>
  <c r="D9" i="47"/>
  <c r="A24" i="34"/>
  <c r="A25" i="64" s="1"/>
  <c r="A23" i="78" s="1"/>
  <c r="A24" i="64"/>
  <c r="A299" i="68"/>
  <c r="D681" i="47"/>
  <c r="D1184" i="47"/>
  <c r="D80" i="78"/>
  <c r="C78" i="78"/>
  <c r="D311" i="68"/>
  <c r="F108" i="47"/>
  <c r="G108" i="47" s="1"/>
  <c r="G107" i="47" s="1"/>
  <c r="G35" i="64" s="1"/>
  <c r="G90" i="47"/>
  <c r="G89" i="47" s="1"/>
  <c r="G31" i="64" s="1"/>
  <c r="F21" i="78"/>
  <c r="C170" i="47"/>
  <c r="F534" i="47"/>
  <c r="G534" i="47" s="1"/>
  <c r="G533" i="47" s="1"/>
  <c r="G155" i="64" s="1"/>
  <c r="G312" i="47"/>
  <c r="G311" i="47" s="1"/>
  <c r="G93" i="64" s="1"/>
  <c r="F735" i="47"/>
  <c r="G549" i="47"/>
  <c r="G548" i="47" s="1"/>
  <c r="H158" i="64" s="1"/>
  <c r="A109" i="85"/>
  <c r="A42" i="61"/>
  <c r="A28" i="61"/>
  <c r="A27" i="78"/>
  <c r="A30" i="68"/>
  <c r="B326" i="68"/>
  <c r="C67" i="78"/>
  <c r="B317" i="68"/>
  <c r="C1098" i="47"/>
  <c r="D916" i="47"/>
  <c r="D283" i="61"/>
  <c r="A70" i="61"/>
  <c r="C178" i="47"/>
  <c r="C56" i="61"/>
  <c r="A53" i="34"/>
  <c r="A54" i="64" s="1"/>
  <c r="A170" i="47" s="1"/>
  <c r="A53" i="64"/>
  <c r="A167" i="47" s="1"/>
  <c r="A178" i="34"/>
  <c r="A179" i="64" s="1"/>
  <c r="A178" i="64"/>
  <c r="A614" i="47" s="1"/>
  <c r="A178" i="68"/>
  <c r="C91" i="47"/>
  <c r="C29" i="78"/>
  <c r="C158" i="47"/>
  <c r="B44" i="85"/>
  <c r="A246" i="68"/>
  <c r="D66" i="78"/>
  <c r="D1122" i="47"/>
  <c r="D347" i="61"/>
  <c r="C1083" i="47"/>
  <c r="B312" i="68"/>
  <c r="C1025" i="47"/>
  <c r="B281" i="68"/>
  <c r="B277" i="68"/>
  <c r="C1011" i="47"/>
  <c r="C300" i="61"/>
  <c r="B276" i="68"/>
  <c r="C571" i="47"/>
  <c r="D996" i="47"/>
  <c r="A273" i="68"/>
  <c r="A287" i="61"/>
  <c r="C286" i="68"/>
  <c r="D37" i="59"/>
  <c r="C292" i="68"/>
  <c r="C173" i="61"/>
  <c r="D156" i="61"/>
  <c r="K163" i="64"/>
  <c r="E180" i="61"/>
  <c r="D157" i="85"/>
  <c r="K188" i="64"/>
  <c r="C87" i="85"/>
  <c r="D310" i="47"/>
  <c r="D208" i="47"/>
  <c r="A92" i="47"/>
  <c r="A33" i="68"/>
  <c r="A163" i="34"/>
  <c r="A164" i="64" s="1"/>
  <c r="A566" i="47" s="1"/>
  <c r="A163" i="64"/>
  <c r="B132" i="85"/>
  <c r="D121" i="34"/>
  <c r="E122" i="64" s="1"/>
  <c r="I122" i="64" s="1"/>
  <c r="D260" i="85"/>
  <c r="D266" i="34"/>
  <c r="E267" i="64" s="1"/>
  <c r="K267" i="64" s="1"/>
  <c r="D183" i="34"/>
  <c r="E184" i="64" s="1"/>
  <c r="K184" i="64" s="1"/>
  <c r="D330" i="34"/>
  <c r="E331" i="64" s="1"/>
  <c r="E156" i="82"/>
  <c r="D154" i="34"/>
  <c r="E155" i="64" s="1"/>
  <c r="E154" i="64"/>
  <c r="E166" i="61" s="1"/>
  <c r="D148" i="85"/>
  <c r="D96" i="34"/>
  <c r="E97" i="64" s="1"/>
  <c r="D125" i="34"/>
  <c r="E126" i="64" s="1"/>
  <c r="D63" i="34"/>
  <c r="E64" i="64" s="1"/>
  <c r="I64" i="64" s="1"/>
  <c r="E124" i="71"/>
  <c r="D321" i="68"/>
  <c r="D322" i="34"/>
  <c r="E323" i="64" s="1"/>
  <c r="E30" i="64"/>
  <c r="D30" i="34"/>
  <c r="E31" i="64" s="1"/>
  <c r="E63" i="82"/>
  <c r="D258" i="34"/>
  <c r="E259" i="64" s="1"/>
  <c r="E276" i="61" s="1"/>
  <c r="H277" i="61" s="1"/>
  <c r="D259" i="68"/>
  <c r="G647" i="47"/>
  <c r="G645" i="47" s="1"/>
  <c r="F188" i="64" s="1"/>
  <c r="I188" i="64" s="1"/>
  <c r="E236" i="64"/>
  <c r="K236" i="64" s="1"/>
  <c r="D237" i="34"/>
  <c r="E238" i="64" s="1"/>
  <c r="D297" i="68"/>
  <c r="D298" i="34"/>
  <c r="E299" i="64" s="1"/>
  <c r="D48" i="71"/>
  <c r="D129" i="34"/>
  <c r="E130" i="64" s="1"/>
  <c r="D270" i="34"/>
  <c r="E271" i="64" s="1"/>
  <c r="D208" i="34"/>
  <c r="E209" i="64" s="1"/>
  <c r="E34" i="64"/>
  <c r="E31" i="78" s="1"/>
  <c r="D34" i="34"/>
  <c r="E35" i="64" s="1"/>
  <c r="K35" i="64" s="1"/>
  <c r="E163" i="71"/>
  <c r="D32" i="34" s="1"/>
  <c r="E33" i="64" s="1"/>
  <c r="K33" i="64" s="1"/>
  <c r="D158" i="34"/>
  <c r="E159" i="64" s="1"/>
  <c r="D241" i="34"/>
  <c r="E242" i="64" s="1"/>
  <c r="D92" i="34"/>
  <c r="E93" i="64" s="1"/>
  <c r="I93" i="64" s="1"/>
  <c r="D274" i="34"/>
  <c r="E275" i="64" s="1"/>
  <c r="E274" i="64"/>
  <c r="E297" i="61" s="1"/>
  <c r="H298" i="61" s="1"/>
  <c r="D212" i="68"/>
  <c r="D212" i="34"/>
  <c r="E213" i="64" s="1"/>
  <c r="K213" i="64" s="1"/>
  <c r="D58" i="68"/>
  <c r="D59" i="34"/>
  <c r="E60" i="64" s="1"/>
  <c r="D60" i="68"/>
  <c r="D67" i="34"/>
  <c r="E68" i="64" s="1"/>
  <c r="D326" i="34"/>
  <c r="E327" i="64" s="1"/>
  <c r="G417" i="47"/>
  <c r="F124" i="64" s="1"/>
  <c r="D327" i="68"/>
  <c r="E35" i="61"/>
  <c r="H36" i="61" s="1"/>
  <c r="D122" i="85"/>
  <c r="D299" i="68"/>
  <c r="A560" i="47"/>
  <c r="A180" i="61"/>
  <c r="D326" i="68"/>
  <c r="D267" i="85"/>
  <c r="D234" i="85"/>
  <c r="K154" i="64"/>
  <c r="A512" i="47"/>
  <c r="A143" i="85"/>
  <c r="G817" i="47"/>
  <c r="A78" i="68"/>
  <c r="F861" i="47"/>
  <c r="G759" i="47"/>
  <c r="G758" i="47" s="1"/>
  <c r="G219" i="64" s="1"/>
  <c r="D315" i="68"/>
  <c r="D59" i="68"/>
  <c r="D201" i="85"/>
  <c r="D298" i="68"/>
  <c r="D238" i="68"/>
  <c r="E27" i="78"/>
  <c r="A617" i="47"/>
  <c r="A100" i="85"/>
  <c r="A306" i="68"/>
  <c r="G411" i="47"/>
  <c r="G410" i="47" s="1"/>
  <c r="G121" i="64" s="1"/>
  <c r="G794" i="47"/>
  <c r="G793" i="47" s="1"/>
  <c r="F230" i="64" s="1"/>
  <c r="I230" i="64" s="1"/>
  <c r="D316" i="68"/>
  <c r="D274" i="68"/>
  <c r="D235" i="85"/>
  <c r="D265" i="85"/>
  <c r="E249" i="61"/>
  <c r="H250" i="61" s="1"/>
  <c r="D323" i="68"/>
  <c r="A12" i="64"/>
  <c r="A11" i="78" s="1"/>
  <c r="G309" i="47"/>
  <c r="G308" i="47" s="1"/>
  <c r="G92" i="64" s="1"/>
  <c r="G604" i="47"/>
  <c r="G603" i="47" s="1"/>
  <c r="G174" i="64" s="1"/>
  <c r="J174" i="64" s="1"/>
  <c r="F688" i="47"/>
  <c r="G688" i="47" s="1"/>
  <c r="G687" i="47" s="1"/>
  <c r="G199" i="64" s="1"/>
  <c r="J199" i="64" s="1"/>
  <c r="D325" i="68"/>
  <c r="K64" i="64"/>
  <c r="D147" i="85"/>
  <c r="D331" i="68"/>
  <c r="I267" i="64"/>
  <c r="A183" i="61"/>
  <c r="A54" i="34"/>
  <c r="A55" i="64" s="1"/>
  <c r="A173" i="47" s="1"/>
  <c r="A48" i="85"/>
  <c r="G28" i="78"/>
  <c r="J31" i="64"/>
  <c r="A68" i="47"/>
  <c r="K148" i="64"/>
  <c r="A189" i="85"/>
  <c r="G330" i="47"/>
  <c r="G329" i="47" s="1"/>
  <c r="G97" i="64" s="1"/>
  <c r="J97" i="64" s="1"/>
  <c r="D176" i="68"/>
  <c r="I30" i="64"/>
  <c r="F867" i="47"/>
  <c r="F987" i="47" s="1"/>
  <c r="G765" i="47"/>
  <c r="G764" i="47" s="1"/>
  <c r="F221" i="64" s="1"/>
  <c r="A282" i="68"/>
  <c r="A277" i="85"/>
  <c r="F790" i="47"/>
  <c r="G632" i="47"/>
  <c r="G183" i="64" s="1"/>
  <c r="F717" i="47"/>
  <c r="F1036" i="47"/>
  <c r="G1036" i="47" s="1"/>
  <c r="G867" i="47"/>
  <c r="G866" i="47" s="1"/>
  <c r="F250" i="64" s="1"/>
  <c r="A22" i="85"/>
  <c r="A165" i="68"/>
  <c r="A251" i="68"/>
  <c r="A283" i="68"/>
  <c r="A44" i="68"/>
  <c r="A309" i="68"/>
  <c r="A284" i="68"/>
  <c r="A279" i="85"/>
  <c r="A76" i="85"/>
  <c r="A312" i="68"/>
  <c r="A135" i="85"/>
  <c r="A247" i="85"/>
  <c r="A285" i="68"/>
  <c r="A110" i="68"/>
  <c r="A40" i="85"/>
  <c r="A287" i="68"/>
  <c r="A105" i="85"/>
  <c r="A286" i="68"/>
  <c r="A169" i="68"/>
  <c r="A255" i="68"/>
  <c r="A289" i="68"/>
  <c r="A170" i="68"/>
  <c r="A145" i="68"/>
  <c r="A137" i="85"/>
  <c r="A288" i="68"/>
  <c r="A226" i="68"/>
  <c r="A144" i="68"/>
  <c r="A21" i="68"/>
  <c r="A227" i="68"/>
  <c r="A172" i="68"/>
  <c r="A167" i="85"/>
  <c r="V10" i="84"/>
  <c r="V42" i="84"/>
  <c r="V102" i="84"/>
  <c r="I11" i="84"/>
  <c r="I15" i="84"/>
  <c r="O41" i="84"/>
  <c r="I43" i="84"/>
  <c r="I47" i="84"/>
  <c r="V57" i="84"/>
  <c r="V61" i="84"/>
  <c r="H88" i="84"/>
  <c r="V95" i="84"/>
  <c r="V99" i="84"/>
  <c r="V126" i="84"/>
  <c r="L145" i="84"/>
  <c r="V146" i="84"/>
  <c r="L157" i="84"/>
  <c r="V158" i="84"/>
  <c r="I42" i="84"/>
  <c r="E41" i="84"/>
  <c r="E53" i="84"/>
  <c r="I65" i="84"/>
  <c r="E98" i="84"/>
  <c r="E9" i="84"/>
  <c r="I13" i="84"/>
  <c r="I45" i="84"/>
  <c r="V55" i="84"/>
  <c r="V59" i="84"/>
  <c r="V63" i="84"/>
  <c r="H64" i="84"/>
  <c r="E88" i="84"/>
  <c r="E87" i="84" s="1"/>
  <c r="O88" i="84"/>
  <c r="V91" i="84"/>
  <c r="V103" i="84"/>
  <c r="R145" i="84"/>
  <c r="R157" i="84"/>
  <c r="E164" i="84"/>
  <c r="E163" i="84" s="1"/>
  <c r="I89" i="84"/>
  <c r="I93" i="84"/>
  <c r="I97" i="84"/>
  <c r="I101" i="84"/>
  <c r="I105" i="84"/>
  <c r="I109" i="84"/>
  <c r="I113" i="84"/>
  <c r="I117" i="84"/>
  <c r="I121" i="84"/>
  <c r="D49" i="85"/>
  <c r="I129" i="84"/>
  <c r="I133" i="84"/>
  <c r="I137" i="84"/>
  <c r="I141" i="84"/>
  <c r="D318" i="68"/>
  <c r="I149" i="84"/>
  <c r="I153" i="84"/>
  <c r="I161" i="84"/>
  <c r="V177" i="84"/>
  <c r="I91" i="84"/>
  <c r="I95" i="84"/>
  <c r="I99" i="84"/>
  <c r="I103" i="84"/>
  <c r="I107" i="84"/>
  <c r="I111" i="84"/>
  <c r="I115" i="84"/>
  <c r="I119" i="84"/>
  <c r="I123" i="84"/>
  <c r="I127" i="84"/>
  <c r="I131" i="84"/>
  <c r="I135" i="84"/>
  <c r="I139" i="84"/>
  <c r="I143" i="84"/>
  <c r="I147" i="84"/>
  <c r="I151" i="84"/>
  <c r="I155" i="84"/>
  <c r="I159" i="84"/>
  <c r="D329" i="68"/>
  <c r="D322" i="68"/>
  <c r="D63" i="68"/>
  <c r="A192" i="68"/>
  <c r="A129" i="68"/>
  <c r="A440" i="47"/>
  <c r="A280" i="68"/>
  <c r="A83" i="61"/>
  <c r="A73" i="68"/>
  <c r="A242" i="47"/>
  <c r="D72" i="78"/>
  <c r="D1154" i="47"/>
  <c r="C70" i="78"/>
  <c r="C354" i="61"/>
  <c r="B329" i="68"/>
  <c r="D1136" i="47"/>
  <c r="D68" i="78"/>
  <c r="C327" i="68"/>
  <c r="C317" i="68"/>
  <c r="D1098" i="47"/>
  <c r="D1090" i="47"/>
  <c r="C315" i="68"/>
  <c r="C1063" i="47"/>
  <c r="B275" i="85"/>
  <c r="C331" i="61"/>
  <c r="B290" i="68"/>
  <c r="C313" i="61"/>
  <c r="C1010" i="47"/>
  <c r="C154" i="68"/>
  <c r="D166" i="61"/>
  <c r="D526" i="47"/>
  <c r="D515" i="47"/>
  <c r="D159" i="61"/>
  <c r="D504" i="47"/>
  <c r="C486" i="47"/>
  <c r="D475" i="47"/>
  <c r="D154" i="61"/>
  <c r="C422" i="47"/>
  <c r="C135" i="61"/>
  <c r="C406" i="47"/>
  <c r="B121" i="68"/>
  <c r="D389" i="47"/>
  <c r="A384" i="47"/>
  <c r="A121" i="61"/>
  <c r="C360" i="47"/>
  <c r="D94" i="61"/>
  <c r="C91" i="68"/>
  <c r="D298" i="47"/>
  <c r="C93" i="61"/>
  <c r="C297" i="47"/>
  <c r="C79" i="85"/>
  <c r="D90" i="61"/>
  <c r="D258" i="47"/>
  <c r="A231" i="47"/>
  <c r="A78" i="61"/>
  <c r="A229" i="47"/>
  <c r="A76" i="61"/>
  <c r="A63" i="85"/>
  <c r="C167" i="47"/>
  <c r="A162" i="47"/>
  <c r="A52" i="61"/>
  <c r="A52" i="68"/>
  <c r="D141" i="47"/>
  <c r="C45" i="68"/>
  <c r="C270" i="47"/>
  <c r="B81" i="68"/>
  <c r="C137" i="85"/>
  <c r="D492" i="47"/>
  <c r="B226" i="68"/>
  <c r="C780" i="47"/>
  <c r="C9" i="47"/>
  <c r="B6" i="85"/>
  <c r="C9" i="61"/>
  <c r="C8" i="78"/>
  <c r="C76" i="47"/>
  <c r="C26" i="78"/>
  <c r="C25" i="61"/>
  <c r="D597" i="47"/>
  <c r="C167" i="85"/>
  <c r="D187" i="61"/>
  <c r="B228" i="68"/>
  <c r="C788" i="47"/>
  <c r="D273" i="61"/>
  <c r="C289" i="68"/>
  <c r="K79" i="64"/>
  <c r="I253" i="64"/>
  <c r="K253" i="64"/>
  <c r="C13" i="78"/>
  <c r="C16" i="61"/>
  <c r="A16" i="85"/>
  <c r="A311" i="68"/>
  <c r="H251" i="61"/>
  <c r="I159" i="64"/>
  <c r="D159" i="68"/>
  <c r="D30" i="85"/>
  <c r="D208" i="68"/>
  <c r="E72" i="78"/>
  <c r="I184" i="64"/>
  <c r="D336" i="61"/>
  <c r="C130" i="47"/>
  <c r="A200" i="47"/>
  <c r="A63" i="68"/>
  <c r="A66" i="61"/>
  <c r="H43" i="61"/>
  <c r="C1157" i="47"/>
  <c r="C1146" i="47"/>
  <c r="C357" i="61"/>
  <c r="B330" i="68"/>
  <c r="B311" i="68"/>
  <c r="C1080" i="47"/>
  <c r="C64" i="78"/>
  <c r="D1071" i="47"/>
  <c r="C333" i="61"/>
  <c r="C1066" i="47"/>
  <c r="B307" i="68"/>
  <c r="C1060" i="47"/>
  <c r="C326" i="61"/>
  <c r="B302" i="68"/>
  <c r="C1044" i="47"/>
  <c r="A1042" i="47"/>
  <c r="A324" i="61"/>
  <c r="C430" i="47"/>
  <c r="C416" i="47"/>
  <c r="C125" i="61"/>
  <c r="C398" i="47"/>
  <c r="C123" i="61"/>
  <c r="D392" i="47"/>
  <c r="D121" i="61"/>
  <c r="D384" i="47"/>
  <c r="C116" i="61"/>
  <c r="A101" i="61"/>
  <c r="A314" i="47"/>
  <c r="D293" i="47"/>
  <c r="A90" i="61"/>
  <c r="A282" i="47"/>
  <c r="D261" i="47"/>
  <c r="D78" i="61"/>
  <c r="D231" i="47"/>
  <c r="C194" i="47"/>
  <c r="C63" i="61"/>
  <c r="D178" i="47"/>
  <c r="D133" i="47"/>
  <c r="D47" i="61"/>
  <c r="C34" i="85"/>
  <c r="D45" i="61"/>
  <c r="D63" i="78"/>
  <c r="C48" i="47"/>
  <c r="C18" i="78"/>
  <c r="B19" i="68"/>
  <c r="C594" i="47"/>
  <c r="D678" i="47"/>
  <c r="C191" i="85"/>
  <c r="C20" i="47"/>
  <c r="C10" i="78"/>
  <c r="C14" i="61"/>
  <c r="C51" i="47"/>
  <c r="C18" i="61"/>
  <c r="C19" i="78"/>
  <c r="D500" i="47"/>
  <c r="B288" i="68"/>
  <c r="C311" i="61"/>
  <c r="C1002" i="47"/>
  <c r="I45" i="64"/>
  <c r="D195" i="68"/>
  <c r="K312" i="64"/>
  <c r="D312" i="68"/>
  <c r="I312" i="64"/>
  <c r="C150" i="47"/>
  <c r="A281" i="68"/>
  <c r="A25" i="47"/>
  <c r="K97" i="64"/>
  <c r="D242" i="68"/>
  <c r="D34" i="68"/>
  <c r="D330" i="68"/>
  <c r="D176" i="85"/>
  <c r="D121" i="68"/>
  <c r="A82" i="85"/>
  <c r="A293" i="47"/>
  <c r="C31" i="47"/>
  <c r="D56" i="61"/>
  <c r="D282" i="47"/>
  <c r="C73" i="78"/>
  <c r="I104" i="64"/>
  <c r="H81" i="61"/>
  <c r="H82" i="61"/>
  <c r="A103" i="68"/>
  <c r="A349" i="47"/>
  <c r="A184" i="47"/>
  <c r="A53" i="85"/>
  <c r="A509" i="47"/>
  <c r="K23" i="64"/>
  <c r="C1181" i="47"/>
  <c r="A1173" i="47"/>
  <c r="D318" i="61"/>
  <c r="C297" i="68"/>
  <c r="D1027" i="47"/>
  <c r="B296" i="68"/>
  <c r="C1026" i="47"/>
  <c r="C317" i="61"/>
  <c r="D304" i="61"/>
  <c r="C926" i="47"/>
  <c r="C287" i="61"/>
  <c r="A910" i="47"/>
  <c r="A280" i="61"/>
  <c r="D859" i="47"/>
  <c r="C242" i="85"/>
  <c r="A841" i="47"/>
  <c r="A262" i="61"/>
  <c r="C808" i="47"/>
  <c r="C249" i="61"/>
  <c r="B230" i="85"/>
  <c r="C791" i="47"/>
  <c r="C244" i="61"/>
  <c r="B223" i="85"/>
  <c r="C739" i="47"/>
  <c r="A803" i="47"/>
  <c r="A328" i="47"/>
  <c r="A395" i="47"/>
  <c r="A899" i="47"/>
  <c r="D1158" i="47"/>
  <c r="D1039" i="47"/>
  <c r="C299" i="68"/>
  <c r="D982" i="47"/>
  <c r="C282" i="68"/>
  <c r="C940" i="47"/>
  <c r="B254" i="68"/>
  <c r="C879" i="47"/>
  <c r="D873" i="47"/>
  <c r="D862" i="47"/>
  <c r="D264" i="61"/>
  <c r="C256" i="61"/>
  <c r="C824" i="47"/>
  <c r="C248" i="61"/>
  <c r="C807" i="47"/>
  <c r="A741" i="47"/>
  <c r="A233" i="61"/>
  <c r="B315" i="68"/>
  <c r="C336" i="61"/>
  <c r="D1060" i="47"/>
  <c r="C274" i="85"/>
  <c r="C555" i="47"/>
  <c r="B156" i="85"/>
  <c r="C114" i="61"/>
  <c r="C116" i="47"/>
  <c r="C42" i="61"/>
  <c r="C118" i="61"/>
  <c r="C375" i="47"/>
  <c r="I338" i="64"/>
  <c r="K338" i="64"/>
  <c r="C1101" i="47"/>
  <c r="B318" i="68"/>
  <c r="D331" i="61"/>
  <c r="C899" i="47"/>
  <c r="C180" i="61"/>
  <c r="C560" i="47"/>
  <c r="D170" i="61"/>
  <c r="D536" i="47"/>
  <c r="C151" i="85"/>
  <c r="C453" i="47"/>
  <c r="B133" i="68"/>
  <c r="D82" i="47"/>
  <c r="D28" i="61"/>
  <c r="C30" i="68"/>
  <c r="D102" i="68"/>
  <c r="D19" i="85"/>
  <c r="I10" i="64"/>
  <c r="D10" i="68"/>
  <c r="E11" i="61"/>
  <c r="H12" i="61" s="1"/>
  <c r="G335" i="47"/>
  <c r="G334" i="47" s="1"/>
  <c r="F100" i="64" s="1"/>
  <c r="I88" i="84"/>
  <c r="D178" i="34" s="1"/>
  <c r="E179" i="64" s="1"/>
  <c r="D294" i="68"/>
  <c r="D262" i="68"/>
  <c r="D293" i="68"/>
  <c r="D178" i="68"/>
  <c r="D317" i="68"/>
  <c r="D143" i="85"/>
  <c r="I18" i="78"/>
  <c r="L18" i="78"/>
  <c r="I13" i="78"/>
  <c r="L13" i="78" s="1"/>
  <c r="V20" i="84"/>
  <c r="O68" i="84"/>
  <c r="V68" i="84" s="1"/>
  <c r="O72" i="84"/>
  <c r="O77" i="84"/>
  <c r="V77" i="84" s="1"/>
  <c r="O80" i="84"/>
  <c r="V80" i="84" s="1"/>
  <c r="S69" i="84"/>
  <c r="U69" i="84" s="1"/>
  <c r="V69" i="84" s="1"/>
  <c r="O84" i="84"/>
  <c r="V84" i="84" s="1"/>
  <c r="V121" i="84"/>
  <c r="V122" i="84"/>
  <c r="V82" i="84"/>
  <c r="V116" i="84"/>
  <c r="V117" i="84"/>
  <c r="V120" i="84"/>
  <c r="U98" i="84"/>
  <c r="V123" i="84"/>
  <c r="R125" i="84"/>
  <c r="U125" i="84"/>
  <c r="V133" i="84"/>
  <c r="O125" i="84"/>
  <c r="V165" i="84"/>
  <c r="V167" i="84"/>
  <c r="V175" i="84"/>
  <c r="V180" i="84"/>
  <c r="V178" i="84"/>
  <c r="V179" i="84"/>
  <c r="V176" i="84"/>
  <c r="V173" i="84"/>
  <c r="V172" i="84"/>
  <c r="V171" i="84"/>
  <c r="U164" i="84"/>
  <c r="U163" i="84" s="1"/>
  <c r="V169" i="84"/>
  <c r="L164" i="84"/>
  <c r="R164" i="84"/>
  <c r="R163" i="84" s="1"/>
  <c r="V168" i="84"/>
  <c r="V166" i="84"/>
  <c r="O164" i="84"/>
  <c r="O163" i="84" s="1"/>
  <c r="L125" i="84"/>
  <c r="V134" i="84"/>
  <c r="O98" i="84"/>
  <c r="O87" i="84" s="1"/>
  <c r="V118" i="84"/>
  <c r="R98" i="84"/>
  <c r="L98" i="84"/>
  <c r="V71" i="84"/>
  <c r="V70" i="84"/>
  <c r="V40" i="84"/>
  <c r="V39" i="84"/>
  <c r="V38" i="84"/>
  <c r="V35" i="84"/>
  <c r="V32" i="84"/>
  <c r="V29" i="84"/>
  <c r="V27" i="84"/>
  <c r="V24" i="84"/>
  <c r="V23" i="84"/>
  <c r="V21" i="84"/>
  <c r="R17" i="84"/>
  <c r="V18" i="84"/>
  <c r="U17" i="84"/>
  <c r="O17" i="84"/>
  <c r="V22" i="84"/>
  <c r="V19" i="84"/>
  <c r="L17" i="84"/>
  <c r="V83" i="84"/>
  <c r="V76" i="84"/>
  <c r="V78" i="84"/>
  <c r="V86" i="84"/>
  <c r="V67" i="84"/>
  <c r="V73" i="84"/>
  <c r="R64" i="84"/>
  <c r="V74" i="84"/>
  <c r="V79" i="84"/>
  <c r="V85" i="84"/>
  <c r="L64" i="84"/>
  <c r="V72" i="84"/>
  <c r="E75" i="78"/>
  <c r="D48" i="85"/>
  <c r="D197" i="85"/>
  <c r="I10" i="78"/>
  <c r="L10" i="78" s="1"/>
  <c r="I11" i="78"/>
  <c r="I23" i="78"/>
  <c r="L23" i="78" s="1"/>
  <c r="I21" i="78"/>
  <c r="I45" i="78"/>
  <c r="L45" i="78" s="1"/>
  <c r="I9" i="78"/>
  <c r="I12" i="78"/>
  <c r="I19" i="78"/>
  <c r="L19" i="78" s="1"/>
  <c r="I49" i="78"/>
  <c r="K49" i="78"/>
  <c r="I78" i="78"/>
  <c r="L78" i="78"/>
  <c r="I76" i="78"/>
  <c r="I26" i="78"/>
  <c r="L49" i="78"/>
  <c r="D285" i="85"/>
  <c r="K337" i="64"/>
  <c r="E80" i="78"/>
  <c r="D339" i="68"/>
  <c r="K339" i="64"/>
  <c r="E336" i="64"/>
  <c r="I336" i="64" s="1"/>
  <c r="I337" i="64"/>
  <c r="E78" i="78"/>
  <c r="J334" i="64"/>
  <c r="I274" i="64"/>
  <c r="K259" i="64"/>
  <c r="D193" i="85"/>
  <c r="I177" i="64"/>
  <c r="J145" i="64"/>
  <c r="D90" i="85"/>
  <c r="D92" i="68"/>
  <c r="D80" i="85"/>
  <c r="H37" i="61"/>
  <c r="K30" i="64"/>
  <c r="E21" i="78"/>
  <c r="D227" i="85"/>
  <c r="K147" i="64"/>
  <c r="D111" i="85"/>
  <c r="E90" i="61"/>
  <c r="H91" i="61" s="1"/>
  <c r="K274" i="64"/>
  <c r="H71" i="78"/>
  <c r="J71" i="78" s="1"/>
  <c r="K34" i="64"/>
  <c r="H31" i="78"/>
  <c r="J31" i="78"/>
  <c r="H18" i="78"/>
  <c r="J18" i="78"/>
  <c r="K18" i="78" s="1"/>
  <c r="H13" i="78"/>
  <c r="J13" i="78" s="1"/>
  <c r="K13" i="78"/>
  <c r="M13" i="78" s="1"/>
  <c r="N13" i="78" s="1"/>
  <c r="F10" i="78"/>
  <c r="F8" i="78"/>
  <c r="K8" i="78"/>
  <c r="H74" i="78"/>
  <c r="J74" i="78" s="1"/>
  <c r="H77" i="78"/>
  <c r="J77" i="78" s="1"/>
  <c r="H76" i="78"/>
  <c r="J76" i="78" s="1"/>
  <c r="K334" i="64"/>
  <c r="B93" i="85"/>
  <c r="B55" i="85"/>
  <c r="D68" i="85"/>
  <c r="D278" i="68"/>
  <c r="D189" i="68"/>
  <c r="D284" i="68"/>
  <c r="D73" i="68"/>
  <c r="D280" i="68"/>
  <c r="D283" i="68"/>
  <c r="B107" i="68"/>
  <c r="B244" i="68"/>
  <c r="B79" i="85"/>
  <c r="A182" i="85"/>
  <c r="B101" i="85"/>
  <c r="C177" i="68"/>
  <c r="C30" i="85"/>
  <c r="B89" i="85"/>
  <c r="C171" i="85"/>
  <c r="B128" i="68"/>
  <c r="C196" i="68"/>
  <c r="B185" i="68"/>
  <c r="B180" i="68"/>
  <c r="B174" i="85"/>
  <c r="D206" i="85"/>
  <c r="D231" i="85"/>
  <c r="A149" i="68"/>
  <c r="C85" i="68"/>
  <c r="A65" i="85"/>
  <c r="D237" i="68"/>
  <c r="B77" i="85"/>
  <c r="C233" i="68"/>
  <c r="C227" i="85"/>
  <c r="A267" i="85"/>
  <c r="A232" i="68"/>
  <c r="A71" i="68"/>
  <c r="A60" i="68"/>
  <c r="B90" i="85"/>
  <c r="C100" i="68"/>
  <c r="B109" i="68"/>
  <c r="C254" i="68"/>
  <c r="B97" i="85"/>
  <c r="B233" i="68"/>
  <c r="B74" i="85"/>
  <c r="D253" i="68"/>
  <c r="A140" i="68"/>
  <c r="B52" i="85"/>
  <c r="C176" i="85"/>
  <c r="A218" i="85"/>
  <c r="B138" i="68"/>
  <c r="A224" i="68"/>
  <c r="D85" i="68"/>
  <c r="A271" i="85"/>
  <c r="B259" i="68"/>
  <c r="B256" i="85"/>
  <c r="A332" i="68"/>
  <c r="A54" i="68"/>
  <c r="B140" i="68"/>
  <c r="B153" i="85"/>
  <c r="B148" i="68"/>
  <c r="A97" i="68"/>
  <c r="A115" i="68"/>
  <c r="A302" i="68"/>
  <c r="C306" i="68"/>
  <c r="B181" i="68"/>
  <c r="A31" i="68"/>
  <c r="A69" i="68"/>
  <c r="D112" i="68"/>
  <c r="B263" i="85"/>
  <c r="C128" i="68"/>
  <c r="B53" i="68"/>
  <c r="A62" i="85"/>
  <c r="B306" i="68"/>
  <c r="C143" i="85"/>
  <c r="D247" i="85"/>
  <c r="C189" i="68"/>
  <c r="B175" i="85"/>
  <c r="A19" i="68"/>
  <c r="B41" i="85"/>
  <c r="D201" i="68"/>
  <c r="A172" i="85"/>
  <c r="B76" i="85"/>
  <c r="A114" i="85"/>
  <c r="B47" i="85"/>
  <c r="C276" i="85"/>
  <c r="D199" i="68"/>
  <c r="C128" i="85"/>
  <c r="B159" i="68"/>
  <c r="E182" i="85"/>
  <c r="B113" i="85"/>
  <c r="C22" i="85"/>
  <c r="B196" i="85"/>
  <c r="A241" i="68"/>
  <c r="D124" i="68"/>
  <c r="C217" i="85"/>
  <c r="B139" i="68"/>
  <c r="A91" i="85"/>
  <c r="A158" i="85"/>
  <c r="E285" i="68"/>
  <c r="B103" i="68"/>
  <c r="A122" i="85"/>
  <c r="C79" i="68"/>
  <c r="A151" i="85"/>
  <c r="A26" i="85"/>
  <c r="B178" i="68"/>
  <c r="B106" i="68"/>
  <c r="A108" i="68"/>
  <c r="B83" i="68"/>
  <c r="E75" i="85"/>
  <c r="C223" i="68"/>
  <c r="B142" i="85"/>
  <c r="B58" i="85"/>
  <c r="B96" i="68"/>
  <c r="C133" i="68"/>
  <c r="A120" i="68"/>
  <c r="A235" i="85"/>
  <c r="B260" i="85"/>
  <c r="D100" i="85"/>
  <c r="A54" i="85"/>
  <c r="B133" i="85"/>
  <c r="D54" i="68"/>
  <c r="A164" i="68"/>
  <c r="C248" i="85"/>
  <c r="B147" i="68"/>
  <c r="C73" i="85"/>
  <c r="B115" i="85"/>
  <c r="C236" i="68"/>
  <c r="C177" i="85"/>
  <c r="A102" i="85"/>
  <c r="B47" i="68"/>
  <c r="D118" i="85"/>
  <c r="B126" i="68"/>
  <c r="A28" i="85"/>
  <c r="E177" i="85"/>
  <c r="C196" i="85"/>
  <c r="A89" i="85"/>
  <c r="A245" i="85"/>
  <c r="B274" i="68"/>
  <c r="D86" i="85"/>
  <c r="D54" i="85"/>
  <c r="B58" i="68"/>
  <c r="B95" i="68"/>
  <c r="A187" i="68"/>
  <c r="A154" i="85"/>
  <c r="A95" i="68"/>
  <c r="B120" i="85"/>
  <c r="C40" i="68"/>
  <c r="C73" i="68"/>
  <c r="D97" i="68"/>
  <c r="C148" i="85"/>
  <c r="B276" i="85"/>
  <c r="D91" i="85"/>
  <c r="C211" i="85"/>
  <c r="A259" i="68"/>
  <c r="C67" i="85"/>
  <c r="A184" i="85"/>
  <c r="B304" i="68"/>
  <c r="A212" i="85"/>
  <c r="B195" i="68"/>
  <c r="B189" i="85"/>
  <c r="D72" i="68"/>
  <c r="D66" i="85"/>
  <c r="A153" i="68"/>
  <c r="A147" i="85"/>
  <c r="C257" i="68"/>
  <c r="C92" i="68"/>
  <c r="D218" i="85"/>
  <c r="D196" i="68"/>
  <c r="D190" i="85"/>
  <c r="B39" i="68"/>
  <c r="A85" i="85"/>
  <c r="A91" i="68"/>
  <c r="A263" i="85"/>
  <c r="A269" i="68"/>
  <c r="B127" i="68"/>
  <c r="B121" i="85"/>
  <c r="C98" i="85"/>
  <c r="C104" i="68"/>
  <c r="B219" i="68"/>
  <c r="B122" i="68"/>
  <c r="D224" i="68"/>
  <c r="C12" i="85"/>
  <c r="D142" i="68"/>
  <c r="D136" i="85"/>
  <c r="C164" i="85"/>
  <c r="C9" i="68"/>
  <c r="B279" i="85"/>
  <c r="C159" i="85"/>
  <c r="C202" i="68"/>
  <c r="A264" i="85"/>
  <c r="C251" i="85"/>
  <c r="C256" i="85"/>
  <c r="B33" i="85"/>
  <c r="A181" i="85"/>
  <c r="C86" i="68"/>
  <c r="B273" i="85"/>
  <c r="B150" i="85"/>
  <c r="A190" i="68"/>
  <c r="A87" i="68"/>
  <c r="A14" i="85"/>
  <c r="C173" i="68"/>
  <c r="B75" i="85"/>
  <c r="A46" i="85"/>
  <c r="A14" i="68"/>
  <c r="D148" i="68"/>
  <c r="D142" i="85"/>
  <c r="A72" i="85"/>
  <c r="C192" i="85"/>
  <c r="B200" i="68"/>
  <c r="A183" i="68"/>
  <c r="C261" i="68"/>
  <c r="D303" i="68"/>
  <c r="C167" i="68"/>
  <c r="A230" i="85"/>
  <c r="D103" i="68"/>
  <c r="D97" i="85"/>
  <c r="C156" i="85"/>
  <c r="B247" i="68"/>
  <c r="B241" i="85"/>
  <c r="A124" i="68"/>
  <c r="B71" i="85"/>
  <c r="B77" i="68"/>
  <c r="B119" i="85"/>
  <c r="C163" i="85"/>
  <c r="C217" i="68"/>
  <c r="B100" i="85"/>
  <c r="A247" i="68"/>
  <c r="C182" i="85"/>
  <c r="B213" i="85"/>
  <c r="C86" i="85"/>
  <c r="C122" i="68"/>
  <c r="B226" i="85"/>
  <c r="A236" i="68"/>
  <c r="D82" i="68"/>
  <c r="D272" i="85"/>
  <c r="A118" i="85"/>
  <c r="A218" i="68"/>
  <c r="B156" i="68"/>
  <c r="A81" i="85"/>
  <c r="C303" i="68"/>
  <c r="A111" i="85"/>
  <c r="A254" i="68"/>
  <c r="A248" i="85"/>
  <c r="A222" i="68"/>
  <c r="A216" i="85"/>
  <c r="A103" i="85"/>
  <c r="A109" i="68"/>
  <c r="D123" i="85"/>
  <c r="D170" i="68"/>
  <c r="D100" i="68"/>
  <c r="A15" i="85"/>
  <c r="D94" i="85"/>
  <c r="A156" i="85"/>
  <c r="A162" i="68"/>
  <c r="B237" i="68"/>
  <c r="B231" i="85"/>
  <c r="C17" i="68"/>
  <c r="C14" i="85"/>
  <c r="C115" i="85"/>
  <c r="C38" i="68"/>
  <c r="C32" i="85"/>
  <c r="B70" i="68"/>
  <c r="B64" i="85"/>
  <c r="A94" i="85"/>
  <c r="A100" i="68"/>
  <c r="C259" i="85"/>
  <c r="C34" i="68"/>
  <c r="C250" i="68"/>
  <c r="C119" i="85"/>
  <c r="B167" i="68"/>
  <c r="B161" i="85"/>
  <c r="C198" i="85"/>
  <c r="A185" i="68"/>
  <c r="C165" i="85"/>
  <c r="C171" i="68"/>
  <c r="C153" i="85"/>
  <c r="C159" i="68"/>
  <c r="C108" i="68"/>
  <c r="C102" i="85"/>
  <c r="B78" i="68"/>
  <c r="B72" i="85"/>
  <c r="C170" i="68"/>
  <c r="B170" i="85"/>
  <c r="C204" i="68"/>
  <c r="D140" i="68"/>
  <c r="C265" i="68"/>
  <c r="C271" i="85"/>
  <c r="A226" i="85"/>
  <c r="B99" i="85"/>
  <c r="A25" i="68"/>
  <c r="A240" i="68"/>
  <c r="A234" i="85"/>
  <c r="A261" i="68"/>
  <c r="A255" i="85"/>
  <c r="D46" i="68"/>
  <c r="D40" i="85"/>
  <c r="B171" i="85"/>
  <c r="B303" i="68"/>
  <c r="B272" i="85"/>
  <c r="D101" i="85"/>
  <c r="D107" i="68"/>
  <c r="C125" i="68"/>
  <c r="D147" i="68"/>
  <c r="A168" i="85"/>
  <c r="A174" i="68"/>
  <c r="A18" i="85"/>
  <c r="C21" i="85"/>
  <c r="C25" i="68"/>
  <c r="C99" i="85"/>
  <c r="C105" i="68"/>
  <c r="B50" i="85"/>
  <c r="C179" i="68"/>
  <c r="C173" i="85"/>
  <c r="A159" i="68"/>
  <c r="D165" i="85"/>
  <c r="D171" i="68"/>
  <c r="C47" i="85"/>
  <c r="C53" i="68"/>
  <c r="B161" i="68"/>
  <c r="B144" i="85"/>
  <c r="B150" i="68"/>
  <c r="C56" i="85"/>
  <c r="C62" i="68"/>
  <c r="B310" i="68"/>
  <c r="C29" i="85"/>
  <c r="B176" i="68"/>
  <c r="D134" i="85"/>
  <c r="B56" i="68"/>
  <c r="A223" i="68"/>
  <c r="A217" i="85"/>
  <c r="D252" i="68"/>
  <c r="D246" i="85"/>
  <c r="B215" i="85"/>
  <c r="B221" i="68"/>
  <c r="C33" i="85"/>
  <c r="C39" i="68"/>
  <c r="C20" i="68"/>
  <c r="C17" i="85"/>
  <c r="A74" i="68"/>
  <c r="A68" i="85"/>
  <c r="B218" i="68"/>
  <c r="C54" i="85"/>
  <c r="C60" i="68"/>
  <c r="C77" i="85"/>
  <c r="C83" i="68"/>
  <c r="D106" i="68"/>
  <c r="B134" i="68"/>
  <c r="A171" i="68"/>
  <c r="C75" i="85"/>
  <c r="B212" i="85"/>
  <c r="C95" i="85"/>
  <c r="B125" i="85"/>
  <c r="A132" i="85"/>
  <c r="A138" i="68"/>
  <c r="D95" i="68"/>
  <c r="D89" i="85"/>
  <c r="D273" i="68"/>
  <c r="B54" i="68"/>
  <c r="B48" i="85"/>
  <c r="B273" i="68"/>
  <c r="C218" i="68"/>
  <c r="D260" i="68"/>
  <c r="A7" i="85"/>
  <c r="A134" i="68"/>
  <c r="D145" i="68"/>
  <c r="D139" i="85"/>
  <c r="D174" i="68"/>
  <c r="E279" i="68"/>
  <c r="A88" i="68"/>
  <c r="B191" i="85"/>
  <c r="B188" i="68"/>
  <c r="A275" i="68"/>
  <c r="A269" i="85"/>
  <c r="B235" i="68"/>
  <c r="B229" i="85"/>
  <c r="A38" i="68"/>
  <c r="A32" i="85"/>
  <c r="C53" i="85"/>
  <c r="C188" i="85"/>
  <c r="C94" i="85"/>
  <c r="A177" i="85"/>
  <c r="A165" i="85"/>
  <c r="C194" i="68"/>
  <c r="A249" i="85"/>
  <c r="A310" i="68"/>
  <c r="A262" i="68"/>
  <c r="A102" i="68"/>
  <c r="D169" i="68"/>
  <c r="D163" i="85"/>
  <c r="C203" i="68"/>
  <c r="B210" i="85"/>
  <c r="B216" i="68"/>
  <c r="B43" i="68"/>
  <c r="D41" i="85"/>
  <c r="C102" i="68"/>
  <c r="C232" i="85"/>
  <c r="C215" i="85"/>
  <c r="C221" i="68"/>
  <c r="E83" i="68"/>
  <c r="B39" i="85"/>
  <c r="D270" i="68"/>
  <c r="D264" i="85"/>
  <c r="D163" i="68"/>
  <c r="B212" i="68"/>
  <c r="B183" i="85"/>
  <c r="B189" i="68"/>
  <c r="C57" i="85"/>
  <c r="C63" i="68"/>
  <c r="B238" i="68"/>
  <c r="B232" i="85"/>
  <c r="A159" i="85"/>
  <c r="A139" i="85"/>
  <c r="A236" i="85"/>
  <c r="A242" i="68"/>
  <c r="A193" i="68"/>
  <c r="B258" i="68"/>
  <c r="D164" i="85"/>
  <c r="A210" i="85"/>
  <c r="D154" i="68"/>
  <c r="B85" i="68"/>
  <c r="B151" i="85"/>
  <c r="A193" i="85"/>
  <c r="B31" i="85"/>
  <c r="A87" i="85"/>
  <c r="D141" i="85"/>
  <c r="B51" i="68"/>
  <c r="A98" i="68"/>
  <c r="D129" i="68"/>
  <c r="B220" i="85"/>
  <c r="A49" i="85"/>
  <c r="A55" i="68"/>
  <c r="A36" i="85"/>
  <c r="A42" i="68"/>
  <c r="A240" i="85"/>
  <c r="A206" i="85"/>
  <c r="A212" i="68"/>
  <c r="C163" i="68"/>
  <c r="C157" i="85"/>
  <c r="A34" i="85"/>
  <c r="C336" i="68"/>
  <c r="C231" i="68"/>
  <c r="D114" i="68"/>
  <c r="D108" i="85"/>
  <c r="B162" i="68"/>
  <c r="B56" i="85"/>
  <c r="B120" i="68"/>
  <c r="A220" i="68"/>
  <c r="A214" i="85"/>
  <c r="A249" i="68"/>
  <c r="A243" i="85"/>
  <c r="B151" i="68"/>
  <c r="B210" i="68"/>
  <c r="B204" i="85"/>
  <c r="C114" i="85"/>
  <c r="C104" i="85"/>
  <c r="D87" i="68"/>
  <c r="B206" i="85"/>
  <c r="B62" i="68"/>
  <c r="A197" i="85"/>
  <c r="A186" i="85"/>
  <c r="A136" i="85"/>
  <c r="B261" i="85"/>
  <c r="C282" i="85"/>
  <c r="B192" i="85"/>
  <c r="B198" i="68"/>
  <c r="C216" i="68"/>
  <c r="A274" i="68"/>
  <c r="A268" i="85"/>
  <c r="B32" i="85"/>
  <c r="B38" i="68"/>
  <c r="B236" i="85"/>
  <c r="B242" i="68"/>
  <c r="B46" i="85"/>
  <c r="B223" i="68"/>
  <c r="B37" i="68"/>
  <c r="B217" i="85"/>
  <c r="B45" i="68"/>
  <c r="B145" i="85"/>
  <c r="A203" i="68"/>
  <c r="B252" i="85"/>
  <c r="B194" i="85"/>
  <c r="C110" i="68"/>
  <c r="D55" i="68"/>
  <c r="C66" i="68"/>
  <c r="C131" i="85"/>
  <c r="B165" i="85"/>
  <c r="B171" i="68"/>
  <c r="C76" i="85"/>
  <c r="B66" i="85"/>
  <c r="C201" i="85"/>
  <c r="C207" i="68"/>
  <c r="C231" i="85"/>
  <c r="C237" i="68"/>
  <c r="C106" i="85"/>
  <c r="C112" i="68"/>
  <c r="B168" i="85"/>
  <c r="C225" i="68"/>
  <c r="C48" i="68"/>
  <c r="C42" i="85"/>
  <c r="C260" i="68"/>
  <c r="C254" i="85"/>
  <c r="B176" i="85"/>
  <c r="B182" i="68"/>
  <c r="B124" i="85"/>
  <c r="B180" i="85"/>
  <c r="B186" i="68"/>
  <c r="B99" i="68"/>
  <c r="A72" i="68"/>
  <c r="A66" i="85"/>
  <c r="C190" i="68"/>
  <c r="B222" i="68"/>
  <c r="B216" i="85"/>
  <c r="A211" i="68"/>
  <c r="A205" i="85"/>
  <c r="C283" i="85"/>
  <c r="D128" i="85"/>
  <c r="A209" i="68"/>
  <c r="A203" i="85"/>
  <c r="D117" i="68"/>
  <c r="A189" i="68"/>
  <c r="B166" i="85"/>
  <c r="B172" i="68"/>
  <c r="A177" i="68"/>
  <c r="A171" i="85"/>
  <c r="B270" i="85"/>
  <c r="B301" i="68"/>
  <c r="C130" i="85"/>
  <c r="C136" i="68"/>
  <c r="A125" i="68"/>
  <c r="C286" i="85"/>
  <c r="C338" i="68"/>
  <c r="B249" i="68"/>
  <c r="D217" i="68"/>
  <c r="C243" i="85"/>
  <c r="A304" i="68"/>
  <c r="A273" i="85"/>
  <c r="D236" i="85"/>
  <c r="B177" i="85"/>
  <c r="B183" i="68"/>
  <c r="B43" i="85"/>
  <c r="B49" i="68"/>
  <c r="B168" i="68"/>
  <c r="B224" i="68"/>
  <c r="B235" i="85"/>
  <c r="B241" i="68"/>
  <c r="C261" i="85"/>
  <c r="C267" i="68"/>
  <c r="D104" i="85"/>
  <c r="D110" i="68"/>
  <c r="C172" i="85"/>
  <c r="C178" i="68"/>
  <c r="C40" i="85"/>
  <c r="B51" i="85"/>
  <c r="C249" i="68"/>
  <c r="B57" i="68"/>
  <c r="B46" i="68"/>
  <c r="A166" i="68"/>
  <c r="A160" i="85"/>
  <c r="A163" i="68"/>
  <c r="A157" i="85"/>
  <c r="A101" i="68"/>
  <c r="A62" i="68"/>
  <c r="A154" i="68"/>
  <c r="B102" i="85"/>
  <c r="B108" i="68"/>
  <c r="A176" i="68"/>
  <c r="A170" i="85"/>
  <c r="D50" i="68"/>
  <c r="D44" i="85"/>
  <c r="B109" i="85"/>
  <c r="B209" i="68"/>
  <c r="C35" i="68"/>
  <c r="C265" i="85"/>
  <c r="A135" i="68"/>
  <c r="B125" i="68"/>
  <c r="A237" i="68"/>
  <c r="D266" i="68"/>
  <c r="B192" i="68"/>
  <c r="B255" i="68"/>
  <c r="C118" i="85"/>
  <c r="D86" i="68"/>
  <c r="B114" i="85"/>
  <c r="A104" i="85"/>
  <c r="A15" i="68"/>
  <c r="A12" i="85"/>
  <c r="A26" i="68"/>
  <c r="D253" i="85"/>
  <c r="A150" i="68"/>
  <c r="A224" i="85"/>
  <c r="A230" i="68"/>
  <c r="C224" i="85"/>
  <c r="C230" i="68"/>
  <c r="C158" i="68"/>
  <c r="C81" i="85"/>
  <c r="C87" i="68"/>
  <c r="C44" i="85"/>
  <c r="C50" i="68"/>
  <c r="B126" i="85"/>
  <c r="B132" i="68"/>
  <c r="D158" i="68"/>
  <c r="D152" i="85"/>
  <c r="B11" i="85"/>
  <c r="B68" i="85"/>
  <c r="B74" i="68"/>
  <c r="B251" i="68"/>
  <c r="B245" i="85"/>
  <c r="B187" i="85"/>
  <c r="B193" i="68"/>
  <c r="C106" i="68"/>
  <c r="C100" i="85"/>
  <c r="A184" i="68"/>
  <c r="B217" i="68"/>
  <c r="B185" i="85"/>
  <c r="B191" i="68"/>
  <c r="C136" i="85"/>
  <c r="B154" i="85"/>
  <c r="B160" i="68"/>
  <c r="B167" i="85"/>
  <c r="B173" i="68"/>
  <c r="B116" i="85"/>
  <c r="B157" i="68"/>
  <c r="C198" i="68"/>
  <c r="B268" i="68"/>
  <c r="A178" i="85"/>
  <c r="D182" i="85"/>
  <c r="A196" i="68"/>
  <c r="A190" i="85"/>
  <c r="A71" i="85"/>
  <c r="B97" i="68"/>
  <c r="C226" i="85"/>
  <c r="C232" i="68"/>
  <c r="D257" i="68"/>
  <c r="A216" i="68"/>
  <c r="B269" i="68"/>
  <c r="A129" i="85"/>
  <c r="D188" i="68"/>
  <c r="B186" i="85"/>
  <c r="B249" i="85"/>
  <c r="B48" i="68"/>
  <c r="B42" i="85"/>
  <c r="C82" i="85"/>
  <c r="C88" i="68"/>
  <c r="B118" i="68"/>
  <c r="B112" i="85"/>
  <c r="A164" i="85"/>
  <c r="C70" i="85"/>
  <c r="C76" i="68"/>
  <c r="A217" i="68"/>
  <c r="A211" i="85"/>
  <c r="B166" i="68"/>
  <c r="B200" i="85"/>
  <c r="B206" i="68"/>
  <c r="A141" i="85"/>
  <c r="D223" i="68"/>
  <c r="A266" i="68"/>
  <c r="C168" i="68"/>
  <c r="C162" i="85"/>
  <c r="C213" i="68"/>
  <c r="C207" i="85"/>
  <c r="B149" i="68"/>
  <c r="B143" i="85"/>
  <c r="B107" i="85"/>
  <c r="B113" i="68"/>
  <c r="B88" i="68"/>
  <c r="C130" i="68"/>
  <c r="C49" i="85"/>
  <c r="C55" i="68"/>
  <c r="C111" i="85"/>
  <c r="C213" i="85"/>
  <c r="C219" i="68"/>
  <c r="C191" i="68"/>
  <c r="C185" i="85"/>
  <c r="B111" i="85"/>
  <c r="B117" i="68"/>
  <c r="B88" i="85"/>
  <c r="B94" i="68"/>
  <c r="B221" i="85"/>
  <c r="B227" i="68"/>
  <c r="B127" i="85"/>
  <c r="A49" i="68"/>
  <c r="A256" i="68"/>
  <c r="A250" i="85"/>
  <c r="A46" i="68"/>
  <c r="C181" i="85"/>
  <c r="C187" i="68"/>
  <c r="B100" i="68"/>
  <c r="C218" i="85"/>
  <c r="C168" i="85"/>
  <c r="C256" i="68"/>
  <c r="C250" i="85"/>
  <c r="C264" i="85"/>
  <c r="B139" i="85"/>
  <c r="B145" i="68"/>
  <c r="D33" i="85"/>
  <c r="C89" i="85"/>
  <c r="C95" i="68"/>
  <c r="A207" i="68"/>
  <c r="B205" i="85"/>
  <c r="B211" i="68"/>
  <c r="A163" i="85"/>
  <c r="D85" i="85"/>
  <c r="B157" i="85"/>
  <c r="B163" i="68"/>
  <c r="A254" i="85"/>
  <c r="A248" i="68"/>
  <c r="D126" i="68"/>
  <c r="A228" i="68"/>
  <c r="A222" i="85"/>
  <c r="A13" i="85"/>
  <c r="A225" i="68"/>
  <c r="A161" i="85"/>
  <c r="A133" i="85"/>
  <c r="A139" i="68"/>
  <c r="A47" i="85"/>
  <c r="A53" i="68"/>
  <c r="B159" i="85"/>
  <c r="B165" i="68"/>
  <c r="A188" i="85"/>
  <c r="A194" i="68"/>
  <c r="A120" i="85"/>
  <c r="A126" i="68"/>
  <c r="A215" i="85"/>
  <c r="A221" i="68"/>
  <c r="C43" i="68"/>
  <c r="C37" i="85"/>
  <c r="B81" i="85"/>
  <c r="C13" i="68"/>
  <c r="B123" i="85"/>
  <c r="B129" i="68"/>
  <c r="A253" i="68"/>
  <c r="B87" i="68"/>
  <c r="D91" i="68"/>
  <c r="D230" i="68"/>
  <c r="D224" i="85"/>
  <c r="B265" i="85"/>
  <c r="B271" i="68"/>
  <c r="A260" i="68"/>
  <c r="B90" i="68"/>
  <c r="B84" i="85"/>
  <c r="D153" i="85"/>
  <c r="A74" i="85"/>
  <c r="A80" i="68"/>
  <c r="A242" i="85"/>
  <c r="A20" i="85"/>
  <c r="A24" i="68"/>
  <c r="A18" i="68"/>
  <c r="A221" i="85"/>
  <c r="A138" i="85"/>
  <c r="A106" i="85"/>
  <c r="A112" i="68"/>
  <c r="A47" i="68"/>
  <c r="A41" i="85"/>
  <c r="A107" i="68"/>
  <c r="A101" i="85"/>
  <c r="D207" i="68"/>
  <c r="A219" i="68"/>
  <c r="A98" i="85"/>
  <c r="D104" i="68"/>
  <c r="B259" i="85"/>
  <c r="C62" i="85"/>
  <c r="C68" i="68"/>
  <c r="C135" i="85"/>
  <c r="B152" i="68"/>
  <c r="B146" i="85"/>
  <c r="C105" i="85"/>
  <c r="B106" i="85"/>
  <c r="B112" i="68"/>
  <c r="C337" i="68"/>
  <c r="C285" i="85"/>
  <c r="C263" i="85"/>
  <c r="B246" i="85"/>
  <c r="B252" i="68"/>
  <c r="C241" i="85"/>
  <c r="C247" i="68"/>
  <c r="C241" i="68"/>
  <c r="C235" i="85"/>
  <c r="D211" i="68"/>
  <c r="D205" i="85"/>
  <c r="A220" i="85"/>
  <c r="A45" i="68"/>
  <c r="A39" i="85"/>
  <c r="D241" i="68"/>
  <c r="D46" i="85"/>
  <c r="A69" i="85"/>
  <c r="A75" i="68"/>
  <c r="B108" i="85"/>
  <c r="B114" i="68"/>
  <c r="B137" i="85"/>
  <c r="A167" i="68"/>
  <c r="A143" i="68"/>
  <c r="A219" i="85"/>
  <c r="C309" i="68"/>
  <c r="D120" i="85"/>
  <c r="C278" i="85"/>
  <c r="A16" i="68"/>
  <c r="D52" i="68"/>
  <c r="A196" i="85"/>
  <c r="A202" i="68"/>
  <c r="B92" i="85"/>
  <c r="B98" i="68"/>
  <c r="A259" i="85"/>
  <c r="A265" i="68"/>
  <c r="B193" i="85"/>
  <c r="B199" i="68"/>
  <c r="A96" i="68"/>
  <c r="A90" i="85"/>
  <c r="B250" i="68"/>
  <c r="B131" i="85"/>
  <c r="C28" i="85"/>
  <c r="C33" i="68"/>
  <c r="C42" i="68"/>
  <c r="B69" i="68"/>
  <c r="C8" i="85"/>
  <c r="C11" i="68"/>
  <c r="B277" i="85"/>
  <c r="B308" i="68"/>
  <c r="D240" i="85"/>
  <c r="D246" i="68"/>
  <c r="B173" i="85"/>
  <c r="B175" i="68"/>
  <c r="B169" i="85"/>
  <c r="D115" i="68"/>
  <c r="D109" i="85"/>
  <c r="D172" i="85"/>
  <c r="B208" i="85"/>
  <c r="D189" i="85"/>
  <c r="C197" i="68"/>
  <c r="C144" i="85"/>
  <c r="C150" i="68"/>
  <c r="D170" i="85"/>
  <c r="D93" i="68"/>
  <c r="D87" i="85"/>
  <c r="D310" i="68"/>
  <c r="A225" i="85"/>
  <c r="A243" i="68"/>
  <c r="C26" i="85"/>
  <c r="C31" i="68"/>
  <c r="C221" i="85"/>
  <c r="C227" i="68"/>
  <c r="B178" i="85"/>
  <c r="B184" i="68"/>
  <c r="B54" i="85"/>
  <c r="B60" i="68"/>
  <c r="B181" i="85"/>
  <c r="B201" i="85"/>
  <c r="C97" i="85"/>
  <c r="C103" i="68"/>
  <c r="C108" i="85"/>
  <c r="C114" i="68"/>
  <c r="A67" i="85"/>
  <c r="A77" i="85"/>
  <c r="A83" i="68"/>
  <c r="A141" i="68"/>
  <c r="A38" i="85"/>
  <c r="A307" i="68"/>
  <c r="A276" i="85"/>
  <c r="D53" i="85"/>
  <c r="B266" i="85"/>
  <c r="B272" i="68"/>
  <c r="A19" i="85"/>
  <c r="B83" i="85"/>
  <c r="B89" i="68"/>
  <c r="A148" i="68"/>
  <c r="A142" i="85"/>
  <c r="A125" i="85"/>
  <c r="A131" i="68"/>
  <c r="A116" i="68"/>
  <c r="A110" i="85"/>
  <c r="B158" i="85"/>
  <c r="B164" i="68"/>
  <c r="A265" i="85"/>
  <c r="A271" i="68"/>
  <c r="C199" i="68"/>
  <c r="B149" i="85"/>
  <c r="C103" i="85"/>
  <c r="C109" i="68"/>
  <c r="B95" i="85"/>
  <c r="B101" i="68"/>
  <c r="B34" i="85"/>
  <c r="B40" i="68"/>
  <c r="D271" i="68"/>
  <c r="A86" i="85"/>
  <c r="A92" i="68"/>
  <c r="A61" i="85"/>
  <c r="A67" i="68"/>
  <c r="C206" i="85"/>
  <c r="C203" i="85"/>
  <c r="C209" i="68"/>
  <c r="A6" i="85"/>
  <c r="B65" i="85"/>
  <c r="B198" i="85"/>
  <c r="C134" i="85"/>
  <c r="C74" i="85"/>
  <c r="C80" i="68"/>
  <c r="D83" i="68"/>
  <c r="F83" i="68" s="1"/>
  <c r="A157" i="68"/>
  <c r="C72" i="85"/>
  <c r="C78" i="68"/>
  <c r="A79" i="85"/>
  <c r="A85" i="68"/>
  <c r="C109" i="85"/>
  <c r="A173" i="68"/>
  <c r="A43" i="68"/>
  <c r="B242" i="85"/>
  <c r="B248" i="68"/>
  <c r="D76" i="85"/>
  <c r="D99" i="85"/>
  <c r="D105" i="68"/>
  <c r="C305" i="68"/>
  <c r="A108" i="85"/>
  <c r="A114" i="68"/>
  <c r="B73" i="68"/>
  <c r="B261" i="68"/>
  <c r="B255" i="85"/>
  <c r="C178" i="85"/>
  <c r="C184" i="68"/>
  <c r="D228" i="68"/>
  <c r="C216" i="85"/>
  <c r="D255" i="85"/>
  <c r="C29" i="68"/>
  <c r="B67" i="85"/>
  <c r="D182" i="68"/>
  <c r="D203" i="85"/>
  <c r="D209" i="68"/>
  <c r="C277" i="85"/>
  <c r="C308" i="68"/>
  <c r="D261" i="85"/>
  <c r="D267" i="68"/>
  <c r="D153" i="68"/>
  <c r="A106" i="68"/>
  <c r="D232" i="85"/>
  <c r="D124" i="85"/>
  <c r="D130" i="68"/>
  <c r="D183" i="68"/>
  <c r="D177" i="85"/>
  <c r="C93" i="68"/>
  <c r="C138" i="85"/>
  <c r="C144" i="68"/>
  <c r="B152" i="85"/>
  <c r="B158" i="68"/>
  <c r="A66" i="68"/>
  <c r="A60" i="85"/>
  <c r="A86" i="68"/>
  <c r="A80" i="85"/>
  <c r="A192" i="85"/>
  <c r="A198" i="68"/>
  <c r="A58" i="85"/>
  <c r="A155" i="68"/>
  <c r="B57" i="85"/>
  <c r="B63" i="68"/>
  <c r="C149" i="85"/>
  <c r="C155" i="68"/>
  <c r="A116" i="85"/>
  <c r="A122" i="68"/>
  <c r="B148" i="85"/>
  <c r="B154" i="68"/>
  <c r="C251" i="68"/>
  <c r="C245" i="85"/>
  <c r="B257" i="68"/>
  <c r="B214" i="85"/>
  <c r="B220" i="68"/>
  <c r="B250" i="85"/>
  <c r="B256" i="68"/>
  <c r="C187" i="85"/>
  <c r="C193" i="68"/>
  <c r="C135" i="68"/>
  <c r="A195" i="85"/>
  <c r="A201" i="68"/>
  <c r="C133" i="85"/>
  <c r="C139" i="68"/>
  <c r="B190" i="68"/>
  <c r="B184" i="85"/>
  <c r="A152" i="85"/>
  <c r="A158" i="68"/>
  <c r="D72" i="85"/>
  <c r="D78" i="68"/>
  <c r="B253" i="68"/>
  <c r="B130" i="85"/>
  <c r="B136" i="68"/>
  <c r="B129" i="85"/>
  <c r="B49" i="85"/>
  <c r="B55" i="68"/>
  <c r="C44" i="68"/>
  <c r="D225" i="68"/>
  <c r="D120" i="68"/>
  <c r="D114" i="85"/>
  <c r="A227" i="85"/>
  <c r="A233" i="68"/>
  <c r="B236" i="68"/>
  <c r="C145" i="68"/>
  <c r="C139" i="85"/>
  <c r="B305" i="68"/>
  <c r="A44" i="85"/>
  <c r="A252" i="68"/>
  <c r="A73" i="85"/>
  <c r="A79" i="68"/>
  <c r="D230" i="85"/>
  <c r="D236" i="68"/>
  <c r="C240" i="85"/>
  <c r="A202" i="85"/>
  <c r="A208" i="68"/>
  <c r="A134" i="85"/>
  <c r="A117" i="68"/>
  <c r="D261" i="68"/>
  <c r="A43" i="85"/>
  <c r="D52" i="85"/>
  <c r="B102" i="68"/>
  <c r="C248" i="68"/>
  <c r="A111" i="68"/>
  <c r="C260" i="85"/>
  <c r="C266" i="68"/>
  <c r="B86" i="85"/>
  <c r="A204" i="68"/>
  <c r="B274" i="85"/>
  <c r="D202" i="85"/>
  <c r="A246" i="85"/>
  <c r="A50" i="68"/>
  <c r="C115" i="68"/>
  <c r="A195" i="68"/>
  <c r="D96" i="85"/>
  <c r="D96" i="68"/>
  <c r="D203" i="68"/>
  <c r="D256" i="85"/>
  <c r="B96" i="85"/>
  <c r="C245" i="68"/>
  <c r="C239" i="85"/>
  <c r="C252" i="68"/>
  <c r="C246" i="85"/>
  <c r="B105" i="68"/>
  <c r="A123" i="85"/>
  <c r="D57" i="85"/>
  <c r="D88" i="68"/>
  <c r="D82" i="85"/>
  <c r="A37" i="85"/>
  <c r="A13" i="68"/>
  <c r="A10" i="85"/>
  <c r="D268" i="85"/>
  <c r="A8" i="85"/>
  <c r="A11" i="68"/>
  <c r="C58" i="85"/>
  <c r="C64" i="68"/>
  <c r="A70" i="85"/>
  <c r="A76" i="68"/>
  <c r="C15" i="85"/>
  <c r="C69" i="85"/>
  <c r="C48" i="85"/>
  <c r="C107" i="68"/>
  <c r="C123" i="85"/>
  <c r="C129" i="68"/>
  <c r="B233" i="85"/>
  <c r="B239" i="68"/>
  <c r="D202" i="68"/>
  <c r="B147" i="85"/>
  <c r="B153" i="68"/>
  <c r="C170" i="85"/>
  <c r="C205" i="85"/>
  <c r="C211" i="68"/>
  <c r="A272" i="85"/>
  <c r="A303" i="68"/>
  <c r="B163" i="85"/>
  <c r="B169" i="68"/>
  <c r="A239" i="85"/>
  <c r="A245" i="68"/>
  <c r="D141" i="68"/>
  <c r="D248" i="85"/>
  <c r="D254" i="68"/>
  <c r="A57" i="85"/>
  <c r="A17" i="85"/>
  <c r="A20" i="68"/>
  <c r="A191" i="68"/>
  <c r="B70" i="85"/>
  <c r="B76" i="68"/>
  <c r="C189" i="85"/>
  <c r="C195" i="68"/>
  <c r="B80" i="85"/>
  <c r="B86" i="68"/>
  <c r="B222" i="85"/>
  <c r="A42" i="85"/>
  <c r="A48" i="68"/>
  <c r="A25" i="85"/>
  <c r="B190" i="85"/>
  <c r="B196" i="68"/>
  <c r="B257" i="85"/>
  <c r="B263" i="68"/>
  <c r="A130" i="68"/>
  <c r="C7" i="85"/>
  <c r="B202" i="85"/>
  <c r="B208" i="68"/>
  <c r="A183" i="85"/>
  <c r="A21" i="85"/>
  <c r="A142" i="68"/>
  <c r="B91" i="85"/>
  <c r="B142" i="68"/>
  <c r="C68" i="85"/>
  <c r="C74" i="68"/>
  <c r="A201" i="85"/>
  <c r="C219" i="85"/>
  <c r="C147" i="68"/>
  <c r="C141" i="85"/>
  <c r="D58" i="85"/>
  <c r="D64" i="68"/>
  <c r="D275" i="68"/>
  <c r="D269" i="85"/>
  <c r="D155" i="68"/>
  <c r="D149" i="85"/>
  <c r="D226" i="85"/>
  <c r="D232" i="68"/>
  <c r="D225" i="85"/>
  <c r="D231" i="68"/>
  <c r="D119" i="85"/>
  <c r="D125" i="68"/>
  <c r="D116" i="85"/>
  <c r="D122" i="68"/>
  <c r="C195" i="85"/>
  <c r="C77" i="68"/>
  <c r="C71" i="85"/>
  <c r="C138" i="68"/>
  <c r="C132" i="85"/>
  <c r="A173" i="85"/>
  <c r="A179" i="68"/>
  <c r="D204" i="68"/>
  <c r="D198" i="85"/>
  <c r="D207" i="85"/>
  <c r="D213" i="68"/>
  <c r="C52" i="68"/>
  <c r="C46" i="85"/>
  <c r="B201" i="68"/>
  <c r="C202" i="85"/>
  <c r="C208" i="68"/>
  <c r="C259" i="68"/>
  <c r="C253" i="85"/>
  <c r="C273" i="68"/>
  <c r="C267" i="85"/>
  <c r="B260" i="68"/>
  <c r="B254" i="85"/>
  <c r="B111" i="68"/>
  <c r="B105" i="85"/>
  <c r="A274" i="85"/>
  <c r="A305" i="68"/>
  <c r="D178" i="85"/>
  <c r="D184" i="68"/>
  <c r="D79" i="68"/>
  <c r="D73" i="85"/>
  <c r="A39" i="68"/>
  <c r="A33" i="85"/>
  <c r="A207" i="85"/>
  <c r="A213" i="68"/>
  <c r="B117" i="85"/>
  <c r="B123" i="68"/>
  <c r="A267" i="68"/>
  <c r="A261" i="85"/>
  <c r="C19" i="85"/>
  <c r="C23" i="68"/>
  <c r="C148" i="68"/>
  <c r="C142" i="85"/>
  <c r="C222" i="85"/>
  <c r="C228" i="68"/>
  <c r="B203" i="68"/>
  <c r="B197" i="85"/>
  <c r="D62" i="68"/>
  <c r="D56" i="85"/>
  <c r="A30" i="85"/>
  <c r="A35" i="68"/>
  <c r="C39" i="85"/>
  <c r="B135" i="85"/>
  <c r="B141" i="68"/>
  <c r="A75" i="85"/>
  <c r="A81" i="68"/>
  <c r="A9" i="85"/>
  <c r="B243" i="68"/>
  <c r="B237" i="85"/>
  <c r="D53" i="68"/>
  <c r="D47" i="85"/>
  <c r="D269" i="68"/>
  <c r="D263" i="85"/>
  <c r="D265" i="68"/>
  <c r="D259" i="85"/>
  <c r="D71" i="85"/>
  <c r="D77" i="68"/>
  <c r="D179" i="68"/>
  <c r="D173" i="85"/>
  <c r="D116" i="68"/>
  <c r="D110" i="85"/>
  <c r="C25" i="85"/>
  <c r="C157" i="68"/>
  <c r="C273" i="85"/>
  <c r="C304" i="68"/>
  <c r="B229" i="68"/>
  <c r="A59" i="68"/>
  <c r="C52" i="85"/>
  <c r="C58" i="68"/>
  <c r="B271" i="85"/>
  <c r="A133" i="68"/>
  <c r="A127" i="85"/>
  <c r="B275" i="68"/>
  <c r="B269" i="85"/>
  <c r="B205" i="68"/>
  <c r="B44" i="68"/>
  <c r="B38" i="85"/>
  <c r="D188" i="85"/>
  <c r="D194" i="68"/>
  <c r="B146" i="68"/>
  <c r="B140" i="85"/>
  <c r="C164" i="68"/>
  <c r="C158" i="85"/>
  <c r="B35" i="85"/>
  <c r="C268" i="85"/>
  <c r="B239" i="85"/>
  <c r="B219" i="85"/>
  <c r="B225" i="68"/>
  <c r="B213" i="68"/>
  <c r="B207" i="85"/>
  <c r="B188" i="85"/>
  <c r="B170" i="68"/>
  <c r="B116" i="68"/>
  <c r="B98" i="85"/>
  <c r="C97" i="68"/>
  <c r="C91" i="85"/>
  <c r="C220" i="85"/>
  <c r="C226" i="68"/>
  <c r="D67" i="85"/>
  <c r="D183" i="85"/>
  <c r="D186" i="85"/>
  <c r="D192" i="68"/>
  <c r="D251" i="68"/>
  <c r="D245" i="85"/>
  <c r="A35" i="85"/>
  <c r="A41" i="68"/>
  <c r="D45" i="68"/>
  <c r="D39" i="85"/>
  <c r="C116" i="68"/>
  <c r="C110" i="85"/>
  <c r="B118" i="85"/>
  <c r="B124" i="68"/>
  <c r="A251" i="85"/>
  <c r="A257" i="68"/>
  <c r="A162" i="85"/>
  <c r="A168" i="68"/>
  <c r="A82" i="68"/>
  <c r="C234" i="85"/>
  <c r="D109" i="68"/>
  <c r="D103" i="85"/>
  <c r="D233" i="68"/>
  <c r="B234" i="85"/>
  <c r="B240" i="68"/>
  <c r="A105" i="68"/>
  <c r="A99" i="85"/>
  <c r="C143" i="68"/>
  <c r="A244" i="85"/>
  <c r="A250" i="68"/>
  <c r="A308" i="68"/>
  <c r="A275" i="85"/>
  <c r="D157" i="68"/>
  <c r="D151" i="85"/>
  <c r="A232" i="85"/>
  <c r="A238" i="68"/>
  <c r="D171" i="85"/>
  <c r="A52" i="85"/>
  <c r="B264" i="85"/>
  <c r="B270" i="68"/>
  <c r="C126" i="68"/>
  <c r="C120" i="85"/>
  <c r="C236" i="85"/>
  <c r="A176" i="85"/>
  <c r="A182" i="68"/>
  <c r="B225" i="85"/>
  <c r="B231" i="68"/>
  <c r="D101" i="68"/>
  <c r="D95" i="85"/>
  <c r="B104" i="85"/>
  <c r="B110" i="68"/>
  <c r="C166" i="85"/>
  <c r="C172" i="68"/>
  <c r="B53" i="85"/>
  <c r="B59" i="68"/>
  <c r="B69" i="85"/>
  <c r="B75" i="68"/>
  <c r="B224" i="85"/>
  <c r="B230" i="68"/>
  <c r="A214" i="68"/>
  <c r="A208" i="85"/>
  <c r="D149" i="68"/>
  <c r="D144" i="85"/>
  <c r="D150" i="68"/>
  <c r="B248" i="85"/>
  <c r="A97" i="85"/>
  <c r="D115" i="85"/>
  <c r="D105" i="85"/>
  <c r="D111" i="68"/>
  <c r="C65" i="85"/>
  <c r="C71" i="68"/>
  <c r="C85" i="85"/>
  <c r="D240" i="68"/>
  <c r="D128" i="68"/>
  <c r="C275" i="68"/>
  <c r="A191" i="85"/>
  <c r="A197" i="68"/>
  <c r="A137" i="68"/>
  <c r="A131" i="85"/>
  <c r="A24" i="85"/>
  <c r="A29" i="68"/>
  <c r="B85" i="85"/>
  <c r="B91" i="68"/>
  <c r="A115" i="85"/>
  <c r="C49" i="68"/>
  <c r="C41" i="85"/>
  <c r="C47" i="68"/>
  <c r="B84" i="68"/>
  <c r="B78" i="85"/>
  <c r="C255" i="68"/>
  <c r="C249" i="85"/>
  <c r="A166" i="85"/>
  <c r="D102" i="85"/>
  <c r="D108" i="68"/>
  <c r="A130" i="85"/>
  <c r="C9" i="85"/>
  <c r="C186" i="85"/>
  <c r="C192" i="68"/>
  <c r="C160" i="85"/>
  <c r="B36" i="85"/>
  <c r="B138" i="85"/>
  <c r="B214" i="68"/>
  <c r="C246" i="68"/>
  <c r="B50" i="68"/>
  <c r="C35" i="85"/>
  <c r="C41" i="68"/>
  <c r="B73" i="85"/>
  <c r="B79" i="68"/>
  <c r="C147" i="85"/>
  <c r="B87" i="85"/>
  <c r="B240" i="85"/>
  <c r="B209" i="85"/>
  <c r="C96" i="68"/>
  <c r="C247" i="85"/>
  <c r="C24" i="68"/>
  <c r="C20" i="85"/>
  <c r="D74" i="85"/>
  <c r="D80" i="68"/>
  <c r="B258" i="85"/>
  <c r="C11" i="85"/>
  <c r="C66" i="85"/>
  <c r="C72" i="68"/>
  <c r="A34" i="68"/>
  <c r="C220" i="68"/>
  <c r="C214" i="85"/>
  <c r="B228" i="85"/>
  <c r="B234" i="68"/>
  <c r="D70" i="85"/>
  <c r="D76" i="68"/>
  <c r="D187" i="68"/>
  <c r="D181" i="85"/>
  <c r="D288" i="68"/>
  <c r="D282" i="68"/>
  <c r="D74" i="68"/>
  <c r="D281" i="68"/>
  <c r="E183" i="68"/>
  <c r="E81" i="68"/>
  <c r="E172" i="68"/>
  <c r="E166" i="85"/>
  <c r="E77" i="85"/>
  <c r="E277" i="85"/>
  <c r="E54" i="85"/>
  <c r="E120" i="68"/>
  <c r="E286" i="68"/>
  <c r="E66" i="85"/>
  <c r="E280" i="68"/>
  <c r="E276" i="85"/>
  <c r="E86" i="85"/>
  <c r="E92" i="68"/>
  <c r="E52" i="68"/>
  <c r="E46" i="85"/>
  <c r="E291" i="68"/>
  <c r="E282" i="68"/>
  <c r="F282" i="68" s="1"/>
  <c r="E114" i="85"/>
  <c r="E188" i="68"/>
  <c r="E204" i="68"/>
  <c r="E198" i="85"/>
  <c r="E302" i="68"/>
  <c r="E271" i="85"/>
  <c r="E281" i="68"/>
  <c r="E288" i="68"/>
  <c r="E298" i="68"/>
  <c r="E278" i="68"/>
  <c r="E157" i="85"/>
  <c r="E163" i="68"/>
  <c r="E289" i="68"/>
  <c r="E47" i="85"/>
  <c r="E53" i="68"/>
  <c r="E287" i="68"/>
  <c r="E37" i="85"/>
  <c r="E43" i="68"/>
  <c r="E97" i="85"/>
  <c r="E103" i="68"/>
  <c r="E44" i="68"/>
  <c r="E38" i="85"/>
  <c r="E40" i="68"/>
  <c r="E34" i="85"/>
  <c r="E41" i="68"/>
  <c r="E35" i="85"/>
  <c r="E250" i="85"/>
  <c r="E256" i="68"/>
  <c r="E57" i="85"/>
  <c r="E63" i="68"/>
  <c r="E294" i="68"/>
  <c r="E195" i="68"/>
  <c r="E189" i="85"/>
  <c r="E128" i="68"/>
  <c r="E122" i="85"/>
  <c r="D187" i="85"/>
  <c r="D193" i="68"/>
  <c r="D65" i="85"/>
  <c r="D71" i="68"/>
  <c r="D220" i="68"/>
  <c r="D214" i="85"/>
  <c r="D40" i="68"/>
  <c r="D34" i="85"/>
  <c r="D255" i="68"/>
  <c r="D249" i="85"/>
  <c r="E168" i="68"/>
  <c r="E162" i="85"/>
  <c r="E232" i="68"/>
  <c r="E161" i="85"/>
  <c r="E167" i="68"/>
  <c r="E65" i="85"/>
  <c r="E209" i="68"/>
  <c r="E203" i="85"/>
  <c r="E71" i="68"/>
  <c r="E60" i="68"/>
  <c r="E308" i="68"/>
  <c r="E72" i="68"/>
  <c r="E194" i="68"/>
  <c r="E188" i="85"/>
  <c r="E299" i="68"/>
  <c r="E307" i="68"/>
  <c r="E240" i="68"/>
  <c r="E304" i="68"/>
  <c r="E273" i="85"/>
  <c r="E234" i="85"/>
  <c r="F234" i="85" s="1"/>
  <c r="E297" i="68"/>
  <c r="E141" i="85"/>
  <c r="E147" i="68"/>
  <c r="E140" i="68"/>
  <c r="E134" i="85"/>
  <c r="E102" i="68"/>
  <c r="E96" i="85"/>
  <c r="E164" i="85"/>
  <c r="E170" i="68"/>
  <c r="E46" i="68"/>
  <c r="E40" i="85"/>
  <c r="E42" i="68"/>
  <c r="E36" i="85"/>
  <c r="E266" i="68"/>
  <c r="E260" i="85"/>
  <c r="E104" i="85"/>
  <c r="E198" i="68"/>
  <c r="E192" i="85"/>
  <c r="E96" i="68"/>
  <c r="E90" i="85"/>
  <c r="E293" i="68"/>
  <c r="E241" i="68"/>
  <c r="E235" i="85"/>
  <c r="E292" i="68"/>
  <c r="E196" i="68"/>
  <c r="E190" i="85"/>
  <c r="E127" i="85"/>
  <c r="E133" i="68"/>
  <c r="E240" i="85"/>
  <c r="E246" i="68"/>
  <c r="E45" i="68"/>
  <c r="E39" i="85"/>
  <c r="E87" i="85"/>
  <c r="E93" i="68"/>
  <c r="E153" i="68"/>
  <c r="E147" i="85"/>
  <c r="E59" i="68"/>
  <c r="E53" i="85"/>
  <c r="E213" i="68"/>
  <c r="E207" i="85"/>
  <c r="E251" i="68"/>
  <c r="E245" i="85"/>
  <c r="E43" i="85"/>
  <c r="E49" i="68"/>
  <c r="E33" i="85"/>
  <c r="E39" i="68"/>
  <c r="E264" i="85"/>
  <c r="E270" i="68"/>
  <c r="E116" i="85"/>
  <c r="E122" i="68"/>
  <c r="E48" i="68"/>
  <c r="E42" i="85"/>
  <c r="E79" i="68"/>
  <c r="E73" i="85"/>
  <c r="E49" i="85"/>
  <c r="E55" i="68"/>
  <c r="E100" i="68"/>
  <c r="E94" i="85"/>
  <c r="E176" i="68"/>
  <c r="E170" i="85"/>
  <c r="E283" i="68"/>
  <c r="E106" i="68"/>
  <c r="E100" i="85"/>
  <c r="E76" i="68"/>
  <c r="E70" i="85"/>
  <c r="E284" i="68"/>
  <c r="E254" i="85"/>
  <c r="E260" i="68"/>
  <c r="E228" i="68"/>
  <c r="E222" i="85"/>
  <c r="E91" i="68"/>
  <c r="E85" i="85"/>
  <c r="E167" i="85"/>
  <c r="E173" i="68"/>
  <c r="E251" i="85"/>
  <c r="E257" i="68"/>
  <c r="E305" i="68"/>
  <c r="E274" i="85"/>
  <c r="E142" i="85"/>
  <c r="E148" i="68"/>
  <c r="E274" i="68"/>
  <c r="E268" i="85"/>
  <c r="E52" i="85"/>
  <c r="E58" i="68"/>
  <c r="E179" i="68"/>
  <c r="E173" i="85"/>
  <c r="E271" i="68"/>
  <c r="E265" i="85"/>
  <c r="E116" i="68"/>
  <c r="E110" i="85"/>
  <c r="E178" i="68"/>
  <c r="E172" i="85"/>
  <c r="E206" i="85"/>
  <c r="E212" i="68"/>
  <c r="E250" i="68"/>
  <c r="E244" i="85"/>
  <c r="E97" i="68"/>
  <c r="E91" i="85"/>
  <c r="E48" i="85"/>
  <c r="E54" i="68"/>
  <c r="E82" i="68"/>
  <c r="E76" i="85"/>
  <c r="E303" i="68"/>
  <c r="E272" i="85"/>
  <c r="E41" i="85"/>
  <c r="E47" i="68"/>
  <c r="E236" i="68"/>
  <c r="E230" i="85"/>
  <c r="E210" i="85"/>
  <c r="E216" i="68"/>
  <c r="E182" i="68"/>
  <c r="E176" i="85"/>
  <c r="E129" i="68"/>
  <c r="E123" i="85"/>
  <c r="E135" i="85"/>
  <c r="E141" i="68"/>
  <c r="E247" i="68"/>
  <c r="E241" i="85"/>
  <c r="E219" i="85"/>
  <c r="E225" i="68"/>
  <c r="E222" i="68"/>
  <c r="E216" i="85"/>
  <c r="E139" i="68"/>
  <c r="E133" i="85"/>
  <c r="E220" i="85"/>
  <c r="E226" i="68"/>
  <c r="E130" i="85"/>
  <c r="E136" i="68"/>
  <c r="E152" i="85"/>
  <c r="E158" i="68"/>
  <c r="E224" i="85"/>
  <c r="E230" i="68"/>
  <c r="E211" i="85"/>
  <c r="E217" i="68"/>
  <c r="E262" i="68"/>
  <c r="E256" i="85"/>
  <c r="E74" i="85"/>
  <c r="E80" i="68"/>
  <c r="E153" i="85"/>
  <c r="E159" i="68"/>
  <c r="E254" i="68"/>
  <c r="E248" i="85"/>
  <c r="E143" i="68"/>
  <c r="E137" i="85"/>
  <c r="E178" i="85"/>
  <c r="E184" i="68"/>
  <c r="E112" i="68"/>
  <c r="E106" i="85"/>
  <c r="E217" i="85"/>
  <c r="E223" i="68"/>
  <c r="E121" i="68"/>
  <c r="E115" i="85"/>
  <c r="E79" i="85"/>
  <c r="E85" i="68"/>
  <c r="E69" i="85"/>
  <c r="E75" i="68"/>
  <c r="E202" i="85"/>
  <c r="E208" i="68"/>
  <c r="E158" i="85"/>
  <c r="E164" i="68"/>
  <c r="E227" i="68"/>
  <c r="E221" i="85"/>
  <c r="E255" i="68"/>
  <c r="E249" i="85"/>
  <c r="E81" i="85"/>
  <c r="E87" i="68"/>
  <c r="E174" i="68"/>
  <c r="E168" i="85"/>
  <c r="D239" i="85"/>
  <c r="D245" i="68"/>
  <c r="D75" i="68"/>
  <c r="D69" i="85"/>
  <c r="D198" i="68"/>
  <c r="D192" i="85"/>
  <c r="D221" i="85"/>
  <c r="D227" i="68"/>
  <c r="D49" i="68"/>
  <c r="D43" i="85"/>
  <c r="D213" i="85"/>
  <c r="D219" i="68"/>
  <c r="D226" i="68"/>
  <c r="D220" i="85"/>
  <c r="D190" i="68"/>
  <c r="D184" i="85"/>
  <c r="D210" i="85"/>
  <c r="D216" i="68"/>
  <c r="D43" i="68"/>
  <c r="D37" i="85"/>
  <c r="D81" i="68"/>
  <c r="D75" i="85"/>
  <c r="D32" i="85"/>
  <c r="D38" i="68"/>
  <c r="D185" i="85"/>
  <c r="D191" i="68"/>
  <c r="D44" i="68"/>
  <c r="D38" i="85"/>
  <c r="D247" i="68"/>
  <c r="D241" i="85"/>
  <c r="D216" i="85"/>
  <c r="D222" i="68"/>
  <c r="D212" i="85"/>
  <c r="D218" i="68"/>
  <c r="D48" i="68"/>
  <c r="F48" i="68" s="1"/>
  <c r="D42" i="85"/>
  <c r="D256" i="68"/>
  <c r="D250" i="85"/>
  <c r="D41" i="68"/>
  <c r="D35" i="85"/>
  <c r="D250" i="68"/>
  <c r="D244" i="85"/>
  <c r="D248" i="68"/>
  <c r="D242" i="85"/>
  <c r="D36" i="85"/>
  <c r="D42" i="68"/>
  <c r="D243" i="85"/>
  <c r="D249" i="68"/>
  <c r="D215" i="85"/>
  <c r="D221" i="68"/>
  <c r="D191" i="85"/>
  <c r="D197" i="68"/>
  <c r="E226" i="85"/>
  <c r="E72" i="85"/>
  <c r="E78" i="68"/>
  <c r="E131" i="85"/>
  <c r="E137" i="68"/>
  <c r="E110" i="68"/>
  <c r="E132" i="85"/>
  <c r="E138" i="68"/>
  <c r="E58" i="85"/>
  <c r="E64" i="68"/>
  <c r="E32" i="85"/>
  <c r="F32" i="85" s="1"/>
  <c r="E38" i="68"/>
  <c r="E196" i="85"/>
  <c r="E202" i="68"/>
  <c r="E259" i="85"/>
  <c r="E265" i="68"/>
  <c r="E135" i="68"/>
  <c r="E129" i="85"/>
  <c r="E267" i="85"/>
  <c r="E273" i="68"/>
  <c r="E160" i="85"/>
  <c r="E166" i="68"/>
  <c r="E249" i="68"/>
  <c r="E243" i="85"/>
  <c r="E107" i="68"/>
  <c r="E101" i="85"/>
  <c r="E105" i="68"/>
  <c r="E99" i="85"/>
  <c r="E231" i="85"/>
  <c r="E237" i="68"/>
  <c r="E218" i="68"/>
  <c r="E212" i="85"/>
  <c r="E190" i="68"/>
  <c r="E184" i="85"/>
  <c r="E213" i="85"/>
  <c r="E219" i="68"/>
  <c r="E155" i="68"/>
  <c r="E149" i="85"/>
  <c r="E255" i="85"/>
  <c r="E261" i="68"/>
  <c r="E104" i="68"/>
  <c r="E98" i="85"/>
  <c r="E62" i="68"/>
  <c r="E56" i="85"/>
  <c r="E144" i="85"/>
  <c r="E150" i="68"/>
  <c r="E187" i="68"/>
  <c r="E181" i="85"/>
  <c r="E111" i="85"/>
  <c r="E117" i="68"/>
  <c r="E203" i="68"/>
  <c r="E197" i="85"/>
  <c r="E269" i="68"/>
  <c r="E263" i="85"/>
  <c r="E233" i="68"/>
  <c r="E227" i="85"/>
  <c r="F227" i="85" s="1"/>
  <c r="E124" i="68"/>
  <c r="E118" i="85"/>
  <c r="E126" i="68"/>
  <c r="E120" i="85"/>
  <c r="E145" i="68"/>
  <c r="E139" i="85"/>
  <c r="E267" i="68"/>
  <c r="E261" i="85"/>
  <c r="E232" i="85"/>
  <c r="E238" i="68"/>
  <c r="E125" i="68"/>
  <c r="E119" i="85"/>
  <c r="E220" i="68"/>
  <c r="E214" i="85"/>
  <c r="E105" i="85"/>
  <c r="E111" i="68"/>
  <c r="E218" i="85"/>
  <c r="E224" i="68"/>
  <c r="E248" i="68"/>
  <c r="F248" i="68" s="1"/>
  <c r="E242" i="85"/>
  <c r="E89" i="85"/>
  <c r="E95" i="68"/>
  <c r="E102" i="85"/>
  <c r="E108" i="68"/>
  <c r="E259" i="68"/>
  <c r="E253" i="85"/>
  <c r="E115" i="68"/>
  <c r="E109" i="85"/>
  <c r="E215" i="85"/>
  <c r="E221" i="68"/>
  <c r="E74" i="68"/>
  <c r="E68" i="85"/>
  <c r="E201" i="85"/>
  <c r="E207" i="68"/>
  <c r="E165" i="85"/>
  <c r="E171" i="68"/>
  <c r="E148" i="85"/>
  <c r="E154" i="68"/>
  <c r="E252" i="68"/>
  <c r="E246" i="85"/>
  <c r="E193" i="68"/>
  <c r="E187" i="85"/>
  <c r="E162" i="68"/>
  <c r="E156" i="85"/>
  <c r="E191" i="68"/>
  <c r="E185" i="85"/>
  <c r="E247" i="85"/>
  <c r="E253" i="68"/>
  <c r="E50" i="68"/>
  <c r="E44" i="85"/>
  <c r="E101" i="68"/>
  <c r="E95" i="85"/>
  <c r="E130" i="68"/>
  <c r="E124" i="85"/>
  <c r="E211" i="68"/>
  <c r="E205" i="85"/>
  <c r="E71" i="85"/>
  <c r="E77" i="68"/>
  <c r="E177" i="68"/>
  <c r="E171" i="85"/>
  <c r="E165" i="68"/>
  <c r="E159" i="85"/>
  <c r="E197" i="68"/>
  <c r="E191" i="85"/>
  <c r="E134" i="68"/>
  <c r="E128" i="85"/>
  <c r="E269" i="85"/>
  <c r="E275" i="68"/>
  <c r="E169" i="68"/>
  <c r="E163" i="85"/>
  <c r="E138" i="85"/>
  <c r="E144" i="68"/>
  <c r="E73" i="68"/>
  <c r="E67" i="85"/>
  <c r="E306" i="68"/>
  <c r="E275" i="85"/>
  <c r="E236" i="85"/>
  <c r="E242" i="68"/>
  <c r="E189" i="68"/>
  <c r="E183" i="85"/>
  <c r="E114" i="68"/>
  <c r="E108" i="85"/>
  <c r="E193" i="85"/>
  <c r="E199" i="68"/>
  <c r="E109" i="68"/>
  <c r="E103" i="85"/>
  <c r="E157" i="68"/>
  <c r="E151" i="85"/>
  <c r="E86" i="68"/>
  <c r="E80" i="85"/>
  <c r="E143" i="85"/>
  <c r="E149" i="68"/>
  <c r="E88" i="68"/>
  <c r="E82" i="85"/>
  <c r="E245" i="68"/>
  <c r="E239" i="85"/>
  <c r="E201" i="68"/>
  <c r="E195" i="85"/>
  <c r="E192" i="68"/>
  <c r="E186" i="85"/>
  <c r="E225" i="85"/>
  <c r="E231" i="68"/>
  <c r="E142" i="68"/>
  <c r="E136" i="85"/>
  <c r="D162" i="85"/>
  <c r="D168" i="68"/>
  <c r="D127" i="85"/>
  <c r="F127" i="85" s="1"/>
  <c r="F125" i="85" s="1"/>
  <c r="D133" i="68"/>
  <c r="D159" i="85"/>
  <c r="D165" i="68"/>
  <c r="D138" i="68"/>
  <c r="D132" i="85"/>
  <c r="D138" i="85"/>
  <c r="D144" i="68"/>
  <c r="D166" i="68"/>
  <c r="D160" i="85"/>
  <c r="D137" i="68"/>
  <c r="D131" i="85"/>
  <c r="D158" i="85"/>
  <c r="D164" i="68"/>
  <c r="D137" i="85"/>
  <c r="D143" i="68"/>
  <c r="D129" i="85"/>
  <c r="D135" i="68"/>
  <c r="D308" i="68"/>
  <c r="D277" i="85"/>
  <c r="D275" i="85"/>
  <c r="D306" i="68"/>
  <c r="D166" i="85"/>
  <c r="D172" i="68"/>
  <c r="D305" i="68"/>
  <c r="D274" i="85"/>
  <c r="D167" i="85"/>
  <c r="F167" i="85" s="1"/>
  <c r="D173" i="68"/>
  <c r="F173" i="68" s="1"/>
  <c r="D271" i="85"/>
  <c r="D302" i="68"/>
  <c r="D133" i="85"/>
  <c r="D139" i="68"/>
  <c r="D167" i="68"/>
  <c r="D161" i="85"/>
  <c r="D307" i="68"/>
  <c r="D276" i="85"/>
  <c r="D304" i="68"/>
  <c r="D273" i="85"/>
  <c r="D130" i="85"/>
  <c r="D136" i="68"/>
  <c r="D156" i="85"/>
  <c r="D162" i="68"/>
  <c r="B23" i="68"/>
  <c r="A281" i="85"/>
  <c r="B23" i="85"/>
  <c r="B12" i="85"/>
  <c r="B9" i="68"/>
  <c r="A333" i="68"/>
  <c r="B28" i="68"/>
  <c r="B26" i="68"/>
  <c r="B13" i="68"/>
  <c r="B22" i="85"/>
  <c r="B283" i="85"/>
  <c r="B20" i="85"/>
  <c r="B8" i="85"/>
  <c r="B11" i="68"/>
  <c r="A339" i="68"/>
  <c r="B282" i="85"/>
  <c r="B334" i="68"/>
  <c r="B61" i="85"/>
  <c r="B67" i="68"/>
  <c r="B27" i="85"/>
  <c r="A283" i="85"/>
  <c r="A335" i="68"/>
  <c r="B59" i="85"/>
  <c r="B65" i="68"/>
  <c r="B17" i="85"/>
  <c r="B20" i="68"/>
  <c r="B14" i="68"/>
  <c r="B25" i="85"/>
  <c r="B16" i="68"/>
  <c r="B13" i="85"/>
  <c r="B30" i="68"/>
  <c r="B30" i="85"/>
  <c r="B35" i="68"/>
  <c r="B31" i="68"/>
  <c r="B26" i="85"/>
  <c r="A334" i="68"/>
  <c r="A282" i="85"/>
  <c r="A336" i="68"/>
  <c r="A284" i="85"/>
  <c r="B62" i="85"/>
  <c r="B278" i="85"/>
  <c r="B66" i="68"/>
  <c r="B60" i="85"/>
  <c r="B24" i="85"/>
  <c r="B29" i="68"/>
  <c r="C287" i="85"/>
  <c r="C339" i="68"/>
  <c r="C18" i="85"/>
  <c r="C21" i="68"/>
  <c r="B21" i="68"/>
  <c r="B33" i="68"/>
  <c r="B28" i="85"/>
  <c r="B338" i="68"/>
  <c r="B286" i="85"/>
  <c r="B280" i="85"/>
  <c r="B332" i="68"/>
  <c r="B285" i="85"/>
  <c r="B337" i="68"/>
  <c r="C18" i="68"/>
  <c r="C16" i="68"/>
  <c r="C281" i="85"/>
  <c r="C333" i="68"/>
  <c r="B15" i="85"/>
  <c r="B18" i="68"/>
  <c r="B29" i="85"/>
  <c r="B34" i="68"/>
  <c r="B17" i="68"/>
  <c r="B14" i="85"/>
  <c r="B10" i="68"/>
  <c r="B7" i="85"/>
  <c r="C13" i="85"/>
  <c r="D23" i="68"/>
  <c r="C16" i="85"/>
  <c r="C19" i="68"/>
  <c r="C15" i="68"/>
  <c r="B21" i="85"/>
  <c r="C14" i="68"/>
  <c r="A338" i="68"/>
  <c r="A286" i="85"/>
  <c r="B9" i="85"/>
  <c r="B12" i="68"/>
  <c r="A285" i="85"/>
  <c r="A337" i="68"/>
  <c r="B339" i="68"/>
  <c r="B287" i="85"/>
  <c r="C335" i="68"/>
  <c r="B333" i="68"/>
  <c r="B281" i="85"/>
  <c r="B16" i="85"/>
  <c r="A280" i="85"/>
  <c r="B284" i="85"/>
  <c r="H30" i="76"/>
  <c r="E312" i="68"/>
  <c r="E330" i="68"/>
  <c r="E329" i="68"/>
  <c r="E322" i="68"/>
  <c r="E313" i="68"/>
  <c r="E311" i="68"/>
  <c r="E317" i="68"/>
  <c r="E326" i="68"/>
  <c r="E318" i="68"/>
  <c r="E327" i="68"/>
  <c r="E321" i="68"/>
  <c r="E315" i="68"/>
  <c r="E310" i="68"/>
  <c r="E279" i="85"/>
  <c r="E323" i="68"/>
  <c r="E316" i="68"/>
  <c r="E325" i="68"/>
  <c r="E331" i="68"/>
  <c r="J187" i="64"/>
  <c r="K187" i="64"/>
  <c r="D75" i="34"/>
  <c r="E76" i="64" s="1"/>
  <c r="K76" i="64" s="1"/>
  <c r="D81" i="34"/>
  <c r="E82" i="64" s="1"/>
  <c r="D188" i="34"/>
  <c r="E189" i="64" s="1"/>
  <c r="D196" i="34"/>
  <c r="E197" i="64" s="1"/>
  <c r="K197" i="64" s="1"/>
  <c r="D73" i="34"/>
  <c r="E74" i="64" s="1"/>
  <c r="K74" i="64" s="1"/>
  <c r="D80" i="34"/>
  <c r="E81" i="64" s="1"/>
  <c r="K81" i="64" s="1"/>
  <c r="D191" i="34"/>
  <c r="E192" i="64" s="1"/>
  <c r="D190" i="34"/>
  <c r="E191" i="64" s="1"/>
  <c r="D248" i="34"/>
  <c r="E249" i="64" s="1"/>
  <c r="D249" i="34"/>
  <c r="E250" i="64" s="1"/>
  <c r="E271" i="61" s="1"/>
  <c r="H272" i="61" s="1"/>
  <c r="D21" i="76"/>
  <c r="D22" i="76" s="1"/>
  <c r="J336" i="64"/>
  <c r="K78" i="78"/>
  <c r="I252" i="64"/>
  <c r="K252" i="64"/>
  <c r="E48" i="78"/>
  <c r="I286" i="64"/>
  <c r="K286" i="64"/>
  <c r="I311" i="64"/>
  <c r="E64" i="78"/>
  <c r="K311" i="64"/>
  <c r="E68" i="78"/>
  <c r="I28" i="78"/>
  <c r="L28" i="78" s="1"/>
  <c r="K78" i="64"/>
  <c r="I78" i="64"/>
  <c r="K194" i="64"/>
  <c r="I194" i="64"/>
  <c r="I225" i="64"/>
  <c r="K225" i="64"/>
  <c r="I285" i="64"/>
  <c r="E47" i="78"/>
  <c r="K285" i="64"/>
  <c r="K310" i="64"/>
  <c r="I310" i="64"/>
  <c r="K279" i="64"/>
  <c r="D110" i="34"/>
  <c r="E111" i="64" s="1"/>
  <c r="C60" i="78"/>
  <c r="C45" i="78"/>
  <c r="A41" i="78"/>
  <c r="D37" i="78"/>
  <c r="L75" i="78"/>
  <c r="A318" i="61"/>
  <c r="C1019" i="47"/>
  <c r="D1016" i="47"/>
  <c r="C302" i="61"/>
  <c r="A963" i="47"/>
  <c r="D101" i="34"/>
  <c r="E102" i="64" s="1"/>
  <c r="D105" i="34"/>
  <c r="E106" i="64" s="1"/>
  <c r="J76" i="64"/>
  <c r="M8" i="78"/>
  <c r="I327" i="64"/>
  <c r="K327" i="64"/>
  <c r="I68" i="64"/>
  <c r="E37" i="78"/>
  <c r="K68" i="64"/>
  <c r="J60" i="64"/>
  <c r="I60" i="64"/>
  <c r="K60" i="64"/>
  <c r="I275" i="64"/>
  <c r="K275" i="64"/>
  <c r="K242" i="64"/>
  <c r="I242" i="64"/>
  <c r="K271" i="64"/>
  <c r="I271" i="64"/>
  <c r="K331" i="64"/>
  <c r="I331" i="64"/>
  <c r="K122" i="64"/>
  <c r="J122" i="64"/>
  <c r="E17" i="78"/>
  <c r="K18" i="64"/>
  <c r="D15" i="85"/>
  <c r="I18" i="64"/>
  <c r="I47" i="64"/>
  <c r="K47" i="64"/>
  <c r="K141" i="64"/>
  <c r="I141" i="64"/>
  <c r="K169" i="64"/>
  <c r="I169" i="64"/>
  <c r="I195" i="64"/>
  <c r="K195" i="64"/>
  <c r="K224" i="64"/>
  <c r="I224" i="64"/>
  <c r="I254" i="64"/>
  <c r="K254" i="64"/>
  <c r="K159" i="64"/>
  <c r="I130" i="64"/>
  <c r="K130" i="64"/>
  <c r="K299" i="64"/>
  <c r="K323" i="64"/>
  <c r="I323" i="64"/>
  <c r="J323" i="64"/>
  <c r="I97" i="64"/>
  <c r="D17" i="68"/>
  <c r="E16" i="78"/>
  <c r="I17" i="64"/>
  <c r="K17" i="64"/>
  <c r="K140" i="64"/>
  <c r="I140" i="64"/>
  <c r="I142" i="64"/>
  <c r="K142" i="64"/>
  <c r="I170" i="64"/>
  <c r="K170" i="64"/>
  <c r="I223" i="64"/>
  <c r="K223" i="64"/>
  <c r="K76" i="78"/>
  <c r="L76" i="78"/>
  <c r="L9" i="78"/>
  <c r="M9" i="78" s="1"/>
  <c r="K9" i="78"/>
  <c r="L163" i="84"/>
  <c r="V163" i="84" s="1"/>
  <c r="X163" i="84" s="1"/>
  <c r="V164" i="84"/>
  <c r="D24" i="34" s="1"/>
  <c r="E25" i="64" s="1"/>
  <c r="J25" i="64" s="1"/>
  <c r="D336" i="68"/>
  <c r="K336" i="64"/>
  <c r="E77" i="78"/>
  <c r="I179" i="64"/>
  <c r="H299" i="61"/>
  <c r="K19" i="78"/>
  <c r="I209" i="64"/>
  <c r="K209" i="64"/>
  <c r="E30" i="78"/>
  <c r="J35" i="64"/>
  <c r="E32" i="78"/>
  <c r="I35" i="64"/>
  <c r="G14" i="78"/>
  <c r="I14" i="78" s="1"/>
  <c r="L14" i="78" s="1"/>
  <c r="F584" i="47"/>
  <c r="I29" i="58"/>
  <c r="I11" i="58"/>
  <c r="F720" i="47"/>
  <c r="F822" i="47" s="1"/>
  <c r="F924" i="47" s="1"/>
  <c r="A344" i="47"/>
  <c r="A74" i="34"/>
  <c r="A75" i="34" s="1"/>
  <c r="A304" i="61"/>
  <c r="A36" i="78"/>
  <c r="A73" i="61"/>
  <c r="A245" i="61"/>
  <c r="A792" i="47"/>
  <c r="A35" i="78"/>
  <c r="A212" i="47"/>
  <c r="C33" i="78"/>
  <c r="C109" i="47"/>
  <c r="C38" i="61"/>
  <c r="H36" i="78"/>
  <c r="J36" i="78" s="1"/>
  <c r="A103" i="34"/>
  <c r="A104" i="34" s="1"/>
  <c r="A105" i="34" s="1"/>
  <c r="F525" i="47"/>
  <c r="G525" i="47"/>
  <c r="G524" i="47" s="1"/>
  <c r="G153" i="64" s="1"/>
  <c r="C41" i="78"/>
  <c r="C304" i="61"/>
  <c r="D910" i="47"/>
  <c r="D280" i="61"/>
  <c r="C848" i="47"/>
  <c r="C266" i="61"/>
  <c r="A843" i="47"/>
  <c r="A264" i="61"/>
  <c r="D200" i="47"/>
  <c r="D66" i="61"/>
  <c r="D314" i="34"/>
  <c r="E315" i="64" s="1"/>
  <c r="C275" i="61"/>
  <c r="C893" i="47"/>
  <c r="C53" i="78"/>
  <c r="C314" i="61"/>
  <c r="D116" i="61"/>
  <c r="D355" i="47"/>
  <c r="D95" i="34"/>
  <c r="E96" i="64" s="1"/>
  <c r="D94" i="34"/>
  <c r="E95" i="64" s="1"/>
  <c r="E101" i="61" s="1"/>
  <c r="H103" i="61" s="1"/>
  <c r="D124" i="34"/>
  <c r="E125" i="64" s="1"/>
  <c r="D123" i="34"/>
  <c r="E124" i="64" s="1"/>
  <c r="D269" i="34"/>
  <c r="E270" i="64" s="1"/>
  <c r="E290" i="61" s="1"/>
  <c r="H292" i="61" s="1"/>
  <c r="D268" i="34"/>
  <c r="E269" i="64" s="1"/>
  <c r="E287" i="61" s="1"/>
  <c r="H288" i="61" s="1"/>
  <c r="D325" i="34"/>
  <c r="E326" i="64" s="1"/>
  <c r="D324" i="34"/>
  <c r="E325" i="64" s="1"/>
  <c r="I20" i="84"/>
  <c r="H17" i="84"/>
  <c r="A40" i="34"/>
  <c r="D157" i="34"/>
  <c r="E158" i="64" s="1"/>
  <c r="D156" i="34"/>
  <c r="E157" i="64" s="1"/>
  <c r="D128" i="34"/>
  <c r="E129" i="64" s="1"/>
  <c r="D127" i="34"/>
  <c r="E128" i="64" s="1"/>
  <c r="K128" i="64" s="1"/>
  <c r="D182" i="34"/>
  <c r="E183" i="64" s="1"/>
  <c r="D181" i="34"/>
  <c r="E182" i="64" s="1"/>
  <c r="D206" i="34"/>
  <c r="E207" i="64" s="1"/>
  <c r="D207" i="34"/>
  <c r="E208" i="64" s="1"/>
  <c r="D328" i="34"/>
  <c r="E329" i="64" s="1"/>
  <c r="D329" i="34"/>
  <c r="E330" i="64" s="1"/>
  <c r="D163" i="71"/>
  <c r="D28" i="34" s="1"/>
  <c r="E29" i="64" s="1"/>
  <c r="E333" i="64"/>
  <c r="J333" i="64" s="1"/>
  <c r="D334" i="34"/>
  <c r="E335" i="64" s="1"/>
  <c r="R9" i="84"/>
  <c r="V37" i="84"/>
  <c r="U41" i="84"/>
  <c r="V50" i="84"/>
  <c r="V52" i="84"/>
  <c r="L53" i="84"/>
  <c r="O53" i="84"/>
  <c r="I59" i="84"/>
  <c r="I70" i="84"/>
  <c r="V108" i="84"/>
  <c r="H125" i="84"/>
  <c r="I134" i="84"/>
  <c r="D65" i="34"/>
  <c r="E66" i="64"/>
  <c r="D60" i="85" s="1"/>
  <c r="D152" i="34"/>
  <c r="E153" i="64"/>
  <c r="D297" i="34"/>
  <c r="E298" i="64" s="1"/>
  <c r="D296" i="34"/>
  <c r="E297" i="64" s="1"/>
  <c r="D91" i="34"/>
  <c r="E92" i="64" s="1"/>
  <c r="D90" i="34"/>
  <c r="E91" i="64" s="1"/>
  <c r="D211" i="34"/>
  <c r="E212" i="64" s="1"/>
  <c r="D210" i="34"/>
  <c r="E211" i="64" s="1"/>
  <c r="D58" i="34"/>
  <c r="E59" i="64" s="1"/>
  <c r="D57" i="34"/>
  <c r="E58" i="64" s="1"/>
  <c r="V12" i="84"/>
  <c r="L9" i="84"/>
  <c r="L8" i="84" s="1"/>
  <c r="V16" i="84"/>
  <c r="E17" i="84"/>
  <c r="I18" i="84"/>
  <c r="E64" i="84"/>
  <c r="I64" i="84" s="1"/>
  <c r="D261" i="34" s="1"/>
  <c r="E262" i="64" s="1"/>
  <c r="R88" i="84"/>
  <c r="R87" i="84"/>
  <c r="V92" i="84"/>
  <c r="V97" i="84"/>
  <c r="V127" i="84"/>
  <c r="I128" i="84"/>
  <c r="D236" i="34"/>
  <c r="E237" i="64" s="1"/>
  <c r="D240" i="34"/>
  <c r="E241" i="64" s="1"/>
  <c r="D239" i="34"/>
  <c r="E240" i="64" s="1"/>
  <c r="E48" i="71"/>
  <c r="D120" i="34"/>
  <c r="E121" i="64"/>
  <c r="D119" i="34"/>
  <c r="E120" i="64" s="1"/>
  <c r="D264" i="34"/>
  <c r="E265" i="64" s="1"/>
  <c r="E280" i="61" s="1"/>
  <c r="H281" i="61" s="1"/>
  <c r="D265" i="34"/>
  <c r="E266" i="64" s="1"/>
  <c r="D62" i="34"/>
  <c r="E63" i="64" s="1"/>
  <c r="I63" i="64" s="1"/>
  <c r="D61" i="34"/>
  <c r="E62" i="64" s="1"/>
  <c r="D320" i="34"/>
  <c r="E321" i="64" s="1"/>
  <c r="D321" i="34"/>
  <c r="E322" i="64" s="1"/>
  <c r="V28" i="84"/>
  <c r="V36" i="84"/>
  <c r="I50" i="84"/>
  <c r="E49" i="84"/>
  <c r="I49" i="84" s="1"/>
  <c r="D87" i="34" s="1"/>
  <c r="E88" i="64" s="1"/>
  <c r="V51" i="84"/>
  <c r="H53" i="84"/>
  <c r="I53" i="84" s="1"/>
  <c r="D116" i="34" s="1"/>
  <c r="E117" i="64" s="1"/>
  <c r="I80" i="84"/>
  <c r="H98" i="84"/>
  <c r="I98" i="84" s="1"/>
  <c r="D203" i="34" s="1"/>
  <c r="V107" i="84"/>
  <c r="I110" i="84"/>
  <c r="I148" i="84"/>
  <c r="V155" i="84"/>
  <c r="V161" i="84"/>
  <c r="I167" i="84"/>
  <c r="L88" i="84"/>
  <c r="L87" i="84" s="1"/>
  <c r="V139" i="84"/>
  <c r="I140" i="84"/>
  <c r="V162" i="84"/>
  <c r="I168" i="84"/>
  <c r="A75" i="64"/>
  <c r="A250" i="47" s="1"/>
  <c r="H48" i="84"/>
  <c r="K14" i="78"/>
  <c r="M14" i="78" s="1"/>
  <c r="G720" i="47"/>
  <c r="G719" i="47" s="1"/>
  <c r="G209" i="64" s="1"/>
  <c r="J209" i="64" s="1"/>
  <c r="K265" i="64"/>
  <c r="D281" i="85"/>
  <c r="K333" i="64"/>
  <c r="I333" i="64"/>
  <c r="E74" i="78"/>
  <c r="E139" i="61"/>
  <c r="H140" i="61" s="1"/>
  <c r="A41" i="34"/>
  <c r="A42" i="64" s="1"/>
  <c r="A130" i="47" s="1"/>
  <c r="A41" i="64"/>
  <c r="A127" i="47" s="1"/>
  <c r="H87" i="84"/>
  <c r="E204" i="64"/>
  <c r="I204" i="64" s="1"/>
  <c r="E8" i="84"/>
  <c r="I330" i="64"/>
  <c r="K330" i="64"/>
  <c r="E194" i="61"/>
  <c r="H196" i="61" s="1"/>
  <c r="K182" i="64"/>
  <c r="K157" i="64"/>
  <c r="A104" i="64"/>
  <c r="A352" i="47" s="1"/>
  <c r="M76" i="78"/>
  <c r="A42" i="34"/>
  <c r="A43" i="64" s="1"/>
  <c r="I117" i="64"/>
  <c r="G822" i="47"/>
  <c r="G821" i="47" s="1"/>
  <c r="G238" i="64" s="1"/>
  <c r="J238" i="64" s="1"/>
  <c r="H291" i="61"/>
  <c r="H102" i="61"/>
  <c r="E21" i="76" l="1"/>
  <c r="D221" i="34"/>
  <c r="E222" i="64" s="1"/>
  <c r="K222" i="64" s="1"/>
  <c r="D217" i="34"/>
  <c r="E218" i="64" s="1"/>
  <c r="K218" i="64" s="1"/>
  <c r="D218" i="34"/>
  <c r="E219" i="64" s="1"/>
  <c r="I219" i="64" s="1"/>
  <c r="E216" i="64"/>
  <c r="K216" i="64" s="1"/>
  <c r="D220" i="34"/>
  <c r="E221" i="64" s="1"/>
  <c r="I221" i="64" s="1"/>
  <c r="D219" i="34"/>
  <c r="E220" i="64" s="1"/>
  <c r="D226" i="34"/>
  <c r="E227" i="64" s="1"/>
  <c r="F148" i="85"/>
  <c r="F218" i="85"/>
  <c r="F232" i="85"/>
  <c r="F134" i="85"/>
  <c r="F46" i="85"/>
  <c r="F142" i="68"/>
  <c r="F252" i="68"/>
  <c r="F165" i="85"/>
  <c r="F255" i="85"/>
  <c r="F267" i="85"/>
  <c r="F147" i="68"/>
  <c r="E11" i="85"/>
  <c r="F275" i="68"/>
  <c r="F170" i="85"/>
  <c r="F39" i="85"/>
  <c r="F189" i="85"/>
  <c r="F114" i="85"/>
  <c r="F167" i="68"/>
  <c r="F271" i="85"/>
  <c r="D287" i="85"/>
  <c r="F238" i="68"/>
  <c r="F94" i="85"/>
  <c r="F92" i="85" s="1"/>
  <c r="F60" i="68"/>
  <c r="F97" i="85"/>
  <c r="F125" i="68"/>
  <c r="F233" i="68"/>
  <c r="F188" i="85"/>
  <c r="F53" i="68"/>
  <c r="F157" i="68"/>
  <c r="F193" i="85"/>
  <c r="F235" i="85"/>
  <c r="F96" i="68"/>
  <c r="F232" i="68"/>
  <c r="F92" i="68"/>
  <c r="F144" i="85"/>
  <c r="D284" i="85"/>
  <c r="D18" i="68"/>
  <c r="F172" i="68"/>
  <c r="F131" i="85"/>
  <c r="F245" i="85"/>
  <c r="F246" i="68"/>
  <c r="F241" i="68"/>
  <c r="F122" i="85"/>
  <c r="F183" i="68"/>
  <c r="D333" i="68"/>
  <c r="D35" i="68"/>
  <c r="D337" i="68"/>
  <c r="F138" i="85"/>
  <c r="F220" i="68"/>
  <c r="F145" i="68"/>
  <c r="F107" i="68"/>
  <c r="F59" i="68"/>
  <c r="F170" i="68"/>
  <c r="F278" i="68"/>
  <c r="F276" i="68" s="1"/>
  <c r="D29" i="85"/>
  <c r="F115" i="85"/>
  <c r="F106" i="85"/>
  <c r="F222" i="85"/>
  <c r="F39" i="68"/>
  <c r="F289" i="68"/>
  <c r="F77" i="85"/>
  <c r="F236" i="68"/>
  <c r="F178" i="68"/>
  <c r="F196" i="85"/>
  <c r="F254" i="85"/>
  <c r="D286" i="85"/>
  <c r="F323" i="68"/>
  <c r="F321" i="68"/>
  <c r="F318" i="68"/>
  <c r="F313" i="68"/>
  <c r="F312" i="68"/>
  <c r="F201" i="85"/>
  <c r="F259" i="68"/>
  <c r="F217" i="85"/>
  <c r="F211" i="85"/>
  <c r="F135" i="85"/>
  <c r="F308" i="68"/>
  <c r="F316" i="68"/>
  <c r="F143" i="68"/>
  <c r="F72" i="85"/>
  <c r="F197" i="68"/>
  <c r="F75" i="85"/>
  <c r="F256" i="85"/>
  <c r="F133" i="85"/>
  <c r="F216" i="68"/>
  <c r="F214" i="68" s="1"/>
  <c r="F272" i="85"/>
  <c r="F54" i="68"/>
  <c r="F110" i="85"/>
  <c r="F126" i="68"/>
  <c r="F275" i="85"/>
  <c r="F137" i="85"/>
  <c r="F201" i="68"/>
  <c r="F189" i="68"/>
  <c r="F73" i="68"/>
  <c r="F191" i="68"/>
  <c r="F249" i="68"/>
  <c r="F58" i="85"/>
  <c r="F44" i="68"/>
  <c r="F121" i="68"/>
  <c r="F41" i="85"/>
  <c r="F303" i="68"/>
  <c r="F48" i="85"/>
  <c r="F116" i="68"/>
  <c r="F179" i="68"/>
  <c r="F52" i="85"/>
  <c r="F274" i="68"/>
  <c r="F79" i="68"/>
  <c r="F36" i="85"/>
  <c r="F81" i="68"/>
  <c r="F157" i="85"/>
  <c r="F251" i="85"/>
  <c r="F325" i="68"/>
  <c r="F317" i="68"/>
  <c r="F329" i="68"/>
  <c r="D7" i="85"/>
  <c r="F162" i="68"/>
  <c r="F160" i="68" s="1"/>
  <c r="F136" i="68"/>
  <c r="F135" i="68"/>
  <c r="F164" i="68"/>
  <c r="F160" i="85"/>
  <c r="F168" i="68"/>
  <c r="F186" i="85"/>
  <c r="F195" i="85"/>
  <c r="F108" i="85"/>
  <c r="F163" i="85"/>
  <c r="F77" i="68"/>
  <c r="F253" i="68"/>
  <c r="F185" i="85"/>
  <c r="F187" i="85"/>
  <c r="F154" i="68"/>
  <c r="F207" i="68"/>
  <c r="F221" i="68"/>
  <c r="F253" i="85"/>
  <c r="F95" i="68"/>
  <c r="F224" i="68"/>
  <c r="F261" i="85"/>
  <c r="F118" i="85"/>
  <c r="F263" i="85"/>
  <c r="F117" i="68"/>
  <c r="F149" i="85"/>
  <c r="F219" i="68"/>
  <c r="F184" i="85"/>
  <c r="F212" i="85"/>
  <c r="F99" i="85"/>
  <c r="F273" i="68"/>
  <c r="F35" i="85"/>
  <c r="F221" i="85"/>
  <c r="F81" i="85"/>
  <c r="F255" i="68"/>
  <c r="F202" i="85"/>
  <c r="F69" i="85"/>
  <c r="F79" i="85"/>
  <c r="F219" i="85"/>
  <c r="F97" i="68"/>
  <c r="F206" i="85"/>
  <c r="F55" i="68"/>
  <c r="F73" i="85"/>
  <c r="F122" i="68"/>
  <c r="F147" i="85"/>
  <c r="F190" i="85"/>
  <c r="F292" i="68"/>
  <c r="F46" i="68"/>
  <c r="F140" i="68"/>
  <c r="F141" i="85"/>
  <c r="F72" i="68"/>
  <c r="F203" i="85"/>
  <c r="F294" i="68"/>
  <c r="F57" i="85"/>
  <c r="F298" i="68"/>
  <c r="F291" i="68"/>
  <c r="F86" i="85"/>
  <c r="F280" i="68"/>
  <c r="F286" i="68"/>
  <c r="F129" i="85"/>
  <c r="F274" i="85"/>
  <c r="F42" i="68"/>
  <c r="F40" i="68"/>
  <c r="F128" i="68"/>
  <c r="F183" i="85"/>
  <c r="F119" i="85"/>
  <c r="F225" i="85"/>
  <c r="F203" i="68"/>
  <c r="F78" i="68"/>
  <c r="F209" i="68"/>
  <c r="F111" i="85"/>
  <c r="F47" i="68"/>
  <c r="F165" i="68"/>
  <c r="F38" i="68"/>
  <c r="F36" i="68" s="1"/>
  <c r="F74" i="68"/>
  <c r="F178" i="85"/>
  <c r="F267" i="68"/>
  <c r="F114" i="68"/>
  <c r="F112" i="68"/>
  <c r="F331" i="68"/>
  <c r="F279" i="85"/>
  <c r="F315" i="68"/>
  <c r="F327" i="68"/>
  <c r="F326" i="68"/>
  <c r="F311" i="68"/>
  <c r="F322" i="68"/>
  <c r="F330" i="68"/>
  <c r="D21" i="68"/>
  <c r="F124" i="68"/>
  <c r="F231" i="85"/>
  <c r="F168" i="85"/>
  <c r="F159" i="68"/>
  <c r="F212" i="68"/>
  <c r="F58" i="68"/>
  <c r="F297" i="68"/>
  <c r="F285" i="68"/>
  <c r="K297" i="64"/>
  <c r="E59" i="78"/>
  <c r="E163" i="61"/>
  <c r="H164" i="61" s="1"/>
  <c r="K153" i="64"/>
  <c r="J121" i="64"/>
  <c r="E128" i="61"/>
  <c r="G584" i="47"/>
  <c r="G583" i="47" s="1"/>
  <c r="G168" i="64" s="1"/>
  <c r="F668" i="47"/>
  <c r="G668" i="47" s="1"/>
  <c r="G667" i="47" s="1"/>
  <c r="G193" i="64" s="1"/>
  <c r="F892" i="47"/>
  <c r="G790" i="47"/>
  <c r="G789" i="47" s="1"/>
  <c r="G228" i="64" s="1"/>
  <c r="J228" i="64" s="1"/>
  <c r="G861" i="47"/>
  <c r="G860" i="47" s="1"/>
  <c r="G248" i="64" s="1"/>
  <c r="F981" i="47"/>
  <c r="H181" i="61"/>
  <c r="H182" i="61"/>
  <c r="A22" i="78"/>
  <c r="A65" i="47"/>
  <c r="G552" i="47"/>
  <c r="G551" i="47" s="1"/>
  <c r="G159" i="64" s="1"/>
  <c r="J159" i="64" s="1"/>
  <c r="F738" i="47"/>
  <c r="F840" i="47" s="1"/>
  <c r="F485" i="47"/>
  <c r="G485" i="47" s="1"/>
  <c r="G484" i="47" s="1"/>
  <c r="G140" i="64" s="1"/>
  <c r="G263" i="47"/>
  <c r="G262" i="47" s="1"/>
  <c r="G78" i="64" s="1"/>
  <c r="J78" i="64" s="1"/>
  <c r="G745" i="47"/>
  <c r="G744" i="47" s="1"/>
  <c r="G216" i="64" s="1"/>
  <c r="F847" i="47"/>
  <c r="G172" i="47"/>
  <c r="G171" i="47" s="1"/>
  <c r="G54" i="64" s="1"/>
  <c r="F292" i="47"/>
  <c r="G405" i="47"/>
  <c r="G404" i="47" s="1"/>
  <c r="G120" i="64" s="1"/>
  <c r="F627" i="47"/>
  <c r="A166" i="61"/>
  <c r="A526" i="47"/>
  <c r="A56" i="78"/>
  <c r="A1022" i="47"/>
  <c r="G683" i="47"/>
  <c r="G682" i="47" s="1"/>
  <c r="F198" i="64" s="1"/>
  <c r="F785" i="47"/>
  <c r="K260" i="64"/>
  <c r="I260" i="64"/>
  <c r="K201" i="64"/>
  <c r="E214" i="61"/>
  <c r="H215" i="61" s="1"/>
  <c r="I87" i="84"/>
  <c r="K28" i="78"/>
  <c r="M28" i="78" s="1"/>
  <c r="N28" i="78" s="1"/>
  <c r="O28" i="78" s="1"/>
  <c r="F192" i="68"/>
  <c r="F88" i="68"/>
  <c r="F306" i="68"/>
  <c r="F128" i="85"/>
  <c r="F159" i="85"/>
  <c r="F205" i="85"/>
  <c r="F124" i="85"/>
  <c r="F193" i="68"/>
  <c r="F115" i="68"/>
  <c r="F89" i="85"/>
  <c r="F269" i="68"/>
  <c r="F187" i="68"/>
  <c r="F185" i="68" s="1"/>
  <c r="F62" i="68"/>
  <c r="F155" i="68"/>
  <c r="F105" i="68"/>
  <c r="F226" i="85"/>
  <c r="F250" i="85"/>
  <c r="F42" i="85"/>
  <c r="F49" i="68"/>
  <c r="F80" i="68"/>
  <c r="F123" i="85"/>
  <c r="K238" i="64"/>
  <c r="I238" i="64"/>
  <c r="I126" i="64"/>
  <c r="K126" i="64"/>
  <c r="I155" i="64"/>
  <c r="K155" i="64"/>
  <c r="G735" i="47"/>
  <c r="G734" i="47" s="1"/>
  <c r="H212" i="64" s="1"/>
  <c r="F837" i="47"/>
  <c r="G896" i="47"/>
  <c r="G895" i="47" s="1"/>
  <c r="F259" i="64" s="1"/>
  <c r="F1013" i="47"/>
  <c r="F146" i="47"/>
  <c r="F365" i="47"/>
  <c r="F587" i="47" s="1"/>
  <c r="G587" i="47" s="1"/>
  <c r="G586" i="47" s="1"/>
  <c r="G169" i="64" s="1"/>
  <c r="J169" i="64" s="1"/>
  <c r="F1138" i="47"/>
  <c r="G1138" i="47" s="1"/>
  <c r="G1137" i="47" s="1"/>
  <c r="G327" i="64" s="1"/>
  <c r="G210" i="47"/>
  <c r="G209" i="47" s="1"/>
  <c r="G64" i="64" s="1"/>
  <c r="J64" i="64" s="1"/>
  <c r="F432" i="47"/>
  <c r="G432" i="47" s="1"/>
  <c r="G431" i="47" s="1"/>
  <c r="G126" i="64" s="1"/>
  <c r="J126" i="64" s="1"/>
  <c r="F228" i="47"/>
  <c r="F31" i="78"/>
  <c r="I34" i="64"/>
  <c r="G538" i="47"/>
  <c r="F724" i="47"/>
  <c r="G724" i="47" s="1"/>
  <c r="F833" i="47"/>
  <c r="G731" i="47"/>
  <c r="F394" i="47"/>
  <c r="K230" i="64"/>
  <c r="E245" i="61"/>
  <c r="H246" i="61" s="1"/>
  <c r="J23" i="64"/>
  <c r="E21" i="61"/>
  <c r="H22" i="61" s="1"/>
  <c r="I23" i="64"/>
  <c r="H268" i="61"/>
  <c r="H267" i="61"/>
  <c r="A261" i="64"/>
  <c r="A902" i="47" s="1"/>
  <c r="A261" i="34"/>
  <c r="A262" i="64" s="1"/>
  <c r="A905" i="47" s="1"/>
  <c r="F144" i="68"/>
  <c r="F133" i="68"/>
  <c r="F131" i="68" s="1"/>
  <c r="F136" i="85"/>
  <c r="F149" i="68"/>
  <c r="F80" i="85"/>
  <c r="F151" i="85"/>
  <c r="F103" i="85"/>
  <c r="F199" i="68"/>
  <c r="F242" i="68"/>
  <c r="F169" i="68"/>
  <c r="F134" i="68"/>
  <c r="F177" i="68"/>
  <c r="F246" i="85"/>
  <c r="F171" i="68"/>
  <c r="F108" i="68"/>
  <c r="F242" i="85"/>
  <c r="F197" i="85"/>
  <c r="F150" i="68"/>
  <c r="F98" i="85"/>
  <c r="F261" i="68"/>
  <c r="F237" i="68"/>
  <c r="F101" i="85"/>
  <c r="F265" i="68"/>
  <c r="F202" i="68"/>
  <c r="F208" i="68"/>
  <c r="F85" i="68"/>
  <c r="F254" i="68"/>
  <c r="F224" i="85"/>
  <c r="F129" i="68"/>
  <c r="F182" i="68"/>
  <c r="F91" i="85"/>
  <c r="F172" i="85"/>
  <c r="F265" i="85"/>
  <c r="F70" i="85"/>
  <c r="F100" i="85"/>
  <c r="F283" i="68"/>
  <c r="F49" i="85"/>
  <c r="F116" i="85"/>
  <c r="F264" i="85"/>
  <c r="F87" i="85"/>
  <c r="F196" i="68"/>
  <c r="F260" i="85"/>
  <c r="F40" i="85"/>
  <c r="F96" i="85"/>
  <c r="F299" i="68"/>
  <c r="F195" i="68"/>
  <c r="F63" i="68"/>
  <c r="F287" i="68"/>
  <c r="F288" i="68"/>
  <c r="F198" i="85"/>
  <c r="F188" i="68"/>
  <c r="F66" i="85"/>
  <c r="F177" i="85"/>
  <c r="L124" i="84"/>
  <c r="G729" i="47"/>
  <c r="F212" i="64" s="1"/>
  <c r="I147" i="64"/>
  <c r="K20" i="63"/>
  <c r="L20" i="63" s="1"/>
  <c r="A53" i="78"/>
  <c r="A92" i="64"/>
  <c r="G307" i="47"/>
  <c r="G305" i="47" s="1"/>
  <c r="F92" i="64" s="1"/>
  <c r="G246" i="47"/>
  <c r="G245" i="47" s="1"/>
  <c r="G73" i="64" s="1"/>
  <c r="G113" i="47"/>
  <c r="G112" i="47" s="1"/>
  <c r="F38" i="64" s="1"/>
  <c r="F1111" i="47"/>
  <c r="G1111" i="47" s="1"/>
  <c r="G1110" i="47" s="1"/>
  <c r="G321" i="64" s="1"/>
  <c r="G183" i="47"/>
  <c r="G182" i="47" s="1"/>
  <c r="G58" i="64" s="1"/>
  <c r="J58" i="64" s="1"/>
  <c r="F630" i="47"/>
  <c r="G408" i="47"/>
  <c r="G407" i="47" s="1"/>
  <c r="F121" i="64" s="1"/>
  <c r="G1129" i="47"/>
  <c r="F326" i="64" s="1"/>
  <c r="F67" i="78" s="1"/>
  <c r="F457" i="47"/>
  <c r="G457" i="47" s="1"/>
  <c r="G456" i="47" s="1"/>
  <c r="G133" i="64" s="1"/>
  <c r="G235" i="47"/>
  <c r="G234" i="47" s="1"/>
  <c r="G71" i="64" s="1"/>
  <c r="K75" i="78"/>
  <c r="M75" i="78" s="1"/>
  <c r="F124" i="47"/>
  <c r="F233" i="47"/>
  <c r="C23" i="75"/>
  <c r="D308" i="34" s="1"/>
  <c r="E309" i="64" s="1"/>
  <c r="G435" i="47"/>
  <c r="F128" i="64" s="1"/>
  <c r="O9" i="84"/>
  <c r="I33" i="84"/>
  <c r="I34" i="84"/>
  <c r="I51" i="84"/>
  <c r="I52" i="84"/>
  <c r="I55" i="84"/>
  <c r="I56" i="84"/>
  <c r="I60" i="84"/>
  <c r="V60" i="84"/>
  <c r="I61" i="84"/>
  <c r="I62" i="84"/>
  <c r="I69" i="84"/>
  <c r="I71" i="84"/>
  <c r="I72" i="84"/>
  <c r="I78" i="84"/>
  <c r="I82" i="84"/>
  <c r="I83" i="84"/>
  <c r="I85" i="84"/>
  <c r="V110" i="84"/>
  <c r="V113" i="84"/>
  <c r="I118" i="84"/>
  <c r="I160" i="84"/>
  <c r="V160" i="84"/>
  <c r="I162" i="84"/>
  <c r="I165" i="84"/>
  <c r="I170" i="84"/>
  <c r="V174" i="84"/>
  <c r="D43" i="34"/>
  <c r="E44" i="64" s="1"/>
  <c r="I44" i="64" s="1"/>
  <c r="D39" i="34"/>
  <c r="E40" i="64" s="1"/>
  <c r="D41" i="34"/>
  <c r="E42" i="64" s="1"/>
  <c r="J42" i="64" s="1"/>
  <c r="D40" i="34"/>
  <c r="E41" i="64" s="1"/>
  <c r="J41" i="64" s="1"/>
  <c r="D166" i="34"/>
  <c r="E167" i="64" s="1"/>
  <c r="J167" i="64" s="1"/>
  <c r="D167" i="34"/>
  <c r="E168" i="64" s="1"/>
  <c r="I168" i="64" s="1"/>
  <c r="D136" i="34"/>
  <c r="E137" i="64" s="1"/>
  <c r="I137" i="64" s="1"/>
  <c r="D143" i="34"/>
  <c r="E144" i="64" s="1"/>
  <c r="J144" i="64" s="1"/>
  <c r="E245" i="64"/>
  <c r="E264" i="61" s="1"/>
  <c r="H265" i="61" s="1"/>
  <c r="D246" i="34"/>
  <c r="E247" i="64" s="1"/>
  <c r="I74" i="64"/>
  <c r="D250" i="34"/>
  <c r="E251" i="64" s="1"/>
  <c r="I251" i="64" s="1"/>
  <c r="D254" i="34"/>
  <c r="E255" i="64" s="1"/>
  <c r="K255" i="64" s="1"/>
  <c r="F42" i="76"/>
  <c r="H5" i="76"/>
  <c r="D8" i="34" s="1"/>
  <c r="D14" i="34" s="1"/>
  <c r="E15" i="64" s="1"/>
  <c r="K15" i="64" s="1"/>
  <c r="D247" i="34"/>
  <c r="E248" i="64" s="1"/>
  <c r="K248" i="64" s="1"/>
  <c r="D42" i="76"/>
  <c r="D163" i="34"/>
  <c r="E164" i="64" s="1"/>
  <c r="K164" i="64" s="1"/>
  <c r="H20" i="76"/>
  <c r="A43" i="34"/>
  <c r="E61" i="78"/>
  <c r="I299" i="64"/>
  <c r="I17" i="84"/>
  <c r="D232" i="34" s="1"/>
  <c r="E233" i="64" s="1"/>
  <c r="K233" i="64" s="1"/>
  <c r="F166" i="68"/>
  <c r="F138" i="68"/>
  <c r="F250" i="68"/>
  <c r="F65" i="85"/>
  <c r="F63" i="85" s="1"/>
  <c r="F249" i="85"/>
  <c r="F181" i="85"/>
  <c r="F179" i="85" s="1"/>
  <c r="F102" i="85"/>
  <c r="F111" i="68"/>
  <c r="F45" i="68"/>
  <c r="F67" i="85"/>
  <c r="F194" i="68"/>
  <c r="F173" i="85"/>
  <c r="F231" i="68"/>
  <c r="F248" i="85"/>
  <c r="F268" i="85"/>
  <c r="F82" i="85"/>
  <c r="F230" i="85"/>
  <c r="F85" i="85"/>
  <c r="F110" i="68"/>
  <c r="F164" i="85"/>
  <c r="H13" i="61"/>
  <c r="F102" i="68"/>
  <c r="J155" i="64"/>
  <c r="G365" i="47"/>
  <c r="G364" i="47" s="1"/>
  <c r="G107" i="64" s="1"/>
  <c r="J107" i="64" s="1"/>
  <c r="G41" i="47"/>
  <c r="G40" i="47" s="1"/>
  <c r="G16" i="64" s="1"/>
  <c r="F44" i="47"/>
  <c r="G388" i="47"/>
  <c r="G387" i="47" s="1"/>
  <c r="G114" i="64" s="1"/>
  <c r="F610" i="47"/>
  <c r="A203" i="64"/>
  <c r="A698" i="47" s="1"/>
  <c r="A203" i="34"/>
  <c r="A204" i="64" s="1"/>
  <c r="A701" i="47" s="1"/>
  <c r="J339" i="64"/>
  <c r="G80" i="78"/>
  <c r="I80" i="78" s="1"/>
  <c r="F156" i="85"/>
  <c r="F154" i="85" s="1"/>
  <c r="F132" i="85"/>
  <c r="F137" i="68"/>
  <c r="F191" i="85"/>
  <c r="F215" i="85"/>
  <c r="F158" i="85"/>
  <c r="F192" i="85"/>
  <c r="F101" i="68"/>
  <c r="F260" i="68"/>
  <c r="F247" i="85"/>
  <c r="J184" i="64"/>
  <c r="A259" i="61"/>
  <c r="A136" i="64"/>
  <c r="A469" i="47" s="1"/>
  <c r="A136" i="34"/>
  <c r="G28" i="65"/>
  <c r="J101" i="64"/>
  <c r="G527" i="47"/>
  <c r="F154" i="64" s="1"/>
  <c r="F175" i="68"/>
  <c r="H16" i="82"/>
  <c r="H40" i="82"/>
  <c r="D291" i="34" s="1"/>
  <c r="E292" i="64" s="1"/>
  <c r="H97" i="82"/>
  <c r="H156" i="82"/>
  <c r="D315" i="34" s="1"/>
  <c r="E316" i="64" s="1"/>
  <c r="V25" i="84"/>
  <c r="R41" i="84"/>
  <c r="R8" i="84" s="1"/>
  <c r="V47" i="84"/>
  <c r="I54" i="84"/>
  <c r="V56" i="84"/>
  <c r="I67" i="84"/>
  <c r="I84" i="84"/>
  <c r="I90" i="84"/>
  <c r="V119" i="84"/>
  <c r="V137" i="84"/>
  <c r="V138" i="84"/>
  <c r="H145" i="84"/>
  <c r="H124" i="84" s="1"/>
  <c r="I166" i="84"/>
  <c r="I171" i="84"/>
  <c r="J147" i="64"/>
  <c r="F279" i="68"/>
  <c r="D314" i="61"/>
  <c r="D272" i="34"/>
  <c r="E273" i="64" s="1"/>
  <c r="E294" i="61" s="1"/>
  <c r="G117" i="47"/>
  <c r="F39" i="64" s="1"/>
  <c r="I39" i="64" s="1"/>
  <c r="J39" i="64"/>
  <c r="V14" i="84"/>
  <c r="I36" i="84"/>
  <c r="I37" i="84"/>
  <c r="L49" i="84"/>
  <c r="L48" i="84" s="1"/>
  <c r="V93" i="84"/>
  <c r="I102" i="84"/>
  <c r="V105" i="84"/>
  <c r="I106" i="84"/>
  <c r="V111" i="84"/>
  <c r="V115" i="84"/>
  <c r="I116" i="84"/>
  <c r="I122" i="84"/>
  <c r="I126" i="84"/>
  <c r="I132" i="84"/>
  <c r="V136" i="84"/>
  <c r="I138" i="84"/>
  <c r="V140" i="84"/>
  <c r="I144" i="84"/>
  <c r="V149" i="84"/>
  <c r="V152" i="84"/>
  <c r="V153" i="84"/>
  <c r="I154" i="84"/>
  <c r="I175" i="84"/>
  <c r="J137" i="64"/>
  <c r="D286" i="34"/>
  <c r="E287" i="64" s="1"/>
  <c r="E49" i="78" s="1"/>
  <c r="D287" i="34"/>
  <c r="E288" i="64" s="1"/>
  <c r="E50" i="78" s="1"/>
  <c r="D281" i="34"/>
  <c r="E282" i="64" s="1"/>
  <c r="D282" i="34"/>
  <c r="E283" i="64" s="1"/>
  <c r="E278" i="64"/>
  <c r="E302" i="61" s="1"/>
  <c r="H303" i="61" s="1"/>
  <c r="D280" i="34"/>
  <c r="E281" i="64" s="1"/>
  <c r="D283" i="34"/>
  <c r="E284" i="64" s="1"/>
  <c r="E46" i="78" s="1"/>
  <c r="D279" i="34"/>
  <c r="E280" i="64" s="1"/>
  <c r="K280" i="64" s="1"/>
  <c r="D137" i="34"/>
  <c r="E138" i="64" s="1"/>
  <c r="E154" i="61" s="1"/>
  <c r="H155" i="61" s="1"/>
  <c r="E71" i="64"/>
  <c r="D189" i="34"/>
  <c r="E190" i="64" s="1"/>
  <c r="D76" i="34"/>
  <c r="E77" i="64" s="1"/>
  <c r="K77" i="64" s="1"/>
  <c r="C42" i="76"/>
  <c r="J250" i="64"/>
  <c r="D135" i="34"/>
  <c r="E136" i="64" s="1"/>
  <c r="D142" i="34"/>
  <c r="E143" i="64" s="1"/>
  <c r="K143" i="64" s="1"/>
  <c r="J74" i="64"/>
  <c r="I222" i="64"/>
  <c r="B42" i="76"/>
  <c r="D197" i="34"/>
  <c r="E198" i="64" s="1"/>
  <c r="E211" i="61" s="1"/>
  <c r="H212" i="61" s="1"/>
  <c r="D192" i="34"/>
  <c r="E193" i="64" s="1"/>
  <c r="J193" i="64" s="1"/>
  <c r="D72" i="34"/>
  <c r="E73" i="64" s="1"/>
  <c r="C21" i="76"/>
  <c r="C22" i="76" s="1"/>
  <c r="B21" i="76"/>
  <c r="B22" i="76" s="1"/>
  <c r="I250" i="64"/>
  <c r="J75" i="64"/>
  <c r="I75" i="64"/>
  <c r="K75" i="64"/>
  <c r="E183" i="61"/>
  <c r="H184" i="61" s="1"/>
  <c r="D47" i="34"/>
  <c r="E48" i="64" s="1"/>
  <c r="K48" i="64" s="1"/>
  <c r="E38" i="64"/>
  <c r="J38" i="64" s="1"/>
  <c r="D42" i="34"/>
  <c r="E43" i="64" s="1"/>
  <c r="K43" i="64" s="1"/>
  <c r="D19" i="34"/>
  <c r="E20" i="64" s="1"/>
  <c r="E18" i="61" s="1"/>
  <c r="H19" i="61" s="1"/>
  <c r="D7" i="62" s="1"/>
  <c r="F7" i="62" s="1"/>
  <c r="K168" i="64"/>
  <c r="E45" i="61"/>
  <c r="H46" i="61" s="1"/>
  <c r="J168" i="64"/>
  <c r="E238" i="61"/>
  <c r="H239" i="61" s="1"/>
  <c r="D48" i="34"/>
  <c r="E49" i="64" s="1"/>
  <c r="I49" i="64" s="1"/>
  <c r="A76" i="64"/>
  <c r="A76" i="34"/>
  <c r="J29" i="64"/>
  <c r="K29" i="64"/>
  <c r="K88" i="64"/>
  <c r="I88" i="64"/>
  <c r="A133" i="47"/>
  <c r="A47" i="61"/>
  <c r="K284" i="64"/>
  <c r="A12" i="78"/>
  <c r="A28" i="47"/>
  <c r="I31" i="64"/>
  <c r="E28" i="78"/>
  <c r="I52" i="64"/>
  <c r="E52" i="61"/>
  <c r="H53" i="61" s="1"/>
  <c r="J52" i="64"/>
  <c r="K52" i="64"/>
  <c r="D40" i="78"/>
  <c r="D302" i="61"/>
  <c r="D963" i="47"/>
  <c r="D944" i="47"/>
  <c r="D294" i="61"/>
  <c r="C910" i="47"/>
  <c r="C280" i="61"/>
  <c r="S66" i="84"/>
  <c r="U66" i="84" s="1"/>
  <c r="O66" i="84"/>
  <c r="E23" i="78"/>
  <c r="E252" i="61"/>
  <c r="C290" i="61"/>
  <c r="I33" i="64"/>
  <c r="I106" i="64"/>
  <c r="K106" i="64"/>
  <c r="F53" i="85"/>
  <c r="F266" i="68"/>
  <c r="F240" i="68"/>
  <c r="V41" i="84"/>
  <c r="A13" i="34"/>
  <c r="L74" i="78"/>
  <c r="K74" i="78"/>
  <c r="K269" i="64"/>
  <c r="E181" i="71"/>
  <c r="J153" i="64"/>
  <c r="E32" i="61"/>
  <c r="J221" i="64"/>
  <c r="E240" i="61"/>
  <c r="H241" i="61" s="1"/>
  <c r="F109" i="68"/>
  <c r="F236" i="85"/>
  <c r="F44" i="85"/>
  <c r="F64" i="68"/>
  <c r="F217" i="68"/>
  <c r="F228" i="68"/>
  <c r="F240" i="85"/>
  <c r="F161" i="85"/>
  <c r="K77" i="78"/>
  <c r="M18" i="78"/>
  <c r="N18" i="78" s="1"/>
  <c r="M19" i="78"/>
  <c r="N19" i="78" s="1"/>
  <c r="L21" i="78"/>
  <c r="K21" i="78"/>
  <c r="M21" i="78" s="1"/>
  <c r="I213" i="64"/>
  <c r="F1133" i="47"/>
  <c r="G1133" i="47" s="1"/>
  <c r="G1132" i="47" s="1"/>
  <c r="G326" i="64" s="1"/>
  <c r="G67" i="78" s="1"/>
  <c r="I67" i="78" s="1"/>
  <c r="L67" i="78" s="1"/>
  <c r="E66" i="61"/>
  <c r="K63" i="64"/>
  <c r="K66" i="64"/>
  <c r="E70" i="61"/>
  <c r="I191" i="64"/>
  <c r="K191" i="64"/>
  <c r="E48" i="84"/>
  <c r="I48" i="84" s="1"/>
  <c r="D181" i="71"/>
  <c r="H195" i="61"/>
  <c r="A105" i="64"/>
  <c r="K121" i="64"/>
  <c r="E35" i="78"/>
  <c r="E256" i="61"/>
  <c r="K240" i="64"/>
  <c r="N9" i="78"/>
  <c r="D14" i="85"/>
  <c r="K189" i="64"/>
  <c r="E207" i="61"/>
  <c r="H208" i="61" s="1"/>
  <c r="F243" i="85"/>
  <c r="F226" i="68"/>
  <c r="F641" i="47"/>
  <c r="G557" i="47"/>
  <c r="G556" i="47" s="1"/>
  <c r="F162" i="64" s="1"/>
  <c r="G717" i="47"/>
  <c r="G716" i="47" s="1"/>
  <c r="G208" i="64" s="1"/>
  <c r="J208" i="64" s="1"/>
  <c r="F819" i="47"/>
  <c r="G987" i="47"/>
  <c r="G986" i="47" s="1"/>
  <c r="F283" i="64" s="1"/>
  <c r="F1068" i="47"/>
  <c r="G1068" i="47" s="1"/>
  <c r="G1067" i="47" s="1"/>
  <c r="F307" i="64" s="1"/>
  <c r="F787" i="47"/>
  <c r="G685" i="47"/>
  <c r="G684" i="47" s="1"/>
  <c r="G198" i="64" s="1"/>
  <c r="F967" i="47"/>
  <c r="G847" i="47"/>
  <c r="G846" i="47" s="1"/>
  <c r="G245" i="64" s="1"/>
  <c r="F616" i="47"/>
  <c r="G394" i="47"/>
  <c r="G393" i="47" s="1"/>
  <c r="G116" i="64" s="1"/>
  <c r="J190" i="64"/>
  <c r="F304" i="68"/>
  <c r="F143" i="85"/>
  <c r="F130" i="68"/>
  <c r="F213" i="85"/>
  <c r="F216" i="85"/>
  <c r="F37" i="85"/>
  <c r="F227" i="68"/>
  <c r="F239" i="85"/>
  <c r="F237" i="85" s="1"/>
  <c r="F74" i="85"/>
  <c r="F152" i="85"/>
  <c r="F241" i="85"/>
  <c r="F176" i="85"/>
  <c r="F82" i="68"/>
  <c r="F142" i="85"/>
  <c r="F153" i="68"/>
  <c r="F47" i="85"/>
  <c r="F281" i="68"/>
  <c r="F213" i="68"/>
  <c r="F225" i="68"/>
  <c r="F91" i="68"/>
  <c r="F257" i="68"/>
  <c r="F50" i="68"/>
  <c r="F104" i="85"/>
  <c r="F87" i="68"/>
  <c r="F270" i="68"/>
  <c r="O8" i="84"/>
  <c r="V98" i="84"/>
  <c r="D202" i="34" s="1"/>
  <c r="E203" i="64" s="1"/>
  <c r="J279" i="64"/>
  <c r="E28" i="61"/>
  <c r="A14" i="61"/>
  <c r="A20" i="47"/>
  <c r="H123" i="82"/>
  <c r="D52" i="34"/>
  <c r="E53" i="64" s="1"/>
  <c r="C59" i="78"/>
  <c r="C1027" i="47"/>
  <c r="C318" i="61"/>
  <c r="D56" i="78"/>
  <c r="D1022" i="47"/>
  <c r="C54" i="78"/>
  <c r="C1016" i="47"/>
  <c r="D43" i="78"/>
  <c r="D979" i="47"/>
  <c r="C42" i="78"/>
  <c r="C307" i="61"/>
  <c r="A303" i="34"/>
  <c r="A303" i="64"/>
  <c r="C181" i="71"/>
  <c r="F171" i="85"/>
  <c r="F95" i="85"/>
  <c r="F120" i="85"/>
  <c r="F184" i="68"/>
  <c r="F230" i="68"/>
  <c r="F176" i="68"/>
  <c r="F251" i="68"/>
  <c r="F276" i="85"/>
  <c r="F120" i="68"/>
  <c r="F93" i="68"/>
  <c r="F109" i="85"/>
  <c r="F54" i="85"/>
  <c r="F182" i="85"/>
  <c r="F421" i="47"/>
  <c r="G421" i="47" s="1"/>
  <c r="G420" i="47" s="1"/>
  <c r="G124" i="64" s="1"/>
  <c r="F319" i="47"/>
  <c r="F1127" i="47"/>
  <c r="G1127" i="47" s="1"/>
  <c r="G1126" i="47" s="1"/>
  <c r="G325" i="64" s="1"/>
  <c r="G66" i="78" s="1"/>
  <c r="I66" i="78" s="1"/>
  <c r="F217" i="47"/>
  <c r="F887" i="47"/>
  <c r="G785" i="47"/>
  <c r="G784" i="47" s="1"/>
  <c r="F227" i="64" s="1"/>
  <c r="A814" i="47"/>
  <c r="A252" i="61"/>
  <c r="A280" i="34"/>
  <c r="A280" i="64"/>
  <c r="H150" i="61"/>
  <c r="H151" i="61"/>
  <c r="H236" i="61"/>
  <c r="H237" i="61"/>
  <c r="D354" i="61"/>
  <c r="D1140" i="47"/>
  <c r="D70" i="78"/>
  <c r="C350" i="61"/>
  <c r="C1128" i="47"/>
  <c r="D343" i="61"/>
  <c r="D1112" i="47"/>
  <c r="C1105" i="47"/>
  <c r="C339" i="61"/>
  <c r="C1089" i="47"/>
  <c r="C335" i="61"/>
  <c r="C35" i="78"/>
  <c r="C212" i="47"/>
  <c r="D194" i="47"/>
  <c r="D63" i="61"/>
  <c r="C176" i="47"/>
  <c r="C54" i="61"/>
  <c r="D88" i="47"/>
  <c r="D28" i="78"/>
  <c r="D76" i="47"/>
  <c r="D26" i="78"/>
  <c r="D60" i="47"/>
  <c r="D21" i="61"/>
  <c r="D21" i="78"/>
  <c r="D36" i="47"/>
  <c r="D14" i="78"/>
  <c r="D25" i="47"/>
  <c r="D11" i="78"/>
  <c r="D9" i="61"/>
  <c r="D8" i="78"/>
  <c r="C60" i="47"/>
  <c r="C21" i="61"/>
  <c r="C21" i="78"/>
  <c r="C31" i="78"/>
  <c r="C35" i="61"/>
  <c r="C98" i="47"/>
  <c r="D51" i="47"/>
  <c r="D19" i="78"/>
  <c r="D18" i="61"/>
  <c r="A122" i="47"/>
  <c r="A45" i="61"/>
  <c r="D783" i="47"/>
  <c r="D242" i="61"/>
  <c r="A848" i="47"/>
  <c r="A266" i="61"/>
  <c r="E41" i="78"/>
  <c r="E304" i="61"/>
  <c r="I46" i="64"/>
  <c r="K46" i="64"/>
  <c r="K226" i="64"/>
  <c r="E22" i="76"/>
  <c r="F166" i="85"/>
  <c r="F245" i="68"/>
  <c r="F243" i="68" s="1"/>
  <c r="F86" i="68"/>
  <c r="F269" i="85"/>
  <c r="F211" i="68"/>
  <c r="F56" i="85"/>
  <c r="F190" i="68"/>
  <c r="F259" i="85"/>
  <c r="F247" i="68"/>
  <c r="F220" i="85"/>
  <c r="F43" i="85"/>
  <c r="F75" i="68"/>
  <c r="F153" i="85"/>
  <c r="F262" i="68"/>
  <c r="F130" i="85"/>
  <c r="F141" i="68"/>
  <c r="F305" i="68"/>
  <c r="F284" i="68"/>
  <c r="F106" i="68"/>
  <c r="F207" i="85"/>
  <c r="F90" i="85"/>
  <c r="F198" i="68"/>
  <c r="F273" i="85"/>
  <c r="F307" i="68"/>
  <c r="F71" i="68"/>
  <c r="F69" i="68" s="1"/>
  <c r="F41" i="68"/>
  <c r="F163" i="68"/>
  <c r="F52" i="68"/>
  <c r="F71" i="85"/>
  <c r="F76" i="85"/>
  <c r="F104" i="68"/>
  <c r="F223" i="68"/>
  <c r="F174" i="68"/>
  <c r="F103" i="68"/>
  <c r="F293" i="68"/>
  <c r="I259" i="64"/>
  <c r="G199" i="47"/>
  <c r="G198" i="47" s="1"/>
  <c r="G62" i="64" s="1"/>
  <c r="J62" i="64" s="1"/>
  <c r="G20" i="78"/>
  <c r="I20" i="78" s="1"/>
  <c r="J21" i="64"/>
  <c r="A338" i="47"/>
  <c r="A111" i="61"/>
  <c r="H329" i="61"/>
  <c r="H330" i="61"/>
  <c r="A932" i="47"/>
  <c r="A290" i="61"/>
  <c r="A88" i="47"/>
  <c r="A28" i="78"/>
  <c r="D814" i="47"/>
  <c r="D252" i="61"/>
  <c r="A249" i="61"/>
  <c r="A808" i="47"/>
  <c r="C763" i="47"/>
  <c r="C240" i="61"/>
  <c r="C639" i="47"/>
  <c r="C202" i="61"/>
  <c r="C194" i="61"/>
  <c r="C622" i="47"/>
  <c r="C176" i="61"/>
  <c r="C553" i="47"/>
  <c r="D173" i="61"/>
  <c r="D542" i="47"/>
  <c r="C138" i="61"/>
  <c r="D40" i="62" s="1"/>
  <c r="F40" i="62" s="1"/>
  <c r="C433" i="47"/>
  <c r="C83" i="61"/>
  <c r="C242" i="47"/>
  <c r="C231" i="47"/>
  <c r="C78" i="61"/>
  <c r="H38" i="76"/>
  <c r="H42" i="76" s="1"/>
  <c r="E42" i="76"/>
  <c r="F811" i="47"/>
  <c r="F671" i="47"/>
  <c r="F748" i="47"/>
  <c r="F971" i="47"/>
  <c r="F368" i="47"/>
  <c r="G146" i="47"/>
  <c r="G145" i="47" s="1"/>
  <c r="G46" i="64" s="1"/>
  <c r="J46" i="64" s="1"/>
  <c r="G543" i="47"/>
  <c r="F158" i="64" s="1"/>
  <c r="D85" i="34"/>
  <c r="E86" i="64" s="1"/>
  <c r="H47" i="82"/>
  <c r="D23" i="34"/>
  <c r="E24" i="64" s="1"/>
  <c r="H162" i="82"/>
  <c r="D722" i="47"/>
  <c r="C1158" i="47"/>
  <c r="C74" i="78"/>
  <c r="D1146" i="47"/>
  <c r="C346" i="61"/>
  <c r="C65" i="78"/>
  <c r="D644" i="47"/>
  <c r="D204" i="61"/>
  <c r="C577" i="47"/>
  <c r="C185" i="61"/>
  <c r="D60" i="62" s="1"/>
  <c r="F60" i="62" s="1"/>
  <c r="C146" i="61"/>
  <c r="C452" i="47"/>
  <c r="D304" i="47"/>
  <c r="D97" i="61"/>
  <c r="C11" i="61"/>
  <c r="D8" i="62" s="1"/>
  <c r="F8" i="62" s="1"/>
  <c r="C14" i="47"/>
  <c r="C9" i="78"/>
  <c r="A188" i="34"/>
  <c r="A188" i="64"/>
  <c r="D66" i="34"/>
  <c r="E67" i="64" s="1"/>
  <c r="F124" i="71"/>
  <c r="F181" i="71" s="1"/>
  <c r="V154" i="84"/>
  <c r="E157" i="84"/>
  <c r="I157" i="84" s="1"/>
  <c r="I158" i="84"/>
  <c r="G853" i="47"/>
  <c r="G852" i="47" s="1"/>
  <c r="G246" i="64" s="1"/>
  <c r="J246" i="64" s="1"/>
  <c r="F826" i="47"/>
  <c r="J140" i="64"/>
  <c r="F576" i="47"/>
  <c r="G354" i="47"/>
  <c r="G353" i="47" s="1"/>
  <c r="G104" i="64" s="1"/>
  <c r="J104" i="64" s="1"/>
  <c r="A236" i="47"/>
  <c r="A80" i="61"/>
  <c r="C865" i="47"/>
  <c r="C269" i="61"/>
  <c r="C854" i="47"/>
  <c r="A125" i="64"/>
  <c r="A135" i="61" s="1"/>
  <c r="A125" i="34"/>
  <c r="A126" i="64" s="1"/>
  <c r="A430" i="47" s="1"/>
  <c r="A274" i="64"/>
  <c r="A274" i="34"/>
  <c r="A275" i="64" s="1"/>
  <c r="A958" i="47" s="1"/>
  <c r="C49" i="78"/>
  <c r="C999" i="47"/>
  <c r="D153" i="47"/>
  <c r="D49" i="61"/>
  <c r="A217" i="34"/>
  <c r="A217" i="64"/>
  <c r="E123" i="82"/>
  <c r="G561" i="47"/>
  <c r="F163" i="64" s="1"/>
  <c r="I163" i="64" s="1"/>
  <c r="F514" i="47"/>
  <c r="G514" i="47" s="1"/>
  <c r="G513" i="47" s="1"/>
  <c r="G149" i="64" s="1"/>
  <c r="G292" i="47"/>
  <c r="G291" i="47" s="1"/>
  <c r="G87" i="64" s="1"/>
  <c r="H205" i="61"/>
  <c r="H206" i="61"/>
  <c r="D974" i="47"/>
  <c r="D42" i="78"/>
  <c r="D763" i="47"/>
  <c r="D240" i="61"/>
  <c r="C154" i="61"/>
  <c r="C475" i="47"/>
  <c r="D406" i="47"/>
  <c r="D128" i="61"/>
  <c r="C76" i="61"/>
  <c r="C229" i="47"/>
  <c r="C55" i="61"/>
  <c r="C177" i="47"/>
  <c r="C162" i="47"/>
  <c r="C52" i="61"/>
  <c r="D14" i="47"/>
  <c r="D11" i="61"/>
  <c r="A34" i="34"/>
  <c r="A35" i="64" s="1"/>
  <c r="A34" i="64"/>
  <c r="A60" i="78"/>
  <c r="A321" i="61"/>
  <c r="D104" i="34"/>
  <c r="E105" i="64" s="1"/>
  <c r="D109" i="34"/>
  <c r="E110" i="64" s="1"/>
  <c r="K110" i="64" s="1"/>
  <c r="D102" i="34"/>
  <c r="E103" i="64" s="1"/>
  <c r="E100" i="64"/>
  <c r="J83" i="64"/>
  <c r="E52" i="82"/>
  <c r="F522" i="47"/>
  <c r="G522" i="47" s="1"/>
  <c r="G521" i="47" s="1"/>
  <c r="F153" i="64" s="1"/>
  <c r="I153" i="64" s="1"/>
  <c r="G300" i="47"/>
  <c r="G299" i="47" s="1"/>
  <c r="F91" i="64" s="1"/>
  <c r="I91" i="64" s="1"/>
  <c r="G537" i="47"/>
  <c r="F157" i="64" s="1"/>
  <c r="I157" i="64" s="1"/>
  <c r="D14" i="59"/>
  <c r="K19" i="63"/>
  <c r="L19" i="63" s="1"/>
  <c r="L21" i="63" s="1"/>
  <c r="D566" i="47"/>
  <c r="D183" i="61"/>
  <c r="A247" i="34"/>
  <c r="A247" i="64"/>
  <c r="K16" i="64"/>
  <c r="C51" i="61"/>
  <c r="J337" i="64"/>
  <c r="G423" i="47"/>
  <c r="F125" i="64" s="1"/>
  <c r="I125" i="64" s="1"/>
  <c r="V89" i="84"/>
  <c r="V112" i="84"/>
  <c r="S81" i="84"/>
  <c r="U81" i="84" s="1"/>
  <c r="O81" i="84"/>
  <c r="O75" i="84"/>
  <c r="S75" i="84"/>
  <c r="U75" i="84" s="1"/>
  <c r="V34" i="84"/>
  <c r="I35" i="84"/>
  <c r="V45" i="84"/>
  <c r="I46" i="84"/>
  <c r="V101" i="84"/>
  <c r="O145" i="84"/>
  <c r="S65" i="84"/>
  <c r="U65" i="84" s="1"/>
  <c r="O65" i="84"/>
  <c r="F87" i="47"/>
  <c r="H9" i="84"/>
  <c r="I9" i="84" s="1"/>
  <c r="D149" i="34" s="1"/>
  <c r="E150" i="64" s="1"/>
  <c r="K150" i="64" s="1"/>
  <c r="U9" i="84"/>
  <c r="U8" i="84" s="1"/>
  <c r="I16" i="84"/>
  <c r="V31" i="84"/>
  <c r="I39" i="84"/>
  <c r="V43" i="84"/>
  <c r="O49" i="84"/>
  <c r="V54" i="84"/>
  <c r="I63" i="84"/>
  <c r="I76" i="84"/>
  <c r="I77" i="84"/>
  <c r="U88" i="84"/>
  <c r="U87" i="84" s="1"/>
  <c r="V87" i="84" s="1"/>
  <c r="X87" i="84" s="1"/>
  <c r="V104" i="84"/>
  <c r="I108" i="84"/>
  <c r="I130" i="84"/>
  <c r="V132" i="84"/>
  <c r="V141" i="84"/>
  <c r="V144" i="84"/>
  <c r="I152" i="84"/>
  <c r="I156" i="84"/>
  <c r="V159" i="84"/>
  <c r="H164" i="84"/>
  <c r="I169" i="84"/>
  <c r="I172" i="84"/>
  <c r="I174" i="84"/>
  <c r="I177" i="84"/>
  <c r="I179" i="84"/>
  <c r="F169" i="85"/>
  <c r="E40" i="82"/>
  <c r="G1123" i="47"/>
  <c r="F325" i="64" s="1"/>
  <c r="F66" i="78" s="1"/>
  <c r="K66" i="78" s="1"/>
  <c r="V33" i="84"/>
  <c r="V131" i="84"/>
  <c r="V143" i="84"/>
  <c r="U145" i="84"/>
  <c r="V147" i="84"/>
  <c r="V150" i="84"/>
  <c r="U157" i="84"/>
  <c r="V157" i="84" s="1"/>
  <c r="V170" i="84"/>
  <c r="G77" i="47"/>
  <c r="F29" i="64" s="1"/>
  <c r="F26" i="78" s="1"/>
  <c r="I14" i="84"/>
  <c r="I26" i="84"/>
  <c r="I29" i="84"/>
  <c r="V30" i="84"/>
  <c r="R49" i="84"/>
  <c r="U49" i="84"/>
  <c r="R53" i="84"/>
  <c r="U53" i="84"/>
  <c r="V53" i="84" s="1"/>
  <c r="D115" i="34" s="1"/>
  <c r="E116" i="64" s="1"/>
  <c r="I57" i="84"/>
  <c r="I73" i="84"/>
  <c r="I74" i="84"/>
  <c r="I79" i="84"/>
  <c r="I81" i="84"/>
  <c r="I86" i="84"/>
  <c r="I92" i="84"/>
  <c r="V94" i="84"/>
  <c r="V100" i="84"/>
  <c r="I112" i="84"/>
  <c r="V114" i="84"/>
  <c r="V156" i="84"/>
  <c r="I173" i="84"/>
  <c r="I178" i="84"/>
  <c r="I180" i="84"/>
  <c r="G924" i="47"/>
  <c r="G923" i="47" s="1"/>
  <c r="G267" i="64" s="1"/>
  <c r="J267" i="64" s="1"/>
  <c r="F1041" i="47"/>
  <c r="G1041" i="47" s="1"/>
  <c r="G1040" i="47" s="1"/>
  <c r="G299" i="64" s="1"/>
  <c r="A106" i="64"/>
  <c r="A360" i="47" s="1"/>
  <c r="A106" i="34"/>
  <c r="P28" i="78"/>
  <c r="T28" i="78" s="1"/>
  <c r="I29" i="64"/>
  <c r="E25" i="61"/>
  <c r="J322" i="64"/>
  <c r="K322" i="64"/>
  <c r="I322" i="64"/>
  <c r="E343" i="61"/>
  <c r="K62" i="64"/>
  <c r="I62" i="64"/>
  <c r="E63" i="61"/>
  <c r="E283" i="61"/>
  <c r="K266" i="64"/>
  <c r="K120" i="64"/>
  <c r="I120" i="64"/>
  <c r="E125" i="61"/>
  <c r="J120" i="64"/>
  <c r="E259" i="61"/>
  <c r="K58" i="64"/>
  <c r="E56" i="61"/>
  <c r="K211" i="64"/>
  <c r="E225" i="61"/>
  <c r="J91" i="64"/>
  <c r="E94" i="61"/>
  <c r="E76" i="78"/>
  <c r="J335" i="64"/>
  <c r="K335" i="64"/>
  <c r="K332" i="64" s="1"/>
  <c r="I335" i="64"/>
  <c r="I332" i="64" s="1"/>
  <c r="K329" i="64"/>
  <c r="E354" i="61"/>
  <c r="E70" i="78"/>
  <c r="I329" i="64"/>
  <c r="E218" i="61"/>
  <c r="K207" i="64"/>
  <c r="E197" i="61"/>
  <c r="K183" i="64"/>
  <c r="E142" i="61"/>
  <c r="K129" i="64"/>
  <c r="I129" i="64"/>
  <c r="I158" i="64"/>
  <c r="E173" i="61"/>
  <c r="K158" i="64"/>
  <c r="E347" i="61"/>
  <c r="I325" i="64"/>
  <c r="E66" i="78"/>
  <c r="K325" i="64"/>
  <c r="J325" i="64"/>
  <c r="K124" i="64"/>
  <c r="J124" i="64"/>
  <c r="E132" i="61"/>
  <c r="I124" i="64"/>
  <c r="I95" i="64"/>
  <c r="K95" i="64"/>
  <c r="I136" i="64"/>
  <c r="J136" i="64"/>
  <c r="K136" i="64"/>
  <c r="O13" i="78"/>
  <c r="P13" i="78" s="1"/>
  <c r="T13" i="78" s="1"/>
  <c r="H289" i="61"/>
  <c r="H165" i="61"/>
  <c r="E26" i="78"/>
  <c r="H141" i="61"/>
  <c r="K204" i="64"/>
  <c r="H282" i="61"/>
  <c r="O9" i="78"/>
  <c r="P9" i="78" s="1"/>
  <c r="T9" i="78" s="1"/>
  <c r="J183" i="64"/>
  <c r="K91" i="64"/>
  <c r="I58" i="64"/>
  <c r="I233" i="64"/>
  <c r="E318" i="61"/>
  <c r="N14" i="78"/>
  <c r="K117" i="64"/>
  <c r="J321" i="64"/>
  <c r="K321" i="64"/>
  <c r="E340" i="61"/>
  <c r="I321" i="64"/>
  <c r="I262" i="64"/>
  <c r="K262" i="64"/>
  <c r="K59" i="64"/>
  <c r="J59" i="64"/>
  <c r="E59" i="61"/>
  <c r="I59" i="64"/>
  <c r="E228" i="61"/>
  <c r="K212" i="64"/>
  <c r="I212" i="64"/>
  <c r="K92" i="64"/>
  <c r="J92" i="64"/>
  <c r="E97" i="61"/>
  <c r="I92" i="64"/>
  <c r="K298" i="64"/>
  <c r="E321" i="61"/>
  <c r="E60" i="78"/>
  <c r="E357" i="61"/>
  <c r="E71" i="78"/>
  <c r="E221" i="61"/>
  <c r="K208" i="64"/>
  <c r="I182" i="64"/>
  <c r="I128" i="64"/>
  <c r="E170" i="61"/>
  <c r="E350" i="61"/>
  <c r="I326" i="64"/>
  <c r="K326" i="64"/>
  <c r="E67" i="78"/>
  <c r="J125" i="64"/>
  <c r="E135" i="61"/>
  <c r="K125" i="64"/>
  <c r="K96" i="64"/>
  <c r="I96" i="64"/>
  <c r="E104" i="61"/>
  <c r="E336" i="61"/>
  <c r="H337" i="61" s="1"/>
  <c r="K315" i="64"/>
  <c r="L66" i="78"/>
  <c r="K25" i="64"/>
  <c r="I25" i="64"/>
  <c r="N76" i="78"/>
  <c r="I144" i="64"/>
  <c r="K203" i="64"/>
  <c r="I203" i="64"/>
  <c r="I150" i="64"/>
  <c r="D68" i="68"/>
  <c r="D62" i="85"/>
  <c r="I111" i="64"/>
  <c r="E118" i="61"/>
  <c r="H119" i="61" s="1"/>
  <c r="J111" i="64"/>
  <c r="M78" i="78"/>
  <c r="N78" i="78" s="1"/>
  <c r="D164" i="34"/>
  <c r="E165" i="64" s="1"/>
  <c r="E162" i="64"/>
  <c r="D171" i="34"/>
  <c r="E172" i="64" s="1"/>
  <c r="K172" i="64" s="1"/>
  <c r="E269" i="61"/>
  <c r="H270" i="61" s="1"/>
  <c r="K247" i="64"/>
  <c r="J192" i="64"/>
  <c r="I192" i="64"/>
  <c r="E87" i="61"/>
  <c r="H88" i="61" s="1"/>
  <c r="D29" i="62" s="1"/>
  <c r="F29" i="62" s="1"/>
  <c r="J82" i="64"/>
  <c r="I82" i="64"/>
  <c r="F139" i="68"/>
  <c r="F222" i="68"/>
  <c r="F244" i="85"/>
  <c r="F162" i="85"/>
  <c r="F277" i="85"/>
  <c r="D138" i="34"/>
  <c r="E139" i="64" s="1"/>
  <c r="D134" i="34"/>
  <c r="E135" i="64" s="1"/>
  <c r="D334" i="68"/>
  <c r="D282" i="85"/>
  <c r="F770" i="47"/>
  <c r="D66" i="68"/>
  <c r="K237" i="64"/>
  <c r="I121" i="64"/>
  <c r="V9" i="84"/>
  <c r="I66" i="64"/>
  <c r="V17" i="84"/>
  <c r="K179" i="64"/>
  <c r="E42" i="78"/>
  <c r="J106" i="64"/>
  <c r="E311" i="61"/>
  <c r="H312" i="61" s="1"/>
  <c r="E309" i="61"/>
  <c r="H310" i="61" s="1"/>
  <c r="D105" i="62" s="1"/>
  <c r="F105" i="62" s="1"/>
  <c r="E43" i="78"/>
  <c r="I282" i="64"/>
  <c r="D172" i="34"/>
  <c r="E173" i="64" s="1"/>
  <c r="D165" i="34"/>
  <c r="E166" i="64" s="1"/>
  <c r="N21" i="78"/>
  <c r="E307" i="61"/>
  <c r="H308" i="61" s="1"/>
  <c r="I15" i="64"/>
  <c r="E19" i="78"/>
  <c r="J20" i="64"/>
  <c r="E209" i="61"/>
  <c r="H210" i="61" s="1"/>
  <c r="D71" i="62" s="1"/>
  <c r="F71" i="62" s="1"/>
  <c r="K102" i="64"/>
  <c r="E114" i="61"/>
  <c r="H115" i="61" s="1"/>
  <c r="J102" i="64"/>
  <c r="K71" i="64"/>
  <c r="K249" i="64"/>
  <c r="I249" i="64"/>
  <c r="E242" i="61"/>
  <c r="H243" i="61" s="1"/>
  <c r="D79" i="62" s="1"/>
  <c r="F79" i="62" s="1"/>
  <c r="I227" i="64"/>
  <c r="J219" i="64"/>
  <c r="K219" i="64"/>
  <c r="J198" i="64"/>
  <c r="I198" i="64"/>
  <c r="I193" i="64"/>
  <c r="K193" i="64"/>
  <c r="E85" i="61"/>
  <c r="H86" i="61" s="1"/>
  <c r="D31" i="62" s="1"/>
  <c r="F31" i="62" s="1"/>
  <c r="I76" i="64"/>
  <c r="E133" i="64"/>
  <c r="F310" i="68"/>
  <c r="F68" i="85"/>
  <c r="F214" i="85"/>
  <c r="F218" i="68"/>
  <c r="F256" i="68"/>
  <c r="F158" i="68"/>
  <c r="F210" i="85"/>
  <c r="F208" i="85" s="1"/>
  <c r="F271" i="68"/>
  <c r="F148" i="68"/>
  <c r="F76" i="68"/>
  <c r="F100" i="68"/>
  <c r="F98" i="68" s="1"/>
  <c r="F33" i="85"/>
  <c r="F34" i="85"/>
  <c r="F38" i="85"/>
  <c r="F43" i="68"/>
  <c r="F302" i="68"/>
  <c r="F300" i="68" s="1"/>
  <c r="F204" i="68"/>
  <c r="E9" i="64"/>
  <c r="D13" i="34"/>
  <c r="E14" i="64" s="1"/>
  <c r="F105" i="85"/>
  <c r="F139" i="85"/>
  <c r="N8" i="78"/>
  <c r="K10" i="78"/>
  <c r="G641" i="47"/>
  <c r="G640" i="47" s="1"/>
  <c r="F187" i="64" s="1"/>
  <c r="I187" i="64" s="1"/>
  <c r="F743" i="47"/>
  <c r="K23" i="78"/>
  <c r="M49" i="78"/>
  <c r="N49" i="78" s="1"/>
  <c r="L79" i="78"/>
  <c r="M79" i="78" s="1"/>
  <c r="L26" i="78"/>
  <c r="K26" i="78"/>
  <c r="L12" i="78"/>
  <c r="K12" i="78"/>
  <c r="L20" i="78"/>
  <c r="K20" i="78"/>
  <c r="L11" i="78"/>
  <c r="K11" i="78"/>
  <c r="R124" i="84"/>
  <c r="V125" i="84"/>
  <c r="D53" i="34" s="1"/>
  <c r="E54" i="64" s="1"/>
  <c r="F45" i="78"/>
  <c r="I283" i="64"/>
  <c r="G738" i="47"/>
  <c r="G737" i="47" s="1"/>
  <c r="G213" i="64" s="1"/>
  <c r="J213" i="64" s="1"/>
  <c r="F1062" i="47"/>
  <c r="G1062" i="47" s="1"/>
  <c r="G1061" i="47" s="1"/>
  <c r="G305" i="64" s="1"/>
  <c r="G981" i="47"/>
  <c r="G980" i="47" s="1"/>
  <c r="G281" i="64" s="1"/>
  <c r="F939" i="47"/>
  <c r="G939" i="47" s="1"/>
  <c r="G938" i="47" s="1"/>
  <c r="H270" i="64" s="1"/>
  <c r="K270" i="64" s="1"/>
  <c r="G837" i="47"/>
  <c r="G836" i="47" s="1"/>
  <c r="H241" i="64" s="1"/>
  <c r="K241" i="64" s="1"/>
  <c r="K93" i="64"/>
  <c r="G32" i="78"/>
  <c r="I32" i="78" s="1"/>
  <c r="J93" i="64"/>
  <c r="G840" i="47"/>
  <c r="G839" i="47" s="1"/>
  <c r="G242" i="64" s="1"/>
  <c r="J242" i="64" s="1"/>
  <c r="F942" i="47"/>
  <c r="G942" i="47" s="1"/>
  <c r="G941" i="47" s="1"/>
  <c r="G271" i="64" s="1"/>
  <c r="J271" i="64" s="1"/>
  <c r="G205" i="47"/>
  <c r="G204" i="47" s="1"/>
  <c r="G63" i="64" s="1"/>
  <c r="J63" i="64" s="1"/>
  <c r="F325" i="47"/>
  <c r="H168" i="61"/>
  <c r="H167" i="61"/>
  <c r="A422" i="47"/>
  <c r="K176" i="64"/>
  <c r="E190" i="61"/>
  <c r="H191" i="61" s="1"/>
  <c r="A25" i="34"/>
  <c r="A26" i="64" s="1"/>
  <c r="A164" i="34"/>
  <c r="I154" i="64"/>
  <c r="K31" i="64"/>
  <c r="K273" i="64"/>
  <c r="A104" i="61"/>
  <c r="A320" i="47"/>
  <c r="A406" i="47"/>
  <c r="A128" i="61"/>
  <c r="D301" i="34"/>
  <c r="F827" i="47"/>
  <c r="G725" i="47"/>
  <c r="G723" i="47" s="1"/>
  <c r="F211" i="64" s="1"/>
  <c r="I211" i="64" s="1"/>
  <c r="F654" i="47"/>
  <c r="G570" i="47"/>
  <c r="G569" i="47" s="1"/>
  <c r="G164" i="64" s="1"/>
  <c r="F767" i="47"/>
  <c r="G665" i="47"/>
  <c r="G664" i="47" s="1"/>
  <c r="H192" i="64" s="1"/>
  <c r="K192" i="64" s="1"/>
  <c r="F810" i="47"/>
  <c r="G708" i="47"/>
  <c r="G707" i="47" s="1"/>
  <c r="F207" i="64" s="1"/>
  <c r="I207" i="64" s="1"/>
  <c r="A298" i="34"/>
  <c r="A299" i="64" s="1"/>
  <c r="I19" i="84"/>
  <c r="I30" i="84"/>
  <c r="I31" i="84"/>
  <c r="I32" i="84"/>
  <c r="I40" i="84"/>
  <c r="H41" i="84"/>
  <c r="H8" i="84" s="1"/>
  <c r="I8" i="84" s="1"/>
  <c r="I44" i="84"/>
  <c r="V44" i="84"/>
  <c r="I58" i="84"/>
  <c r="V58" i="84"/>
  <c r="I68" i="84"/>
  <c r="V109" i="84"/>
  <c r="V128" i="84"/>
  <c r="E125" i="84"/>
  <c r="I146" i="84"/>
  <c r="E145" i="84"/>
  <c r="I145" i="84" s="1"/>
  <c r="H22" i="76" l="1"/>
  <c r="I284" i="64"/>
  <c r="K42" i="64"/>
  <c r="D12" i="34"/>
  <c r="E13" i="64" s="1"/>
  <c r="K13" i="64" s="1"/>
  <c r="J15" i="64"/>
  <c r="D10" i="34"/>
  <c r="E11" i="64" s="1"/>
  <c r="E14" i="78"/>
  <c r="D11" i="34"/>
  <c r="E12" i="64" s="1"/>
  <c r="K12" i="64" s="1"/>
  <c r="I42" i="64"/>
  <c r="J216" i="64"/>
  <c r="K137" i="64"/>
  <c r="E233" i="61"/>
  <c r="H234" i="61" s="1"/>
  <c r="D83" i="62" s="1"/>
  <c r="F83" i="62" s="1"/>
  <c r="D18" i="34"/>
  <c r="E19" i="64" s="1"/>
  <c r="K19" i="64" s="1"/>
  <c r="E185" i="61"/>
  <c r="H186" i="61" s="1"/>
  <c r="D61" i="62" s="1"/>
  <c r="F61" i="62" s="1"/>
  <c r="J245" i="64"/>
  <c r="K167" i="64"/>
  <c r="K245" i="64"/>
  <c r="I167" i="64"/>
  <c r="I220" i="64"/>
  <c r="K220" i="64"/>
  <c r="K138" i="64"/>
  <c r="I309" i="64"/>
  <c r="K309" i="64"/>
  <c r="E63" i="78"/>
  <c r="F244" i="47"/>
  <c r="F346" i="47"/>
  <c r="G124" i="47"/>
  <c r="G123" i="47" s="1"/>
  <c r="F40" i="64" s="1"/>
  <c r="I40" i="64" s="1"/>
  <c r="G630" i="47"/>
  <c r="G629" i="47" s="1"/>
  <c r="F183" i="64" s="1"/>
  <c r="I183" i="64" s="1"/>
  <c r="F714" i="47"/>
  <c r="A97" i="61"/>
  <c r="A304" i="47"/>
  <c r="F935" i="47"/>
  <c r="G935" i="47" s="1"/>
  <c r="G933" i="47" s="1"/>
  <c r="F270" i="64" s="1"/>
  <c r="I270" i="64" s="1"/>
  <c r="G833" i="47"/>
  <c r="G831" i="47" s="1"/>
  <c r="F241" i="64" s="1"/>
  <c r="I241" i="64" s="1"/>
  <c r="G68" i="78"/>
  <c r="I68" i="78" s="1"/>
  <c r="J327" i="64"/>
  <c r="F149" i="47"/>
  <c r="F266" i="47"/>
  <c r="G627" i="47"/>
  <c r="G626" i="47" s="1"/>
  <c r="G182" i="64" s="1"/>
  <c r="J182" i="64" s="1"/>
  <c r="F711" i="47"/>
  <c r="H130" i="61"/>
  <c r="H129" i="61"/>
  <c r="D51" i="62"/>
  <c r="F51" i="62" s="1"/>
  <c r="G233" i="47"/>
  <c r="G232" i="47" s="1"/>
  <c r="F71" i="64" s="1"/>
  <c r="I71" i="64" s="1"/>
  <c r="F455" i="47"/>
  <c r="G455" i="47" s="1"/>
  <c r="G454" i="47" s="1"/>
  <c r="F133" i="64" s="1"/>
  <c r="I133" i="64" s="1"/>
  <c r="N75" i="78"/>
  <c r="F960" i="47"/>
  <c r="G960" i="47" s="1"/>
  <c r="G959" i="47" s="1"/>
  <c r="G275" i="64" s="1"/>
  <c r="J275" i="64" s="1"/>
  <c r="G228" i="47"/>
  <c r="G227" i="47" s="1"/>
  <c r="G68" i="64" s="1"/>
  <c r="F1156" i="47"/>
  <c r="G1156" i="47" s="1"/>
  <c r="G1155" i="47" s="1"/>
  <c r="G331" i="64" s="1"/>
  <c r="F450" i="47"/>
  <c r="G450" i="47" s="1"/>
  <c r="G449" i="47" s="1"/>
  <c r="G130" i="64" s="1"/>
  <c r="J130" i="64" s="1"/>
  <c r="F1092" i="47"/>
  <c r="G1092" i="47" s="1"/>
  <c r="G1091" i="47" s="1"/>
  <c r="F315" i="64" s="1"/>
  <c r="I315" i="64" s="1"/>
  <c r="G1013" i="47"/>
  <c r="G1012" i="47" s="1"/>
  <c r="F291" i="64" s="1"/>
  <c r="F53" i="78" s="1"/>
  <c r="G892" i="47"/>
  <c r="G891" i="47" s="1"/>
  <c r="F1009" i="47"/>
  <c r="E17" i="68"/>
  <c r="F17" i="68" s="1"/>
  <c r="K41" i="64"/>
  <c r="J164" i="64"/>
  <c r="E18" i="78"/>
  <c r="I138" i="64"/>
  <c r="E40" i="78"/>
  <c r="J248" i="64"/>
  <c r="J138" i="64"/>
  <c r="E156" i="61"/>
  <c r="H157" i="61" s="1"/>
  <c r="D49" i="62" s="1"/>
  <c r="F49" i="62" s="1"/>
  <c r="K251" i="64"/>
  <c r="K40" i="64"/>
  <c r="J40" i="64"/>
  <c r="I77" i="64"/>
  <c r="K278" i="64"/>
  <c r="I248" i="64"/>
  <c r="D107" i="62"/>
  <c r="F107" i="62" s="1"/>
  <c r="D12" i="68"/>
  <c r="I41" i="64"/>
  <c r="J49" i="64"/>
  <c r="K44" i="64"/>
  <c r="J44" i="64"/>
  <c r="K316" i="64"/>
  <c r="I316" i="64"/>
  <c r="U124" i="84"/>
  <c r="U64" i="84"/>
  <c r="U48" i="84" s="1"/>
  <c r="D30" i="62"/>
  <c r="F30" i="62" s="1"/>
  <c r="V88" i="84"/>
  <c r="D177" i="34" s="1"/>
  <c r="E178" i="64" s="1"/>
  <c r="I273" i="64"/>
  <c r="K292" i="64"/>
  <c r="E54" i="78"/>
  <c r="I292" i="64"/>
  <c r="A137" i="64"/>
  <c r="A472" i="47" s="1"/>
  <c r="A137" i="34"/>
  <c r="L80" i="78"/>
  <c r="K80" i="78"/>
  <c r="G610" i="47"/>
  <c r="G609" i="47" s="1"/>
  <c r="G176" i="64" s="1"/>
  <c r="J176" i="64" s="1"/>
  <c r="F694" i="47"/>
  <c r="G44" i="47"/>
  <c r="G43" i="47" s="1"/>
  <c r="G17" i="64" s="1"/>
  <c r="F47" i="47"/>
  <c r="D114" i="62"/>
  <c r="F114" i="62" s="1"/>
  <c r="V8" i="84"/>
  <c r="Y8" i="84" s="1"/>
  <c r="H296" i="61"/>
  <c r="H295" i="61"/>
  <c r="D201" i="34"/>
  <c r="E202" i="64" s="1"/>
  <c r="H86" i="82"/>
  <c r="D230" i="34"/>
  <c r="E231" i="64" s="1"/>
  <c r="H7" i="82"/>
  <c r="H180" i="82" s="1"/>
  <c r="J16" i="64"/>
  <c r="G15" i="78"/>
  <c r="I15" i="78" s="1"/>
  <c r="A44" i="34"/>
  <c r="A44" i="64"/>
  <c r="A138" i="47" s="1"/>
  <c r="E83" i="61"/>
  <c r="H84" i="61" s="1"/>
  <c r="J73" i="64"/>
  <c r="K73" i="64"/>
  <c r="E10" i="78"/>
  <c r="I281" i="64"/>
  <c r="K281" i="64"/>
  <c r="I38" i="64"/>
  <c r="K287" i="64"/>
  <c r="J77" i="64"/>
  <c r="K190" i="64"/>
  <c r="I190" i="64"/>
  <c r="J283" i="64"/>
  <c r="E45" i="78"/>
  <c r="E78" i="61"/>
  <c r="H79" i="61" s="1"/>
  <c r="J71" i="64"/>
  <c r="K282" i="64"/>
  <c r="E44" i="78"/>
  <c r="E46" i="77"/>
  <c r="E14" i="77"/>
  <c r="F14" i="77" s="1"/>
  <c r="E14" i="68"/>
  <c r="D97" i="62"/>
  <c r="F97" i="62" s="1"/>
  <c r="D16" i="85"/>
  <c r="D19" i="68"/>
  <c r="E12" i="78"/>
  <c r="E49" i="61"/>
  <c r="H50" i="61" s="1"/>
  <c r="E47" i="61"/>
  <c r="H48" i="61" s="1"/>
  <c r="I43" i="64"/>
  <c r="J43" i="64"/>
  <c r="I20" i="64"/>
  <c r="E40" i="61"/>
  <c r="H41" i="61" s="1"/>
  <c r="D23" i="62" s="1"/>
  <c r="F23" i="62" s="1"/>
  <c r="K38" i="64"/>
  <c r="E20" i="68"/>
  <c r="E35" i="68"/>
  <c r="F35" i="68" s="1"/>
  <c r="E39" i="77"/>
  <c r="E283" i="85"/>
  <c r="O18" i="78"/>
  <c r="P18" i="78" s="1"/>
  <c r="T18" i="78" s="1"/>
  <c r="O19" i="78"/>
  <c r="P19" i="78" s="1"/>
  <c r="T19" i="78" s="1"/>
  <c r="E109" i="61"/>
  <c r="H110" i="61" s="1"/>
  <c r="D43" i="62" s="1"/>
  <c r="F43" i="62" s="1"/>
  <c r="K100" i="64"/>
  <c r="I100" i="64"/>
  <c r="J100" i="64"/>
  <c r="A218" i="34"/>
  <c r="A218" i="64"/>
  <c r="I86" i="64"/>
  <c r="K86" i="64"/>
  <c r="K53" i="64"/>
  <c r="I53" i="64"/>
  <c r="G616" i="47"/>
  <c r="G615" i="47" s="1"/>
  <c r="G178" i="64" s="1"/>
  <c r="J178" i="64" s="1"/>
  <c r="F700" i="47"/>
  <c r="G787" i="47"/>
  <c r="G786" i="47" s="1"/>
  <c r="G227" i="64" s="1"/>
  <c r="J227" i="64" s="1"/>
  <c r="F889" i="47"/>
  <c r="H34" i="61"/>
  <c r="H33" i="61"/>
  <c r="A14" i="34"/>
  <c r="A14" i="64"/>
  <c r="D317" i="34"/>
  <c r="E318" i="64" s="1"/>
  <c r="K318" i="64" s="1"/>
  <c r="I41" i="84"/>
  <c r="D293" i="34" s="1"/>
  <c r="E294" i="64" s="1"/>
  <c r="J332" i="64"/>
  <c r="R48" i="84"/>
  <c r="H163" i="84"/>
  <c r="I163" i="84" s="1"/>
  <c r="I164" i="84"/>
  <c r="D25" i="34" s="1"/>
  <c r="E26" i="64" s="1"/>
  <c r="V75" i="84"/>
  <c r="A248" i="64"/>
  <c r="A859" i="47" s="1"/>
  <c r="A248" i="34"/>
  <c r="J103" i="64"/>
  <c r="I103" i="64"/>
  <c r="K103" i="64"/>
  <c r="G826" i="47"/>
  <c r="F928" i="47"/>
  <c r="G928" i="47" s="1"/>
  <c r="E36" i="78"/>
  <c r="K67" i="64"/>
  <c r="E73" i="61"/>
  <c r="I67" i="64"/>
  <c r="G748" i="47"/>
  <c r="G747" i="47" s="1"/>
  <c r="F217" i="64" s="1"/>
  <c r="I217" i="64" s="1"/>
  <c r="F850" i="47"/>
  <c r="D81" i="62"/>
  <c r="F81" i="62" s="1"/>
  <c r="A42" i="78"/>
  <c r="A307" i="61"/>
  <c r="A974" i="47"/>
  <c r="H258" i="61"/>
  <c r="H257" i="61"/>
  <c r="X41" i="84"/>
  <c r="D292" i="34"/>
  <c r="E293" i="64" s="1"/>
  <c r="Y41" i="84"/>
  <c r="V66" i="84"/>
  <c r="V49" i="84"/>
  <c r="D86" i="34" s="1"/>
  <c r="E87" i="64" s="1"/>
  <c r="D17" i="62"/>
  <c r="F17" i="62" s="1"/>
  <c r="D20" i="62"/>
  <c r="F20" i="62" s="1"/>
  <c r="F949" i="47"/>
  <c r="G949" i="47" s="1"/>
  <c r="G948" i="47" s="1"/>
  <c r="G273" i="64" s="1"/>
  <c r="J273" i="64" s="1"/>
  <c r="F439" i="47"/>
  <c r="G439" i="47" s="1"/>
  <c r="G438" i="47" s="1"/>
  <c r="G128" i="64" s="1"/>
  <c r="J128" i="64" s="1"/>
  <c r="F1145" i="47"/>
  <c r="G1145" i="47" s="1"/>
  <c r="G1144" i="47" s="1"/>
  <c r="G329" i="64" s="1"/>
  <c r="G217" i="47"/>
  <c r="G216" i="47" s="1"/>
  <c r="G66" i="64" s="1"/>
  <c r="F223" i="47"/>
  <c r="A304" i="34"/>
  <c r="A304" i="64"/>
  <c r="V124" i="84"/>
  <c r="K67" i="78"/>
  <c r="D290" i="34"/>
  <c r="E291" i="64" s="1"/>
  <c r="E7" i="82"/>
  <c r="V145" i="84"/>
  <c r="D316" i="34" s="1"/>
  <c r="E317" i="64" s="1"/>
  <c r="O124" i="84"/>
  <c r="V81" i="84"/>
  <c r="D13" i="85"/>
  <c r="D16" i="68"/>
  <c r="D113" i="34"/>
  <c r="E114" i="64" s="1"/>
  <c r="E47" i="82"/>
  <c r="A98" i="47"/>
  <c r="A31" i="78"/>
  <c r="A35" i="61"/>
  <c r="A950" i="47"/>
  <c r="A297" i="61"/>
  <c r="D95" i="62"/>
  <c r="F95" i="62" s="1"/>
  <c r="D94" i="62"/>
  <c r="F94" i="62" s="1"/>
  <c r="D93" i="62"/>
  <c r="F93" i="62" s="1"/>
  <c r="A204" i="61"/>
  <c r="A644" i="47"/>
  <c r="D50" i="62"/>
  <c r="F50" i="62" s="1"/>
  <c r="E22" i="78"/>
  <c r="I24" i="64"/>
  <c r="K24" i="64"/>
  <c r="F773" i="47"/>
  <c r="G671" i="47"/>
  <c r="G670" i="47" s="1"/>
  <c r="G194" i="64" s="1"/>
  <c r="J194" i="64" s="1"/>
  <c r="H305" i="61"/>
  <c r="D104" i="62" s="1"/>
  <c r="F104" i="62" s="1"/>
  <c r="H306" i="61"/>
  <c r="D80" i="62"/>
  <c r="F80" i="62" s="1"/>
  <c r="A281" i="34"/>
  <c r="A281" i="64"/>
  <c r="F1004" i="47"/>
  <c r="G1004" i="47" s="1"/>
  <c r="G1003" i="47" s="1"/>
  <c r="G887" i="47"/>
  <c r="G886" i="47" s="1"/>
  <c r="F541" i="47"/>
  <c r="G319" i="47"/>
  <c r="G318" i="47" s="1"/>
  <c r="G95" i="64" s="1"/>
  <c r="J95" i="64" s="1"/>
  <c r="H30" i="61"/>
  <c r="H29" i="61"/>
  <c r="F1048" i="47"/>
  <c r="G1048" i="47" s="1"/>
  <c r="G1047" i="47" s="1"/>
  <c r="G302" i="64" s="1"/>
  <c r="G967" i="47"/>
  <c r="G966" i="47" s="1"/>
  <c r="G278" i="64" s="1"/>
  <c r="A116" i="61"/>
  <c r="A355" i="47"/>
  <c r="H68" i="61"/>
  <c r="H67" i="61"/>
  <c r="M74" i="78"/>
  <c r="N74" i="78"/>
  <c r="H254" i="61"/>
  <c r="H253" i="61"/>
  <c r="D26" i="85"/>
  <c r="D31" i="68"/>
  <c r="A77" i="34"/>
  <c r="A77" i="64"/>
  <c r="A258" i="47" s="1"/>
  <c r="V65" i="84"/>
  <c r="O64" i="84"/>
  <c r="O48" i="84" s="1"/>
  <c r="V48" i="84" s="1"/>
  <c r="A854" i="47"/>
  <c r="A269" i="61"/>
  <c r="G971" i="47"/>
  <c r="F1052" i="47"/>
  <c r="G1052" i="47" s="1"/>
  <c r="D19" i="62"/>
  <c r="F19" i="62" s="1"/>
  <c r="N79" i="78"/>
  <c r="D113" i="62"/>
  <c r="F113" i="62" s="1"/>
  <c r="J326" i="64"/>
  <c r="G87" i="47"/>
  <c r="G86" i="47" s="1"/>
  <c r="G30" i="64" s="1"/>
  <c r="F97" i="47"/>
  <c r="E116" i="61"/>
  <c r="H117" i="61" s="1"/>
  <c r="D41" i="62" s="1"/>
  <c r="F41" i="62" s="1"/>
  <c r="J105" i="64"/>
  <c r="I105" i="64"/>
  <c r="K105" i="64"/>
  <c r="A106" i="47"/>
  <c r="A32" i="78"/>
  <c r="A235" i="61"/>
  <c r="A746" i="47"/>
  <c r="F660" i="47"/>
  <c r="G576" i="47"/>
  <c r="G575" i="47" s="1"/>
  <c r="G166" i="64" s="1"/>
  <c r="J166" i="64" s="1"/>
  <c r="A189" i="64"/>
  <c r="A189" i="34"/>
  <c r="F590" i="47"/>
  <c r="G368" i="47"/>
  <c r="G367" i="47" s="1"/>
  <c r="G108" i="64" s="1"/>
  <c r="J108" i="64" s="1"/>
  <c r="G811" i="47"/>
  <c r="F913" i="47"/>
  <c r="D70" i="62"/>
  <c r="F70" i="62" s="1"/>
  <c r="D69" i="62"/>
  <c r="F69" i="62" s="1"/>
  <c r="D73" i="62"/>
  <c r="F73" i="62" s="1"/>
  <c r="A328" i="61"/>
  <c r="A1049" i="47"/>
  <c r="D30" i="68"/>
  <c r="D25" i="85"/>
  <c r="F921" i="47"/>
  <c r="G819" i="47"/>
  <c r="G818" i="47" s="1"/>
  <c r="G237" i="64" s="1"/>
  <c r="J237" i="64" s="1"/>
  <c r="D10" i="85"/>
  <c r="D13" i="68"/>
  <c r="D33" i="68"/>
  <c r="D28" i="85"/>
  <c r="H71" i="61"/>
  <c r="H72" i="61"/>
  <c r="D21" i="62"/>
  <c r="F21" i="62" s="1"/>
  <c r="M77" i="78"/>
  <c r="N77" i="78" s="1"/>
  <c r="A253" i="47"/>
  <c r="A85" i="61"/>
  <c r="O79" i="78"/>
  <c r="P79" i="78" s="1"/>
  <c r="T79" i="78" s="1"/>
  <c r="I242" i="57"/>
  <c r="O49" i="78"/>
  <c r="P49" i="78" s="1"/>
  <c r="T49" i="78" s="1"/>
  <c r="E19" i="68"/>
  <c r="E19" i="77"/>
  <c r="F19" i="77" s="1"/>
  <c r="E16" i="85"/>
  <c r="O78" i="78"/>
  <c r="P78" i="78" s="1"/>
  <c r="T78" i="78" s="1"/>
  <c r="E302" i="64"/>
  <c r="D303" i="34"/>
  <c r="E304" i="64" s="1"/>
  <c r="D307" i="34"/>
  <c r="E308" i="64" s="1"/>
  <c r="D305" i="34"/>
  <c r="E306" i="64" s="1"/>
  <c r="D304" i="34"/>
  <c r="E305" i="64" s="1"/>
  <c r="D306" i="34"/>
  <c r="E307" i="64" s="1"/>
  <c r="A71" i="47"/>
  <c r="A24" i="78"/>
  <c r="G325" i="47"/>
  <c r="G324" i="47" s="1"/>
  <c r="G96" i="64" s="1"/>
  <c r="J96" i="64" s="1"/>
  <c r="F547" i="47"/>
  <c r="G43" i="78"/>
  <c r="I43" i="78" s="1"/>
  <c r="J281" i="64"/>
  <c r="M67" i="78"/>
  <c r="N67" i="78" s="1"/>
  <c r="O8" i="78"/>
  <c r="P8" i="78" s="1"/>
  <c r="T8" i="78" s="1"/>
  <c r="I14" i="64"/>
  <c r="J14" i="64"/>
  <c r="E16" i="61"/>
  <c r="H17" i="61" s="1"/>
  <c r="D9" i="62" s="1"/>
  <c r="F9" i="62" s="1"/>
  <c r="K14" i="64"/>
  <c r="E13" i="78"/>
  <c r="O21" i="78"/>
  <c r="P21" i="78" s="1"/>
  <c r="T21" i="78" s="1"/>
  <c r="E187" i="61"/>
  <c r="H188" i="61" s="1"/>
  <c r="D59" i="62" s="1"/>
  <c r="F59" i="62" s="1"/>
  <c r="J173" i="64"/>
  <c r="I173" i="64"/>
  <c r="Y17" i="84"/>
  <c r="X17" i="84"/>
  <c r="D231" i="34"/>
  <c r="E232" i="64" s="1"/>
  <c r="J116" i="64"/>
  <c r="I116" i="64"/>
  <c r="K116" i="64"/>
  <c r="K294" i="64"/>
  <c r="I294" i="64"/>
  <c r="E56" i="78"/>
  <c r="J139" i="64"/>
  <c r="K139" i="64"/>
  <c r="I139" i="64"/>
  <c r="K165" i="64"/>
  <c r="J165" i="64"/>
  <c r="I165" i="64"/>
  <c r="E33" i="68"/>
  <c r="E33" i="77"/>
  <c r="F33" i="77" s="1"/>
  <c r="E28" i="85"/>
  <c r="O76" i="78"/>
  <c r="P76" i="78" s="1"/>
  <c r="T76" i="78" s="1"/>
  <c r="D21" i="85"/>
  <c r="D25" i="68"/>
  <c r="H106" i="61"/>
  <c r="H105" i="61"/>
  <c r="H137" i="61"/>
  <c r="H136" i="61"/>
  <c r="H222" i="61"/>
  <c r="H223" i="61"/>
  <c r="H98" i="61"/>
  <c r="H99" i="61"/>
  <c r="H341" i="61"/>
  <c r="H342" i="61"/>
  <c r="E25" i="68"/>
  <c r="E25" i="77"/>
  <c r="F25" i="77" s="1"/>
  <c r="E21" i="85"/>
  <c r="V64" i="84"/>
  <c r="D260" i="34" s="1"/>
  <c r="E261" i="64" s="1"/>
  <c r="H133" i="61"/>
  <c r="H134" i="61"/>
  <c r="H143" i="61"/>
  <c r="H144" i="61"/>
  <c r="H199" i="61"/>
  <c r="D58" i="62" s="1"/>
  <c r="F58" i="62" s="1"/>
  <c r="H198" i="61"/>
  <c r="D62" i="62" s="1"/>
  <c r="F62" i="62" s="1"/>
  <c r="D283" i="85"/>
  <c r="D335" i="68"/>
  <c r="H96" i="61"/>
  <c r="H95" i="61"/>
  <c r="H261" i="61"/>
  <c r="D78" i="62" s="1"/>
  <c r="F78" i="62" s="1"/>
  <c r="H260" i="61"/>
  <c r="D82" i="62" s="1"/>
  <c r="F82" i="62" s="1"/>
  <c r="H126" i="61"/>
  <c r="H127" i="61"/>
  <c r="H284" i="61"/>
  <c r="D96" i="62" s="1"/>
  <c r="F96" i="62" s="1"/>
  <c r="H285" i="61"/>
  <c r="H64" i="61"/>
  <c r="H65" i="61"/>
  <c r="A107" i="34"/>
  <c r="A107" i="64"/>
  <c r="A363" i="47" s="1"/>
  <c r="I318" i="64"/>
  <c r="E124" i="84"/>
  <c r="I124" i="84" s="1"/>
  <c r="I125" i="84"/>
  <c r="D54" i="34" s="1"/>
  <c r="E55" i="64" s="1"/>
  <c r="I181" i="84"/>
  <c r="A61" i="78"/>
  <c r="A1039" i="47"/>
  <c r="G810" i="47"/>
  <c r="F912" i="47"/>
  <c r="F869" i="47"/>
  <c r="G767" i="47"/>
  <c r="G766" i="47" s="1"/>
  <c r="H221" i="64" s="1"/>
  <c r="K221" i="64" s="1"/>
  <c r="G654" i="47"/>
  <c r="G653" i="47" s="1"/>
  <c r="G189" i="64" s="1"/>
  <c r="J189" i="64" s="1"/>
  <c r="F756" i="47"/>
  <c r="F929" i="47"/>
  <c r="G929" i="47" s="1"/>
  <c r="G927" i="47" s="1"/>
  <c r="F269" i="64" s="1"/>
  <c r="I269" i="64" s="1"/>
  <c r="G827" i="47"/>
  <c r="G825" i="47" s="1"/>
  <c r="F240" i="64" s="1"/>
  <c r="I240" i="64" s="1"/>
  <c r="A165" i="34"/>
  <c r="A165" i="64"/>
  <c r="A571" i="47" s="1"/>
  <c r="K25" i="63"/>
  <c r="L25" i="63" s="1"/>
  <c r="K24" i="63"/>
  <c r="L24" i="63" s="1"/>
  <c r="K23" i="63"/>
  <c r="L23" i="63" s="1"/>
  <c r="L32" i="78"/>
  <c r="K32" i="78"/>
  <c r="I54" i="64"/>
  <c r="J54" i="64"/>
  <c r="K54" i="64"/>
  <c r="N11" i="78"/>
  <c r="M11" i="78"/>
  <c r="M20" i="78"/>
  <c r="N20" i="78" s="1"/>
  <c r="M12" i="78"/>
  <c r="N12" i="78" s="1"/>
  <c r="M26" i="78"/>
  <c r="N26" i="78" s="1"/>
  <c r="M23" i="78"/>
  <c r="N23" i="78" s="1"/>
  <c r="G743" i="47"/>
  <c r="G742" i="47" s="1"/>
  <c r="F216" i="64" s="1"/>
  <c r="I216" i="64" s="1"/>
  <c r="F845" i="47"/>
  <c r="M10" i="78"/>
  <c r="N10" i="78" s="1"/>
  <c r="E8" i="78"/>
  <c r="K9" i="64"/>
  <c r="I9" i="64"/>
  <c r="E9" i="61"/>
  <c r="H10" i="61" s="1"/>
  <c r="J9" i="64"/>
  <c r="E147" i="61"/>
  <c r="H148" i="61" s="1"/>
  <c r="K133" i="64"/>
  <c r="J133" i="64"/>
  <c r="D15" i="68"/>
  <c r="D12" i="85"/>
  <c r="K166" i="64"/>
  <c r="I166" i="64"/>
  <c r="Y9" i="84"/>
  <c r="D148" i="34"/>
  <c r="E149" i="64" s="1"/>
  <c r="G770" i="47"/>
  <c r="G769" i="47" s="1"/>
  <c r="G222" i="64" s="1"/>
  <c r="J222" i="64" s="1"/>
  <c r="F872" i="47"/>
  <c r="K135" i="64"/>
  <c r="J135" i="64"/>
  <c r="E152" i="61"/>
  <c r="H153" i="61" s="1"/>
  <c r="K162" i="64"/>
  <c r="E178" i="61"/>
  <c r="H179" i="61" s="1"/>
  <c r="D63" i="62" s="1"/>
  <c r="F63" i="62" s="1"/>
  <c r="I162" i="64"/>
  <c r="J162" i="64"/>
  <c r="M66" i="78"/>
  <c r="N66" i="78" s="1"/>
  <c r="H352" i="61"/>
  <c r="H351" i="61"/>
  <c r="H172" i="61"/>
  <c r="H171" i="61"/>
  <c r="H358" i="61"/>
  <c r="H359" i="61"/>
  <c r="H322" i="61"/>
  <c r="H323" i="61"/>
  <c r="H229" i="61"/>
  <c r="H230" i="61"/>
  <c r="H61" i="61"/>
  <c r="H60" i="61"/>
  <c r="O14" i="78"/>
  <c r="P14" i="78" s="1"/>
  <c r="T14" i="78" s="1"/>
  <c r="H320" i="61"/>
  <c r="H319" i="61"/>
  <c r="D92" i="62"/>
  <c r="F92" i="62" s="1"/>
  <c r="H348" i="61"/>
  <c r="H349" i="61"/>
  <c r="H175" i="61"/>
  <c r="H174" i="61"/>
  <c r="H220" i="61"/>
  <c r="H219" i="61"/>
  <c r="H356" i="61"/>
  <c r="H355" i="61"/>
  <c r="I241" i="57"/>
  <c r="H226" i="61"/>
  <c r="H227" i="61"/>
  <c r="H58" i="61"/>
  <c r="H57" i="61"/>
  <c r="H345" i="61"/>
  <c r="H344" i="61"/>
  <c r="H26" i="61"/>
  <c r="D10" i="62" s="1"/>
  <c r="F10" i="62" s="1"/>
  <c r="H27" i="61"/>
  <c r="D24" i="85"/>
  <c r="D29" i="68"/>
  <c r="J299" i="64"/>
  <c r="G61" i="78"/>
  <c r="I61" i="78" s="1"/>
  <c r="J13" i="64" l="1"/>
  <c r="E11" i="78"/>
  <c r="J12" i="64"/>
  <c r="J11" i="64"/>
  <c r="K11" i="64"/>
  <c r="I11" i="64"/>
  <c r="E14" i="61"/>
  <c r="H15" i="61" s="1"/>
  <c r="D11" i="62" s="1"/>
  <c r="F11" i="62" s="1"/>
  <c r="I13" i="64"/>
  <c r="I12" i="64"/>
  <c r="E9" i="77"/>
  <c r="F9" i="77" s="1"/>
  <c r="F28" i="85"/>
  <c r="D9" i="85"/>
  <c r="F33" i="68"/>
  <c r="F16" i="85"/>
  <c r="E14" i="85"/>
  <c r="F14" i="85" s="1"/>
  <c r="E17" i="77"/>
  <c r="F17" i="77" s="1"/>
  <c r="D33" i="62"/>
  <c r="F33" i="62" s="1"/>
  <c r="G1009" i="47"/>
  <c r="G1008" i="47" s="1"/>
  <c r="F1088" i="47"/>
  <c r="G1088" i="47" s="1"/>
  <c r="G1087" i="47" s="1"/>
  <c r="G313" i="64" s="1"/>
  <c r="J313" i="64" s="1"/>
  <c r="G37" i="78"/>
  <c r="I37" i="78" s="1"/>
  <c r="J68" i="64"/>
  <c r="O75" i="78"/>
  <c r="P75" i="78" s="1"/>
  <c r="T75" i="78" s="1"/>
  <c r="F371" i="47"/>
  <c r="G149" i="47"/>
  <c r="G148" i="47" s="1"/>
  <c r="G47" i="64" s="1"/>
  <c r="J47" i="64" s="1"/>
  <c r="F169" i="47"/>
  <c r="F269" i="47"/>
  <c r="L68" i="78"/>
  <c r="K68" i="78"/>
  <c r="G346" i="47"/>
  <c r="G345" i="47" s="1"/>
  <c r="F102" i="64" s="1"/>
  <c r="I102" i="64" s="1"/>
  <c r="F568" i="47"/>
  <c r="D309" i="68"/>
  <c r="D278" i="85"/>
  <c r="G257" i="64"/>
  <c r="J257" i="64" s="1"/>
  <c r="G289" i="64"/>
  <c r="J331" i="64"/>
  <c r="G72" i="78"/>
  <c r="I72" i="78" s="1"/>
  <c r="F813" i="47"/>
  <c r="G711" i="47"/>
  <c r="G710" i="47" s="1"/>
  <c r="G207" i="64" s="1"/>
  <c r="J207" i="64" s="1"/>
  <c r="G266" i="47"/>
  <c r="G265" i="47" s="1"/>
  <c r="G79" i="64" s="1"/>
  <c r="J79" i="64" s="1"/>
  <c r="F488" i="47"/>
  <c r="G488" i="47" s="1"/>
  <c r="G487" i="47" s="1"/>
  <c r="G141" i="64" s="1"/>
  <c r="J141" i="64" s="1"/>
  <c r="F816" i="47"/>
  <c r="G714" i="47"/>
  <c r="G713" i="47" s="1"/>
  <c r="F208" i="64" s="1"/>
  <c r="I208" i="64" s="1"/>
  <c r="G244" i="47"/>
  <c r="G243" i="47" s="1"/>
  <c r="F73" i="64" s="1"/>
  <c r="I73" i="64" s="1"/>
  <c r="F466" i="47"/>
  <c r="G466" i="47" s="1"/>
  <c r="G465" i="47" s="1"/>
  <c r="F135" i="64" s="1"/>
  <c r="I135" i="64" s="1"/>
  <c r="E7" i="85"/>
  <c r="F7" i="85" s="1"/>
  <c r="E12" i="77"/>
  <c r="F12" i="77" s="1"/>
  <c r="F19" i="68"/>
  <c r="D52" i="62"/>
  <c r="F52" i="62" s="1"/>
  <c r="F25" i="68"/>
  <c r="A45" i="34"/>
  <c r="A45" i="64"/>
  <c r="A141" i="47" s="1"/>
  <c r="G47" i="47"/>
  <c r="G46" i="47" s="1"/>
  <c r="G18" i="64" s="1"/>
  <c r="F67" i="47"/>
  <c r="F796" i="47"/>
  <c r="G694" i="47"/>
  <c r="G693" i="47" s="1"/>
  <c r="G201" i="64" s="1"/>
  <c r="J201" i="64" s="1"/>
  <c r="M80" i="78"/>
  <c r="N80" i="78" s="1"/>
  <c r="A138" i="34"/>
  <c r="A138" i="64"/>
  <c r="K178" i="64"/>
  <c r="I178" i="64"/>
  <c r="L15" i="78"/>
  <c r="K15" i="78"/>
  <c r="K231" i="64"/>
  <c r="I231" i="64"/>
  <c r="K202" i="64"/>
  <c r="K185" i="64" s="1"/>
  <c r="I138" i="57" s="1"/>
  <c r="I202" i="64"/>
  <c r="G16" i="78"/>
  <c r="I16" i="78" s="1"/>
  <c r="J17" i="64"/>
  <c r="F98" i="62"/>
  <c r="D11" i="68"/>
  <c r="D8" i="85"/>
  <c r="E285" i="85"/>
  <c r="F285" i="85" s="1"/>
  <c r="E337" i="68"/>
  <c r="F337" i="68" s="1"/>
  <c r="E6" i="85"/>
  <c r="E17" i="85"/>
  <c r="F84" i="62"/>
  <c r="D17" i="85"/>
  <c r="D20" i="68"/>
  <c r="F20" i="68" s="1"/>
  <c r="E20" i="77"/>
  <c r="F20" i="77" s="1"/>
  <c r="E61" i="85"/>
  <c r="E38" i="77"/>
  <c r="E67" i="68"/>
  <c r="E30" i="85"/>
  <c r="F30" i="85" s="1"/>
  <c r="E35" i="77"/>
  <c r="E62" i="85"/>
  <c r="F62" i="85" s="1"/>
  <c r="E68" i="68"/>
  <c r="F68" i="68" s="1"/>
  <c r="E21" i="68"/>
  <c r="F21" i="68" s="1"/>
  <c r="E21" i="77"/>
  <c r="F21" i="77" s="1"/>
  <c r="E18" i="85"/>
  <c r="F18" i="85" s="1"/>
  <c r="E335" i="68"/>
  <c r="F335" i="68" s="1"/>
  <c r="E44" i="77"/>
  <c r="X48" i="84"/>
  <c r="V181" i="84"/>
  <c r="X181" i="84" s="1"/>
  <c r="X183" i="84" s="1"/>
  <c r="E12" i="85"/>
  <c r="F12" i="85" s="1"/>
  <c r="E15" i="77"/>
  <c r="F15" i="77" s="1"/>
  <c r="E15" i="68"/>
  <c r="F15" i="68" s="1"/>
  <c r="P77" i="78"/>
  <c r="T77" i="78" s="1"/>
  <c r="O77" i="78"/>
  <c r="D61" i="85"/>
  <c r="D67" i="68"/>
  <c r="E11" i="77"/>
  <c r="F11" i="77" s="1"/>
  <c r="E11" i="68"/>
  <c r="E8" i="85"/>
  <c r="A15" i="34"/>
  <c r="A15" i="64"/>
  <c r="D48" i="62"/>
  <c r="F48" i="62" s="1"/>
  <c r="G809" i="47"/>
  <c r="F236" i="64" s="1"/>
  <c r="I236" i="64" s="1"/>
  <c r="D38" i="62"/>
  <c r="F38" i="62" s="1"/>
  <c r="F21" i="85"/>
  <c r="G921" i="47"/>
  <c r="G920" i="47" s="1"/>
  <c r="G266" i="64" s="1"/>
  <c r="J266" i="64" s="1"/>
  <c r="F1038" i="47"/>
  <c r="G1038" i="47" s="1"/>
  <c r="G1037" i="47" s="1"/>
  <c r="G298" i="64" s="1"/>
  <c r="G97" i="47"/>
  <c r="G96" i="47" s="1"/>
  <c r="G33" i="64" s="1"/>
  <c r="F103" i="47"/>
  <c r="G103" i="47" s="1"/>
  <c r="G102" i="47" s="1"/>
  <c r="G34" i="64" s="1"/>
  <c r="J278" i="64"/>
  <c r="G40" i="78"/>
  <c r="I40" i="78" s="1"/>
  <c r="L40" i="78" s="1"/>
  <c r="F288" i="64"/>
  <c r="F256" i="64"/>
  <c r="I256" i="64" s="1"/>
  <c r="E180" i="82"/>
  <c r="A331" i="61"/>
  <c r="A1055" i="47"/>
  <c r="G70" i="78"/>
  <c r="I70" i="78" s="1"/>
  <c r="J329" i="64"/>
  <c r="I293" i="64"/>
  <c r="E55" i="78"/>
  <c r="K293" i="64"/>
  <c r="G889" i="47"/>
  <c r="G888" i="47" s="1"/>
  <c r="F1006" i="47"/>
  <c r="G1006" i="47" s="1"/>
  <c r="G1005" i="47" s="1"/>
  <c r="A752" i="47"/>
  <c r="A238" i="61"/>
  <c r="A650" i="47"/>
  <c r="A207" i="61"/>
  <c r="G660" i="47"/>
  <c r="G659" i="47" s="1"/>
  <c r="G191" i="64" s="1"/>
  <c r="J191" i="64" s="1"/>
  <c r="F762" i="47"/>
  <c r="K317" i="64"/>
  <c r="I317" i="64"/>
  <c r="D102" i="62"/>
  <c r="F102" i="62" s="1"/>
  <c r="D42" i="62"/>
  <c r="F42" i="62" s="1"/>
  <c r="D28" i="62"/>
  <c r="F28" i="62" s="1"/>
  <c r="F674" i="47"/>
  <c r="G590" i="47"/>
  <c r="G589" i="47" s="1"/>
  <c r="G170" i="64" s="1"/>
  <c r="J170" i="64" s="1"/>
  <c r="J30" i="64"/>
  <c r="G27" i="78"/>
  <c r="I27" i="78" s="1"/>
  <c r="F875" i="47"/>
  <c r="G773" i="47"/>
  <c r="G772" i="47" s="1"/>
  <c r="G223" i="64" s="1"/>
  <c r="J223" i="64" s="1"/>
  <c r="E53" i="78"/>
  <c r="K291" i="64"/>
  <c r="E314" i="61"/>
  <c r="H315" i="61" s="1"/>
  <c r="D103" i="62" s="1"/>
  <c r="F103" i="62" s="1"/>
  <c r="I291" i="64"/>
  <c r="A305" i="34"/>
  <c r="A305" i="64"/>
  <c r="A1060" i="47" s="1"/>
  <c r="J87" i="64"/>
  <c r="K87" i="64"/>
  <c r="K69" i="64" s="1"/>
  <c r="I52" i="57" s="1"/>
  <c r="I87" i="64"/>
  <c r="H75" i="61"/>
  <c r="H74" i="61"/>
  <c r="E24" i="78"/>
  <c r="I26" i="64"/>
  <c r="K26" i="64"/>
  <c r="K7" i="64" s="1"/>
  <c r="I12" i="57" s="1"/>
  <c r="A219" i="64"/>
  <c r="A757" i="47" s="1"/>
  <c r="A219" i="34"/>
  <c r="D18" i="62"/>
  <c r="D16" i="62" s="1"/>
  <c r="F16" i="62" s="1"/>
  <c r="O74" i="78"/>
  <c r="P74" i="78" s="1"/>
  <c r="T74" i="78" s="1"/>
  <c r="G541" i="47"/>
  <c r="G540" i="47" s="1"/>
  <c r="G157" i="64" s="1"/>
  <c r="J157" i="64" s="1"/>
  <c r="F727" i="47"/>
  <c r="A282" i="64"/>
  <c r="A282" i="34"/>
  <c r="G35" i="78"/>
  <c r="I35" i="78" s="1"/>
  <c r="J66" i="64"/>
  <c r="D6" i="62"/>
  <c r="F6" i="62" s="1"/>
  <c r="D68" i="62"/>
  <c r="F68" i="62" s="1"/>
  <c r="I7" i="64"/>
  <c r="I10" i="57" s="1"/>
  <c r="F1030" i="47"/>
  <c r="G1030" i="47" s="1"/>
  <c r="G913" i="47"/>
  <c r="A190" i="64"/>
  <c r="A655" i="47" s="1"/>
  <c r="A190" i="34"/>
  <c r="A78" i="64"/>
  <c r="A261" i="47" s="1"/>
  <c r="A78" i="34"/>
  <c r="A43" i="78"/>
  <c r="A979" i="47"/>
  <c r="D20" i="85"/>
  <c r="D24" i="68"/>
  <c r="E121" i="61"/>
  <c r="H122" i="61" s="1"/>
  <c r="D39" i="62" s="1"/>
  <c r="F39" i="62" s="1"/>
  <c r="K114" i="64"/>
  <c r="K98" i="64" s="1"/>
  <c r="I73" i="57" s="1"/>
  <c r="I114" i="64"/>
  <c r="I98" i="64" s="1"/>
  <c r="I71" i="57" s="1"/>
  <c r="J114" i="64"/>
  <c r="F1151" i="47"/>
  <c r="G1151" i="47" s="1"/>
  <c r="G1150" i="47" s="1"/>
  <c r="G330" i="64" s="1"/>
  <c r="F955" i="47"/>
  <c r="G955" i="47" s="1"/>
  <c r="G954" i="47" s="1"/>
  <c r="G274" i="64" s="1"/>
  <c r="J274" i="64" s="1"/>
  <c r="F445" i="47"/>
  <c r="G445" i="47" s="1"/>
  <c r="G444" i="47" s="1"/>
  <c r="G129" i="64" s="1"/>
  <c r="J129" i="64" s="1"/>
  <c r="G223" i="47"/>
  <c r="G222" i="47" s="1"/>
  <c r="G67" i="64" s="1"/>
  <c r="F970" i="47"/>
  <c r="G850" i="47"/>
  <c r="G849" i="47" s="1"/>
  <c r="F246" i="64" s="1"/>
  <c r="I246" i="64" s="1"/>
  <c r="A249" i="64"/>
  <c r="A862" i="47" s="1"/>
  <c r="A249" i="34"/>
  <c r="A16" i="61"/>
  <c r="A13" i="78"/>
  <c r="A31" i="47"/>
  <c r="G700" i="47"/>
  <c r="G699" i="47" s="1"/>
  <c r="G203" i="64" s="1"/>
  <c r="J203" i="64" s="1"/>
  <c r="F802" i="47"/>
  <c r="E66" i="68"/>
  <c r="F66" i="68" s="1"/>
  <c r="E60" i="85"/>
  <c r="F60" i="85" s="1"/>
  <c r="E37" i="77"/>
  <c r="E29" i="68"/>
  <c r="F29" i="68" s="1"/>
  <c r="E29" i="77"/>
  <c r="F29" i="77" s="1"/>
  <c r="E24" i="85"/>
  <c r="F24" i="85" s="1"/>
  <c r="E278" i="85"/>
  <c r="E309" i="68"/>
  <c r="E40" i="77"/>
  <c r="E18" i="77"/>
  <c r="F18" i="77" s="1"/>
  <c r="E18" i="68"/>
  <c r="F18" i="68" s="1"/>
  <c r="E15" i="85"/>
  <c r="F15" i="85" s="1"/>
  <c r="O26" i="78"/>
  <c r="P26" i="78" s="1"/>
  <c r="T26" i="78" s="1"/>
  <c r="E25" i="85"/>
  <c r="F25" i="85" s="1"/>
  <c r="E30" i="68"/>
  <c r="F30" i="68" s="1"/>
  <c r="E30" i="77"/>
  <c r="E282" i="85"/>
  <c r="F282" i="85" s="1"/>
  <c r="E334" i="68"/>
  <c r="F334" i="68" s="1"/>
  <c r="E43" i="77"/>
  <c r="O66" i="78"/>
  <c r="P66" i="78" s="1"/>
  <c r="T66" i="78" s="1"/>
  <c r="E31" i="77"/>
  <c r="F31" i="77" s="1"/>
  <c r="E26" i="85"/>
  <c r="F26" i="85" s="1"/>
  <c r="E31" i="68"/>
  <c r="F31" i="68" s="1"/>
  <c r="O23" i="78"/>
  <c r="P23" i="78" s="1"/>
  <c r="T23" i="78" s="1"/>
  <c r="O20" i="78"/>
  <c r="P20" i="78" s="1"/>
  <c r="T20" i="78" s="1"/>
  <c r="E24" i="77"/>
  <c r="F24" i="77" s="1"/>
  <c r="E20" i="85"/>
  <c r="E24" i="68"/>
  <c r="E26" i="77"/>
  <c r="E22" i="85"/>
  <c r="E26" i="68"/>
  <c r="I245" i="57"/>
  <c r="I244" i="57"/>
  <c r="O10" i="78"/>
  <c r="P10" i="78" s="1"/>
  <c r="T10" i="78" s="1"/>
  <c r="O12" i="78"/>
  <c r="P12" i="78" s="1"/>
  <c r="T12" i="78" s="1"/>
  <c r="O11" i="78"/>
  <c r="P11" i="78"/>
  <c r="T11" i="78" s="1"/>
  <c r="M32" i="78"/>
  <c r="N32" i="78" s="1"/>
  <c r="F858" i="47"/>
  <c r="G756" i="47"/>
  <c r="G755" i="47" s="1"/>
  <c r="G218" i="64" s="1"/>
  <c r="J218" i="64" s="1"/>
  <c r="F1029" i="47"/>
  <c r="G1029" i="47" s="1"/>
  <c r="G1028" i="47" s="1"/>
  <c r="F297" i="64" s="1"/>
  <c r="G912" i="47"/>
  <c r="A108" i="64"/>
  <c r="A366" i="47" s="1"/>
  <c r="A108" i="34"/>
  <c r="F64" i="62"/>
  <c r="F283" i="85"/>
  <c r="D112" i="62"/>
  <c r="F112" i="62" s="1"/>
  <c r="E13" i="68"/>
  <c r="F13" i="68" s="1"/>
  <c r="E10" i="85"/>
  <c r="F10" i="85" s="1"/>
  <c r="E13" i="77"/>
  <c r="F13" i="77" s="1"/>
  <c r="E16" i="68"/>
  <c r="F16" i="68" s="1"/>
  <c r="E13" i="85"/>
  <c r="F13" i="85" s="1"/>
  <c r="E16" i="77"/>
  <c r="F16" i="77" s="1"/>
  <c r="E286" i="85"/>
  <c r="F286" i="85" s="1"/>
  <c r="E338" i="68"/>
  <c r="F338" i="68" s="1"/>
  <c r="E47" i="77"/>
  <c r="E23" i="77"/>
  <c r="F23" i="77" s="1"/>
  <c r="E19" i="85"/>
  <c r="F19" i="85" s="1"/>
  <c r="E23" i="68"/>
  <c r="F23" i="68" s="1"/>
  <c r="D11" i="85"/>
  <c r="F11" i="85" s="1"/>
  <c r="D14" i="68"/>
  <c r="F14" i="68" s="1"/>
  <c r="O67" i="78"/>
  <c r="P67" i="78" s="1"/>
  <c r="T67" i="78" s="1"/>
  <c r="G547" i="47"/>
  <c r="G546" i="47" s="1"/>
  <c r="G158" i="64" s="1"/>
  <c r="J158" i="64" s="1"/>
  <c r="F733" i="47"/>
  <c r="I305" i="64"/>
  <c r="K305" i="64"/>
  <c r="K308" i="64"/>
  <c r="I308" i="64"/>
  <c r="E326" i="61"/>
  <c r="H327" i="61" s="1"/>
  <c r="K302" i="64"/>
  <c r="J302" i="64"/>
  <c r="E333" i="68"/>
  <c r="F333" i="68" s="1"/>
  <c r="E281" i="85"/>
  <c r="F281" i="85" s="1"/>
  <c r="E42" i="77"/>
  <c r="E336" i="68"/>
  <c r="F336" i="68" s="1"/>
  <c r="E284" i="85"/>
  <c r="F284" i="85" s="1"/>
  <c r="E45" i="77"/>
  <c r="K61" i="78"/>
  <c r="L61" i="78"/>
  <c r="D22" i="62"/>
  <c r="F22" i="62" s="1"/>
  <c r="D72" i="62"/>
  <c r="F72" i="62" s="1"/>
  <c r="D106" i="62"/>
  <c r="F106" i="62" s="1"/>
  <c r="K160" i="64"/>
  <c r="I116" i="57" s="1"/>
  <c r="F992" i="47"/>
  <c r="G872" i="47"/>
  <c r="G871" i="47" s="1"/>
  <c r="G251" i="64" s="1"/>
  <c r="J251" i="64" s="1"/>
  <c r="I149" i="64"/>
  <c r="I131" i="64" s="1"/>
  <c r="I93" i="57" s="1"/>
  <c r="J149" i="64"/>
  <c r="K149" i="64"/>
  <c r="K131" i="64" s="1"/>
  <c r="I95" i="57" s="1"/>
  <c r="D53" i="62"/>
  <c r="F53" i="62" s="1"/>
  <c r="F54" i="62" s="1"/>
  <c r="D6" i="85"/>
  <c r="D9" i="68"/>
  <c r="G845" i="47"/>
  <c r="G844" i="47" s="1"/>
  <c r="F245" i="64" s="1"/>
  <c r="I245" i="64" s="1"/>
  <c r="F965" i="47"/>
  <c r="J305" i="64"/>
  <c r="L22" i="63"/>
  <c r="L26" i="63" s="1"/>
  <c r="A166" i="34"/>
  <c r="A166" i="64"/>
  <c r="A574" i="47" s="1"/>
  <c r="G869" i="47"/>
  <c r="G868" i="47" s="1"/>
  <c r="H250" i="64" s="1"/>
  <c r="K250" i="64" s="1"/>
  <c r="F989" i="47"/>
  <c r="I55" i="64"/>
  <c r="I36" i="64" s="1"/>
  <c r="I32" i="57" s="1"/>
  <c r="K55" i="64"/>
  <c r="K36" i="64" s="1"/>
  <c r="I34" i="57" s="1"/>
  <c r="F44" i="62"/>
  <c r="D32" i="62"/>
  <c r="F32" i="62" s="1"/>
  <c r="K261" i="64"/>
  <c r="I261" i="64"/>
  <c r="D116" i="62"/>
  <c r="F116" i="62" s="1"/>
  <c r="K232" i="64"/>
  <c r="K214" i="64" s="1"/>
  <c r="I159" i="57" s="1"/>
  <c r="I232" i="64"/>
  <c r="L43" i="78"/>
  <c r="K43" i="78"/>
  <c r="J307" i="64"/>
  <c r="E333" i="61"/>
  <c r="H334" i="61" s="1"/>
  <c r="D115" i="62" s="1"/>
  <c r="F115" i="62" s="1"/>
  <c r="I307" i="64"/>
  <c r="K306" i="64"/>
  <c r="I306" i="64"/>
  <c r="K304" i="64"/>
  <c r="E331" i="61"/>
  <c r="H332" i="61" s="1"/>
  <c r="F12" i="62" l="1"/>
  <c r="I69" i="64"/>
  <c r="I50" i="57" s="1"/>
  <c r="E9" i="68"/>
  <c r="F9" i="68" s="1"/>
  <c r="F278" i="85"/>
  <c r="E9" i="85"/>
  <c r="F9" i="85" s="1"/>
  <c r="E10" i="68"/>
  <c r="F10" i="68" s="1"/>
  <c r="F309" i="68"/>
  <c r="E339" i="68"/>
  <c r="F339" i="68" s="1"/>
  <c r="E10" i="77"/>
  <c r="F10" i="77" s="1"/>
  <c r="F61" i="85"/>
  <c r="L72" i="78"/>
  <c r="K72" i="78"/>
  <c r="M72" i="78" s="1"/>
  <c r="N72" i="78" s="1"/>
  <c r="G51" i="78"/>
  <c r="I51" i="78" s="1"/>
  <c r="J289" i="64"/>
  <c r="G568" i="47"/>
  <c r="G567" i="47" s="1"/>
  <c r="F164" i="64" s="1"/>
  <c r="I164" i="64" s="1"/>
  <c r="I160" i="64" s="1"/>
  <c r="I114" i="57" s="1"/>
  <c r="F652" i="47"/>
  <c r="M68" i="78"/>
  <c r="N68" i="78" s="1"/>
  <c r="F491" i="47"/>
  <c r="G491" i="47" s="1"/>
  <c r="G490" i="47" s="1"/>
  <c r="G142" i="64" s="1"/>
  <c r="J142" i="64" s="1"/>
  <c r="G269" i="47"/>
  <c r="G268" i="47" s="1"/>
  <c r="G80" i="64" s="1"/>
  <c r="J80" i="64" s="1"/>
  <c r="L37" i="78"/>
  <c r="K37" i="78"/>
  <c r="M37" i="78" s="1"/>
  <c r="N37" i="78" s="1"/>
  <c r="O37" i="78" s="1"/>
  <c r="P37" i="78" s="1"/>
  <c r="T37" i="78" s="1"/>
  <c r="G816" i="47"/>
  <c r="G815" i="47" s="1"/>
  <c r="F237" i="64" s="1"/>
  <c r="I237" i="64" s="1"/>
  <c r="F918" i="47"/>
  <c r="F915" i="47"/>
  <c r="G813" i="47"/>
  <c r="G812" i="47" s="1"/>
  <c r="G236" i="64" s="1"/>
  <c r="J236" i="64" s="1"/>
  <c r="F175" i="47"/>
  <c r="F289" i="47"/>
  <c r="F391" i="47"/>
  <c r="G169" i="47"/>
  <c r="G168" i="47" s="1"/>
  <c r="G53" i="64" s="1"/>
  <c r="J53" i="64" s="1"/>
  <c r="F593" i="47"/>
  <c r="G371" i="47"/>
  <c r="G370" i="47" s="1"/>
  <c r="G109" i="64" s="1"/>
  <c r="J109" i="64" s="1"/>
  <c r="E12" i="68"/>
  <c r="F12" i="68" s="1"/>
  <c r="F74" i="62"/>
  <c r="F11" i="68"/>
  <c r="F8" i="85"/>
  <c r="F67" i="68"/>
  <c r="K16" i="78"/>
  <c r="L16" i="78"/>
  <c r="A139" i="64"/>
  <c r="A480" i="47" s="1"/>
  <c r="A139" i="34"/>
  <c r="F73" i="47"/>
  <c r="G73" i="47" s="1"/>
  <c r="G72" i="47" s="1"/>
  <c r="G26" i="64" s="1"/>
  <c r="G67" i="47"/>
  <c r="G66" i="47" s="1"/>
  <c r="G24" i="64" s="1"/>
  <c r="M15" i="78"/>
  <c r="N15" i="78" s="1"/>
  <c r="A154" i="61"/>
  <c r="A475" i="47"/>
  <c r="O80" i="78"/>
  <c r="P80" i="78" s="1"/>
  <c r="T80" i="78" s="1"/>
  <c r="G796" i="47"/>
  <c r="G795" i="47" s="1"/>
  <c r="G230" i="64" s="1"/>
  <c r="J230" i="64" s="1"/>
  <c r="F898" i="47"/>
  <c r="G17" i="78"/>
  <c r="I17" i="78" s="1"/>
  <c r="J18" i="64"/>
  <c r="A46" i="64"/>
  <c r="A144" i="47" s="1"/>
  <c r="A46" i="34"/>
  <c r="F108" i="62"/>
  <c r="F18" i="62"/>
  <c r="F24" i="62" s="1"/>
  <c r="F6" i="85"/>
  <c r="F17" i="85"/>
  <c r="F34" i="62"/>
  <c r="A982" i="47"/>
  <c r="A44" i="78"/>
  <c r="D26" i="68"/>
  <c r="F26" i="68" s="1"/>
  <c r="D22" i="85"/>
  <c r="F22" i="85" s="1"/>
  <c r="F776" i="47"/>
  <c r="G674" i="47"/>
  <c r="G673" i="47" s="1"/>
  <c r="G195" i="64" s="1"/>
  <c r="J195" i="64" s="1"/>
  <c r="G256" i="64"/>
  <c r="J256" i="64" s="1"/>
  <c r="G288" i="64"/>
  <c r="F50" i="78"/>
  <c r="I288" i="64"/>
  <c r="J298" i="64"/>
  <c r="G60" i="78"/>
  <c r="I60" i="78" s="1"/>
  <c r="L60" i="78" s="1"/>
  <c r="G727" i="47"/>
  <c r="G726" i="47" s="1"/>
  <c r="G211" i="64" s="1"/>
  <c r="J211" i="64" s="1"/>
  <c r="F829" i="47"/>
  <c r="K27" i="78"/>
  <c r="L27" i="78"/>
  <c r="G762" i="47"/>
  <c r="G761" i="47" s="1"/>
  <c r="G220" i="64" s="1"/>
  <c r="J220" i="64" s="1"/>
  <c r="F864" i="47"/>
  <c r="L70" i="78"/>
  <c r="K70" i="78"/>
  <c r="A14" i="78"/>
  <c r="A36" i="47"/>
  <c r="G802" i="47"/>
  <c r="G801" i="47" s="1"/>
  <c r="G232" i="64" s="1"/>
  <c r="J232" i="64" s="1"/>
  <c r="F904" i="47"/>
  <c r="A250" i="34"/>
  <c r="A250" i="64"/>
  <c r="G36" i="78"/>
  <c r="I36" i="78" s="1"/>
  <c r="J67" i="64"/>
  <c r="A79" i="34"/>
  <c r="A79" i="64"/>
  <c r="A264" i="47" s="1"/>
  <c r="F24" i="68"/>
  <c r="A191" i="34"/>
  <c r="A191" i="64"/>
  <c r="A658" i="47" s="1"/>
  <c r="A220" i="64"/>
  <c r="A760" i="47" s="1"/>
  <c r="A220" i="34"/>
  <c r="G31" i="78"/>
  <c r="I31" i="78" s="1"/>
  <c r="J34" i="64"/>
  <c r="A16" i="34"/>
  <c r="A16" i="64"/>
  <c r="G911" i="47"/>
  <c r="F265" i="64" s="1"/>
  <c r="I265" i="64" s="1"/>
  <c r="F20" i="85"/>
  <c r="G970" i="47"/>
  <c r="G969" i="47" s="1"/>
  <c r="F279" i="64" s="1"/>
  <c r="F1051" i="47"/>
  <c r="G1051" i="47" s="1"/>
  <c r="G1050" i="47" s="1"/>
  <c r="F303" i="64" s="1"/>
  <c r="I303" i="64" s="1"/>
  <c r="G71" i="78"/>
  <c r="I71" i="78" s="1"/>
  <c r="J330" i="64"/>
  <c r="L35" i="78"/>
  <c r="K35" i="78"/>
  <c r="A283" i="64"/>
  <c r="A283" i="34"/>
  <c r="A306" i="34"/>
  <c r="A306" i="64"/>
  <c r="A1063" i="47" s="1"/>
  <c r="F995" i="47"/>
  <c r="G995" i="47" s="1"/>
  <c r="G994" i="47" s="1"/>
  <c r="G285" i="64" s="1"/>
  <c r="F1079" i="47"/>
  <c r="G1079" i="47" s="1"/>
  <c r="G1078" i="47" s="1"/>
  <c r="G310" i="64" s="1"/>
  <c r="J310" i="64" s="1"/>
  <c r="G875" i="47"/>
  <c r="G874" i="47" s="1"/>
  <c r="G252" i="64" s="1"/>
  <c r="J252" i="64" s="1"/>
  <c r="J33" i="64"/>
  <c r="G30" i="78"/>
  <c r="I30" i="78" s="1"/>
  <c r="O32" i="78"/>
  <c r="P32" i="78" s="1"/>
  <c r="T32" i="78" s="1"/>
  <c r="F1070" i="47"/>
  <c r="G1070" i="47" s="1"/>
  <c r="G1069" i="47" s="1"/>
  <c r="H307" i="64" s="1"/>
  <c r="K307" i="64" s="1"/>
  <c r="K300" i="64" s="1"/>
  <c r="G989" i="47"/>
  <c r="G988" i="47" s="1"/>
  <c r="H283" i="64" s="1"/>
  <c r="A167" i="34"/>
  <c r="A167" i="64"/>
  <c r="G965" i="47"/>
  <c r="G964" i="47" s="1"/>
  <c r="F278" i="64" s="1"/>
  <c r="F1046" i="47"/>
  <c r="G1046" i="47" s="1"/>
  <c r="G1045" i="47" s="1"/>
  <c r="F302" i="64" s="1"/>
  <c r="I302" i="64" s="1"/>
  <c r="D117" i="62"/>
  <c r="F117" i="62" s="1"/>
  <c r="F118" i="62" s="1"/>
  <c r="F59" i="78"/>
  <c r="I297" i="64"/>
  <c r="F978" i="47"/>
  <c r="G858" i="47"/>
  <c r="G857" i="47" s="1"/>
  <c r="G247" i="64" s="1"/>
  <c r="J247" i="64" s="1"/>
  <c r="O72" i="78"/>
  <c r="P72" i="78" s="1"/>
  <c r="T72" i="78" s="1"/>
  <c r="E29" i="85"/>
  <c r="F29" i="85" s="1"/>
  <c r="E34" i="68"/>
  <c r="F34" i="68" s="1"/>
  <c r="E34" i="77"/>
  <c r="M43" i="78"/>
  <c r="N43" i="78" s="1"/>
  <c r="K243" i="64"/>
  <c r="I180" i="57" s="1"/>
  <c r="K27" i="63"/>
  <c r="L27" i="63"/>
  <c r="F1073" i="47"/>
  <c r="G1073" i="47" s="1"/>
  <c r="G1072" i="47" s="1"/>
  <c r="G308" i="64" s="1"/>
  <c r="J308" i="64" s="1"/>
  <c r="G992" i="47"/>
  <c r="G991" i="47" s="1"/>
  <c r="G284" i="64" s="1"/>
  <c r="M61" i="78"/>
  <c r="N61" i="78" s="1"/>
  <c r="F332" i="68"/>
  <c r="G733" i="47"/>
  <c r="G732" i="47" s="1"/>
  <c r="G212" i="64" s="1"/>
  <c r="J212" i="64" s="1"/>
  <c r="F835" i="47"/>
  <c r="A109" i="64"/>
  <c r="A369" i="47" s="1"/>
  <c r="A109" i="34"/>
  <c r="I246" i="57"/>
  <c r="I247" i="57" s="1"/>
  <c r="I248" i="57" s="1"/>
  <c r="I251" i="57" s="1"/>
  <c r="E48" i="77" l="1"/>
  <c r="E287" i="85"/>
  <c r="F287" i="85" s="1"/>
  <c r="F280" i="85" s="1"/>
  <c r="G593" i="47"/>
  <c r="G592" i="47" s="1"/>
  <c r="G171" i="64" s="1"/>
  <c r="J171" i="64" s="1"/>
  <c r="F677" i="47"/>
  <c r="G391" i="47"/>
  <c r="G390" i="47" s="1"/>
  <c r="G115" i="64" s="1"/>
  <c r="J115" i="64" s="1"/>
  <c r="F613" i="47"/>
  <c r="G175" i="47"/>
  <c r="G174" i="47" s="1"/>
  <c r="G55" i="64" s="1"/>
  <c r="J55" i="64" s="1"/>
  <c r="J36" i="64" s="1"/>
  <c r="I33" i="57" s="1"/>
  <c r="F295" i="47"/>
  <c r="F397" i="47"/>
  <c r="G915" i="47"/>
  <c r="G914" i="47" s="1"/>
  <c r="G265" i="64" s="1"/>
  <c r="J265" i="64" s="1"/>
  <c r="F1032" i="47"/>
  <c r="G1032" i="47" s="1"/>
  <c r="G1031" i="47" s="1"/>
  <c r="G297" i="64" s="1"/>
  <c r="F754" i="47"/>
  <c r="G652" i="47"/>
  <c r="G651" i="47" s="1"/>
  <c r="F189" i="64" s="1"/>
  <c r="I189" i="64" s="1"/>
  <c r="I185" i="64" s="1"/>
  <c r="I136" i="57" s="1"/>
  <c r="F511" i="47"/>
  <c r="G511" i="47" s="1"/>
  <c r="G510" i="47" s="1"/>
  <c r="G148" i="64" s="1"/>
  <c r="J148" i="64" s="1"/>
  <c r="G289" i="47"/>
  <c r="G288" i="47" s="1"/>
  <c r="G86" i="64" s="1"/>
  <c r="J86" i="64" s="1"/>
  <c r="F1035" i="47"/>
  <c r="G1035" i="47" s="1"/>
  <c r="G1034" i="47" s="1"/>
  <c r="F298" i="64" s="1"/>
  <c r="G918" i="47"/>
  <c r="G917" i="47" s="1"/>
  <c r="F266" i="64" s="1"/>
  <c r="I266" i="64" s="1"/>
  <c r="P68" i="78"/>
  <c r="T68" i="78" s="1"/>
  <c r="O68" i="78"/>
  <c r="K51" i="78"/>
  <c r="M51" i="78" s="1"/>
  <c r="N51" i="78" s="1"/>
  <c r="L51" i="78"/>
  <c r="A47" i="34"/>
  <c r="A47" i="64"/>
  <c r="A147" i="47" s="1"/>
  <c r="G24" i="78"/>
  <c r="I24" i="78" s="1"/>
  <c r="J26" i="64"/>
  <c r="M16" i="78"/>
  <c r="N16" i="78" s="1"/>
  <c r="O16" i="78" s="1"/>
  <c r="P16" i="78" s="1"/>
  <c r="T16" i="78" s="1"/>
  <c r="L17" i="78"/>
  <c r="K17" i="78"/>
  <c r="G898" i="47"/>
  <c r="G897" i="47" s="1"/>
  <c r="G259" i="64" s="1"/>
  <c r="J259" i="64" s="1"/>
  <c r="F1015" i="47"/>
  <c r="O15" i="78"/>
  <c r="P15" i="78" s="1"/>
  <c r="T15" i="78" s="1"/>
  <c r="G22" i="78"/>
  <c r="I22" i="78" s="1"/>
  <c r="J24" i="64"/>
  <c r="J7" i="64" s="1"/>
  <c r="I11" i="57" s="1"/>
  <c r="A140" i="64"/>
  <c r="A483" i="47" s="1"/>
  <c r="A140" i="34"/>
  <c r="F7" i="68"/>
  <c r="F340" i="68" s="1"/>
  <c r="L30" i="78"/>
  <c r="K30" i="78"/>
  <c r="A45" i="78"/>
  <c r="A309" i="61"/>
  <c r="A985" i="47"/>
  <c r="A865" i="47"/>
  <c r="A271" i="61"/>
  <c r="M70" i="78"/>
  <c r="N70" i="78" s="1"/>
  <c r="M35" i="78"/>
  <c r="N35" i="78" s="1"/>
  <c r="A251" i="64"/>
  <c r="A870" i="47" s="1"/>
  <c r="A251" i="34"/>
  <c r="M27" i="78"/>
  <c r="N27" i="78" s="1"/>
  <c r="O27" i="78" s="1"/>
  <c r="P27" i="78" s="1"/>
  <c r="T27" i="78" s="1"/>
  <c r="G776" i="47"/>
  <c r="G775" i="47" s="1"/>
  <c r="G224" i="64" s="1"/>
  <c r="J224" i="64" s="1"/>
  <c r="F878" i="47"/>
  <c r="J285" i="64"/>
  <c r="G47" i="78"/>
  <c r="I47" i="78" s="1"/>
  <c r="L71" i="78"/>
  <c r="K71" i="78"/>
  <c r="A307" i="64"/>
  <c r="A307" i="34"/>
  <c r="I279" i="64"/>
  <c r="F41" i="78"/>
  <c r="K41" i="78" s="1"/>
  <c r="A15" i="78"/>
  <c r="A39" i="47"/>
  <c r="K31" i="78"/>
  <c r="L31" i="78"/>
  <c r="A192" i="34"/>
  <c r="A192" i="64"/>
  <c r="G904" i="47"/>
  <c r="G903" i="47" s="1"/>
  <c r="G261" i="64" s="1"/>
  <c r="J261" i="64" s="1"/>
  <c r="F1021" i="47"/>
  <c r="G864" i="47"/>
  <c r="G863" i="47" s="1"/>
  <c r="G249" i="64" s="1"/>
  <c r="J249" i="64" s="1"/>
  <c r="F984" i="47"/>
  <c r="F931" i="47"/>
  <c r="G931" i="47" s="1"/>
  <c r="G930" i="47" s="1"/>
  <c r="G269" i="64" s="1"/>
  <c r="J269" i="64" s="1"/>
  <c r="G829" i="47"/>
  <c r="G828" i="47" s="1"/>
  <c r="G240" i="64" s="1"/>
  <c r="J240" i="64" s="1"/>
  <c r="G50" i="78"/>
  <c r="I50" i="78" s="1"/>
  <c r="J288" i="64"/>
  <c r="A284" i="34"/>
  <c r="A284" i="64"/>
  <c r="A17" i="34"/>
  <c r="A17" i="64"/>
  <c r="A221" i="34"/>
  <c r="A221" i="64"/>
  <c r="A80" i="64"/>
  <c r="A267" i="47" s="1"/>
  <c r="A80" i="34"/>
  <c r="L36" i="78"/>
  <c r="K36" i="78"/>
  <c r="O61" i="78"/>
  <c r="P61" i="78" s="1"/>
  <c r="T61" i="78" s="1"/>
  <c r="O43" i="78"/>
  <c r="P43" i="78" s="1"/>
  <c r="T43" i="78" s="1"/>
  <c r="O51" i="78"/>
  <c r="P51" i="78" s="1"/>
  <c r="T51" i="78" s="1"/>
  <c r="A110" i="64"/>
  <c r="A372" i="47" s="1"/>
  <c r="A110" i="34"/>
  <c r="G46" i="78"/>
  <c r="I46" i="78" s="1"/>
  <c r="J284" i="64"/>
  <c r="A577" i="47"/>
  <c r="A185" i="61"/>
  <c r="H45" i="78"/>
  <c r="J45" i="78" s="1"/>
  <c r="K45" i="78" s="1"/>
  <c r="K283" i="64"/>
  <c r="K276" i="64" s="1"/>
  <c r="I201" i="57" s="1"/>
  <c r="F937" i="47"/>
  <c r="G937" i="47" s="1"/>
  <c r="G936" i="47" s="1"/>
  <c r="G270" i="64" s="1"/>
  <c r="J270" i="64" s="1"/>
  <c r="G835" i="47"/>
  <c r="G834" i="47" s="1"/>
  <c r="G241" i="64" s="1"/>
  <c r="J241" i="64" s="1"/>
  <c r="I223" i="57"/>
  <c r="F1059" i="47"/>
  <c r="G1059" i="47" s="1"/>
  <c r="G1058" i="47" s="1"/>
  <c r="G304" i="64" s="1"/>
  <c r="J304" i="64" s="1"/>
  <c r="G978" i="47"/>
  <c r="G977" i="47" s="1"/>
  <c r="G280" i="64" s="1"/>
  <c r="F40" i="78"/>
  <c r="K40" i="78" s="1"/>
  <c r="I278" i="64"/>
  <c r="A168" i="64"/>
  <c r="A582" i="47" s="1"/>
  <c r="A168" i="34"/>
  <c r="M30" i="78" l="1"/>
  <c r="N30" i="78" s="1"/>
  <c r="M17" i="78"/>
  <c r="N17" i="78" s="1"/>
  <c r="O17" i="78" s="1"/>
  <c r="P17" i="78" s="1"/>
  <c r="T17" i="78" s="1"/>
  <c r="G754" i="47"/>
  <c r="G753" i="47" s="1"/>
  <c r="F218" i="64" s="1"/>
  <c r="I218" i="64" s="1"/>
  <c r="I214" i="64" s="1"/>
  <c r="I157" i="57" s="1"/>
  <c r="F856" i="47"/>
  <c r="F517" i="47"/>
  <c r="G517" i="47" s="1"/>
  <c r="G516" i="47" s="1"/>
  <c r="G150" i="64" s="1"/>
  <c r="J150" i="64" s="1"/>
  <c r="J131" i="64" s="1"/>
  <c r="I94" i="57" s="1"/>
  <c r="G295" i="47"/>
  <c r="G294" i="47" s="1"/>
  <c r="G88" i="64" s="1"/>
  <c r="J88" i="64" s="1"/>
  <c r="J69" i="64" s="1"/>
  <c r="I51" i="57" s="1"/>
  <c r="F697" i="47"/>
  <c r="G613" i="47"/>
  <c r="G612" i="47" s="1"/>
  <c r="G177" i="64" s="1"/>
  <c r="J177" i="64" s="1"/>
  <c r="F779" i="47"/>
  <c r="G677" i="47"/>
  <c r="G676" i="47" s="1"/>
  <c r="G196" i="64" s="1"/>
  <c r="J196" i="64" s="1"/>
  <c r="F60" i="78"/>
  <c r="K60" i="78" s="1"/>
  <c r="I298" i="64"/>
  <c r="G59" i="78"/>
  <c r="I59" i="78" s="1"/>
  <c r="J297" i="64"/>
  <c r="F619" i="47"/>
  <c r="G397" i="47"/>
  <c r="G396" i="47" s="1"/>
  <c r="G117" i="64" s="1"/>
  <c r="J117" i="64" s="1"/>
  <c r="J98" i="64" s="1"/>
  <c r="I72" i="57" s="1"/>
  <c r="I37" i="57"/>
  <c r="I36" i="57"/>
  <c r="I15" i="57"/>
  <c r="I14" i="57"/>
  <c r="G1015" i="47"/>
  <c r="G1014" i="47" s="1"/>
  <c r="G291" i="64" s="1"/>
  <c r="F1094" i="47"/>
  <c r="G1094" i="47" s="1"/>
  <c r="G1093" i="47" s="1"/>
  <c r="G315" i="64" s="1"/>
  <c r="J315" i="64" s="1"/>
  <c r="F1076" i="47"/>
  <c r="G1076" i="47" s="1"/>
  <c r="G1075" i="47" s="1"/>
  <c r="G309" i="64" s="1"/>
  <c r="L24" i="78"/>
  <c r="K24" i="78"/>
  <c r="M24" i="78" s="1"/>
  <c r="N24" i="78" s="1"/>
  <c r="A141" i="34"/>
  <c r="A141" i="64"/>
  <c r="A486" i="47" s="1"/>
  <c r="K22" i="78"/>
  <c r="L22" i="78"/>
  <c r="A48" i="34"/>
  <c r="A48" i="64"/>
  <c r="A150" i="47" s="1"/>
  <c r="O70" i="78"/>
  <c r="P70" i="78"/>
  <c r="T70" i="78" s="1"/>
  <c r="A81" i="34"/>
  <c r="A81" i="64"/>
  <c r="A270" i="47" s="1"/>
  <c r="A46" i="78"/>
  <c r="A990" i="47"/>
  <c r="M41" i="78"/>
  <c r="N41" i="78"/>
  <c r="O41" i="78" s="1"/>
  <c r="P41" i="78" s="1"/>
  <c r="T41" i="78" s="1"/>
  <c r="A285" i="34"/>
  <c r="A285" i="64"/>
  <c r="M31" i="78"/>
  <c r="N31" i="78" s="1"/>
  <c r="N71" i="78"/>
  <c r="O71" i="78" s="1"/>
  <c r="P71" i="78" s="1"/>
  <c r="T71" i="78" s="1"/>
  <c r="M71" i="78"/>
  <c r="F1082" i="47"/>
  <c r="G1082" i="47" s="1"/>
  <c r="G1081" i="47" s="1"/>
  <c r="G311" i="64" s="1"/>
  <c r="G878" i="47"/>
  <c r="G877" i="47" s="1"/>
  <c r="G253" i="64" s="1"/>
  <c r="J253" i="64" s="1"/>
  <c r="F998" i="47"/>
  <c r="G998" i="47" s="1"/>
  <c r="G997" i="47" s="1"/>
  <c r="G286" i="64" s="1"/>
  <c r="O30" i="78"/>
  <c r="P30" i="78" s="1"/>
  <c r="T30" i="78" s="1"/>
  <c r="M36" i="78"/>
  <c r="N36" i="78" s="1"/>
  <c r="O36" i="78" s="1"/>
  <c r="P36" i="78" s="1"/>
  <c r="T36" i="78" s="1"/>
  <c r="A763" i="47"/>
  <c r="A240" i="61"/>
  <c r="A42" i="47"/>
  <c r="A16" i="78"/>
  <c r="G984" i="47"/>
  <c r="G983" i="47" s="1"/>
  <c r="G282" i="64" s="1"/>
  <c r="F1065" i="47"/>
  <c r="G1065" i="47" s="1"/>
  <c r="G1064" i="47" s="1"/>
  <c r="G306" i="64" s="1"/>
  <c r="J306" i="64" s="1"/>
  <c r="A661" i="47"/>
  <c r="A209" i="61"/>
  <c r="A308" i="64"/>
  <c r="A1071" i="47" s="1"/>
  <c r="A308" i="34"/>
  <c r="A252" i="64"/>
  <c r="A873" i="47" s="1"/>
  <c r="A252" i="34"/>
  <c r="O35" i="78"/>
  <c r="P35" i="78" s="1"/>
  <c r="T35" i="78" s="1"/>
  <c r="G1021" i="47"/>
  <c r="G1020" i="47" s="1"/>
  <c r="G293" i="64" s="1"/>
  <c r="F1100" i="47"/>
  <c r="G1100" i="47" s="1"/>
  <c r="G1099" i="47" s="1"/>
  <c r="G317" i="64" s="1"/>
  <c r="J317" i="64" s="1"/>
  <c r="A222" i="64"/>
  <c r="A768" i="47" s="1"/>
  <c r="A222" i="34"/>
  <c r="A18" i="34"/>
  <c r="A18" i="64"/>
  <c r="K50" i="78"/>
  <c r="L50" i="78"/>
  <c r="A193" i="34"/>
  <c r="A193" i="64"/>
  <c r="A666" i="47" s="1"/>
  <c r="A1066" i="47"/>
  <c r="A333" i="61"/>
  <c r="L47" i="78"/>
  <c r="K47" i="78"/>
  <c r="M40" i="78"/>
  <c r="N40" i="78" s="1"/>
  <c r="A111" i="64"/>
  <c r="A111" i="34"/>
  <c r="A112" i="64" s="1"/>
  <c r="A380" i="47" s="1"/>
  <c r="A169" i="64"/>
  <c r="A585" i="47" s="1"/>
  <c r="A169" i="34"/>
  <c r="G42" i="78"/>
  <c r="I42" i="78" s="1"/>
  <c r="L42" i="78" s="1"/>
  <c r="J280" i="64"/>
  <c r="K340" i="64"/>
  <c r="M45" i="78"/>
  <c r="N45" i="78" s="1"/>
  <c r="L46" i="78"/>
  <c r="K46" i="78"/>
  <c r="I16" i="57" l="1"/>
  <c r="I17" i="57" s="1"/>
  <c r="I18" i="57" s="1"/>
  <c r="I21" i="57" s="1"/>
  <c r="I76" i="57"/>
  <c r="I75" i="57"/>
  <c r="M47" i="78"/>
  <c r="N47" i="78" s="1"/>
  <c r="O47" i="78" s="1"/>
  <c r="P47" i="78" s="1"/>
  <c r="T47" i="78" s="1"/>
  <c r="M50" i="78"/>
  <c r="I55" i="57"/>
  <c r="I54" i="57"/>
  <c r="F976" i="47"/>
  <c r="G856" i="47"/>
  <c r="G855" i="47" s="1"/>
  <c r="F247" i="64" s="1"/>
  <c r="I247" i="64" s="1"/>
  <c r="I243" i="64" s="1"/>
  <c r="I178" i="57" s="1"/>
  <c r="I38" i="57"/>
  <c r="I39" i="57" s="1"/>
  <c r="I40" i="57" s="1"/>
  <c r="I43" i="57" s="1"/>
  <c r="G619" i="47"/>
  <c r="G618" i="47" s="1"/>
  <c r="G179" i="64" s="1"/>
  <c r="J179" i="64" s="1"/>
  <c r="J160" i="64" s="1"/>
  <c r="I115" i="57" s="1"/>
  <c r="F703" i="47"/>
  <c r="L59" i="78"/>
  <c r="K59" i="78"/>
  <c r="M60" i="78"/>
  <c r="N60" i="78" s="1"/>
  <c r="F881" i="47"/>
  <c r="G779" i="47"/>
  <c r="G778" i="47" s="1"/>
  <c r="G225" i="64" s="1"/>
  <c r="J225" i="64" s="1"/>
  <c r="G697" i="47"/>
  <c r="G696" i="47" s="1"/>
  <c r="G202" i="64" s="1"/>
  <c r="J202" i="64" s="1"/>
  <c r="F799" i="47"/>
  <c r="I98" i="57"/>
  <c r="I97" i="57"/>
  <c r="A49" i="64"/>
  <c r="A49" i="34"/>
  <c r="A50" i="64" s="1"/>
  <c r="A158" i="47" s="1"/>
  <c r="M22" i="78"/>
  <c r="N22" i="78" s="1"/>
  <c r="A142" i="34"/>
  <c r="A142" i="64"/>
  <c r="A489" i="47" s="1"/>
  <c r="O24" i="78"/>
  <c r="P24" i="78" s="1"/>
  <c r="T24" i="78" s="1"/>
  <c r="J309" i="64"/>
  <c r="G63" i="78"/>
  <c r="I63" i="78" s="1"/>
  <c r="J291" i="64"/>
  <c r="G53" i="78"/>
  <c r="I53" i="78" s="1"/>
  <c r="O31" i="78"/>
  <c r="P31" i="78" s="1"/>
  <c r="T31" i="78" s="1"/>
  <c r="A286" i="34"/>
  <c r="A286" i="64"/>
  <c r="N50" i="78"/>
  <c r="A309" i="34"/>
  <c r="A309" i="64"/>
  <c r="A1074" i="47" s="1"/>
  <c r="G48" i="78"/>
  <c r="I48" i="78" s="1"/>
  <c r="J286" i="64"/>
  <c r="A45" i="47"/>
  <c r="A17" i="78"/>
  <c r="J282" i="64"/>
  <c r="G44" i="78"/>
  <c r="I44" i="78" s="1"/>
  <c r="J311" i="64"/>
  <c r="G64" i="78"/>
  <c r="I64" i="78" s="1"/>
  <c r="A223" i="34"/>
  <c r="A223" i="64"/>
  <c r="A771" i="47" s="1"/>
  <c r="A194" i="64"/>
  <c r="A669" i="47" s="1"/>
  <c r="A194" i="34"/>
  <c r="A19" i="64"/>
  <c r="A19" i="34"/>
  <c r="G55" i="78"/>
  <c r="I55" i="78" s="1"/>
  <c r="J293" i="64"/>
  <c r="A253" i="34"/>
  <c r="A253" i="64"/>
  <c r="A876" i="47" s="1"/>
  <c r="A47" i="78"/>
  <c r="A993" i="47"/>
  <c r="A82" i="64"/>
  <c r="A82" i="34"/>
  <c r="A83" i="64" s="1"/>
  <c r="A278" i="47" s="1"/>
  <c r="O45" i="78"/>
  <c r="P45" i="78" s="1"/>
  <c r="T45" i="78" s="1"/>
  <c r="O40" i="78"/>
  <c r="P40" i="78" s="1"/>
  <c r="T40" i="78" s="1"/>
  <c r="A375" i="47"/>
  <c r="A118" i="61"/>
  <c r="M46" i="78"/>
  <c r="N46" i="78" s="1"/>
  <c r="A170" i="64"/>
  <c r="A588" i="47" s="1"/>
  <c r="A170" i="34"/>
  <c r="I99" i="57" l="1"/>
  <c r="I100" i="57" s="1"/>
  <c r="I101" i="57" s="1"/>
  <c r="I104" i="57" s="1"/>
  <c r="I119" i="57"/>
  <c r="I118" i="57"/>
  <c r="O60" i="78"/>
  <c r="P60" i="78" s="1"/>
  <c r="T60" i="78" s="1"/>
  <c r="G799" i="47"/>
  <c r="G798" i="47" s="1"/>
  <c r="G231" i="64" s="1"/>
  <c r="J231" i="64" s="1"/>
  <c r="F901" i="47"/>
  <c r="M59" i="78"/>
  <c r="N59" i="78" s="1"/>
  <c r="O59" i="78" s="1"/>
  <c r="P59" i="78" s="1"/>
  <c r="T59" i="78" s="1"/>
  <c r="G703" i="47"/>
  <c r="G702" i="47" s="1"/>
  <c r="G204" i="64" s="1"/>
  <c r="J204" i="64" s="1"/>
  <c r="J185" i="64" s="1"/>
  <c r="I137" i="57" s="1"/>
  <c r="F805" i="47"/>
  <c r="F1057" i="47"/>
  <c r="G1057" i="47" s="1"/>
  <c r="G1056" i="47" s="1"/>
  <c r="F304" i="64" s="1"/>
  <c r="I304" i="64" s="1"/>
  <c r="I300" i="64" s="1"/>
  <c r="G976" i="47"/>
  <c r="G975" i="47" s="1"/>
  <c r="F280" i="64" s="1"/>
  <c r="I56" i="57"/>
  <c r="I57" i="57" s="1"/>
  <c r="I58" i="57" s="1"/>
  <c r="I61" i="57" s="1"/>
  <c r="F1085" i="47"/>
  <c r="G1085" i="47" s="1"/>
  <c r="G1084" i="47" s="1"/>
  <c r="G312" i="64" s="1"/>
  <c r="J312" i="64" s="1"/>
  <c r="G881" i="47"/>
  <c r="G880" i="47" s="1"/>
  <c r="G254" i="64" s="1"/>
  <c r="J254" i="64" s="1"/>
  <c r="I77" i="57"/>
  <c r="I78" i="57" s="1"/>
  <c r="I79" i="57" s="1"/>
  <c r="I82" i="57" s="1"/>
  <c r="L53" i="78"/>
  <c r="K53" i="78"/>
  <c r="M53" i="78" s="1"/>
  <c r="N53" i="78" s="1"/>
  <c r="K63" i="78"/>
  <c r="L63" i="78"/>
  <c r="A143" i="34"/>
  <c r="A143" i="64"/>
  <c r="A492" i="47" s="1"/>
  <c r="O22" i="78"/>
  <c r="P22" i="78"/>
  <c r="T22" i="78" s="1"/>
  <c r="A153" i="47"/>
  <c r="A49" i="61"/>
  <c r="K55" i="78"/>
  <c r="L55" i="78"/>
  <c r="A310" i="34"/>
  <c r="A310" i="64"/>
  <c r="A1077" i="47" s="1"/>
  <c r="A20" i="34"/>
  <c r="A21" i="64" s="1"/>
  <c r="A20" i="64"/>
  <c r="A224" i="64"/>
  <c r="A774" i="47" s="1"/>
  <c r="A224" i="34"/>
  <c r="O50" i="78"/>
  <c r="P50" i="78" s="1"/>
  <c r="T50" i="78" s="1"/>
  <c r="A996" i="47"/>
  <c r="A48" i="78"/>
  <c r="A87" i="61"/>
  <c r="A273" i="47"/>
  <c r="A254" i="34"/>
  <c r="A254" i="64"/>
  <c r="A879" i="47" s="1"/>
  <c r="A48" i="47"/>
  <c r="A18" i="78"/>
  <c r="K64" i="78"/>
  <c r="L64" i="78"/>
  <c r="L44" i="78"/>
  <c r="K44" i="78"/>
  <c r="M44" i="78" s="1"/>
  <c r="N44" i="78" s="1"/>
  <c r="O44" i="78" s="1"/>
  <c r="P44" i="78" s="1"/>
  <c r="T44" i="78" s="1"/>
  <c r="A287" i="64"/>
  <c r="A287" i="34"/>
  <c r="A195" i="64"/>
  <c r="A672" i="47" s="1"/>
  <c r="A195" i="34"/>
  <c r="L48" i="78"/>
  <c r="K48" i="78"/>
  <c r="O46" i="78"/>
  <c r="P46" i="78" s="1"/>
  <c r="T46" i="78" s="1"/>
  <c r="A171" i="34"/>
  <c r="A171" i="64"/>
  <c r="A591" i="47" s="1"/>
  <c r="I120" i="57" l="1"/>
  <c r="I121" i="57" s="1"/>
  <c r="I122" i="57" s="1"/>
  <c r="I125" i="57" s="1"/>
  <c r="I221" i="57"/>
  <c r="I141" i="57"/>
  <c r="I140" i="57"/>
  <c r="F1018" i="47"/>
  <c r="G901" i="47"/>
  <c r="G900" i="47" s="1"/>
  <c r="G260" i="64" s="1"/>
  <c r="J260" i="64" s="1"/>
  <c r="I280" i="64"/>
  <c r="I276" i="64" s="1"/>
  <c r="I199" i="57" s="1"/>
  <c r="F42" i="78"/>
  <c r="K42" i="78" s="1"/>
  <c r="M42" i="78" s="1"/>
  <c r="N42" i="78" s="1"/>
  <c r="F907" i="47"/>
  <c r="G805" i="47"/>
  <c r="G804" i="47" s="1"/>
  <c r="G233" i="64" s="1"/>
  <c r="J233" i="64" s="1"/>
  <c r="J214" i="64" s="1"/>
  <c r="I158" i="57" s="1"/>
  <c r="O53" i="78"/>
  <c r="P53" i="78" s="1"/>
  <c r="T53" i="78" s="1"/>
  <c r="A144" i="64"/>
  <c r="A144" i="34"/>
  <c r="A145" i="64" s="1"/>
  <c r="A500" i="47" s="1"/>
  <c r="M63" i="78"/>
  <c r="N63" i="78" s="1"/>
  <c r="O63" i="78" s="1"/>
  <c r="P63" i="78" s="1"/>
  <c r="T63" i="78" s="1"/>
  <c r="A18" i="61"/>
  <c r="A19" i="78"/>
  <c r="A51" i="47"/>
  <c r="M64" i="78"/>
  <c r="N64" i="78" s="1"/>
  <c r="A56" i="47"/>
  <c r="A20" i="78"/>
  <c r="M55" i="78"/>
  <c r="N55" i="78" s="1"/>
  <c r="O55" i="78" s="1"/>
  <c r="P55" i="78" s="1"/>
  <c r="T55" i="78" s="1"/>
  <c r="M48" i="78"/>
  <c r="N48" i="78" s="1"/>
  <c r="A288" i="34"/>
  <c r="A289" i="64" s="1"/>
  <c r="A51" i="78" s="1"/>
  <c r="A288" i="64"/>
  <c r="A225" i="34"/>
  <c r="A225" i="64"/>
  <c r="A777" i="47" s="1"/>
  <c r="A196" i="64"/>
  <c r="A675" i="47" s="1"/>
  <c r="A196" i="34"/>
  <c r="A999" i="47"/>
  <c r="A49" i="78"/>
  <c r="A255" i="64"/>
  <c r="A882" i="47" s="1"/>
  <c r="A255" i="34"/>
  <c r="A311" i="64"/>
  <c r="A311" i="34"/>
  <c r="A312" i="64" s="1"/>
  <c r="A1083" i="47" s="1"/>
  <c r="A172" i="64"/>
  <c r="A594" i="47" s="1"/>
  <c r="A172" i="34"/>
  <c r="I161" i="57" l="1"/>
  <c r="I162" i="57"/>
  <c r="O42" i="78"/>
  <c r="P42" i="78" s="1"/>
  <c r="T42" i="78" s="1"/>
  <c r="I340" i="64"/>
  <c r="G907" i="47"/>
  <c r="G906" i="47" s="1"/>
  <c r="G262" i="64" s="1"/>
  <c r="J262" i="64" s="1"/>
  <c r="J243" i="64" s="1"/>
  <c r="I179" i="57" s="1"/>
  <c r="F1024" i="47"/>
  <c r="G1018" i="47"/>
  <c r="G1017" i="47" s="1"/>
  <c r="G292" i="64" s="1"/>
  <c r="F1097" i="47"/>
  <c r="G1097" i="47" s="1"/>
  <c r="G1096" i="47" s="1"/>
  <c r="G316" i="64" s="1"/>
  <c r="J316" i="64" s="1"/>
  <c r="I142" i="57"/>
  <c r="I143" i="57" s="1"/>
  <c r="I144" i="57" s="1"/>
  <c r="I147" i="57" s="1"/>
  <c r="A495" i="47"/>
  <c r="A156" i="61"/>
  <c r="O48" i="78"/>
  <c r="P48" i="78" s="1"/>
  <c r="T48" i="78" s="1"/>
  <c r="A226" i="64"/>
  <c r="A780" i="47" s="1"/>
  <c r="A226" i="34"/>
  <c r="A197" i="64"/>
  <c r="A678" i="47" s="1"/>
  <c r="A197" i="34"/>
  <c r="A311" i="61"/>
  <c r="A1002" i="47"/>
  <c r="A50" i="78"/>
  <c r="A64" i="78"/>
  <c r="A1080" i="47"/>
  <c r="O64" i="78"/>
  <c r="P64" i="78" s="1"/>
  <c r="T64" i="78" s="1"/>
  <c r="A256" i="64"/>
  <c r="A256" i="34"/>
  <c r="A257" i="64" s="1"/>
  <c r="A890" i="47" s="1"/>
  <c r="A173" i="34"/>
  <c r="A174" i="64" s="1"/>
  <c r="A602" i="47" s="1"/>
  <c r="A173" i="64"/>
  <c r="I163" i="57" l="1"/>
  <c r="I164" i="57" s="1"/>
  <c r="I165" i="57" s="1"/>
  <c r="I168" i="57" s="1"/>
  <c r="G54" i="78"/>
  <c r="I54" i="78" s="1"/>
  <c r="J292" i="64"/>
  <c r="I183" i="57"/>
  <c r="I182" i="57"/>
  <c r="G1024" i="47"/>
  <c r="G1023" i="47" s="1"/>
  <c r="G294" i="64" s="1"/>
  <c r="F1103" i="47"/>
  <c r="G1103" i="47" s="1"/>
  <c r="G1102" i="47" s="1"/>
  <c r="G318" i="64" s="1"/>
  <c r="J318" i="64" s="1"/>
  <c r="J300" i="64" s="1"/>
  <c r="I222" i="57" s="1"/>
  <c r="I226" i="57" s="1"/>
  <c r="A198" i="34"/>
  <c r="A199" i="64" s="1"/>
  <c r="A686" i="47" s="1"/>
  <c r="A198" i="64"/>
  <c r="A227" i="64"/>
  <c r="A227" i="34"/>
  <c r="A228" i="64" s="1"/>
  <c r="A788" i="47" s="1"/>
  <c r="A273" i="61"/>
  <c r="A885" i="47"/>
  <c r="A187" i="61"/>
  <c r="A597" i="47"/>
  <c r="I184" i="57" l="1"/>
  <c r="I185" i="57" s="1"/>
  <c r="I186" i="57" s="1"/>
  <c r="I189" i="57" s="1"/>
  <c r="I225" i="57"/>
  <c r="G56" i="78"/>
  <c r="I56" i="78" s="1"/>
  <c r="J294" i="64"/>
  <c r="J276" i="64" s="1"/>
  <c r="L54" i="78"/>
  <c r="K54" i="78"/>
  <c r="I227" i="57"/>
  <c r="I228" i="57" s="1"/>
  <c r="I229" i="57" s="1"/>
  <c r="I232" i="57" s="1"/>
  <c r="A681" i="47"/>
  <c r="A211" i="61"/>
  <c r="A783" i="47"/>
  <c r="A242" i="61"/>
  <c r="I200" i="57" l="1"/>
  <c r="J340" i="64"/>
  <c r="K56" i="78"/>
  <c r="L56" i="78"/>
  <c r="M54" i="78"/>
  <c r="N54" i="78" s="1"/>
  <c r="O54" i="78" s="1"/>
  <c r="P54" i="78" s="1"/>
  <c r="T54" i="78" s="1"/>
  <c r="M56" i="78" l="1"/>
  <c r="N56" i="78" s="1"/>
  <c r="O56" i="78" s="1"/>
  <c r="P56" i="78" s="1"/>
  <c r="T56" i="78" s="1"/>
  <c r="I204" i="57"/>
  <c r="I203" i="57"/>
  <c r="I205" i="57" l="1"/>
  <c r="I206" i="57" s="1"/>
  <c r="I207" i="57" s="1"/>
  <c r="I210" i="57" s="1"/>
  <c r="I8" i="58" s="1"/>
  <c r="I7" i="58" l="1"/>
  <c r="I53" i="58"/>
  <c r="H331" i="34" l="1"/>
  <c r="X4" i="84"/>
  <c r="I21" i="58"/>
  <c r="B21" i="58" s="1"/>
  <c r="I24" i="58"/>
  <c r="I22" i="58"/>
  <c r="B22" i="58" s="1"/>
  <c r="I9" i="58"/>
  <c r="I19" i="58"/>
  <c r="I20" i="58"/>
  <c r="B20" i="58" s="1"/>
  <c r="I23" i="58"/>
  <c r="B23" i="58" s="1"/>
  <c r="I13" i="58"/>
  <c r="I44" i="58"/>
  <c r="B44" i="58" s="1"/>
  <c r="I43" i="58"/>
  <c r="B43" i="58" s="1"/>
  <c r="I45" i="58"/>
  <c r="B45" i="58" s="1"/>
  <c r="I30" i="58" l="1"/>
  <c r="B19" i="58"/>
  <c r="I14" i="58"/>
  <c r="J48" i="58" s="1"/>
  <c r="I48" i="58" l="1"/>
  <c r="I42" i="58" s="1"/>
  <c r="I51" i="58" s="1"/>
  <c r="B51" i="58" l="1"/>
  <c r="I50" i="58"/>
</calcChain>
</file>

<file path=xl/comments1.xml><?xml version="1.0" encoding="utf-8"?>
<comments xmlns="http://schemas.openxmlformats.org/spreadsheetml/2006/main">
  <authors>
    <author>VNN.R9</author>
  </authors>
  <commentList>
    <comment ref="E19" authorId="0">
      <text>
        <r>
          <rPr>
            <b/>
            <sz val="8"/>
            <color indexed="81"/>
            <rFont val="Tahoma"/>
            <family val="2"/>
          </rPr>
          <t>VNN.R9:</t>
        </r>
        <r>
          <rPr>
            <sz val="8"/>
            <color indexed="81"/>
            <rFont val="Tahoma"/>
            <family val="2"/>
          </rPr>
          <t xml:space="preserve">
</t>
        </r>
        <r>
          <rPr>
            <b/>
            <sz val="11"/>
            <color indexed="10"/>
            <rFont val="Tahoma"/>
            <family val="2"/>
          </rPr>
          <t>điều 9_ Nghị định 63</t>
        </r>
      </text>
    </comment>
    <comment ref="E20" authorId="0">
      <text>
        <r>
          <rPr>
            <b/>
            <sz val="8"/>
            <color indexed="81"/>
            <rFont val="Tahoma"/>
            <family val="2"/>
          </rPr>
          <t>VNN.R9:</t>
        </r>
        <r>
          <rPr>
            <sz val="8"/>
            <color indexed="81"/>
            <rFont val="Tahoma"/>
            <family val="2"/>
          </rPr>
          <t xml:space="preserve">
</t>
        </r>
        <r>
          <rPr>
            <b/>
            <sz val="11"/>
            <color indexed="10"/>
            <rFont val="Tahoma"/>
            <family val="2"/>
          </rPr>
          <t>điều 9_ Nghị định 63</t>
        </r>
      </text>
    </comment>
    <comment ref="E21" authorId="0">
      <text>
        <r>
          <rPr>
            <b/>
            <sz val="8"/>
            <color indexed="81"/>
            <rFont val="Tahoma"/>
            <family val="2"/>
          </rPr>
          <t>VNN.R9:</t>
        </r>
        <r>
          <rPr>
            <sz val="8"/>
            <color indexed="81"/>
            <rFont val="Tahoma"/>
            <family val="2"/>
          </rPr>
          <t xml:space="preserve">
</t>
        </r>
        <r>
          <rPr>
            <b/>
            <sz val="11"/>
            <color indexed="10"/>
            <rFont val="Tahoma"/>
            <family val="2"/>
          </rPr>
          <t>điều 9_ Nghị định 63</t>
        </r>
      </text>
    </comment>
    <comment ref="E22" authorId="0">
      <text>
        <r>
          <rPr>
            <b/>
            <sz val="8"/>
            <color indexed="81"/>
            <rFont val="Tahoma"/>
            <family val="2"/>
          </rPr>
          <t>VNN.R9:</t>
        </r>
        <r>
          <rPr>
            <sz val="8"/>
            <color indexed="81"/>
            <rFont val="Tahoma"/>
            <family val="2"/>
          </rPr>
          <t xml:space="preserve">
</t>
        </r>
        <r>
          <rPr>
            <b/>
            <sz val="11"/>
            <color indexed="10"/>
            <rFont val="Tahoma"/>
            <family val="2"/>
          </rPr>
          <t>điều 9_ Nghị định 63</t>
        </r>
      </text>
    </comment>
    <comment ref="E23" authorId="0">
      <text>
        <r>
          <rPr>
            <b/>
            <sz val="8"/>
            <color indexed="81"/>
            <rFont val="Tahoma"/>
            <family val="2"/>
          </rPr>
          <t>VNN.R9:</t>
        </r>
        <r>
          <rPr>
            <sz val="8"/>
            <color indexed="81"/>
            <rFont val="Tahoma"/>
            <family val="2"/>
          </rPr>
          <t xml:space="preserve">
</t>
        </r>
        <r>
          <rPr>
            <b/>
            <sz val="11"/>
            <color indexed="10"/>
            <rFont val="Tahoma"/>
            <family val="2"/>
          </rPr>
          <t>điều 9_ Nghị định 63</t>
        </r>
      </text>
    </comment>
    <comment ref="E25" authorId="0">
      <text>
        <r>
          <rPr>
            <b/>
            <sz val="8"/>
            <color indexed="81"/>
            <rFont val="Tahoma"/>
            <family val="2"/>
          </rPr>
          <t>VNN.R9:</t>
        </r>
        <r>
          <rPr>
            <sz val="8"/>
            <color indexed="81"/>
            <rFont val="Tahoma"/>
            <family val="2"/>
          </rPr>
          <t xml:space="preserve">
</t>
        </r>
        <r>
          <rPr>
            <b/>
            <sz val="8"/>
            <color indexed="12"/>
            <rFont val="Tahoma"/>
            <family val="2"/>
          </rPr>
          <t>Điều 9 _ Nghị định 63</t>
        </r>
      </text>
    </comment>
    <comment ref="E26" authorId="0">
      <text>
        <r>
          <rPr>
            <b/>
            <sz val="8"/>
            <color indexed="81"/>
            <rFont val="Tahoma"/>
            <family val="2"/>
          </rPr>
          <t>VNN.R9:</t>
        </r>
        <r>
          <rPr>
            <sz val="8"/>
            <color indexed="81"/>
            <rFont val="Tahoma"/>
            <family val="2"/>
          </rPr>
          <t xml:space="preserve">
</t>
        </r>
        <r>
          <rPr>
            <b/>
            <sz val="8"/>
            <color indexed="12"/>
            <rFont val="Tahoma"/>
            <family val="2"/>
          </rPr>
          <t>Điều 9 _ Nghị định 63</t>
        </r>
      </text>
    </comment>
    <comment ref="E27" authorId="0">
      <text>
        <r>
          <rPr>
            <b/>
            <sz val="8"/>
            <color indexed="81"/>
            <rFont val="Tahoma"/>
            <family val="2"/>
          </rPr>
          <t>VNN.R9:</t>
        </r>
        <r>
          <rPr>
            <sz val="8"/>
            <color indexed="81"/>
            <rFont val="Tahoma"/>
            <family val="2"/>
          </rPr>
          <t xml:space="preserve">
</t>
        </r>
        <r>
          <rPr>
            <b/>
            <sz val="8"/>
            <color indexed="12"/>
            <rFont val="Tahoma"/>
            <family val="2"/>
          </rPr>
          <t>Điều 9 _ Nghị định 63</t>
        </r>
      </text>
    </comment>
    <comment ref="E28" authorId="0">
      <text>
        <r>
          <rPr>
            <b/>
            <sz val="8"/>
            <color indexed="81"/>
            <rFont val="Tahoma"/>
            <family val="2"/>
          </rPr>
          <t>VNN.R9:</t>
        </r>
        <r>
          <rPr>
            <sz val="8"/>
            <color indexed="81"/>
            <rFont val="Tahoma"/>
            <family val="2"/>
          </rPr>
          <t xml:space="preserve">
</t>
        </r>
        <r>
          <rPr>
            <b/>
            <sz val="8"/>
            <color indexed="12"/>
            <rFont val="Tahoma"/>
            <family val="2"/>
          </rPr>
          <t>Điều 9 _ Nghị định 63</t>
        </r>
      </text>
    </comment>
    <comment ref="E33" authorId="0">
      <text>
        <r>
          <rPr>
            <b/>
            <sz val="8"/>
            <color indexed="81"/>
            <rFont val="Tahoma"/>
            <family val="2"/>
          </rPr>
          <t>VNN.R9:</t>
        </r>
        <r>
          <rPr>
            <sz val="8"/>
            <color indexed="81"/>
            <rFont val="Tahoma"/>
            <family val="2"/>
          </rPr>
          <t xml:space="preserve">
</t>
        </r>
        <r>
          <rPr>
            <b/>
            <sz val="8"/>
            <color indexed="12"/>
            <rFont val="Tahoma"/>
            <family val="2"/>
          </rPr>
          <t>Điều 9 _ Nghị định 63</t>
        </r>
      </text>
    </comment>
    <comment ref="E34" authorId="0">
      <text>
        <r>
          <rPr>
            <b/>
            <sz val="8"/>
            <color indexed="81"/>
            <rFont val="Tahoma"/>
            <family val="2"/>
          </rPr>
          <t>VNN.R9:</t>
        </r>
        <r>
          <rPr>
            <sz val="8"/>
            <color indexed="81"/>
            <rFont val="Tahoma"/>
            <family val="2"/>
          </rPr>
          <t xml:space="preserve">
</t>
        </r>
        <r>
          <rPr>
            <b/>
            <sz val="8"/>
            <color indexed="12"/>
            <rFont val="Tahoma"/>
            <family val="2"/>
          </rPr>
          <t>Điều 9 _ Nghị định 63</t>
        </r>
      </text>
    </comment>
    <comment ref="E35" authorId="0">
      <text>
        <r>
          <rPr>
            <b/>
            <sz val="8"/>
            <color indexed="81"/>
            <rFont val="Tahoma"/>
            <family val="2"/>
          </rPr>
          <t>VNN.R9:</t>
        </r>
        <r>
          <rPr>
            <sz val="8"/>
            <color indexed="81"/>
            <rFont val="Tahoma"/>
            <family val="2"/>
          </rPr>
          <t xml:space="preserve">
</t>
        </r>
        <r>
          <rPr>
            <b/>
            <sz val="8"/>
            <color indexed="12"/>
            <rFont val="Tahoma"/>
            <family val="2"/>
          </rPr>
          <t>Điều 9 _ Nghị định 63</t>
        </r>
      </text>
    </comment>
    <comment ref="E36" authorId="0">
      <text>
        <r>
          <rPr>
            <b/>
            <sz val="8"/>
            <color indexed="81"/>
            <rFont val="Tahoma"/>
            <family val="2"/>
          </rPr>
          <t>VNN.R9:</t>
        </r>
        <r>
          <rPr>
            <sz val="8"/>
            <color indexed="81"/>
            <rFont val="Tahoma"/>
            <family val="2"/>
          </rPr>
          <t xml:space="preserve">
</t>
        </r>
        <r>
          <rPr>
            <b/>
            <sz val="8"/>
            <color indexed="12"/>
            <rFont val="Tahoma"/>
            <family val="2"/>
          </rPr>
          <t>Điều 9 _ Nghị định 63</t>
        </r>
      </text>
    </comment>
  </commentList>
</comments>
</file>

<file path=xl/comments2.xml><?xml version="1.0" encoding="utf-8"?>
<comments xmlns="http://schemas.openxmlformats.org/spreadsheetml/2006/main">
  <authors>
    <author>HOANG ITQB</author>
  </authors>
  <commentList>
    <comment ref="E101" authorId="0">
      <text>
        <r>
          <rPr>
            <b/>
            <sz val="8"/>
            <color indexed="81"/>
            <rFont val="Tahoma"/>
            <family val="2"/>
          </rPr>
          <t>HOANG ITQB:</t>
        </r>
        <r>
          <rPr>
            <sz val="8"/>
            <color indexed="81"/>
            <rFont val="Tahoma"/>
            <family val="2"/>
          </rPr>
          <t xml:space="preserve">
Đơn giá VL tháng 2/2015</t>
        </r>
      </text>
    </comment>
  </commentList>
</comments>
</file>

<file path=xl/sharedStrings.xml><?xml version="1.0" encoding="utf-8"?>
<sst xmlns="http://schemas.openxmlformats.org/spreadsheetml/2006/main" count="7746" uniqueCount="1341">
  <si>
    <t>C</t>
  </si>
  <si>
    <t>G</t>
  </si>
  <si>
    <t>STT</t>
  </si>
  <si>
    <t>T</t>
  </si>
  <si>
    <t>%</t>
  </si>
  <si>
    <t>m2</t>
  </si>
  <si>
    <t>SHĐM</t>
  </si>
  <si>
    <t>HẠNG MỤC CÔNG TÁC</t>
  </si>
  <si>
    <t>ĐƠN GIÁ</t>
  </si>
  <si>
    <t>THÀNH TIỀN</t>
  </si>
  <si>
    <t>XE MÁY</t>
  </si>
  <si>
    <t>TỔNG CỘNG:</t>
  </si>
  <si>
    <t>ĐƠN VỊ TÍNH</t>
  </si>
  <si>
    <t>KHỐI LƯỢNG</t>
  </si>
  <si>
    <t>TT</t>
  </si>
  <si>
    <t>ĐVT</t>
  </si>
  <si>
    <t>VẬT LIỆU</t>
  </si>
  <si>
    <t>cái</t>
  </si>
  <si>
    <t>BẢNG DỰ TOÁN CHI TIẾT</t>
  </si>
  <si>
    <t>TÊN VẬT LIỆU</t>
  </si>
  <si>
    <t>BẢNG TỔNG HỢP GIÁ VẬT LIỆU</t>
  </si>
  <si>
    <t>CÁCH TÍNH</t>
  </si>
  <si>
    <t>Q</t>
  </si>
  <si>
    <t>KL</t>
  </si>
  <si>
    <t>CHÍNH</t>
  </si>
  <si>
    <t>ĐỊNH MỨC</t>
  </si>
  <si>
    <t>PHỤ</t>
  </si>
  <si>
    <t>BẢNG PHÂN TÍCH VẬT TƯ</t>
  </si>
  <si>
    <t>ĐƠN GIÁ
( trước thuế )</t>
  </si>
  <si>
    <t>m3</t>
  </si>
  <si>
    <t>công</t>
  </si>
  <si>
    <t>kg</t>
  </si>
  <si>
    <t>lít</t>
  </si>
  <si>
    <t>100m3</t>
  </si>
  <si>
    <t>100m2</t>
  </si>
  <si>
    <t>trụ</t>
  </si>
  <si>
    <t>TÊN LOẠI VẬT TƯ</t>
  </si>
  <si>
    <t>BẢNG PHÂN TÍCH ĐƠN GIÁ</t>
  </si>
  <si>
    <t>N.CÔNG</t>
  </si>
  <si>
    <t>K.LƯỢNG VẬT TƯ</t>
  </si>
  <si>
    <t>100T</t>
  </si>
  <si>
    <t>biển</t>
  </si>
  <si>
    <t xml:space="preserve">trụ </t>
  </si>
  <si>
    <t>bộ</t>
  </si>
  <si>
    <t>Cung cấp biển báo phản quang tròn D=90cm</t>
  </si>
  <si>
    <t>Cung cấp nắp chụp nhựa D=90</t>
  </si>
  <si>
    <t>Cung cấp bulon M10x120 (inox)</t>
  </si>
  <si>
    <t>B_Nhân công :</t>
  </si>
  <si>
    <t>A_Vật liệu :</t>
  </si>
  <si>
    <t>C_Xe máy :</t>
  </si>
  <si>
    <t>Đào đất móng trụ</t>
  </si>
  <si>
    <t>Trộn BTN nguội hạt trung tại công trường</t>
  </si>
  <si>
    <t>HẠNG MỤC CHI PHÍ</t>
  </si>
  <si>
    <t>KÝ HIỆU</t>
  </si>
  <si>
    <t>KINH PHÍ</t>
  </si>
  <si>
    <t/>
  </si>
  <si>
    <t>VL</t>
  </si>
  <si>
    <t>NC</t>
  </si>
  <si>
    <t>*</t>
  </si>
  <si>
    <t>M</t>
  </si>
  <si>
    <t>VL+NC+M</t>
  </si>
  <si>
    <t xml:space="preserve">    - Chi Phí Chung</t>
  </si>
  <si>
    <t>TL</t>
  </si>
  <si>
    <t>T+C</t>
  </si>
  <si>
    <t>T+C+TL</t>
  </si>
  <si>
    <t>GTGT</t>
  </si>
  <si>
    <t>Gxdcpt</t>
  </si>
  <si>
    <t>G+GTGT</t>
  </si>
  <si>
    <t>Gxdlt</t>
  </si>
  <si>
    <t>% *</t>
  </si>
  <si>
    <t>Ván khuôn gỗ móng trụ biển báo</t>
  </si>
  <si>
    <t>Sơn vạch kẻ đường bằng sơn dẻo nhiệt dày 2mm</t>
  </si>
  <si>
    <t>BẢNG CHIẾT TÍNH CHI PHÍ KHẢO SÁT</t>
  </si>
  <si>
    <t>I/ CĂN CỨ LẬP CHI PHÍ KHẢO SÁT THIẾT KẾ.</t>
  </si>
  <si>
    <t>- Căn cứ vào công văn số 205/SXD ngày 25 tháng 12 năm 2007 của Sở Xây Dựng Vĩnh Long V/v công bố đơn giá XD công trình - phần khảo sát XD trên địa bàn Tỉnh Vĩnh Long;</t>
  </si>
  <si>
    <t>- Căn cứ vào công văn số 1126/SXD-KTTH ngày 20/12/2011 của Sở Xây Dựng Vĩnh Long v/v điều chỉnh chi phí nhân công và chi phí máy thi công trong dự toán xây dựng công trình;</t>
  </si>
  <si>
    <t>- Căn cứ thông tư số 17/2013/TT-BXD ngày 30/10/2013 của Bộ xây dựng V/v hướng dẫn xác định và quản lý chi phí khảo sát xây dựng; có hiệu lực từ ngày 15/12/2013;</t>
  </si>
  <si>
    <t>II/ DIỆN TÍCH KHẢO SÁT ĐO VẼ LẬP BÌNH ĐỒ.</t>
  </si>
  <si>
    <t>ha</t>
  </si>
  <si>
    <t>MÃ HIỆU</t>
  </si>
  <si>
    <t>NH.CÔNG</t>
  </si>
  <si>
    <t>MÁY</t>
  </si>
  <si>
    <t>Ct</t>
  </si>
  <si>
    <t>Pi</t>
  </si>
  <si>
    <t>(Ct+Pi)x(1+Lt)</t>
  </si>
  <si>
    <t>KHẢO SÁT ĐỊA HÌNH</t>
  </si>
  <si>
    <t>100ha</t>
  </si>
  <si>
    <t>Cộng chi phí khảo sát theo đơn giá.</t>
  </si>
  <si>
    <t>Chi phí chưa tính trong đơn giá.</t>
  </si>
  <si>
    <t>+</t>
  </si>
  <si>
    <t>Chi phí lập phương án kỹ thuật khảo sát xây dựng</t>
  </si>
  <si>
    <t>Chi phí lập báo cáo khảo sát xây dựng</t>
  </si>
  <si>
    <t>Chi phí chỗ ở tạm thời phục vụ công tác khảo sát</t>
  </si>
  <si>
    <t>Tổng cộng chi phí khảo sát trước thuế:</t>
  </si>
  <si>
    <t>Tổng cộng chi phí khảo sát sau thuế:</t>
  </si>
  <si>
    <t>x</t>
  </si>
  <si>
    <t>Ghi chú:</t>
  </si>
  <si>
    <t>1+Lt= 1,06</t>
  </si>
  <si>
    <t>Điều chỉnh NC theo công văn số 1126/SXD-KTTH ngày 20/12/2011 của Sở Xây dựng Vĩnh Long</t>
  </si>
  <si>
    <t>HS: 1,05</t>
  </si>
  <si>
    <t>Điều chỉnh xe máy theo QĐ 2443/QĐ.UBND ngày 5/12/2006 của UBND tỉnh Vĩnh Long</t>
  </si>
  <si>
    <t>Cống, hố ga, rãnh dọc:            10m x 5m x 3/10000</t>
  </si>
  <si>
    <t>Địa điểm: TP Vĩnh Long, Tỉnh Vĩnh Long</t>
  </si>
  <si>
    <t xml:space="preserve"> KHỐI LƯỢNG CHI TIẾT SỬA CHỮA TRONG THÀNH PHỐ VĨNH LONG</t>
  </si>
  <si>
    <t>III/ CHIẾT TÍNH CHI PHÍ KHẢO SÁT.</t>
  </si>
  <si>
    <t>Công trình : Điều chỉnh dải phân cách giữa QL.57                                                                                                    đoạn trước cổng Bệnh viện đa khoa tỉnh Vĩnh Long</t>
  </si>
  <si>
    <t>Đào bỏ đất trồng cây dải phân cách</t>
  </si>
  <si>
    <t>Phá bỏ bó vỉa dải phân cách</t>
  </si>
  <si>
    <t>HẠNG MỤC CÔNG VIỆC</t>
  </si>
  <si>
    <t>Đào gốc cây (tận dụng trồng lại vị trí mới)</t>
  </si>
  <si>
    <t>Đào khuôn đường</t>
  </si>
  <si>
    <t>Vận chuyển đất, bê tông bó vỉa trong phạm vi 1km</t>
  </si>
  <si>
    <t>Tưới nhựa lót tiêu chuẩn 1,0kg/m2</t>
  </si>
  <si>
    <t>Trãi BTN nguội dày 7cm</t>
  </si>
  <si>
    <t>Tưới nhựa lót tiêu chuẩn 0,5kg/m2</t>
  </si>
  <si>
    <t>Trãi BTN nguội dày 5cm</t>
  </si>
  <si>
    <t>Cắt mặt đường BTN dày 12cm</t>
  </si>
  <si>
    <t>100m</t>
  </si>
  <si>
    <t>gốc</t>
  </si>
  <si>
    <t>Cào bóc mặt đường BTN dày 12cm</t>
  </si>
  <si>
    <t>Đào móng bó vỉa</t>
  </si>
  <si>
    <t>Bê tông lót móng bó vỉa đá 4x6 M.100</t>
  </si>
  <si>
    <t>Trồng cây dải phân cách (tận dụng cây cũ)</t>
  </si>
  <si>
    <t>100cây</t>
  </si>
  <si>
    <t>Đập móng bê tông thu hồi trụ biển báo cũ</t>
  </si>
  <si>
    <t xml:space="preserve">Bê tông móng trụ biển báo đá 1x2 M.200 </t>
  </si>
  <si>
    <t>PHẦN ĐƯỜNG GIAO THÔNG</t>
  </si>
  <si>
    <t>PHẦN ĐẢM BẢO AN TOÀN GIAO THÔNG</t>
  </si>
  <si>
    <t>Cung cấp biển báo phản quang chữ nhật 90x130cm</t>
  </si>
  <si>
    <t>Cung cấp biển báo phản quang tam giác C=90cm</t>
  </si>
  <si>
    <t>Cung cấp trụ ống sắt D=90, dày 2mm, L=4m, sơn trắng đỏ</t>
  </si>
  <si>
    <t>Cung cấp trụ ống sắt D=90, dày 2mm, L=3.5m, sơn trắng đỏ</t>
  </si>
  <si>
    <t>Cung cấp trụ ống sắt D=90, dày 2mm, L=3.7m, sơn trắng đỏ</t>
  </si>
  <si>
    <t>Cung cấp biển báo công trường đang thi công 100x150cm</t>
  </si>
  <si>
    <t>Đèn báo hiệu ban đêm</t>
  </si>
  <si>
    <t>Nhân công điều tiết giao thông</t>
  </si>
  <si>
    <t>(5ngày*2công)</t>
  </si>
  <si>
    <t>- Vạch đi bộ qua đường:      (4m*0,4m*18vạch*2làn)</t>
  </si>
  <si>
    <t>(0,4m*0,4m*0,6m*2móng)</t>
  </si>
  <si>
    <t>(0,4m*0,6m*4tấm*2móng)</t>
  </si>
  <si>
    <t>(0,4m*0,4m*0,6m*4móng)</t>
  </si>
  <si>
    <t>(0,4m*0,6m*4tấm*4móng)</t>
  </si>
  <si>
    <t>Cung cấp thép hình L50x50x5mm khung biển báo công trường</t>
  </si>
  <si>
    <t>(38m*0,6m*0,3m*2bên)</t>
  </si>
  <si>
    <t>(36m*1,4m*0,3m)</t>
  </si>
  <si>
    <t>(18m*2bên/100)</t>
  </si>
  <si>
    <t>(18m*2m/100)</t>
  </si>
  <si>
    <t xml:space="preserve">(18m*0,4m*0,4m*2bên) </t>
  </si>
  <si>
    <t>Ván khuôn gỗ</t>
  </si>
  <si>
    <t>Bê tông đá 1x2 M.200</t>
  </si>
  <si>
    <t>- DPC giữa:         (5,5m*2m-3,14*1^2/2)*0,2m*2bên)</t>
  </si>
  <si>
    <t>- DPC giữa:         (5,5m*0,2m*2tấm+2m*0,2m)*2bên/100</t>
  </si>
  <si>
    <t xml:space="preserve">(18m*1,4m*0,4m) </t>
  </si>
  <si>
    <t xml:space="preserve">(18m*2bên+3,14m*2bên)*0,035m3 </t>
  </si>
  <si>
    <t>- Bó vỉa DPC:       (18m*2bên+3,14m*2bên)*0,18m3</t>
  </si>
  <si>
    <t>(38m*1,4m*0,5m)</t>
  </si>
  <si>
    <t>(0,729*11,87+0,729*16,62)/100</t>
  </si>
  <si>
    <t>- Bó vỉa DPC:       (18m*2bên+3,14m*2bên)*1,2m2/100</t>
  </si>
  <si>
    <t>(1,5m*4thanh+0,7m*2thanh+0,6m*4thanh)*3,77kg/m*2khung/1000</t>
  </si>
  <si>
    <t>BẢNG TỔNG HỢP KHỐI LƯỢNG</t>
  </si>
  <si>
    <t>(72,86m3*0,15m)/100</t>
  </si>
  <si>
    <t>(72,86m3*0,25m)/100</t>
  </si>
  <si>
    <t>(15,12m3+13,68m3+26,6m3)/100</t>
  </si>
  <si>
    <t>(0,4m*0,4m*0,5m*2móng)</t>
  </si>
  <si>
    <t>Đập móng bê tông thu hồi trụ biển báo sau khi thi công</t>
  </si>
  <si>
    <t>Làm móng CPĐD loại II dày 25cm</t>
  </si>
  <si>
    <t>Làm móng CPĐD loại I dày 15cm</t>
  </si>
  <si>
    <t>Đắp đất trồng cây (đất tận dụng)</t>
  </si>
  <si>
    <t>Bảo dưỡng cây sau khi trồng</t>
  </si>
  <si>
    <t xml:space="preserve">Trồng cỏ dải phân cách </t>
  </si>
  <si>
    <t>Bảo dưỡng cỏ sau khi trồng</t>
  </si>
  <si>
    <t>1m2/l</t>
  </si>
  <si>
    <t xml:space="preserve">(18m*1,4m) </t>
  </si>
  <si>
    <t>HAÏNG MUÏC CHI PHÍ</t>
  </si>
  <si>
    <t>KYÙ HIEÄU</t>
  </si>
  <si>
    <t>CAÙCH TÍNH</t>
  </si>
  <si>
    <t xml:space="preserve">    * Chi phí Tröïc tieáp</t>
  </si>
  <si>
    <t xml:space="preserve">    - Chi Phí Vaät Lieäu</t>
  </si>
  <si>
    <t xml:space="preserve">    - Chi Phí Nhaân coâng</t>
  </si>
  <si>
    <t xml:space="preserve">    - Chi Phí Maùy Thi Coâng</t>
  </si>
  <si>
    <t xml:space="preserve">    - Tröïc tieáp phí khaùc</t>
  </si>
  <si>
    <t xml:space="preserve">    * Coäng Chi Phí Tröïc Tieáp</t>
  </si>
  <si>
    <t xml:space="preserve">    - Thu nhaäp chòu thueá tính tröôùc</t>
  </si>
  <si>
    <t xml:space="preserve">    - Thueá giaù trò gia taêng</t>
  </si>
  <si>
    <t xml:space="preserve">    * Chi phí Xaây döïng sau thueá</t>
  </si>
  <si>
    <t xml:space="preserve">    - Chi phí XD nhaø taïm (laùn traïi)</t>
  </si>
  <si>
    <t>XM</t>
  </si>
  <si>
    <t xml:space="preserve">KINH PHÍ </t>
  </si>
  <si>
    <t>Gxdtt</t>
  </si>
  <si>
    <t>* CHI PHÍ THIẾT BỊ</t>
  </si>
  <si>
    <t>Gtb</t>
  </si>
  <si>
    <t>TV</t>
  </si>
  <si>
    <t>TV=TV1+TV2+…+TVn</t>
  </si>
  <si>
    <t>- Thẩm tra thiết kế (min=2.000.000)</t>
  </si>
  <si>
    <t xml:space="preserve"> </t>
  </si>
  <si>
    <t>- Thẩm tra dự toán (min=2.000.000)</t>
  </si>
  <si>
    <t>- Chi phí lập HSMT (HSYC) xây lắp (min:1.000.000 đ)</t>
  </si>
  <si>
    <t>- Chi phí thẩm định HSMT (HSYC) xây lắp (min:1.000.000 đ)</t>
  </si>
  <si>
    <t>- Chi phí đánh giá HSDT (HSĐX) xây lắp (min:1.000.000 đ)</t>
  </si>
  <si>
    <t>- Chi phí thẩm định kết quả lựa chọn nhà thầu xây lắp (min:1.000.000 đ)</t>
  </si>
  <si>
    <t>- Chi phí cho HĐTV giải quyết kiến nghị của nhà thầu (min:1.000.000 đ)</t>
  </si>
  <si>
    <t>- Giám sát thi công xây dựng</t>
  </si>
  <si>
    <t>- Chi phí lập HSMT (HSYC) tư vấn giám sát (min:1.000.000 đ)</t>
  </si>
  <si>
    <t>- Chi phí thẩm định HSMT (HSYC) tư vấn giám sát (min:1.000.000 đ)</t>
  </si>
  <si>
    <t>- Chi phí đánh giá HSDT (HSĐX) tư vấn giám sát (min:1.000.000 đ)</t>
  </si>
  <si>
    <t>- Chi phí thẩm định kết quả lựa chọn nhà thầu TVGS (min:1.000.000 đ)</t>
  </si>
  <si>
    <t>- Chi phí giám sát đánh giá đầu tư</t>
  </si>
  <si>
    <t xml:space="preserve">- Chi phí lập chứng thư thẩm định giá </t>
  </si>
  <si>
    <t>Theo hợp đồng</t>
  </si>
  <si>
    <t>- Chi phí kiểm định chất lượng công trình (tạm tính)</t>
  </si>
  <si>
    <t>- CP lập chứng thư thẩm định giá</t>
  </si>
  <si>
    <t>* Chi phí bồi hoàn giải phóng mặt bằng</t>
  </si>
  <si>
    <t>GPMB</t>
  </si>
  <si>
    <t>Theo QĐ 1620/QĐ-UBND, ngày 04/9/2015</t>
  </si>
  <si>
    <t>- Chi phí hỗ trợ di dời hàng rào</t>
  </si>
  <si>
    <t>M1</t>
  </si>
  <si>
    <t>Tạm tính theo tư vấn lập</t>
  </si>
  <si>
    <t xml:space="preserve">- Chi phí hỗ trợ di dời ống nước </t>
  </si>
  <si>
    <t>M2</t>
  </si>
  <si>
    <t xml:space="preserve">- Chi phí hỗ trợ di dời trụ điện </t>
  </si>
  <si>
    <t>M3</t>
  </si>
  <si>
    <t>* Chi phí khác</t>
  </si>
  <si>
    <t>K</t>
  </si>
  <si>
    <t>K=K1+K2+….+Kn</t>
  </si>
  <si>
    <t>%*</t>
  </si>
  <si>
    <t>- Chi phí một số công việc thuộc hạng mục chung không xác định được khối lượng từ thiết kế (TT06/2016/TT-BXD) (CKKL)</t>
  </si>
  <si>
    <t>- CP XD nhà tạm (lán trại)</t>
  </si>
  <si>
    <t>- Chi phí bảo dưỡng công trình       (TT11/2012/TT-BXD)</t>
  </si>
  <si>
    <t>- Lệ phí thẩm định bước lập BCKTKT              (TT 176/2011/TT-BTC)</t>
  </si>
  <si>
    <t>(Gxd+Q+TV+K1-&gt;K4)</t>
  </si>
  <si>
    <t>- Thẩm tra phê duyệt quyết toán (min=500.000) (TT09/2016/TT-BTC)</t>
  </si>
  <si>
    <t>(Gxd+Q+TV+K1-&gt;K5)</t>
  </si>
  <si>
    <t>- Chi phí kiểm toán quyết toán (min=1.000.000) (TT09/2016/TT-BTC)</t>
  </si>
  <si>
    <t>* Chi phí dự phòng</t>
  </si>
  <si>
    <t>Gdp</t>
  </si>
  <si>
    <t>Gdp1</t>
  </si>
  <si>
    <t>- Chi phí dự phòng khối lượng phát sinh</t>
  </si>
  <si>
    <t>- Chi phí dự phòng do yếu tố trượt giá</t>
  </si>
  <si>
    <t>Bảng tính dự phòng do yếu tố trượt giá</t>
  </si>
  <si>
    <t>TỔNG CỘNG</t>
  </si>
  <si>
    <t>- Chi phí khảo sát lập TKBVTC</t>
  </si>
  <si>
    <t>TV1</t>
  </si>
  <si>
    <t>- Chi phí lập TKBVTC</t>
  </si>
  <si>
    <t>TV2</t>
  </si>
  <si>
    <t>TV3</t>
  </si>
  <si>
    <t>TV4</t>
  </si>
  <si>
    <t>TV7</t>
  </si>
  <si>
    <t>Gxdtt*</t>
  </si>
  <si>
    <t>K7</t>
  </si>
  <si>
    <r>
      <t>G</t>
    </r>
    <r>
      <rPr>
        <vertAlign val="subscript"/>
        <sz val="11"/>
        <rFont val="Times New Roman"/>
        <family val="1"/>
      </rPr>
      <t>TVGS/1,1</t>
    </r>
  </si>
  <si>
    <r>
      <t>G</t>
    </r>
    <r>
      <rPr>
        <vertAlign val="subscript"/>
        <sz val="11"/>
        <rFont val="Times New Roman"/>
        <family val="1"/>
      </rPr>
      <t>TVKĐ/1,1</t>
    </r>
  </si>
  <si>
    <t>* Chi phí quản lý dự án</t>
  </si>
  <si>
    <t>* Chi phí tư vấn đầu tư xây dựng</t>
  </si>
  <si>
    <t>C0.012004</t>
  </si>
  <si>
    <t>Đo vẽ mặt cắt ngang tuyến trên cạn, ĐH cấp IV.</t>
  </si>
  <si>
    <t>- Đo vẽ mặt cắt ngang trên cạn, địa hình cấp IV</t>
  </si>
  <si>
    <t>m</t>
  </si>
  <si>
    <t xml:space="preserve">    500m x 20m / 10000 </t>
  </si>
  <si>
    <t>(20m x 3vị trí )</t>
  </si>
  <si>
    <t xml:space="preserve">Ct= VL + (NC x 3,972) + (M x 1,05) </t>
  </si>
  <si>
    <t>Pi= NC x 3,972 x 65%</t>
  </si>
  <si>
    <t>HS: 3,972</t>
  </si>
  <si>
    <t>- Đo vẽ chi tiết lập bình đồ trên cạn, tỷ lệ 1/1000, đường đồng mức 1m, địa hình cấp V</t>
  </si>
  <si>
    <t>CM.031005</t>
  </si>
  <si>
    <t>Đo vẽ bình đồ duỗi thẳng trên cạn, tỷ lệ 1/1000, đường đồng mức 1m, ĐH cấp V.</t>
  </si>
  <si>
    <t>Đèn chóp vàng tại ngã 3 ĐT.908-QL54:</t>
  </si>
  <si>
    <t>CCLĐ bình acqui khô 12V/20Ah</t>
  </si>
  <si>
    <t>bình</t>
  </si>
  <si>
    <t>Đèn chóp vàng tại ngã 4 Võ Văn Kiệt-N5:</t>
  </si>
  <si>
    <t>CCLĐ bộ sạc pin solar charge controller</t>
  </si>
  <si>
    <t>Đèn chóp vàng phía ngã tư  2/9 giao 30/4:</t>
  </si>
  <si>
    <t>Thay mới mâm led đếm lùi D300-24V</t>
  </si>
  <si>
    <t xml:space="preserve">Đèn tín hiện tại ngã 4 Trưng Nữ Vương-2/9: </t>
  </si>
  <si>
    <t>Thay mới mâm led đếm lùi D300-220V</t>
  </si>
  <si>
    <t xml:space="preserve">CCLĐ  hộp bảo vệ đèn </t>
  </si>
  <si>
    <t>hộp</t>
  </si>
  <si>
    <t>Thay mới bas thép đở hộp đèn</t>
  </si>
  <si>
    <t>Thay mới bas + ổ khóa bảo vệ tủ điều khiển</t>
  </si>
  <si>
    <t xml:space="preserve">Đèn tín hiện tại ngã 4 Hưng Đạo Vương - Nguyễn Thị Minh Khai: </t>
  </si>
  <si>
    <t xml:space="preserve">Đèn tín hiện tại ngã 4 Hưng Đạo Vương - 3/2: </t>
  </si>
  <si>
    <t>Đèn tín hiện ngã 3 Mậu Thân - QL53:</t>
  </si>
  <si>
    <t>Trụ đèn chớp vàng ngã 3 ĐT.903 - QL53:</t>
  </si>
  <si>
    <t>Trụ đèn chớp vàng ngã 3 ĐT.901 - QL53 (bên phải tuyến):</t>
  </si>
  <si>
    <t xml:space="preserve">Chốt đèn chớp vàng ngã 4 ĐT.905 - ĐT.909 </t>
  </si>
  <si>
    <t>Chốt đèn chớp vàng ngã 4 ĐT.904 - QL.54 (dốc cầu Trà Ôn):</t>
  </si>
  <si>
    <t>Công trình: Sửa chữa hư hỏng đột xuất đợt 6 năm 2017</t>
  </si>
  <si>
    <t>Địa điểm: tỉnh Vĩnh Long</t>
  </si>
  <si>
    <t>BẢNG CHI PHÍ THIẾT BỊ (ĐÈN TÍN HIỆU GIAO THÔNG)</t>
  </si>
  <si>
    <t>* Theo BBXN khối lượng hoàn thành ngày 15/8/2017</t>
  </si>
  <si>
    <t>* Theo BBXN khối lượng hoàn thành ngày 15/5/2017</t>
  </si>
  <si>
    <t>* Theo BBXN khối lượng hoàn thành ngày 23/11/2017</t>
  </si>
  <si>
    <t xml:space="preserve"> Ca</t>
  </si>
  <si>
    <t>- Nhân công 3,7/7</t>
  </si>
  <si>
    <t xml:space="preserve">Đèn tín hiện tại ngã 4 Đinh Tiên Hoàng - QL53: </t>
  </si>
  <si>
    <t>K5</t>
  </si>
  <si>
    <t>(Gxd+Gtb+Q+TV+K)</t>
  </si>
  <si>
    <t>* CHI PHÍ THIẾT BỊ TRƯỚC THUẾ</t>
  </si>
  <si>
    <t>Gtbtt</t>
  </si>
  <si>
    <t>Gtbtt * 1,1</t>
  </si>
  <si>
    <t>(Gxdtt+Gtbtt)</t>
  </si>
  <si>
    <t>- Giám sát lắp đặt thiết bị</t>
  </si>
  <si>
    <t xml:space="preserve">Gtbtt </t>
  </si>
  <si>
    <t xml:space="preserve">- Chi phí bảo trì công trình </t>
  </si>
  <si>
    <t>K4</t>
  </si>
  <si>
    <t>(Gxd+Q+TV+K1-&gt;K3)</t>
  </si>
  <si>
    <t xml:space="preserve">  BẢNG TỔNG HỢP KHỐI LƯỢNG THIẾT BỊ </t>
  </si>
  <si>
    <t>ĐƠN VỊ      TÍNH</t>
  </si>
  <si>
    <t>Tuần đường</t>
  </si>
  <si>
    <t>Đếm xe bằng thủ công</t>
  </si>
  <si>
    <t>1km/năm</t>
  </si>
  <si>
    <t>Cắt cỏ bằng máy</t>
  </si>
  <si>
    <t>Quản lý hành lang an toàn đường bộ và đấu nối</t>
  </si>
  <si>
    <t>Phát quang cây cỏ bằng thủ công</t>
  </si>
  <si>
    <t>Nắn sửa cột Km</t>
  </si>
  <si>
    <t>Nắn chỉnh, tu sửa biển báo</t>
  </si>
  <si>
    <t>Trực bão lũ</t>
  </si>
  <si>
    <t>Vệ sinh mặt cầu, ống thoát nước</t>
  </si>
  <si>
    <t>Vệ sinh khe co dãn cao su</t>
  </si>
  <si>
    <t>Vệ sinh mố cầu</t>
  </si>
  <si>
    <t>Phát quang cây dại</t>
  </si>
  <si>
    <t>III</t>
  </si>
  <si>
    <t>Kiểm tra cầu</t>
  </si>
  <si>
    <t>Kiểm tra trước và sau mùa mưa bão</t>
  </si>
  <si>
    <t>Quản lý hồ sơ trên vi tính</t>
  </si>
  <si>
    <t>Chống bồi rùa phao trụ Ø1000</t>
  </si>
  <si>
    <t>Chống bồi rùa phao trụ Ø1300</t>
  </si>
  <si>
    <t>Phát quang cây cối che khuất báo hiệu</t>
  </si>
  <si>
    <t>Trong coi tàu công tác</t>
  </si>
  <si>
    <t>40km/năm</t>
  </si>
  <si>
    <t>1km/ năm</t>
  </si>
  <si>
    <t>Nắn sửa cọc tiêu, cọc MLG</t>
  </si>
  <si>
    <t>1 cọc</t>
  </si>
  <si>
    <t>1 cột</t>
  </si>
  <si>
    <t>1md</t>
  </si>
  <si>
    <t>cầu/năm</t>
  </si>
  <si>
    <t>II</t>
  </si>
  <si>
    <t>Kiểm tra định kỳ, khẩn cấp, cập nhật số liệu cầu đường và tình hình bão lũ</t>
  </si>
  <si>
    <t>Cầu &lt; 50m</t>
  </si>
  <si>
    <t>Cầu 50m - 100m</t>
  </si>
  <si>
    <t>Cầu 100m - 200m</t>
  </si>
  <si>
    <t>A</t>
  </si>
  <si>
    <t>CÔNG TÁC QUẢN LÝ BẢO DƯỠNG THƯỜNG XUYÊN CẦU ĐƯỜNG BỘ</t>
  </si>
  <si>
    <t>B</t>
  </si>
  <si>
    <t>CÔNG TÁC QUẢN LÝ BẢO TRÌ ĐƯỜNG THỦY NỘI ĐỊA</t>
  </si>
  <si>
    <r>
      <t xml:space="preserve">Điều chỉnh phao trụ </t>
    </r>
    <r>
      <rPr>
        <sz val="12"/>
        <rFont val="Arial"/>
        <family val="2"/>
      </rPr>
      <t>Ø</t>
    </r>
    <r>
      <rPr>
        <sz val="12"/>
        <rFont val="Times New Roman"/>
        <family val="1"/>
      </rPr>
      <t>1000</t>
    </r>
  </si>
  <si>
    <r>
      <t xml:space="preserve">Điều chỉnh phao trụ </t>
    </r>
    <r>
      <rPr>
        <sz val="12"/>
        <rFont val="Arial"/>
        <family val="2"/>
      </rPr>
      <t>Ø</t>
    </r>
    <r>
      <rPr>
        <sz val="12"/>
        <rFont val="Times New Roman"/>
        <family val="1"/>
      </rPr>
      <t>1300</t>
    </r>
  </si>
  <si>
    <t>IV</t>
  </si>
  <si>
    <t>V</t>
  </si>
  <si>
    <t>VI</t>
  </si>
  <si>
    <t>VII</t>
  </si>
  <si>
    <t>VIII</t>
  </si>
  <si>
    <t>IX</t>
  </si>
  <si>
    <t>X</t>
  </si>
  <si>
    <t>XI</t>
  </si>
  <si>
    <t>MHĐM</t>
  </si>
  <si>
    <t>QLD.10150</t>
  </si>
  <si>
    <t>QLD.10230</t>
  </si>
  <si>
    <t>QLD.10340</t>
  </si>
  <si>
    <t>QLD.10410</t>
  </si>
  <si>
    <t>QLD.10610</t>
  </si>
  <si>
    <t>BDD.20410</t>
  </si>
  <si>
    <t>BDD.20510</t>
  </si>
  <si>
    <t>BDD.22310</t>
  </si>
  <si>
    <t>BDD.22410</t>
  </si>
  <si>
    <t>BDD.22510</t>
  </si>
  <si>
    <t>BDC.20610</t>
  </si>
  <si>
    <t>BDC.20910</t>
  </si>
  <si>
    <t>BDC.21010</t>
  </si>
  <si>
    <t>BDC.21710</t>
  </si>
  <si>
    <t>QLC.10140</t>
  </si>
  <si>
    <t>QLC.10340</t>
  </si>
  <si>
    <t>QLC.10440</t>
  </si>
  <si>
    <t>QLC.10130</t>
  </si>
  <si>
    <t>QLC.10330</t>
  </si>
  <si>
    <t>QLC.10430</t>
  </si>
  <si>
    <t>QLC.10120</t>
  </si>
  <si>
    <t>QLC.10320</t>
  </si>
  <si>
    <t>QLC.10420</t>
  </si>
  <si>
    <t>I</t>
  </si>
  <si>
    <t>CÔNG TÁC QUẢN LÝ BDTX ĐƯỜNG BỘ</t>
  </si>
  <si>
    <t>CÔNG TÁC QUẢN LÝ CẦU L &lt;= 300M</t>
  </si>
  <si>
    <t>CÔNG TÁC QUẢN LÝ CẦU CẦU L &lt;= 300M</t>
  </si>
  <si>
    <t>CÔNG TÁC BẢO DƯỠNG CẦU L &lt;= 300M</t>
  </si>
  <si>
    <t>Vét rãnh kín bằng thủ công</t>
  </si>
  <si>
    <t>10m</t>
  </si>
  <si>
    <t>BDD.20712</t>
  </si>
  <si>
    <t>2.02.3</t>
  </si>
  <si>
    <t>2.02.5</t>
  </si>
  <si>
    <t>2.03.3</t>
  </si>
  <si>
    <t>2.03.5</t>
  </si>
  <si>
    <t>3.12.68</t>
  </si>
  <si>
    <t>3.12.69</t>
  </si>
  <si>
    <t>3.12.71</t>
  </si>
  <si>
    <t xml:space="preserve"> - Xăng</t>
  </si>
  <si>
    <t>- Nhân công 5/7</t>
  </si>
  <si>
    <t xml:space="preserve"> - Giấy A4</t>
  </si>
  <si>
    <t>tờ</t>
  </si>
  <si>
    <t xml:space="preserve"> - Bút</t>
  </si>
  <si>
    <t>- Nhân công 3/7</t>
  </si>
  <si>
    <t>- Nhân công 4/7</t>
  </si>
  <si>
    <t xml:space="preserve"> - Lưỡi cắt</t>
  </si>
  <si>
    <t xml:space="preserve"> - Chổi quét</t>
  </si>
  <si>
    <t>chiếc</t>
  </si>
  <si>
    <t>- Nhân công 3,5/7</t>
  </si>
  <si>
    <t xml:space="preserve"> - Sổ theo dõi 36 trang</t>
  </si>
  <si>
    <t>quyển</t>
  </si>
  <si>
    <t xml:space="preserve"> - Bút </t>
  </si>
  <si>
    <t xml:space="preserve"> - Ca nô 120CV</t>
  </si>
  <si>
    <t>- Nhân công 4,5/7</t>
  </si>
  <si>
    <t xml:space="preserve"> - Tàu từ 23cv đến dưới 50cv</t>
  </si>
  <si>
    <t>I. ĐƯỜNG TỈNH 901</t>
  </si>
  <si>
    <t>lưỡi</t>
  </si>
  <si>
    <t>II. ĐƯỜNG TỈNH 902</t>
  </si>
  <si>
    <t>III. ĐƯỜNG TỈNH 903</t>
  </si>
  <si>
    <t>IV. ĐƯỜNG TỈNH 904</t>
  </si>
  <si>
    <t>V. ĐƯỜNG TỈNH 905</t>
  </si>
  <si>
    <t>VI. ĐƯỜNG TỈNH 906</t>
  </si>
  <si>
    <t>VII. ĐƯỜNG TỈNH 907</t>
  </si>
  <si>
    <t>VIII. ĐƯỜNG TỈNH 908</t>
  </si>
  <si>
    <t>IX. ĐƯỜNG TỈNH 909</t>
  </si>
  <si>
    <t>X. ĐƯỜNG TỈNH 910</t>
  </si>
  <si>
    <t>II. ĐƯỜNG TỈNH 902 - HUYỆN MANG THÍT</t>
  </si>
  <si>
    <t>III. ĐƯỜNG TỈNH 903 - HUYỆN MANG THÍT</t>
  </si>
  <si>
    <t>IV. ĐƯỜNG TỈNH 904 - HUYỆN TAM BÌNH</t>
  </si>
  <si>
    <t>V. ĐƯỜNG TỈNH 905 - HUYỆN TAM BÌNH</t>
  </si>
  <si>
    <t>VI. ĐƯỜNG TỈNH 906 - HUYỆN VŨNG LIÊM</t>
  </si>
  <si>
    <t>VII. ĐƯỜNG TỈNH 907 - HUYỆN VŨNG LIÊM</t>
  </si>
  <si>
    <t>VIII. ĐƯỜNG TỈNH 908 - HUYỆN BÌNH TÂN</t>
  </si>
  <si>
    <t xml:space="preserve">IX. ĐƯỜNG TỈNH 909 - HUYỆN TAM BÌNH </t>
  </si>
  <si>
    <t>X. ĐƯỜNG TỈNH 910 - HUYỆN BÌNH MINH</t>
  </si>
  <si>
    <t>I. ĐƯỜNG TỈNH 901 - HUYỆN TRÀ ÔN</t>
  </si>
  <si>
    <t>Gtt</t>
  </si>
  <si>
    <t>G1</t>
  </si>
  <si>
    <t>G2</t>
  </si>
  <si>
    <t>G3</t>
  </si>
  <si>
    <t>G4</t>
  </si>
  <si>
    <t>G5</t>
  </si>
  <si>
    <t>G6</t>
  </si>
  <si>
    <t>G7</t>
  </si>
  <si>
    <t>G8</t>
  </si>
  <si>
    <t>G9</t>
  </si>
  <si>
    <t>G10</t>
  </si>
  <si>
    <t>G11</t>
  </si>
  <si>
    <t>G/1.1</t>
  </si>
  <si>
    <t>* THUẾ GTGT</t>
  </si>
  <si>
    <t>Gtt * 10%</t>
  </si>
  <si>
    <t xml:space="preserve">    * Chi phí SP, DV coâng ích tröôùc thueá</t>
  </si>
  <si>
    <t xml:space="preserve">    * Chi phí SP, DV coâng ích sau thueá</t>
  </si>
  <si>
    <t>* CHI PHÍ SP, DV CÔNG ÍCH TRƯỚC THUẾ</t>
  </si>
  <si>
    <t xml:space="preserve">* CHI PHÍ SP, DV CÔNG ÍCH </t>
  </si>
  <si>
    <t>CHI PHÍ SẢN PHẨM DỊCH VỤ CÔNG ÍCH</t>
  </si>
  <si>
    <t xml:space="preserve">TỔNG HỢP DỰ TOÁN </t>
  </si>
  <si>
    <t>TC</t>
  </si>
  <si>
    <t>1km/1lần</t>
  </si>
  <si>
    <t>1lần/trạm đếm</t>
  </si>
  <si>
    <t>10m2</t>
  </si>
  <si>
    <t>1lần/trạmđếm</t>
  </si>
  <si>
    <t>Không in 2 cột này</t>
  </si>
  <si>
    <t>KHOI LUONG</t>
  </si>
  <si>
    <t>NC-ĐG</t>
  </si>
  <si>
    <t>XM-ĐG</t>
  </si>
  <si>
    <t>CỘNG CP TRỰC TIẾP</t>
  </si>
  <si>
    <t>CHI PHÍ CHUNG</t>
  </si>
  <si>
    <t>TN CHỊU THUẾ TT</t>
  </si>
  <si>
    <t xml:space="preserve">THUẾ GTGT </t>
  </si>
  <si>
    <t>CP MỘT SỐ CV THUỘC HMC</t>
  </si>
  <si>
    <t>CPXD NHÀ TẠM</t>
  </si>
  <si>
    <t>CHI PHÍ THIẾT BỊ</t>
  </si>
  <si>
    <t>ĐƠN GIÁ   TỔNG HỢP</t>
  </si>
  <si>
    <t>NCx3,602x 1,062</t>
  </si>
  <si>
    <t>XMx1,744</t>
  </si>
  <si>
    <t>T=(VL+NC+M)</t>
  </si>
  <si>
    <t>C =NCx66%</t>
  </si>
  <si>
    <t>TL=(T+C)x6%</t>
  </si>
  <si>
    <t>K2=G*2%*1,1</t>
  </si>
  <si>
    <t>K3=Gx2%*1,1</t>
  </si>
  <si>
    <t>Ktb=G+GTGT</t>
  </si>
  <si>
    <t>ĐGTH=Gxd+K2+K3+Ktb</t>
  </si>
  <si>
    <t>NCx3,972x 1,062</t>
  </si>
  <si>
    <t>XMx1,767</t>
  </si>
  <si>
    <t>Đơn vị tính: VND</t>
  </si>
  <si>
    <t>ĐƠN VỊ</t>
  </si>
  <si>
    <t>TỔNG CỘNG (TÍNH TRÒN):</t>
  </si>
  <si>
    <t>ĐƯỜNG TỈNH 901 - HUYỆN TRÀ ÔN</t>
  </si>
  <si>
    <t>ĐƯỜNG TỈNH 902 - HUYỆN MANG THÍT</t>
  </si>
  <si>
    <t>ĐƯỜNG TỈNH 903 - HUYỆN MANG THÍT</t>
  </si>
  <si>
    <t>ĐƯỜNG TỈNH 904 -  HUYỆN TAM BÌNH</t>
  </si>
  <si>
    <t>ĐƯỜNG TỈNH 905 - HUYỆN TAM BÌNH</t>
  </si>
  <si>
    <t>ĐƯỜNG TỈNH 906 - HUYỆN VŨNG LIÊM</t>
  </si>
  <si>
    <t>ĐƯỜNG TỈNH 907 - HUYỆN VŨNG LIÊM</t>
  </si>
  <si>
    <t>ĐƯỜNG TỈNH 908 - HUYỆN BÌNH TÂN</t>
  </si>
  <si>
    <t>ĐƯỜNG TỈNH 909 - HUYỆN TAM BÌNH</t>
  </si>
  <si>
    <t>ĐƯỜNG TỈNH 910 - HUYỆN BÌNH MINH</t>
  </si>
  <si>
    <t>ĐƠN GIÁ TỔNG HỢP</t>
  </si>
  <si>
    <t>NCx3,602x 1,063</t>
  </si>
  <si>
    <t>XMx1,745</t>
  </si>
  <si>
    <t>K2=G*2%*1,2</t>
  </si>
  <si>
    <t>K3=Gx2%*1,2</t>
  </si>
  <si>
    <t>CPSPDV TRƯỚC THUẾ</t>
  </si>
  <si>
    <t>CPSPDV         SAU THUẾ</t>
  </si>
  <si>
    <t>Gtt=T+C+TL</t>
  </si>
  <si>
    <t>G=Gtt+GTGT</t>
  </si>
  <si>
    <t>GTGT=Gttx  10%</t>
  </si>
  <si>
    <t>TỔNG CỘNG (tính tròn)</t>
  </si>
  <si>
    <t xml:space="preserve"> - Máy san 108CV</t>
  </si>
  <si>
    <t>XIV. CÔNG TÁC QUẢN LÝ BẢO TRÌ ĐƯỜNG THỦY NỘI ĐỊA</t>
  </si>
  <si>
    <t>G14</t>
  </si>
  <si>
    <t>G1 + G2 + … + G14</t>
  </si>
  <si>
    <t>1 lần/trạm đếm</t>
  </si>
  <si>
    <t>Bạt lề đường bằng máy</t>
  </si>
  <si>
    <t>100md</t>
  </si>
  <si>
    <t>BDD.203210</t>
  </si>
  <si>
    <t>Vệ sinh mặt đường bằng thủ công</t>
  </si>
  <si>
    <t>lần/km</t>
  </si>
  <si>
    <t>BDD.21312</t>
  </si>
  <si>
    <t>Vệ sinh mặt biển phản quang</t>
  </si>
  <si>
    <t>BDD.22910</t>
  </si>
  <si>
    <t>TỔNG CỘNG  (HM1+HM2+…):</t>
  </si>
  <si>
    <t xml:space="preserve">QUỐC LỘ 1A, KCN HÒA PHÚ, ĐƯỜNG VÀO KCN BÌNH MINH, CẦU MỸ HÒA TÂY VÀ CÁC ĐƯỜNG TRONG TPVL </t>
  </si>
  <si>
    <t>PHỤ LỤC BẢNG GIÁ</t>
  </si>
  <si>
    <t>BẢNG THỐNG KÊ DỊÊN TÍCH MẶT BIỂNC PHẢN QUANG</t>
  </si>
  <si>
    <t>TÊN ĐƯỜNG</t>
  </si>
  <si>
    <t>DIỆN TÍCH</t>
  </si>
  <si>
    <t>GHI CHÚ</t>
  </si>
  <si>
    <t>ĐƯỜNG ĐÔ THỊ</t>
  </si>
  <si>
    <t xml:space="preserve">XI. QUỐC LỘ 1A, KCN HÒA PHÚ, ĐƯỜNG VÀO KCN BÌNH MINH, CẦU MỸ HÒA TÂY VÀ CÁC ĐƯỜNG TRONG TPVL </t>
  </si>
  <si>
    <t xml:space="preserve">XI. QUỐC LỘ 1A, KCN HÒA PHÚ, ĐƯỜNG VÀO KCN BÌNH MINH, CẦU MỸ HÒA TÂY 
VÀ CÁC ĐƯỜNG TRONG TPVL </t>
  </si>
  <si>
    <t>Km</t>
  </si>
  <si>
    <t>Ghi chú</t>
  </si>
  <si>
    <t>Tên cầu</t>
  </si>
  <si>
    <t>Vệ sinh mặt cầu</t>
  </si>
  <si>
    <t>Md</t>
  </si>
  <si>
    <t>Mố A</t>
  </si>
  <si>
    <t>Mố B</t>
  </si>
  <si>
    <t>Tổng</t>
  </si>
  <si>
    <t>Trái</t>
  </si>
  <si>
    <t>Phải</t>
  </si>
  <si>
    <t>ĐƯỜNG TỈNH 905</t>
  </si>
  <si>
    <t>Cầu Sập</t>
  </si>
  <si>
    <t>Rạch Rừng</t>
  </si>
  <si>
    <t>Cái Sơn</t>
  </si>
  <si>
    <t>Lô Mười</t>
  </si>
  <si>
    <t>Chòi Mòi</t>
  </si>
  <si>
    <t>Lung Chuối</t>
  </si>
  <si>
    <t>Bằng Tăng Mới</t>
  </si>
  <si>
    <t>ĐƯỜNG TỈNH 908</t>
  </si>
  <si>
    <t>Cầu Bu Kê 2</t>
  </si>
  <si>
    <t>Cầu Kinh Tư</t>
  </si>
  <si>
    <t>Cầu 26 tháng 3</t>
  </si>
  <si>
    <t xml:space="preserve">Cầu Rạch Sậy </t>
  </si>
  <si>
    <t>Cầu Bờ Khóm</t>
  </si>
  <si>
    <t>Kinh Hai Quí</t>
  </si>
  <si>
    <t>Cầu Cống Số 1</t>
  </si>
  <si>
    <t>Cầu Cống Số 2</t>
  </si>
  <si>
    <t>Cầu Cống Số 3</t>
  </si>
  <si>
    <t>Kinh Cô Dụng</t>
  </si>
  <si>
    <t>Cầu Kinh 12</t>
  </si>
  <si>
    <t>Cầu Kinh Củ</t>
  </si>
  <si>
    <t>Cầu Bờ Bướm</t>
  </si>
  <si>
    <t>Ông Huyện</t>
  </si>
  <si>
    <t>Kinh Lung Cái</t>
  </si>
  <si>
    <t xml:space="preserve">Cầu Xã Khánh </t>
  </si>
  <si>
    <t>Cầu Mười Bồi</t>
  </si>
  <si>
    <t>Cầu Kiến Vàng</t>
  </si>
  <si>
    <t>Cầu Kiến Sơn</t>
  </si>
  <si>
    <t>Cổ Hủ</t>
  </si>
  <si>
    <t>Quan Tổng Trấn</t>
  </si>
  <si>
    <t>ĐƯỜNG TỈNH 910</t>
  </si>
  <si>
    <t>Rạch Chùa</t>
  </si>
  <si>
    <t>Xẻo Rạch Chùa</t>
  </si>
  <si>
    <t>Tầm Giuộc Nhỏ</t>
  </si>
  <si>
    <t>Tầm Giuộc Lớn</t>
  </si>
  <si>
    <t>Mỹ Hòa Tây</t>
  </si>
  <si>
    <t>Cầu Vượt QL1</t>
  </si>
  <si>
    <t>ĐƯỜNG TỈNH 903</t>
  </si>
  <si>
    <t>Số 1</t>
  </si>
  <si>
    <t>Số 6</t>
  </si>
  <si>
    <t>Đìa Môn</t>
  </si>
  <si>
    <t>ĐƯỜNG TỈNH 904</t>
  </si>
  <si>
    <t>Ba Kè</t>
  </si>
  <si>
    <t>Cái Sơn Bé</t>
  </si>
  <si>
    <t>Cái Sơn Lớn</t>
  </si>
  <si>
    <t>Bằng Tăng Củ</t>
  </si>
  <si>
    <t>Ông Đốc</t>
  </si>
  <si>
    <t>Lò Voi</t>
  </si>
  <si>
    <t>Ba Phố</t>
  </si>
  <si>
    <t>Ông Trư</t>
  </si>
  <si>
    <t>Rạch Lá</t>
  </si>
  <si>
    <t>Sóc Tro</t>
  </si>
  <si>
    <t>ĐƯỜNG TỈNH 909</t>
  </si>
  <si>
    <t>Rạch Ông Bái</t>
  </si>
  <si>
    <t>Rạch Cây Cồng</t>
  </si>
  <si>
    <t>Rạch Ông Lễ</t>
  </si>
  <si>
    <t>Hòa Tịnh</t>
  </si>
  <si>
    <t>Kênh Mới</t>
  </si>
  <si>
    <t>Cả Nguyên</t>
  </si>
  <si>
    <t>Bếp Đặng</t>
  </si>
  <si>
    <t xml:space="preserve">Thông Quan </t>
  </si>
  <si>
    <t>Xẻo Đậu</t>
  </si>
  <si>
    <t xml:space="preserve">Quan Vệ </t>
  </si>
  <si>
    <t>Cầu Cống Bản 1</t>
  </si>
  <si>
    <t>Cầu Cống Bản 2</t>
  </si>
  <si>
    <t>Cái Ngang</t>
  </si>
  <si>
    <t>Cả Lá</t>
  </si>
  <si>
    <t>Rạch Ranh</t>
  </si>
  <si>
    <t xml:space="preserve">Kinh Xáng </t>
  </si>
  <si>
    <t>Bình Phú</t>
  </si>
  <si>
    <t>Kinh Ranh</t>
  </si>
  <si>
    <t>19 tháng 5</t>
  </si>
  <si>
    <t>Ngãi Tứ</t>
  </si>
  <si>
    <t>Giáo Mẹo</t>
  </si>
  <si>
    <t>Hóa Thành</t>
  </si>
  <si>
    <t>ĐƯỜNG TỈNH 906</t>
  </si>
  <si>
    <t>Nam Trung 1</t>
  </si>
  <si>
    <t>Nam Trung 2</t>
  </si>
  <si>
    <t>Lái Hòn</t>
  </si>
  <si>
    <t>Nhà Đài</t>
  </si>
  <si>
    <t>Cầu Trắng</t>
  </si>
  <si>
    <t xml:space="preserve">Đình Đôi </t>
  </si>
  <si>
    <t>Quan Hai</t>
  </si>
  <si>
    <t>Trà Ngoa</t>
  </si>
  <si>
    <t>Hựu Thành</t>
  </si>
  <si>
    <t>ĐƯỜNG TỈNH 907</t>
  </si>
  <si>
    <t>Mỹ Trung</t>
  </si>
  <si>
    <t>Tân Mỹ</t>
  </si>
  <si>
    <t>Mỹ An</t>
  </si>
  <si>
    <t>Lò Mo</t>
  </si>
  <si>
    <t xml:space="preserve">Trà Côn </t>
  </si>
  <si>
    <t xml:space="preserve">Trà Sơn </t>
  </si>
  <si>
    <t>Kinh Đào</t>
  </si>
  <si>
    <t>Nhà Thờ</t>
  </si>
  <si>
    <t>Kinh 60</t>
  </si>
  <si>
    <t>Út Inh</t>
  </si>
  <si>
    <t>Kinh Ba Chọn</t>
  </si>
  <si>
    <t>Tư Dân</t>
  </si>
  <si>
    <t>Tư Tráng</t>
  </si>
  <si>
    <t>Kinh Tắc</t>
  </si>
  <si>
    <t>Ngã Tư Nhỏ</t>
  </si>
  <si>
    <t>An Lạc</t>
  </si>
  <si>
    <t>Sậy Đồn</t>
  </si>
  <si>
    <t>Nghĩa Trang</t>
  </si>
  <si>
    <t>Đức Hòa</t>
  </si>
  <si>
    <t>Rạch Cấp</t>
  </si>
  <si>
    <t>Trung Hiệp B</t>
  </si>
  <si>
    <t>Rạch Nưng</t>
  </si>
  <si>
    <t>Ruột Ngựa</t>
  </si>
  <si>
    <t>Me Đôi</t>
  </si>
  <si>
    <t>Trung Hiệp 1</t>
  </si>
  <si>
    <t>ĐƯỜNG TỈNH 902</t>
  </si>
  <si>
    <t>Cá Lóc</t>
  </si>
  <si>
    <t>Ông Diệm</t>
  </si>
  <si>
    <t>Cái Cạn</t>
  </si>
  <si>
    <t>Thầy Cai</t>
  </si>
  <si>
    <t>Cái Tranh</t>
  </si>
  <si>
    <t>Bà Bổn</t>
  </si>
  <si>
    <t>Cái Kè</t>
  </si>
  <si>
    <t>Mười Điếc</t>
  </si>
  <si>
    <t>Đình Thủy Thuận</t>
  </si>
  <si>
    <t>Thủy Thuận</t>
  </si>
  <si>
    <t>Chợ Thủy Thuận</t>
  </si>
  <si>
    <t>Hòa Phú</t>
  </si>
  <si>
    <t xml:space="preserve">Rạch Không Tên </t>
  </si>
  <si>
    <t>Rạch Đập</t>
  </si>
  <si>
    <t>Trường Định</t>
  </si>
  <si>
    <t>TPVL</t>
  </si>
  <si>
    <t>Thiềng Đức</t>
  </si>
  <si>
    <t>Cái Cá</t>
  </si>
  <si>
    <t>Cầu Lộ</t>
  </si>
  <si>
    <t>Mậu Thân</t>
  </si>
  <si>
    <t>Phạm Thái Bường</t>
  </si>
  <si>
    <t>Cầu Lầu</t>
  </si>
  <si>
    <t>Cầu Kè</t>
  </si>
  <si>
    <t>Long Thanh</t>
  </si>
  <si>
    <t>Hưng Đạo Vương</t>
  </si>
  <si>
    <t>Cầu Kênh Mới</t>
  </si>
  <si>
    <t>Cầu Ngang</t>
  </si>
  <si>
    <t>Quốc lộ 1 (củ)</t>
  </si>
  <si>
    <t>Cái Côn</t>
  </si>
  <si>
    <t>Cái Cam</t>
  </si>
  <si>
    <t>Bình Lữ</t>
  </si>
  <si>
    <t>Tân Hữu</t>
  </si>
  <si>
    <t>Đường Chừa</t>
  </si>
  <si>
    <t>ĐƯỜNG TỈNH 901</t>
  </si>
  <si>
    <t>Bưng Trường</t>
  </si>
  <si>
    <t>Rạch Chiếc</t>
  </si>
  <si>
    <t>Vàm Vòng</t>
  </si>
  <si>
    <t>Vĩnh Trà</t>
  </si>
  <si>
    <t xml:space="preserve">Thới Hòa </t>
  </si>
  <si>
    <t>Cầu Cống</t>
  </si>
  <si>
    <t>Tường Nghĩa</t>
  </si>
  <si>
    <t>Cầu Bò</t>
  </si>
  <si>
    <t>Hòa Bình</t>
  </si>
  <si>
    <t>Vàm Hiệp Hòa</t>
  </si>
  <si>
    <t>Đường Trâu</t>
  </si>
  <si>
    <t xml:space="preserve">Đìa Muồng </t>
  </si>
  <si>
    <t>Cả Cá</t>
  </si>
  <si>
    <t>Mương Khai</t>
  </si>
  <si>
    <t>Gò Ân</t>
  </si>
  <si>
    <t>Đường Trôm 2</t>
  </si>
  <si>
    <t>TỔNG CỘNG (I+II+…+V)</t>
  </si>
  <si>
    <t>BẢNG THỐNG KÊ SỐ LƯỢNG CẦU 
NĂM 2019</t>
  </si>
  <si>
    <t>ĐƯỜNG TỈNH</t>
  </si>
  <si>
    <t>TÊN CẦU</t>
  </si>
  <si>
    <t>CHIỀU
DÀI (MD)</t>
  </si>
  <si>
    <t>Dài &lt;50</t>
  </si>
  <si>
    <t>Dài
50-100</t>
  </si>
  <si>
    <t>Dài
100-200</t>
  </si>
  <si>
    <t>GHI
CHÚ</t>
  </si>
  <si>
    <t>I. HẠT SỐ 1</t>
  </si>
  <si>
    <t>ĐT 905</t>
  </si>
  <si>
    <t>ĐT 908</t>
  </si>
  <si>
    <t>CáiTàuSócTro</t>
  </si>
  <si>
    <t>KinhThốngNhất</t>
  </si>
  <si>
    <t>ĐT 910</t>
  </si>
  <si>
    <t>Cầu T2</t>
  </si>
  <si>
    <t>Cầu T3</t>
  </si>
  <si>
    <t>Tư Tây</t>
  </si>
  <si>
    <t>San Máu</t>
  </si>
  <si>
    <t>Trà Kiết</t>
  </si>
  <si>
    <t>KCN Hòa Phú</t>
  </si>
  <si>
    <t>II. HẠT SỐ 2</t>
  </si>
  <si>
    <t>ĐT 903</t>
  </si>
  <si>
    <t>ĐT 904</t>
  </si>
  <si>
    <t>ĐT 909</t>
  </si>
  <si>
    <t>Cầu Gia Cố Cống Bản 1</t>
  </si>
  <si>
    <t>Cầu Gia Cố Cống Bản 2</t>
  </si>
  <si>
    <t>III. HẠT SỐ 3</t>
  </si>
  <si>
    <t>ĐT 906</t>
  </si>
  <si>
    <t>ĐT 907</t>
  </si>
  <si>
    <t>IV. HẠT SỐ 4</t>
  </si>
  <si>
    <t>ĐT 902</t>
  </si>
  <si>
    <t>Cầu trong TPVL</t>
  </si>
  <si>
    <t>Cầu Long Thanh</t>
  </si>
  <si>
    <t>Cầu Hưng Đạo Vương</t>
  </si>
  <si>
    <t>Quốc lộ 1</t>
  </si>
  <si>
    <t>V. HẠT SỐ 5</t>
  </si>
  <si>
    <t>ĐT 901</t>
  </si>
  <si>
    <t>BẢNG TỔNG HỢP CỌC TIÊU, MÓC LỘ GIỚI, CỘT KM, BIỂN BÁO</t>
  </si>
  <si>
    <t>CỌC TIÊU,
MLG</t>
  </si>
  <si>
    <t>CỘT
KM</t>
  </si>
  <si>
    <t>BIỂN
BÁO</t>
  </si>
  <si>
    <t xml:space="preserve">BẢNG TỔNG HỢP CỘT BÁO HIỆU </t>
  </si>
  <si>
    <t>SÔNG</t>
  </si>
  <si>
    <t>LÝ TRÌNH</t>
  </si>
  <si>
    <t>BỜ</t>
  </si>
  <si>
    <t>CHIỀU CAO</t>
  </si>
  <si>
    <t>CỘT</t>
  </si>
  <si>
    <t>SỐ BIỂN</t>
  </si>
  <si>
    <t>ĐÃ DI DỜI</t>
  </si>
  <si>
    <t>Km00+000</t>
  </si>
  <si>
    <t>12m</t>
  </si>
  <si>
    <t>Dàn</t>
  </si>
  <si>
    <t>Tiêu thị</t>
  </si>
  <si>
    <t>Không tính</t>
  </si>
  <si>
    <t>9m</t>
  </si>
  <si>
    <t>I 140</t>
  </si>
  <si>
    <t>Km00+200</t>
  </si>
  <si>
    <t>6m</t>
  </si>
  <si>
    <t>Km00+400</t>
  </si>
  <si>
    <t>Km00+600</t>
  </si>
  <si>
    <t>Km02+520</t>
  </si>
  <si>
    <t>Ø 140</t>
  </si>
  <si>
    <t>Km02+900</t>
  </si>
  <si>
    <t>Đội Hổ</t>
  </si>
  <si>
    <t>Km02+600</t>
  </si>
  <si>
    <t>Km03+110</t>
  </si>
  <si>
    <t>Km03+300</t>
  </si>
  <si>
    <t>Km03+550</t>
  </si>
  <si>
    <t>Kênh Bu Kê</t>
  </si>
  <si>
    <t>Km00+450</t>
  </si>
  <si>
    <t>Km00+550</t>
  </si>
  <si>
    <t>Km02+300</t>
  </si>
  <si>
    <t>Km02+500</t>
  </si>
  <si>
    <t>Km04+100</t>
  </si>
  <si>
    <t>Km04+450</t>
  </si>
  <si>
    <t>Km06+100</t>
  </si>
  <si>
    <t>Km06+580</t>
  </si>
  <si>
    <t>Km09+650</t>
  </si>
  <si>
    <t>Rạch Chà Và</t>
  </si>
  <si>
    <t>Km00+430</t>
  </si>
  <si>
    <t>Km00+500</t>
  </si>
  <si>
    <t>Kinh Chà Và</t>
  </si>
  <si>
    <t>Km05+850</t>
  </si>
  <si>
    <t>Km05+900</t>
  </si>
  <si>
    <t>Km06+200</t>
  </si>
  <si>
    <t>Cái Vồn Lớn</t>
  </si>
  <si>
    <t>Km00+100</t>
  </si>
  <si>
    <t xml:space="preserve">Trái </t>
  </si>
  <si>
    <t>Km01+600</t>
  </si>
  <si>
    <t>Km00+900</t>
  </si>
  <si>
    <t>Km01+400</t>
  </si>
  <si>
    <t>Km04+000</t>
  </si>
  <si>
    <t>Km04+800</t>
  </si>
  <si>
    <t>Km08+800</t>
  </si>
  <si>
    <t>Km09+200</t>
  </si>
  <si>
    <t>Km09+300</t>
  </si>
  <si>
    <t>Ba Càng</t>
  </si>
  <si>
    <t>Km01+200</t>
  </si>
  <si>
    <t>Km01+610</t>
  </si>
  <si>
    <t>Km04+400</t>
  </si>
  <si>
    <t>Km05+300</t>
  </si>
  <si>
    <t>Km05+700</t>
  </si>
  <si>
    <t>Km15+450</t>
  </si>
  <si>
    <t>Km15+550</t>
  </si>
  <si>
    <t>Km16+000</t>
  </si>
  <si>
    <t>Long Hồ</t>
  </si>
  <si>
    <t>Km00+800</t>
  </si>
  <si>
    <t>Km02+890</t>
  </si>
  <si>
    <t>Km03+200</t>
  </si>
  <si>
    <t>Km08+350</t>
  </si>
  <si>
    <t>Cái Sao</t>
  </si>
  <si>
    <t>Km08+500</t>
  </si>
  <si>
    <t>Km08+750</t>
  </si>
  <si>
    <t>Km09+250</t>
  </si>
  <si>
    <t>Km11+700</t>
  </si>
  <si>
    <t>Km12+500</t>
  </si>
  <si>
    <t>Km12+780</t>
  </si>
  <si>
    <t>Km12+800</t>
  </si>
  <si>
    <t>Km16+100</t>
  </si>
  <si>
    <t>Km16+400</t>
  </si>
  <si>
    <t>Km20+250</t>
  </si>
  <si>
    <t>Km20+850</t>
  </si>
  <si>
    <t>Km27+200</t>
  </si>
  <si>
    <t>Km27+700</t>
  </si>
  <si>
    <t>Km00+110</t>
  </si>
  <si>
    <t>Km00+700</t>
  </si>
  <si>
    <t>Km01+000</t>
  </si>
  <si>
    <t>Km01+450</t>
  </si>
  <si>
    <t>Km01+800</t>
  </si>
  <si>
    <t>Rạch Thầy Bao</t>
  </si>
  <si>
    <t>Km08+900</t>
  </si>
  <si>
    <t>Rạch Cái Mới</t>
  </si>
  <si>
    <t>Km11+000</t>
  </si>
  <si>
    <t>Km11+750</t>
  </si>
  <si>
    <t>Cái Nhum</t>
  </si>
  <si>
    <t>Km15+700</t>
  </si>
  <si>
    <t>Vũng Liêm</t>
  </si>
  <si>
    <t>Km03+800</t>
  </si>
  <si>
    <t>Km11+050</t>
  </si>
  <si>
    <t>Km11+800</t>
  </si>
  <si>
    <t>Km15+750</t>
  </si>
  <si>
    <t>Km16+250</t>
  </si>
  <si>
    <t>Km20+800</t>
  </si>
  <si>
    <t>Km21+150</t>
  </si>
  <si>
    <t>Km21+310</t>
  </si>
  <si>
    <t>Km21+500</t>
  </si>
  <si>
    <t>Ngãi Chánh</t>
  </si>
  <si>
    <t>Km21+600</t>
  </si>
  <si>
    <t>Km21+800</t>
  </si>
  <si>
    <t>Km27+500</t>
  </si>
  <si>
    <t>Km27+850</t>
  </si>
  <si>
    <t>Km30+150</t>
  </si>
  <si>
    <t>Km30+250</t>
  </si>
  <si>
    <t>Km36+800</t>
  </si>
  <si>
    <t>Km37+200</t>
  </si>
  <si>
    <t>Cái Vồn Nhỏ</t>
  </si>
  <si>
    <t>Km00+300</t>
  </si>
  <si>
    <t>Km01+750</t>
  </si>
  <si>
    <t>Km02+050</t>
  </si>
  <si>
    <t>Km02+400</t>
  </si>
  <si>
    <t>Km03+100</t>
  </si>
  <si>
    <t>Km05+390</t>
  </si>
  <si>
    <t>Mỹ Thuận</t>
  </si>
  <si>
    <t>Km01+700</t>
  </si>
  <si>
    <t>Km02+450</t>
  </si>
  <si>
    <t>Km06+300</t>
  </si>
  <si>
    <t>Km05+090</t>
  </si>
  <si>
    <t>Km09+800</t>
  </si>
  <si>
    <t>Km09+900</t>
  </si>
  <si>
    <t>Km10+500</t>
  </si>
  <si>
    <t>Mương Lộ</t>
  </si>
  <si>
    <t>Km00+850</t>
  </si>
  <si>
    <t>Km03+000</t>
  </si>
  <si>
    <t>Km03+450</t>
  </si>
  <si>
    <t>Km03+500</t>
  </si>
  <si>
    <t>Km03+900</t>
  </si>
  <si>
    <t>Lập bảng</t>
  </si>
  <si>
    <t>Nguyễn Anh Tuấn</t>
  </si>
  <si>
    <t>BẢNG TỔNG HỢP PHAO BÁO HIỆU</t>
  </si>
  <si>
    <t xml:space="preserve">SÔNG </t>
  </si>
  <si>
    <t>KÍCH THƯỚC</t>
  </si>
  <si>
    <t>THƯỢNG LƯU</t>
  </si>
  <si>
    <t>HẠ LƯU</t>
  </si>
  <si>
    <t>Ø 1000</t>
  </si>
  <si>
    <t>Ø 1300</t>
  </si>
  <si>
    <t>Km02+620</t>
  </si>
  <si>
    <t>Cầu Vòng</t>
  </si>
  <si>
    <t>Km02+820</t>
  </si>
  <si>
    <t>Km03+400</t>
  </si>
  <si>
    <t>Ông Me Nhỏ</t>
  </si>
  <si>
    <t>Km00+140</t>
  </si>
  <si>
    <t>Km00+340</t>
  </si>
  <si>
    <t>Km05+ 900</t>
  </si>
  <si>
    <t>Cầu Chà Và</t>
  </si>
  <si>
    <t>Km01+090</t>
  </si>
  <si>
    <t>Km01+290</t>
  </si>
  <si>
    <t>Chợ Cua</t>
  </si>
  <si>
    <t>Giáp Nước</t>
  </si>
  <si>
    <t>Km16+300</t>
  </si>
  <si>
    <t>Km27+400</t>
  </si>
  <si>
    <t>Km27+600</t>
  </si>
  <si>
    <t>Km15+950</t>
  </si>
  <si>
    <t>Cầu Số 9</t>
  </si>
  <si>
    <t>Km16+150</t>
  </si>
  <si>
    <t>Km03+600</t>
  </si>
  <si>
    <t>Km11+100</t>
  </si>
  <si>
    <t>Trung Hiệp</t>
  </si>
  <si>
    <t>Km11+300</t>
  </si>
  <si>
    <t>Km15+800</t>
  </si>
  <si>
    <t>Đông Bình</t>
  </si>
  <si>
    <t>Km02+000</t>
  </si>
  <si>
    <t>Km02+750</t>
  </si>
  <si>
    <t>Km02+950</t>
  </si>
  <si>
    <t>Km04+900</t>
  </si>
  <si>
    <t>Mỹ Hòa</t>
  </si>
  <si>
    <t>Km05+100</t>
  </si>
  <si>
    <t>Km00+180</t>
  </si>
  <si>
    <t>Km00+380</t>
  </si>
  <si>
    <t>Tổng cộng</t>
  </si>
  <si>
    <t>BẢNG THỐNG KÊ RÃNH DỌC QUỐC LỘ 1</t>
  </si>
  <si>
    <t xml:space="preserve">VỊ TRÍ </t>
  </si>
  <si>
    <t>CHIỀU DÀI
(md)</t>
  </si>
  <si>
    <t>Từ Km 2032+040 - Km 2032+284 bên phải tuyến</t>
  </si>
  <si>
    <t>Đường vào Cầu Cái Côn</t>
  </si>
  <si>
    <t>Mố A từ Km 2032+269 - Km 2032+440 bên phải</t>
  </si>
  <si>
    <t>Mố B từ Km 2032+500 - Km 2032+652 bên phải</t>
  </si>
  <si>
    <t>Mố B từ Km 2032+500 - Km 2032+633 bên trái</t>
  </si>
  <si>
    <t>Đường vào Cầu Cái Cam</t>
  </si>
  <si>
    <t>Mố A từ Km 2032+145 - Km 2032+259 bên phải</t>
  </si>
  <si>
    <t>Mố B từ Km 2032+371 - Km 2032+508 bên phải</t>
  </si>
  <si>
    <t>Đường vào Cầu Bình Lữ</t>
  </si>
  <si>
    <t>Mố A từ Km 2035+825 - Km 2035+900 bên trái</t>
  </si>
  <si>
    <t>Mố B từ Km 2035+926 - Km 2035+954 bên trái</t>
  </si>
  <si>
    <t>Đường vào Cầu Tân Hữu</t>
  </si>
  <si>
    <t>Mố A từ Km 2037+692 - Km 2037+764 bên trái + phải</t>
  </si>
  <si>
    <t>Mố B từ Km 2037+784 - Km 2037+863 bên trái + phải</t>
  </si>
  <si>
    <t>Đường vào Cầu Đường Chừa</t>
  </si>
  <si>
    <t>Mố A từ Km 2039+507 - Km 2039+655 bên trái</t>
  </si>
  <si>
    <t>Mố B từ Km 2039+784 - Km 2039+915 bên trái</t>
  </si>
  <si>
    <t>Khu vực gần bế xe</t>
  </si>
  <si>
    <t>Tổng Cộng</t>
  </si>
  <si>
    <t>BẢNG TỔNG HỢP PHẦN ĐƯỜNG TRONG NĂM 2019</t>
  </si>
  <si>
    <t>TỔ SỐ 1</t>
  </si>
  <si>
    <t>TỔ SỐ 2</t>
  </si>
  <si>
    <t>TỔ SỐ 3</t>
  </si>
  <si>
    <t>TỔ SỐ 4</t>
  </si>
  <si>
    <t>TỔ SỐ 5</t>
  </si>
  <si>
    <t xml:space="preserve">Trừ KL cầu </t>
  </si>
  <si>
    <t xml:space="preserve">TỔNG CỘNG </t>
  </si>
  <si>
    <t>Đường vào Cảng BM</t>
  </si>
  <si>
    <t>Cầu Vượt QL 1</t>
  </si>
  <si>
    <t>Cầu Mỹ Hòa Tây</t>
  </si>
  <si>
    <t>Đường trong TPVL</t>
  </si>
  <si>
    <t>Trừ KL cầu</t>
  </si>
  <si>
    <t>BẢNG TỔNG HỢP PHẦN CẦU TRONG NĂM 2019</t>
  </si>
  <si>
    <t>md</t>
  </si>
  <si>
    <t>Cầu KCN Hòa Phú</t>
  </si>
  <si>
    <t>PHÒNG QLGT</t>
  </si>
  <si>
    <t>Vĩnh Long, ngày      tháng     năm 2019</t>
  </si>
  <si>
    <t>Vĩnh Long, ngày     tháng      năm 2019</t>
  </si>
  <si>
    <t>Vĩnh Long, ngày       tháng        năm 2019</t>
  </si>
  <si>
    <t>LẬP BẢNG                    PHÒNG QUẢN LÝ GT                             GIÁM ĐỐC</t>
  </si>
  <si>
    <t>Nguyễn Thanh                Nguyễn Anh Tuấn                               Nguyễn Vũ Phong</t>
  </si>
  <si>
    <t>TỪ ĐƯỜNG TỈNH 901 ĐẾN ĐƯỜNG TỈNH 909</t>
  </si>
  <si>
    <t>ĐƠN GIÁ CÔNG TÁC QUẢN LÝ BDTX CẦU, ĐƯỜNG BỘ, ĐTNĐ NĂM 2019</t>
  </si>
  <si>
    <t>(Kèm theo tờ trình số         /TTr- TTQL &amp; SCCTGT ngày       tháng     năm 2019 của Giám đốc Trung tâm Quản lý &amp; sửa chữa công trình giao thông)</t>
  </si>
  <si>
    <t>BẢNG THỐNG KÊ DIỆN TÍCH BIỂN BÁO CÁC ĐT VÀ NỘI Ô TP</t>
  </si>
  <si>
    <t>Stt</t>
  </si>
  <si>
    <t>Tên đường</t>
  </si>
  <si>
    <t>Đơn vị</t>
  </si>
  <si>
    <t>Số lượng</t>
  </si>
  <si>
    <t>m2/biển</t>
  </si>
  <si>
    <t>Diện tích</t>
  </si>
  <si>
    <t>-</t>
  </si>
  <si>
    <t>Biển tròn D= 70cm:</t>
  </si>
  <si>
    <t>Biển tam giác C= 70cm:</t>
  </si>
  <si>
    <t>Biển vuông 70x70cm:</t>
  </si>
  <si>
    <t>Biển vuông 60x60cm:</t>
  </si>
  <si>
    <t>Biển chữ nhật 30x60cm:</t>
  </si>
  <si>
    <t>Biển chữ nhật 30x70cm:</t>
  </si>
  <si>
    <t>Biển chữ nhật 100x120cm:</t>
  </si>
  <si>
    <t>Biển chữ nhật 100x160cm:</t>
  </si>
  <si>
    <t>Biển chữ nhật 60x80cm:</t>
  </si>
  <si>
    <t>Biển chữ nhật 30x60cm</t>
  </si>
  <si>
    <t>Biển chữ nhật 30x70cm</t>
  </si>
  <si>
    <t>Biển chữ nhật 100x160cm</t>
  </si>
  <si>
    <t>Biển chữ nhật 100x120cm</t>
  </si>
  <si>
    <t>NỘI Ô TP.VĨNH LONG</t>
  </si>
  <si>
    <t>Biển chữ nhật 20x50cm</t>
  </si>
  <si>
    <t>Biển chữ nhật 30x50cm</t>
  </si>
  <si>
    <t>Biển chữ nhật 30x55cm (tên đường)</t>
  </si>
  <si>
    <t>Biển chữ nhật 40x60cm</t>
  </si>
  <si>
    <t>Biển chữ nhật 60x80cm</t>
  </si>
  <si>
    <t>Biển chữ nhật 60x120cm</t>
  </si>
  <si>
    <t>Vệ sinh khe co dãn</t>
  </si>
  <si>
    <t>Kinh Thống
Nhất</t>
  </si>
  <si>
    <t xml:space="preserve"> - Bút ; Chổi quét;  Giấy A4; Lưỡi cắt; Sổ theo dõi 36 trang lấy theo đơn giá thực tế </t>
  </si>
  <si>
    <t>D</t>
  </si>
  <si>
    <t>R</t>
  </si>
  <si>
    <t>Thượng Lưu</t>
  </si>
  <si>
    <t>Hạ Lưu</t>
  </si>
  <si>
    <t>Vệ sinh mố cầu ( m2)</t>
  </si>
  <si>
    <t xml:space="preserve">D </t>
  </si>
  <si>
    <t xml:space="preserve">Số khe </t>
  </si>
  <si>
    <t>Trừ lề bộ hành</t>
  </si>
  <si>
    <t>BẢNG KHỐI LƯỢNG CHI TIẾT VỆ SINH MẶT CẦU VÀ KHE CO DÃN</t>
  </si>
  <si>
    <t>BẢNG KHỐI LƯỢNG CHI TIẾT PHÁT HOANG CÂY DẠI VÀ VỆ SINH MỐ CẦU</t>
  </si>
  <si>
    <t>GIÁM ĐỐC</t>
  </si>
  <si>
    <t>TỔNG  CỘNG</t>
  </si>
  <si>
    <t xml:space="preserve">                                                                Nguyễn Anh Tuấn</t>
  </si>
  <si>
    <t>1km/lần</t>
  </si>
  <si>
    <t>lần/năm/quả</t>
  </si>
  <si>
    <t>lần/năm/trạm</t>
  </si>
  <si>
    <t>lần/năm/cột</t>
  </si>
  <si>
    <t>Vĩnh Long, ngày  tháng  năm 2019</t>
  </si>
  <si>
    <t xml:space="preserve">                                                                           Nguyễn Anh Tuấn</t>
  </si>
  <si>
    <t xml:space="preserve">                                                                         PHÒNG QLGT</t>
  </si>
  <si>
    <t xml:space="preserve"> - Máy cắt cỏ 300W (áp dụng 0.8KW)</t>
  </si>
  <si>
    <t>ca</t>
  </si>
  <si>
    <t>ngày/năm</t>
  </si>
  <si>
    <t>lần/tháng/trạm</t>
  </si>
  <si>
    <t>lần/năm</t>
  </si>
  <si>
    <t>Km/năm</t>
  </si>
  <si>
    <t>tổng số cọc</t>
  </si>
  <si>
    <t>tổng số cột Km</t>
  </si>
  <si>
    <t>tổng số b báo</t>
  </si>
  <si>
    <t>4-8</t>
  </si>
  <si>
    <t>lần/tháng</t>
  </si>
  <si>
    <t>lần/cầu/tháng</t>
  </si>
  <si>
    <t>lần/cầu/năm</t>
  </si>
  <si>
    <t>xác định từng cầu QL</t>
  </si>
  <si>
    <t>Phát quang cây cỏ bằng thủ công(HS chiết giảm 0,457)</t>
  </si>
  <si>
    <t>Vĩnh Long, ngày       tháng   10     năm 2019</t>
  </si>
  <si>
    <t xml:space="preserve"> - Giá xăng lấy theo bảng báo giá VLXD tháng 8 năm 2019  Liên Sở Xây dựng – Tài chính tỉnh Vĩnh Long.</t>
  </si>
  <si>
    <t xml:space="preserve"> - Giá xăng lấy theo bảng báo giá VLXD tháng 8 năm 2019  Liên Sở Xây dựng – Tài chính tỉnh Vĩnh 
Long.</t>
  </si>
  <si>
    <t xml:space="preserve">Phát quang cây dại  (2 đầu mố cầu) 
m2
</t>
  </si>
  <si>
    <t>(D x R)/2  (m2)</t>
  </si>
  <si>
    <t>Giảm khối lượng VSMC 907</t>
  </si>
  <si>
    <t>Bưng Tường</t>
  </si>
  <si>
    <t>Trực phòng chống thiên tai</t>
  </si>
  <si>
    <t>tàu/vị trí/năm</t>
  </si>
  <si>
    <t>Công trình: Bảo dưỡng thường xuyên cầu, đường bộ, đường thủy nội địa</t>
  </si>
  <si>
    <t xml:space="preserve"> BẢNG CHI TIẾT ĐƠN GIÁ</t>
  </si>
  <si>
    <t>- Căn cứ Quyết định số 1113/QĐ-UBND ngày 21/5/2009 của Chủ tịch UBND tỉnh Vĩnh Long về việc công bố đường thuỷ nội địa chủ yếu của tỉnh Vĩnh Long;</t>
  </si>
  <si>
    <t>- Căn cứ Quyết định số 22/2016/QĐ-UBND ngày 04/7/2016 của UBND tỉnh Vĩnh Long quyết định ban hành Quy định phân công, phân cấp quản lý đường đô thị trên địa bàn tỉnh Vĩnh Long;</t>
  </si>
  <si>
    <t xml:space="preserve">Vĩnh Long, ngày       tháng        năm </t>
  </si>
  <si>
    <t>Vĩnh Long, ngày       tháng        năm 2020</t>
  </si>
  <si>
    <t>Nguyễn Vũ Phong</t>
  </si>
  <si>
    <t>Điều chỉnh phao trụ Ø1000</t>
  </si>
  <si>
    <t>Điều chỉnh phao trụ Ø1300</t>
  </si>
  <si>
    <t>G = Gtt + TGTGT</t>
  </si>
  <si>
    <t>TGTGT = Gtt x 10%</t>
  </si>
  <si>
    <t>Đơn vị: đồng</t>
  </si>
  <si>
    <t>CÔNG TÁC QUẢN LÝ CẦU 
L &lt;= 300M</t>
  </si>
  <si>
    <t>Phát quang cây cối che khuất 
báo hiệu</t>
  </si>
  <si>
    <t>PHỤ LỤC 1</t>
  </si>
  <si>
    <t>1cọc</t>
  </si>
  <si>
    <t>1cột</t>
  </si>
  <si>
    <t>CÔNG TÁC BẢO DƯỠNG CẦU L &lt;= 
300M</t>
  </si>
  <si>
    <t>1m2</t>
  </si>
  <si>
    <t>Đơn vị: đồng.</t>
  </si>
  <si>
    <t>ĐƠN GIÁ DỊCH VỤ QUẢN LÝ, BẢO DƯỠNG THƯỜNG XUYÊN HỆ THỐNG CẦU, ĐƯỜNG BỘ, ĐƯỜNG THỦY NỘI ĐỊA</t>
  </si>
  <si>
    <t>1 ngày</t>
  </si>
  <si>
    <t>1 tàu/vị trí/năm</t>
  </si>
  <si>
    <t>1 cột/lần</t>
  </si>
  <si>
    <t>1 cầu/năm</t>
  </si>
  <si>
    <t>1 lần/km</t>
  </si>
  <si>
    <t>1 m2</t>
  </si>
  <si>
    <t>1 quả</t>
  </si>
  <si>
    <t>(Ban hành kèm theo Quyết định số      /2020/QĐ-UBND, ngày     tháng     năm 2020 của UBND tỉnh Vĩnh Long)</t>
  </si>
  <si>
    <t>A_Nhân công :</t>
  </si>
  <si>
    <t>1 cái</t>
  </si>
  <si>
    <t>Vật liệu khác</t>
  </si>
  <si>
    <t>01m2</t>
  </si>
  <si>
    <t>B_Máy thi công :</t>
  </si>
  <si>
    <t>1.01.01</t>
  </si>
  <si>
    <t>CÔNG TÁC QUẢN LÝ ĐƯỜNG THỦY NỘI ĐỊA</t>
  </si>
  <si>
    <t>Hành trình kiểm tra tuyến bằng xuồng cao tốc</t>
  </si>
  <si>
    <t>B_Máy thi công</t>
  </si>
  <si>
    <t>- Xuồng cao tốc</t>
  </si>
  <si>
    <t>- Máy đo sâu hồi âm cầm tay</t>
  </si>
  <si>
    <t>01 km</t>
  </si>
  <si>
    <t>1.01.02</t>
  </si>
  <si>
    <t>Hành trình kiểm tra tuyến bằng tàu công tác</t>
  </si>
  <si>
    <t>- Tàu công tác</t>
  </si>
  <si>
    <t>2.01.03</t>
  </si>
  <si>
    <t>Thả phao</t>
  </si>
  <si>
    <t>2.01.04</t>
  </si>
  <si>
    <t>2.01.05</t>
  </si>
  <si>
    <t>2.01.06</t>
  </si>
  <si>
    <t>Điều chỉnh phao</t>
  </si>
  <si>
    <t>2.02.03</t>
  </si>
  <si>
    <t>Thả phao trụ Ø 1400 mm</t>
  </si>
  <si>
    <t>Thả phao trụ Ø 1300 mm</t>
  </si>
  <si>
    <t>Thả phao trụ Ø 1200 mm</t>
  </si>
  <si>
    <t>Thả phao trụ Ø 1000 mm</t>
  </si>
  <si>
    <t>01 quả</t>
  </si>
  <si>
    <t>2.02.04</t>
  </si>
  <si>
    <t xml:space="preserve"> - Tàu công tác</t>
  </si>
  <si>
    <t>- Nhân công 4,0/7</t>
  </si>
  <si>
    <t>Điều chỉnh phao trụ Ø1200</t>
  </si>
  <si>
    <t>2.02.05</t>
  </si>
  <si>
    <t>2.02.06</t>
  </si>
  <si>
    <t>Điều chỉnh phao trụ Ø1400</t>
  </si>
  <si>
    <t>Chống bồi rùa</t>
  </si>
  <si>
    <t>2.03.03</t>
  </si>
  <si>
    <t>2.03.04</t>
  </si>
  <si>
    <t>Chống bồi rùa phao trụ Ø1200</t>
  </si>
  <si>
    <t>2.03.05</t>
  </si>
  <si>
    <t>2.03.06</t>
  </si>
  <si>
    <t>Chống bồi rùa phao trụ Ø1400</t>
  </si>
  <si>
    <t>Trục phao</t>
  </si>
  <si>
    <t>2.04.03</t>
  </si>
  <si>
    <t>Trục phao trụ Ø1000</t>
  </si>
  <si>
    <t>Trục phao trụ Ø1200</t>
  </si>
  <si>
    <t>2.04.04</t>
  </si>
  <si>
    <t>2.04.05</t>
  </si>
  <si>
    <t>Trục phao trụ Ø1300</t>
  </si>
  <si>
    <t>2.04.06</t>
  </si>
  <si>
    <t>Trục phao trụ Ø1400</t>
  </si>
  <si>
    <t>Bảo dưỡng phao</t>
  </si>
  <si>
    <t>Bảo dưỡng phao sắt Ø1000</t>
  </si>
  <si>
    <t>Sơn chống gỉ</t>
  </si>
  <si>
    <t>Sơn màu</t>
  </si>
  <si>
    <t>C_Máy thi công :</t>
  </si>
  <si>
    <t>Bảo dưỡng phao sắt Ø1200</t>
  </si>
  <si>
    <t>Bảo dưỡng phao sắt Ø1300</t>
  </si>
  <si>
    <t>2.05.12</t>
  </si>
  <si>
    <t>2.05.13</t>
  </si>
  <si>
    <t>2.05.10</t>
  </si>
  <si>
    <t>2.05.11</t>
  </si>
  <si>
    <t>2.05.14</t>
  </si>
  <si>
    <t>Bảo dưỡng phao sắt Ø1400</t>
  </si>
  <si>
    <t>Bàn chải nhựa</t>
  </si>
  <si>
    <t>Giẻ lau</t>
  </si>
  <si>
    <t>Cồn</t>
  </si>
  <si>
    <t>Benzen</t>
  </si>
  <si>
    <t>Bảo dưỡng phao nhựa,
composite Ø1500</t>
  </si>
  <si>
    <t>Bảo dưỡng phao nhựa,
composite Ø1900</t>
  </si>
  <si>
    <t>2.05.04.1</t>
  </si>
  <si>
    <t>2.05.04.2</t>
  </si>
  <si>
    <t>Bảo dưỡng xích và phụ kiện 
bằng sơn</t>
  </si>
  <si>
    <t>01m</t>
  </si>
  <si>
    <t>Xích Ø (16-20) mm</t>
  </si>
  <si>
    <t>Xích Ø (22-24) mm</t>
  </si>
  <si>
    <t>Xích Ø (25-30) mm</t>
  </si>
  <si>
    <t>Xích Ø (32-40) mm</t>
  </si>
  <si>
    <t>Bảo dưỡng biển phao</t>
  </si>
  <si>
    <t>Biển phao bờ phải</t>
  </si>
  <si>
    <t>01 biển</t>
  </si>
  <si>
    <t>Biển phao bờ trái</t>
  </si>
  <si>
    <t>2.07.30</t>
  </si>
  <si>
    <t>2.07.20</t>
  </si>
  <si>
    <t>01 tiêu thị</t>
  </si>
  <si>
    <t>2.08.20</t>
  </si>
  <si>
    <t>Bảo dưỡng giá phao, lồng đèn</t>
  </si>
  <si>
    <t>Bảo dưỡng giá phao</t>
  </si>
  <si>
    <t>01 cái</t>
  </si>
  <si>
    <t>Bảo dưỡng lồng đèn</t>
  </si>
  <si>
    <t>2.09.10</t>
  </si>
  <si>
    <t>2.09.20</t>
  </si>
  <si>
    <t>Sơn màu phao sắt</t>
  </si>
  <si>
    <t>Phao sắt Ø 1000 mm</t>
  </si>
  <si>
    <t>2.10.10</t>
  </si>
  <si>
    <t>Phao sắt Ø 1200 mm</t>
  </si>
  <si>
    <t>Phao sắt Ø 1300 mm</t>
  </si>
  <si>
    <t>Phao sắt Ø 1400 mm</t>
  </si>
  <si>
    <t>2.11.10</t>
  </si>
  <si>
    <t>Sơn màu biển phao</t>
  </si>
  <si>
    <t>2.11.20</t>
  </si>
  <si>
    <t>2.11.30</t>
  </si>
  <si>
    <t>Biển phao tim luồng và phao hai luồng</t>
  </si>
  <si>
    <t>2.12.20</t>
  </si>
  <si>
    <t>Bảo dưỡng cột báo hiệu bằng
 thép</t>
  </si>
  <si>
    <t>2.13.02</t>
  </si>
  <si>
    <t>Cột báo hiệu Ø 140</t>
  </si>
  <si>
    <t>Cột báo hiệu Ø 150</t>
  </si>
  <si>
    <t>01 cột</t>
  </si>
  <si>
    <t>2.13.08</t>
  </si>
  <si>
    <t>Cột báo hiệu dạng dàn (thanh
 liên kết)</t>
  </si>
  <si>
    <t>Cột cao 12m</t>
  </si>
  <si>
    <t>Cột cao 14m</t>
  </si>
  <si>
    <t>Cột cao 16m</t>
  </si>
  <si>
    <t>Bảo dưỡng biển báo hiệu thép</t>
  </si>
  <si>
    <t>2.14.02</t>
  </si>
  <si>
    <t>Bảo dưỡng biển hình vuông, hình thoi (sơn màu một mặt)</t>
  </si>
  <si>
    <t>2.14.05</t>
  </si>
  <si>
    <t>Bảo dưỡng biển báo hiệu vật chướng ngại</t>
  </si>
  <si>
    <t>Bảo dưỡng biển báo hiệu ngã ba</t>
  </si>
  <si>
    <t>Bảo dưỡng biển báo khoang thông thuyền</t>
  </si>
  <si>
    <t>2.14.08</t>
  </si>
  <si>
    <t>2.14.06</t>
  </si>
  <si>
    <t>Bảo dưỡng biển báo C1.1.3, C1.1.4</t>
  </si>
  <si>
    <t>Bảo dưỡng cột biển tuyên 
truyền luật, biển thước nước ngược thép</t>
  </si>
  <si>
    <t>01 m2</t>
  </si>
  <si>
    <t>2.15.01</t>
  </si>
  <si>
    <t>Bảo dưỡng cột, biển dán phản quang</t>
  </si>
  <si>
    <t>Màng phản quang</t>
  </si>
  <si>
    <t>2.16.01</t>
  </si>
  <si>
    <t>Sơn màu cột báo hiệu thép</t>
  </si>
  <si>
    <t>Cột Ø140mm cao 6,5m</t>
  </si>
  <si>
    <t>Cột Ø150mm cao 7,5m</t>
  </si>
  <si>
    <t>2.17.02</t>
  </si>
  <si>
    <t>2.17.03</t>
  </si>
  <si>
    <t>Cột Ø160mm cao 7,5m</t>
  </si>
  <si>
    <t>Cột thép dạng dàn (thanh liên kết) cao 12m</t>
  </si>
  <si>
    <t>2.17.06</t>
  </si>
  <si>
    <t>Cột thép dạng dàn (thanh liên kết) cao 14m</t>
  </si>
  <si>
    <t>Cột thép dạng dàn (thanh liên kết) cao 16m</t>
  </si>
  <si>
    <t>2.17.07</t>
  </si>
  <si>
    <t>Sơn màu cột báo hiệu bê tông</t>
  </si>
  <si>
    <t>Cột Ø200mm cao 6,5m</t>
  </si>
  <si>
    <t>Cột Ø200mm cao 7,5m</t>
  </si>
  <si>
    <t>Sơn màu giá phao, lồng đèn</t>
  </si>
  <si>
    <t>2.18.01</t>
  </si>
  <si>
    <t>Sơn màu giá phao</t>
  </si>
  <si>
    <t>2.18.02</t>
  </si>
  <si>
    <t>Sơn màu lồng đèn</t>
  </si>
  <si>
    <t>Sơn màu biển báo hiệu thép</t>
  </si>
  <si>
    <t>2.19.01</t>
  </si>
  <si>
    <t>Biển hình vuông, hình thoi (sơn 
màu một mặt)</t>
  </si>
  <si>
    <t>2.19.05</t>
  </si>
  <si>
    <t>Biển báo hiệu vật chướng ngại</t>
  </si>
  <si>
    <t>2.19.06</t>
  </si>
  <si>
    <t>Biển báo hiệu ngã ba</t>
  </si>
  <si>
    <t>2.19.09</t>
  </si>
  <si>
    <t>Biển báo hiệu C1.1.3; C1.1.4</t>
  </si>
  <si>
    <t>Sơn màu cột biển tuyên truyền luật, biển thước nước ngược</t>
  </si>
  <si>
    <t>2.20.01</t>
  </si>
  <si>
    <t>2.36.011</t>
  </si>
  <si>
    <t>Trực đảm bảo giao thông</t>
  </si>
  <si>
    <t>- Nhân công 5,0/7</t>
  </si>
  <si>
    <t>công/vị trí
/ngày</t>
  </si>
  <si>
    <t>2.36.012</t>
  </si>
  <si>
    <t>Đếm lưu lượng vận tải tuyến 
đường thủy nội địa</t>
  </si>
  <si>
    <t>công/vị trí
/ca</t>
  </si>
  <si>
    <t>công/vị trí/ca</t>
  </si>
  <si>
    <t>Đo mực nước sông vùng lũ</t>
  </si>
  <si>
    <t>công/vị trí/ ngày</t>
  </si>
  <si>
    <t>2.36.013</t>
  </si>
  <si>
    <t>2.36.014</t>
  </si>
  <si>
    <t>2.36.015</t>
  </si>
  <si>
    <t>2.36.016</t>
  </si>
  <si>
    <t>Làm việc với địa phương bảo vệ kết cấu hạ tầng giao thông thủy</t>
  </si>
  <si>
    <t>công/xã, phường (lực lượng chức năng, chủ công trình)/ lần</t>
  </si>
  <si>
    <t>2.36.017</t>
  </si>
  <si>
    <t>Phát quang quanh báo hiệu</t>
  </si>
  <si>
    <t>công/cột/lần</t>
  </si>
  <si>
    <t>- Nhân công 3,0/7</t>
  </si>
  <si>
    <t>- Căn cứ Thông tư số 10/2023/TT-BGTVT, ngày 22/6/2023 của Bộ GTVT, Về việc Ban hành định mức - kinh tế kỹ thuật quản lý, bảo trì đường thủy nội địa;</t>
  </si>
  <si>
    <t>- Căn cứ Quyết định số 1639/QĐ-TTg ngày 28/12/2022 của Thủ tướng Chính phủ về việc Ban hành danh mục dịch vụ sự nghiệp công cơ bản, thiết yếu ngành Giao thông vận tải;</t>
  </si>
  <si>
    <t>- Căn cứ văn bản số 6656/UBND-TH ngày 08/10/2024 của UBND tỉnh Vĩnh Long V/v phương án đặt hàng cung cấp dịch vụ sự nghiệp công sử dụng ngân sách nhà nước lĩnh vực  Giao thông vận tải;</t>
  </si>
  <si>
    <t>- Đơn giá nhân công tính theo Quyết định số 190 /QĐ-SXD ngày 29/12/2023 của Sở xây dựng tỉnh Vĩnh Long,  quyết định vềề việc công bố Đơn giá nhân công xây dựng năm 2024 trên địa bàn tỉnh Vĩnh Long.</t>
  </si>
  <si>
    <t>- Đơn giá ca máy và thiết bị thi công tính theo Quyết định số 191/QĐ-SXD ngày 29/12/2023 của Sở xây dựng Vĩnh Long, về việc công bố giá ca máy và thiết bị thi công năm 2024 trên địa bàn tỉnh Vĩnh Long;</t>
  </si>
  <si>
    <t>CÔNG TÁC BẢO DƯỠNG THƯỜNG XUYÊN ĐƯỜNG THỦY NỘI ĐỊA</t>
  </si>
  <si>
    <t>Bảo dưỡng phao sắt</t>
  </si>
  <si>
    <t>2.05.40</t>
  </si>
  <si>
    <t>Bảo dưỡng phao nhựa composite</t>
  </si>
  <si>
    <t>2.06.20</t>
  </si>
  <si>
    <t>2.07.10</t>
  </si>
  <si>
    <t>Bảo dưỡng tiêu thị hình nón</t>
  </si>
  <si>
    <t>Sơn màu tiêu thị hình nón</t>
  </si>
  <si>
    <t>Cột báo hiệu tròn</t>
  </si>
  <si>
    <t>Đo mực nước sông vùng triều</t>
  </si>
  <si>
    <t>Bê tông nhựa</t>
  </si>
  <si>
    <t>BẢNG KÊ CÁC VẬT LIỆU, CA MÁY KHÔNG CÓ TRONG CÔNG BỐ CỦA SỞ XÂY DỰNG VĨNH LONG</t>
  </si>
  <si>
    <t>CƠ SỞ, NGUỒN GỐC LẤY GIÁ</t>
  </si>
  <si>
    <t>MỤC ĐÍCH SỬ DỤNG</t>
  </si>
  <si>
    <t>Đắp đất lề</t>
  </si>
  <si>
    <t>Cắt cỏ đường</t>
  </si>
  <si>
    <t>Thay lưỡi cắt máy cắt cỏ</t>
  </si>
  <si>
    <t>Trụ dẻo phân làn đường</t>
  </si>
  <si>
    <t>Lan can mềm</t>
  </si>
  <si>
    <t>Dán đế trụ dẻo</t>
  </si>
  <si>
    <t>Vệ sinh mặt cầu &gt;300m</t>
  </si>
  <si>
    <t>Vệ sinh phao nhựa</t>
  </si>
  <si>
    <t>Cắt mặt đường bê tông nhựa</t>
  </si>
  <si>
    <t>Thay thế nắp rãnh bê tông</t>
  </si>
  <si>
    <t>Sửa chữa mặt đường</t>
  </si>
  <si>
    <t>Sửa chữa nứt mặt đường bê tông xi măng</t>
  </si>
  <si>
    <t>Thay thế cọc</t>
  </si>
  <si>
    <t>Nước sơn kẻ đường</t>
  </si>
  <si>
    <t>Thay thế tấm bê tông mái taluy</t>
  </si>
  <si>
    <t>Thay thế tấm tôn</t>
  </si>
  <si>
    <t>Thay thế cột thép của hộ lan tôn lượn sóng</t>
  </si>
  <si>
    <t>Thay thế</t>
  </si>
  <si>
    <t>Sơn sắt thép</t>
  </si>
  <si>
    <t>Sửa chữa nón mố</t>
  </si>
  <si>
    <t>Trét khe đá học</t>
  </si>
  <si>
    <t>Bôi gối cầu</t>
  </si>
  <si>
    <t>Hàn khe co dãn</t>
  </si>
  <si>
    <t>Nguyên bộ, mâm chổi quét</t>
  </si>
  <si>
    <t>Đo chiều sâu sông kênh</t>
  </si>
  <si>
    <t>Bảo dưỡng biển hình vuông, hình thoi (sơn màu 
một mặt)</t>
  </si>
  <si>
    <t>Bảo dưỡng cột biển tuyên truyền luật, biển thước 
nước ngược thép</t>
  </si>
  <si>
    <t>Sơn màu cột biển tuyên truyền luật, biển thước 
nước ngược</t>
  </si>
  <si>
    <t>Phụ lục</t>
  </si>
  <si>
    <t>HẠNG MỤC</t>
  </si>
  <si>
    <t>NGUỒN GỐC, CĂN CỨ</t>
  </si>
  <si>
    <t>Nhân công</t>
  </si>
  <si>
    <t>Công bố kèm theo Quyết định số 190/QĐ-SXD ngày 29/12/2023 của Giám đốc Sở Xây dựng tỉnh Vĩnh Long</t>
  </si>
  <si>
    <t>Ca máy</t>
  </si>
  <si>
    <t>Quyết định số 191/QĐ-SXD ngày 9/12/2023 của Sở xây dựng Vĩnh Long, về việc công bố giá ca máy và thiết bị thi công năm 2024 trên địa bàn tỉnh Vĩnh Long</t>
  </si>
  <si>
    <t>Ca</t>
  </si>
  <si>
    <t>Tham khảo</t>
  </si>
  <si>
    <t>Số 353 trang 25</t>
  </si>
  <si>
    <t>Vật liệu</t>
  </si>
  <si>
    <t>Lít</t>
  </si>
  <si>
    <t>Cái</t>
  </si>
  <si>
    <t>Kg</t>
  </si>
  <si>
    <t>THUYẾT MINH CÔNG THỨC</t>
  </si>
  <si>
    <t xml:space="preserve">Đơn giá ca máy </t>
  </si>
  <si>
    <t>Chi phí trực tiếp</t>
  </si>
  <si>
    <t>Chi phí chung</t>
  </si>
  <si>
    <t>Thu nhập chịu thuế tính trước</t>
  </si>
  <si>
    <t xml:space="preserve">Giá sản phẩm, dịch vụ công ích trước thuế </t>
  </si>
  <si>
    <t xml:space="preserve">Thuế giá trị gia tăng </t>
  </si>
  <si>
    <t xml:space="preserve">Giá sản phẩm, dịch vụ công
 ích sau thuế </t>
  </si>
  <si>
    <t>Xuồng cao tốc</t>
  </si>
  <si>
    <t>Tàu công tác</t>
  </si>
  <si>
    <t>Số 355 trang 25</t>
  </si>
  <si>
    <t>vị trí/ngày</t>
  </si>
  <si>
    <t>vị trí/ca</t>
  </si>
  <si>
    <t>cột/lần</t>
  </si>
  <si>
    <t>BẢNG TỔNG HỢP THÔNG TIN, SỐ LIỆU</t>
  </si>
  <si>
    <t>PHỤ LỤC II</t>
  </si>
  <si>
    <t>BÁO CÁO GIẢI TRÌNH CHI TIẾT VỀ CÁC THÔNG TIN, SỐ LIỆU</t>
  </si>
  <si>
    <t>Bảng giá vật liệu xây dựng tháng 10 năm 2024 trên địa bàn tỉnh Vĩnh Long  (Đính Kèm Thông báo số 2939/TB-SXD ngày 08/11/2024 của Sở Xây dựng tỉnh Vĩnh Long)</t>
  </si>
  <si>
    <t>Thông tư số 38/2020/TT-BGTVT ngày 31/12/2020 của Bộ trưởng Bộ GTVT, Về việc hướng dẫn phương pháp định giá và quản lý giá dịch vụ sự nghiệp công trong lĩnh vực quản lý, bảo trì đường thủy nội địa thực hiện theo phương thức đặt hàng sử dụng ngân sách trung ương từ nguồn kinh phí chi thường xuyên; Thông tư số 23/2022/TT-BGTVT ngày 03/10/2022 của Bộ trưởng Bộ GTVT, Về việc Sửa đổi, bổ sung một số điều của Thông tư số 38/2020/TT-BGTVT ngày 31/12/2020.</t>
  </si>
  <si>
    <t>Số 318 trang 34</t>
  </si>
  <si>
    <t>Số 320 trang 34</t>
  </si>
  <si>
    <t>Số 338 trang 35</t>
  </si>
  <si>
    <t>- Thông tư số 39/2020/TT-BGTVT ngày 31/12/2020 của Bộ trưởng Bộ GTVT, Về việc hướng dẫn phương pháp xây dựng phương án giá, quản lý giá dịch vụ sự nghiệp công quản lý, bảo trì kết cấu hạ tầng giao thông đường bộ và dịch vụ vận hành khai thác bến phà đường bộ trên hệ thống quốc lộ sử dụng nguồn kinh phí chi thường xuyên của ngân sách trung ương khi thực hiện phương thức đặt hàng;</t>
  </si>
  <si>
    <t>- Thông tư số 38/2020/TT-BGTVT ngày 31/12/2020 của Bộ trưởng Bộ GTVT, Về việc hướng dẫn phương pháp định giá và quản lý giá dịch vụ sự nghiệp công trong lĩnh vực quản lý, bảo trì đường thủy nội địa thực hiện theo phương thức đặt hàng sử dụng ngân sách trung ương từ nguồn kinh phí chi thường xuyên; Thông tư số 23/2022/TT-BGTVT ngày 03/10/2022 của Bộ trưởng Bộ GTVT, Về việc Sửa đổi, bổ sung một số điều của Thông tư số 38/2020/TT-BGTVT ngày 31/12/2020;</t>
  </si>
  <si>
    <t xml:space="preserve"> - Một số vật liệu như: Bàn chải; giẽ lau;  cồn; ben zen… và một số vật liệu không có trong đơn giá vật liệu xây dựng do Sở xây dựng công bố thì lấy theo đơn giá tham khảo thực tế.</t>
  </si>
  <si>
    <t>DANH MỤC ĐỊNH MỨC
CÔNG TÁC QUẢN LÝ, BẢO TRÌ KẾT CẤU HẠ TẦNG GIAO THÔNG 
ĐƯỜNG THỦY NỘI ĐỊA TRÊN ĐỊA BÀN TỈNH VĨNH LONG</t>
  </si>
  <si>
    <t>GIÁ DVSNC         SAU THUẾ</t>
  </si>
  <si>
    <t>GIÁ DVSNC         TRƯỚC THUẾ</t>
  </si>
  <si>
    <t>ĐỀ XUẤT CHI TIẾT BẢNG GIÁ DỊCH VỤ QUẢN LÝ, BẢO TRÌ KẾT CẤU HẠ TẦNG GIAO THÔNG 
ĐƯỜNG THỦY NỘI ĐỊA TRÊN ĐỊA BÀN TỈNH VĨNH LONG</t>
  </si>
  <si>
    <t>PHỤ LỤC</t>
  </si>
  <si>
    <t>(Kèm theo Quyết định số 2731/QĐ-UBND ngày 30/12/2024 của UBND tỉnh)</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</si>
</sst>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1" formatCode="_(* #,##0_);_(* \(#,##0\);_(* &quot;-&quot;_);_(@_)"/>
    <numFmt numFmtId="44" formatCode="_(&quot;$&quot;* #,##0.00_);_(&quot;$&quot;* \(#,##0.00\);_(&quot;$&quot;* &quot;-&quot;??_);_(@_)"/>
    <numFmt numFmtId="43" formatCode="_(* #,##0.00_);_(* \(#,##0.00\);_(* &quot;-&quot;??_);_(@_)"/>
    <numFmt numFmtId="164" formatCode="0.000"/>
    <numFmt numFmtId="165" formatCode="#,##0.0"/>
    <numFmt numFmtId="166" formatCode="#,##0;[Red]#,##0"/>
    <numFmt numFmtId="167" formatCode="#,##0.000"/>
    <numFmt numFmtId="168" formatCode="#,##0.00;[Red]#,##0.00"/>
    <numFmt numFmtId="169" formatCode="#,##0.000;[Red]#,##0.000"/>
    <numFmt numFmtId="170" formatCode="#,##0.0000"/>
    <numFmt numFmtId="171" formatCode="_(* #,##0.000_);_(* \(#,##0.000\);_(* &quot;-&quot;??_);_(@_)"/>
    <numFmt numFmtId="172" formatCode="_(* #,##0.0000_);_(* \(#,##0.0000\);_(* &quot;-&quot;??_);_(@_)"/>
    <numFmt numFmtId="173" formatCode="_(* #,##0_);_(* \(#,##0\);_(* &quot;-&quot;??_);_(@_)"/>
    <numFmt numFmtId="174" formatCode="_(* #,##0.000_);_(* \(#,##0.000\);_(* &quot;-&quot;???_);_(@_)"/>
    <numFmt numFmtId="175" formatCode="_(* #,##0.00000_);_(* \(#,##0.00000\);_(* &quot;-&quot;??_);_(@_)"/>
    <numFmt numFmtId="176" formatCode="_(* #,##0.00000_);_(* \(#,##0.00000\);_(* &quot;-&quot;???_);_(@_)"/>
    <numFmt numFmtId="177" formatCode="_(* #,##0_);_(* \(#,##0\);_(* &quot;-&quot;???_);_(@_)"/>
    <numFmt numFmtId="178" formatCode="_(* #,##0.0_);_(* \(#,##0.0\);_(* &quot;-&quot;??_);_(@_)"/>
    <numFmt numFmtId="179" formatCode="0.00;[Red]0.00"/>
    <numFmt numFmtId="180" formatCode="0;[Red]0"/>
    <numFmt numFmtId="181" formatCode="#,##0.0000;[Red]#,##0.0000"/>
  </numFmts>
  <fonts count="106">
    <font>
      <sz val="12"/>
      <name val=".VnArial"/>
    </font>
    <font>
      <sz val="12"/>
      <name val=".VnArial"/>
      <family val="2"/>
    </font>
    <font>
      <sz val="8"/>
      <name val=".VnArial"/>
      <family val="2"/>
    </font>
    <font>
      <b/>
      <sz val="11"/>
      <name val="Times New Roman"/>
      <family val="1"/>
    </font>
    <font>
      <i/>
      <sz val="11"/>
      <name val="Times New Roman"/>
      <family val="1"/>
    </font>
    <font>
      <sz val="10"/>
      <name val="Times New Roman"/>
      <family val="1"/>
    </font>
    <font>
      <sz val="11"/>
      <color indexed="10"/>
      <name val="Times New Roman"/>
      <family val="1"/>
    </font>
    <font>
      <sz val="11"/>
      <name val="Times New Roman"/>
      <family val="1"/>
    </font>
    <font>
      <b/>
      <sz val="14"/>
      <name val="Times New Roman"/>
      <family val="1"/>
    </font>
    <font>
      <b/>
      <i/>
      <sz val="11"/>
      <name val="Times New Roman"/>
      <family val="1"/>
    </font>
    <font>
      <b/>
      <sz val="13"/>
      <name val="Times New Roman"/>
      <family val="1"/>
    </font>
    <font>
      <sz val="13"/>
      <name val="Times New Roman"/>
      <family val="1"/>
    </font>
    <font>
      <b/>
      <sz val="12"/>
      <name val="Times New Roman"/>
      <family val="1"/>
    </font>
    <font>
      <b/>
      <sz val="10"/>
      <name val="Times New Roman"/>
      <family val="1"/>
    </font>
    <font>
      <sz val="11"/>
      <color indexed="12"/>
      <name val="Times New Roman"/>
      <family val="1"/>
    </font>
    <font>
      <b/>
      <sz val="9"/>
      <name val="Times New Roman"/>
      <family val="1"/>
    </font>
    <font>
      <sz val="9"/>
      <name val="Times New Roman"/>
      <family val="1"/>
    </font>
    <font>
      <b/>
      <sz val="14"/>
      <color indexed="12"/>
      <name val="Times New Roman"/>
      <family val="1"/>
    </font>
    <font>
      <sz val="12"/>
      <name val="Times New Roman"/>
      <family val="1"/>
    </font>
    <font>
      <sz val="12"/>
      <color indexed="12"/>
      <name val="Times New Roman"/>
      <family val="1"/>
    </font>
    <font>
      <b/>
      <sz val="12"/>
      <color indexed="12"/>
      <name val="Times New Roman"/>
      <family val="1"/>
    </font>
    <font>
      <sz val="12"/>
      <color indexed="10"/>
      <name val="Times New Roman"/>
      <family val="1"/>
    </font>
    <font>
      <sz val="8"/>
      <color indexed="81"/>
      <name val="Tahoma"/>
      <family val="2"/>
    </font>
    <font>
      <b/>
      <sz val="8"/>
      <color indexed="81"/>
      <name val="Tahoma"/>
      <family val="2"/>
    </font>
    <font>
      <i/>
      <sz val="12"/>
      <color indexed="14"/>
      <name val="Times New Roman"/>
      <family val="1"/>
    </font>
    <font>
      <b/>
      <sz val="9"/>
      <color indexed="12"/>
      <name val="Times New Roman"/>
      <family val="1"/>
    </font>
    <font>
      <b/>
      <i/>
      <sz val="9"/>
      <color indexed="10"/>
      <name val="Times New Roman"/>
      <family val="1"/>
    </font>
    <font>
      <sz val="9"/>
      <color indexed="10"/>
      <name val="Times New Roman"/>
      <family val="1"/>
    </font>
    <font>
      <u/>
      <sz val="9"/>
      <name val="Times New Roman"/>
      <family val="1"/>
    </font>
    <font>
      <sz val="12"/>
      <name val=".VnArial"/>
      <family val="2"/>
    </font>
    <font>
      <b/>
      <sz val="12"/>
      <color indexed="10"/>
      <name val="Times New Roman"/>
      <family val="1"/>
    </font>
    <font>
      <i/>
      <sz val="12"/>
      <name val="Times New Roman"/>
      <family val="1"/>
    </font>
    <font>
      <b/>
      <sz val="10"/>
      <name val="VNI-Times"/>
    </font>
    <font>
      <sz val="10"/>
      <name val="VNI-Times"/>
    </font>
    <font>
      <b/>
      <u/>
      <sz val="12"/>
      <name val="Times New Roman"/>
      <family val="1"/>
    </font>
    <font>
      <b/>
      <i/>
      <u/>
      <sz val="12"/>
      <name val="Times New Roman"/>
      <family val="1"/>
    </font>
    <font>
      <b/>
      <i/>
      <sz val="10"/>
      <name val="Times New Roman"/>
      <family val="1"/>
    </font>
    <font>
      <b/>
      <sz val="11"/>
      <color indexed="10"/>
      <name val="Tahoma"/>
      <family val="2"/>
    </font>
    <font>
      <b/>
      <sz val="8"/>
      <color indexed="12"/>
      <name val="Tahoma"/>
      <family val="2"/>
    </font>
    <font>
      <vertAlign val="subscript"/>
      <sz val="11"/>
      <name val="Times New Roman"/>
      <family val="1"/>
    </font>
    <font>
      <i/>
      <u/>
      <sz val="12"/>
      <name val="Times New Roman"/>
      <family val="1"/>
    </font>
    <font>
      <sz val="12"/>
      <color indexed="8"/>
      <name val="Times New Roman"/>
      <family val="1"/>
    </font>
    <font>
      <b/>
      <sz val="16"/>
      <name val="Times New Roman"/>
      <family val="1"/>
    </font>
    <font>
      <b/>
      <sz val="11"/>
      <name val="VNI-Times"/>
    </font>
    <font>
      <sz val="11"/>
      <name val="VNI-Times"/>
    </font>
    <font>
      <i/>
      <sz val="11"/>
      <name val="VNI-Times"/>
    </font>
    <font>
      <b/>
      <sz val="12"/>
      <color indexed="10"/>
      <name val="Times New Roman"/>
      <family val="1"/>
    </font>
    <font>
      <sz val="10"/>
      <name val="VNI-Aptima"/>
    </font>
    <font>
      <b/>
      <u/>
      <sz val="13"/>
      <name val="Times New Roman"/>
      <family val="1"/>
    </font>
    <font>
      <sz val="8"/>
      <name val=".VnArial"/>
      <family val="2"/>
    </font>
    <font>
      <sz val="12"/>
      <name val="Arial"/>
      <family val="2"/>
    </font>
    <font>
      <i/>
      <sz val="10"/>
      <name val="Times New Roman"/>
      <family val="1"/>
    </font>
    <font>
      <b/>
      <sz val="15"/>
      <name val="Times New Roman"/>
      <family val="1"/>
    </font>
    <font>
      <sz val="8"/>
      <name val="Times New Roman"/>
      <family val="1"/>
    </font>
    <font>
      <b/>
      <sz val="8"/>
      <name val="Times New Roman"/>
      <family val="1"/>
    </font>
    <font>
      <sz val="7"/>
      <name val="Times New Roman"/>
      <family val="1"/>
    </font>
    <font>
      <sz val="7"/>
      <name val="VNI Helve Condense"/>
    </font>
    <font>
      <sz val="11"/>
      <name val="Arial"/>
      <family val="2"/>
    </font>
    <font>
      <sz val="11"/>
      <name val="VNI-Helve-Condense"/>
    </font>
    <font>
      <b/>
      <sz val="11"/>
      <name val="VNI-Helve-Condense"/>
    </font>
    <font>
      <sz val="8"/>
      <name val=".VnArial"/>
      <family val="2"/>
    </font>
    <font>
      <b/>
      <sz val="11"/>
      <name val="Arial"/>
      <family val="2"/>
    </font>
    <font>
      <b/>
      <i/>
      <sz val="12"/>
      <name val="Times New Roman"/>
      <family val="1"/>
    </font>
    <font>
      <i/>
      <sz val="12"/>
      <color indexed="10"/>
      <name val="Times New Roman"/>
      <family val="1"/>
    </font>
    <font>
      <b/>
      <i/>
      <sz val="12"/>
      <color indexed="8"/>
      <name val="Times New Roman"/>
      <family val="1"/>
    </font>
    <font>
      <b/>
      <sz val="18"/>
      <name val="Times New Roman"/>
      <family val="1"/>
    </font>
    <font>
      <sz val="14"/>
      <name val="VNI-Aptima"/>
    </font>
    <font>
      <sz val="12"/>
      <name val="VNI-Aptima"/>
    </font>
    <font>
      <sz val="10"/>
      <name val="Arial"/>
      <family val="2"/>
    </font>
    <font>
      <sz val="8"/>
      <name val="VNI-Helve-Condense"/>
    </font>
    <font>
      <sz val="8"/>
      <name val="VNI Helve Condense"/>
    </font>
    <font>
      <b/>
      <sz val="8"/>
      <name val="VNI-Helve-Condense"/>
    </font>
    <font>
      <sz val="12"/>
      <name val="VNI-Times"/>
    </font>
    <font>
      <b/>
      <sz val="14"/>
      <color indexed="10"/>
      <name val="Times New Roman"/>
      <family val="1"/>
    </font>
    <font>
      <b/>
      <sz val="12"/>
      <color indexed="48"/>
      <name val="Times New Roman"/>
      <family val="1"/>
    </font>
    <font>
      <u/>
      <sz val="10"/>
      <name val="Times New Roman"/>
      <family val="1"/>
    </font>
    <font>
      <b/>
      <u/>
      <sz val="9"/>
      <name val="Times New Roman"/>
      <family val="1"/>
    </font>
    <font>
      <i/>
      <sz val="9"/>
      <name val="Times New Roman"/>
      <family val="1"/>
    </font>
    <font>
      <sz val="9"/>
      <color indexed="8"/>
      <name val="Times New Roman"/>
      <family val="1"/>
    </font>
    <font>
      <b/>
      <u val="singleAccounting"/>
      <sz val="9"/>
      <name val="Times New Roman"/>
      <family val="1"/>
    </font>
    <font>
      <u/>
      <sz val="12"/>
      <name val="Times New Roman"/>
      <family val="1"/>
    </font>
    <font>
      <b/>
      <u val="singleAccounting"/>
      <sz val="12"/>
      <name val="Times New Roman"/>
      <family val="1"/>
    </font>
    <font>
      <b/>
      <sz val="12"/>
      <color indexed="8"/>
      <name val="Times New Roman"/>
      <family val="1"/>
    </font>
    <font>
      <b/>
      <sz val="11"/>
      <color indexed="10"/>
      <name val="Times New Roman"/>
      <family val="1"/>
    </font>
    <font>
      <sz val="12"/>
      <color indexed="12"/>
      <name val="Times New Roman"/>
      <family val="1"/>
    </font>
    <font>
      <sz val="12"/>
      <color indexed="10"/>
      <name val="Times New Roman"/>
      <family val="1"/>
    </font>
    <font>
      <b/>
      <sz val="12"/>
      <color indexed="10"/>
      <name val="Times New Roman"/>
      <family val="1"/>
    </font>
    <font>
      <b/>
      <u/>
      <sz val="12"/>
      <color indexed="10"/>
      <name val="Times New Roman"/>
      <family val="1"/>
    </font>
    <font>
      <b/>
      <sz val="12"/>
      <color indexed="12"/>
      <name val="Times New Roman"/>
      <family val="1"/>
    </font>
    <font>
      <sz val="10"/>
      <color indexed="10"/>
      <name val="Times New Roman"/>
      <family val="1"/>
    </font>
    <font>
      <b/>
      <sz val="9"/>
      <color indexed="10"/>
      <name val="Times New Roman"/>
      <family val="1"/>
    </font>
    <font>
      <b/>
      <u/>
      <sz val="9"/>
      <color indexed="10"/>
      <name val="Times New Roman"/>
      <family val="1"/>
    </font>
    <font>
      <sz val="11"/>
      <name val=".VnArial"/>
      <family val="2"/>
    </font>
    <font>
      <sz val="11"/>
      <name val="VNI-Aptima"/>
    </font>
    <font>
      <b/>
      <u/>
      <sz val="11"/>
      <name val="Times New Roman"/>
      <family val="1"/>
    </font>
    <font>
      <i/>
      <sz val="13"/>
      <name val="Times New Roman"/>
      <family val="1"/>
    </font>
    <font>
      <b/>
      <sz val="10"/>
      <color indexed="10"/>
      <name val="Times New Roman"/>
      <family val="1"/>
    </font>
    <font>
      <b/>
      <i/>
      <sz val="11"/>
      <color indexed="10"/>
      <name val="Times New Roman"/>
      <family val="1"/>
    </font>
    <font>
      <b/>
      <u/>
      <sz val="10"/>
      <name val="Times New Roman"/>
      <family val="1"/>
    </font>
    <font>
      <b/>
      <sz val="8"/>
      <color indexed="10"/>
      <name val="Times New Roman"/>
      <family val="1"/>
    </font>
    <font>
      <b/>
      <u/>
      <sz val="10"/>
      <color indexed="10"/>
      <name val="Times New Roman"/>
      <family val="1"/>
    </font>
    <font>
      <sz val="12"/>
      <name val="Times New Roman"/>
      <family val="1"/>
      <charset val="163"/>
    </font>
    <font>
      <i/>
      <sz val="14"/>
      <color rgb="FF000000"/>
      <name val="Times New Roman"/>
      <family val="1"/>
    </font>
    <font>
      <sz val="8"/>
      <color rgb="FF000000"/>
      <name val="Times New Roman"/>
      <family val="1"/>
    </font>
    <font>
      <i/>
      <sz val="14"/>
      <name val="Times New Roman"/>
      <family val="1"/>
    </font>
    <font>
      <b/>
      <sz val="10"/>
      <name val="VNI-Helve-Condense"/>
    </font>
  </fonts>
  <fills count="13">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indexed="31"/>
        <bgColor indexed="64"/>
      </patternFill>
    </fill>
    <fill>
      <patternFill patternType="solid">
        <fgColor indexed="13"/>
        <bgColor indexed="64"/>
      </patternFill>
    </fill>
    <fill>
      <patternFill patternType="solid">
        <fgColor indexed="9"/>
        <bgColor indexed="64"/>
      </patternFill>
    </fill>
    <fill>
      <patternFill patternType="solid">
        <fgColor indexed="40"/>
        <bgColor indexed="64"/>
      </patternFill>
    </fill>
    <fill>
      <patternFill patternType="solid">
        <fgColor indexed="17"/>
        <bgColor indexed="64"/>
      </patternFill>
    </fill>
    <fill>
      <patternFill patternType="solid">
        <fgColor indexed="49"/>
        <bgColor indexed="64"/>
      </patternFill>
    </fill>
    <fill>
      <patternFill patternType="solid">
        <fgColor rgb="FFC00000"/>
        <bgColor indexed="64"/>
      </patternFill>
    </fill>
    <fill>
      <patternFill patternType="solid">
        <fgColor rgb="FFFFFF00"/>
        <bgColor indexed="64"/>
      </patternFill>
    </fill>
    <fill>
      <patternFill patternType="solid">
        <fgColor rgb="FF00B0F0"/>
        <bgColor indexed="64"/>
      </patternFill>
    </fill>
  </fills>
  <borders count="55">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23"/>
      </bottom>
      <diagonal/>
    </border>
    <border>
      <left style="thin">
        <color indexed="64"/>
      </left>
      <right style="thin">
        <color indexed="64"/>
      </right>
      <top style="thin">
        <color indexed="23"/>
      </top>
      <bottom style="thin">
        <color indexed="23"/>
      </bottom>
      <diagonal/>
    </border>
    <border>
      <left/>
      <right/>
      <top style="thin">
        <color indexed="23"/>
      </top>
      <bottom style="thin">
        <color indexed="23"/>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hair">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hair">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33"/>
      </top>
      <bottom style="hair">
        <color indexed="33"/>
      </bottom>
      <diagonal/>
    </border>
    <border>
      <left/>
      <right/>
      <top style="hair">
        <color indexed="33"/>
      </top>
      <bottom style="hair">
        <color indexed="33"/>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diagonal/>
    </border>
  </borders>
  <cellStyleXfs count="12">
    <xf numFmtId="0" fontId="0" fillId="0" borderId="0"/>
    <xf numFmtId="43" fontId="1" fillId="0" borderId="0" applyFont="0" applyFill="0" applyBorder="0" applyAlignment="0" applyProtection="0"/>
    <xf numFmtId="41" fontId="1" fillId="0" borderId="0" applyFont="0" applyFill="0" applyBorder="0" applyAlignment="0" applyProtection="0"/>
    <xf numFmtId="43" fontId="72" fillId="0" borderId="0" applyFont="0" applyFill="0" applyBorder="0" applyAlignment="0" applyProtection="0"/>
    <xf numFmtId="44" fontId="72" fillId="0" borderId="0" applyFont="0" applyFill="0" applyBorder="0" applyAlignment="0" applyProtection="0"/>
    <xf numFmtId="0" fontId="72" fillId="0" borderId="0"/>
    <xf numFmtId="0" fontId="47" fillId="0" borderId="0"/>
    <xf numFmtId="0" fontId="29" fillId="0" borderId="0"/>
    <xf numFmtId="0" fontId="29" fillId="0" borderId="0"/>
    <xf numFmtId="0" fontId="47" fillId="0" borderId="0"/>
    <xf numFmtId="0" fontId="47" fillId="0" borderId="0"/>
    <xf numFmtId="9" fontId="72" fillId="0" borderId="0" applyFont="0" applyFill="0" applyBorder="0" applyAlignment="0" applyProtection="0"/>
  </cellStyleXfs>
  <cellXfs count="1468">
    <xf numFmtId="0" fontId="0" fillId="0" borderId="0" xfId="0"/>
    <xf numFmtId="0" fontId="7" fillId="0" borderId="0" xfId="0" applyFont="1" applyAlignment="1">
      <alignment vertical="center"/>
    </xf>
    <xf numFmtId="0" fontId="3" fillId="0" borderId="0" xfId="0" applyFont="1" applyAlignment="1">
      <alignment horizontal="center" vertical="center"/>
    </xf>
    <xf numFmtId="0" fontId="9" fillId="0" borderId="0" xfId="0" applyFont="1" applyAlignment="1">
      <alignment horizontal="center" vertical="center"/>
    </xf>
    <xf numFmtId="43" fontId="4" fillId="0" borderId="0" xfId="1" applyNumberFormat="1" applyFont="1" applyAlignment="1">
      <alignment horizontal="right" vertical="center"/>
    </xf>
    <xf numFmtId="0" fontId="3" fillId="0" borderId="0" xfId="0" applyFont="1" applyAlignment="1">
      <alignment vertical="center"/>
    </xf>
    <xf numFmtId="0" fontId="7" fillId="0" borderId="0" xfId="0" applyFont="1" applyAlignment="1">
      <alignment horizontal="center" vertical="center"/>
    </xf>
    <xf numFmtId="43" fontId="7" fillId="0" borderId="0" xfId="1" applyNumberFormat="1" applyFont="1" applyAlignment="1">
      <alignment horizontal="right" vertical="center"/>
    </xf>
    <xf numFmtId="0" fontId="11" fillId="0" borderId="0" xfId="0" applyFont="1" applyAlignment="1">
      <alignment vertical="center"/>
    </xf>
    <xf numFmtId="0" fontId="14" fillId="0" borderId="0" xfId="0" applyFont="1" applyAlignment="1">
      <alignment vertical="center"/>
    </xf>
    <xf numFmtId="2" fontId="7" fillId="0" borderId="0" xfId="0" applyNumberFormat="1" applyFont="1" applyAlignment="1">
      <alignment horizontal="right" vertical="center"/>
    </xf>
    <xf numFmtId="0" fontId="7" fillId="0" borderId="0" xfId="0" applyFont="1" applyFill="1" applyAlignment="1">
      <alignment vertical="center"/>
    </xf>
    <xf numFmtId="0" fontId="3"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0" xfId="0" applyFont="1" applyAlignment="1">
      <alignment vertical="center"/>
    </xf>
    <xf numFmtId="0" fontId="11" fillId="0" borderId="0" xfId="0" applyFont="1" applyAlignment="1">
      <alignment horizontal="center" vertical="center"/>
    </xf>
    <xf numFmtId="2" fontId="11" fillId="0" borderId="0" xfId="0" applyNumberFormat="1" applyFont="1" applyAlignment="1">
      <alignment horizontal="right" vertical="center"/>
    </xf>
    <xf numFmtId="171" fontId="3" fillId="0" borderId="0" xfId="1" applyNumberFormat="1" applyFont="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14" fillId="0" borderId="0" xfId="0" applyFont="1" applyBorder="1" applyAlignment="1">
      <alignment vertical="center"/>
    </xf>
    <xf numFmtId="174" fontId="14" fillId="0" borderId="0" xfId="0" applyNumberFormat="1" applyFont="1" applyAlignment="1">
      <alignment vertical="center"/>
    </xf>
    <xf numFmtId="0" fontId="18" fillId="0" borderId="0" xfId="0" applyFont="1" applyFill="1"/>
    <xf numFmtId="0" fontId="12" fillId="0" borderId="1" xfId="0" applyFont="1" applyFill="1" applyBorder="1" applyAlignment="1">
      <alignment horizontal="left" vertical="center"/>
    </xf>
    <xf numFmtId="0" fontId="18" fillId="0" borderId="0" xfId="0" applyFont="1" applyFill="1" applyAlignment="1"/>
    <xf numFmtId="0" fontId="18" fillId="0" borderId="0" xfId="0" applyFont="1" applyFill="1" applyAlignment="1">
      <alignment horizontal="center"/>
    </xf>
    <xf numFmtId="0" fontId="3" fillId="0" borderId="3" xfId="0" applyFont="1" applyFill="1" applyBorder="1" applyAlignment="1">
      <alignment horizontal="center" vertical="center"/>
    </xf>
    <xf numFmtId="0" fontId="14" fillId="0" borderId="2" xfId="0" applyFont="1" applyBorder="1" applyAlignment="1">
      <alignment vertical="center"/>
    </xf>
    <xf numFmtId="173" fontId="14" fillId="0" borderId="0" xfId="1" applyNumberFormat="1" applyFont="1" applyAlignment="1">
      <alignment vertical="center"/>
    </xf>
    <xf numFmtId="0" fontId="14" fillId="0" borderId="0" xfId="0" applyFont="1" applyFill="1" applyAlignment="1">
      <alignment vertical="center"/>
    </xf>
    <xf numFmtId="0" fontId="14" fillId="0" borderId="0" xfId="0" applyFont="1" applyFill="1" applyBorder="1" applyAlignment="1">
      <alignment vertical="center"/>
    </xf>
    <xf numFmtId="0" fontId="12" fillId="0" borderId="2" xfId="0" applyFont="1" applyBorder="1" applyAlignment="1">
      <alignment horizontal="center" vertical="center"/>
    </xf>
    <xf numFmtId="0" fontId="5" fillId="0" borderId="0" xfId="0" applyFont="1" applyFill="1" applyAlignment="1">
      <alignment vertical="center"/>
    </xf>
    <xf numFmtId="0" fontId="3" fillId="0" borderId="2" xfId="0" applyFont="1" applyFill="1" applyBorder="1" applyAlignment="1">
      <alignment horizontal="left" vertical="center" wrapText="1"/>
    </xf>
    <xf numFmtId="171" fontId="14" fillId="0" borderId="0" xfId="0" applyNumberFormat="1" applyFont="1" applyAlignment="1">
      <alignment vertical="center"/>
    </xf>
    <xf numFmtId="3" fontId="7" fillId="0" borderId="0" xfId="0" applyNumberFormat="1" applyFont="1" applyAlignment="1">
      <alignment vertical="center"/>
    </xf>
    <xf numFmtId="3" fontId="19" fillId="0" borderId="0" xfId="0" applyNumberFormat="1" applyFont="1" applyAlignment="1">
      <alignment vertical="center"/>
    </xf>
    <xf numFmtId="3" fontId="3" fillId="0" borderId="0" xfId="0" applyNumberFormat="1" applyFont="1" applyAlignment="1">
      <alignment horizontal="center" vertical="center"/>
    </xf>
    <xf numFmtId="3" fontId="15" fillId="0" borderId="0" xfId="0" applyNumberFormat="1" applyFont="1" applyAlignment="1">
      <alignment vertical="center"/>
    </xf>
    <xf numFmtId="3" fontId="16" fillId="0" borderId="0" xfId="0" applyNumberFormat="1" applyFont="1" applyAlignment="1">
      <alignment vertical="center"/>
    </xf>
    <xf numFmtId="167" fontId="16" fillId="0" borderId="0" xfId="0" applyNumberFormat="1" applyFont="1" applyAlignment="1">
      <alignment horizontal="right" vertical="center"/>
    </xf>
    <xf numFmtId="3" fontId="16" fillId="0" borderId="0" xfId="0" applyNumberFormat="1" applyFont="1" applyAlignment="1">
      <alignment horizontal="right" vertical="center"/>
    </xf>
    <xf numFmtId="3" fontId="16" fillId="0" borderId="0" xfId="0" applyNumberFormat="1" applyFont="1" applyAlignment="1">
      <alignment horizontal="center" vertical="center"/>
    </xf>
    <xf numFmtId="3" fontId="16" fillId="0" borderId="0" xfId="0" quotePrefix="1" applyNumberFormat="1" applyFont="1" applyAlignment="1">
      <alignment vertical="center"/>
    </xf>
    <xf numFmtId="3" fontId="16" fillId="0" borderId="0" xfId="0" applyNumberFormat="1" applyFont="1" applyAlignment="1">
      <alignment horizontal="left" vertical="center"/>
    </xf>
    <xf numFmtId="167" fontId="25" fillId="0" borderId="0" xfId="0" applyNumberFormat="1" applyFont="1" applyAlignment="1">
      <alignment horizontal="right" vertical="center"/>
    </xf>
    <xf numFmtId="3" fontId="25" fillId="0" borderId="0" xfId="0" applyNumberFormat="1" applyFont="1" applyAlignment="1">
      <alignment horizontal="left" vertical="center"/>
    </xf>
    <xf numFmtId="3" fontId="26" fillId="0" borderId="0" xfId="0" applyNumberFormat="1" applyFont="1" applyAlignment="1">
      <alignment horizontal="left" vertical="center"/>
    </xf>
    <xf numFmtId="3" fontId="26" fillId="0" borderId="0" xfId="0" applyNumberFormat="1" applyFont="1" applyAlignment="1">
      <alignment vertical="center"/>
    </xf>
    <xf numFmtId="3" fontId="26" fillId="0" borderId="0" xfId="0" quotePrefix="1" applyNumberFormat="1" applyFont="1" applyAlignment="1">
      <alignment horizontal="right" vertical="center"/>
    </xf>
    <xf numFmtId="4" fontId="26" fillId="0" borderId="0" xfId="0" applyNumberFormat="1" applyFont="1" applyAlignment="1">
      <alignment vertical="center"/>
    </xf>
    <xf numFmtId="170" fontId="26" fillId="0" borderId="0" xfId="0" applyNumberFormat="1" applyFont="1" applyAlignment="1">
      <alignment horizontal="right" vertical="center"/>
    </xf>
    <xf numFmtId="4" fontId="26" fillId="0" borderId="0" xfId="0" applyNumberFormat="1" applyFont="1" applyAlignment="1">
      <alignment horizontal="right" vertical="center"/>
    </xf>
    <xf numFmtId="3" fontId="26" fillId="0" borderId="0" xfId="0" applyNumberFormat="1" applyFont="1" applyAlignment="1">
      <alignment horizontal="right" vertical="center"/>
    </xf>
    <xf numFmtId="3" fontId="27" fillId="0" borderId="0" xfId="0" applyNumberFormat="1" applyFont="1" applyAlignment="1">
      <alignment horizontal="right" vertical="center"/>
    </xf>
    <xf numFmtId="3" fontId="27" fillId="0" borderId="0" xfId="0" applyNumberFormat="1" applyFont="1" applyAlignment="1">
      <alignment horizontal="left" vertical="center"/>
    </xf>
    <xf numFmtId="170" fontId="27" fillId="0" borderId="0" xfId="0" applyNumberFormat="1" applyFont="1" applyAlignment="1">
      <alignment horizontal="right" vertical="center"/>
    </xf>
    <xf numFmtId="4" fontId="27" fillId="0" borderId="0" xfId="0" applyNumberFormat="1" applyFont="1" applyAlignment="1">
      <alignment horizontal="right" vertical="center"/>
    </xf>
    <xf numFmtId="3" fontId="15" fillId="2" borderId="3" xfId="0" quotePrefix="1" applyNumberFormat="1" applyFont="1" applyFill="1" applyBorder="1" applyAlignment="1">
      <alignment horizontal="center" vertical="center" wrapText="1"/>
    </xf>
    <xf numFmtId="3" fontId="15" fillId="2" borderId="3" xfId="0" applyNumberFormat="1" applyFont="1" applyFill="1" applyBorder="1" applyAlignment="1">
      <alignment horizontal="center" vertical="center" wrapText="1"/>
    </xf>
    <xf numFmtId="167" fontId="15" fillId="2" borderId="3" xfId="0" applyNumberFormat="1" applyFont="1" applyFill="1" applyBorder="1" applyAlignment="1">
      <alignment horizontal="center" vertical="center" wrapText="1"/>
    </xf>
    <xf numFmtId="3" fontId="15" fillId="0" borderId="0" xfId="0" applyNumberFormat="1" applyFont="1" applyAlignment="1">
      <alignment horizontal="center" vertical="center" wrapText="1"/>
    </xf>
    <xf numFmtId="3" fontId="15" fillId="0" borderId="4" xfId="0" quotePrefix="1" applyNumberFormat="1" applyFont="1" applyBorder="1" applyAlignment="1">
      <alignment horizontal="center" vertical="center" wrapText="1"/>
    </xf>
    <xf numFmtId="3" fontId="15" fillId="0" borderId="4" xfId="0" applyNumberFormat="1" applyFont="1" applyBorder="1" applyAlignment="1">
      <alignment horizontal="center" vertical="center" wrapText="1"/>
    </xf>
    <xf numFmtId="3" fontId="15" fillId="0" borderId="4" xfId="0" applyNumberFormat="1" applyFont="1" applyBorder="1" applyAlignment="1">
      <alignment horizontal="left" vertical="center" wrapText="1"/>
    </xf>
    <xf numFmtId="167" fontId="15" fillId="0" borderId="4" xfId="0" applyNumberFormat="1" applyFont="1" applyBorder="1" applyAlignment="1">
      <alignment horizontal="center" vertical="center" wrapText="1"/>
    </xf>
    <xf numFmtId="3" fontId="16" fillId="0" borderId="5" xfId="0" applyNumberFormat="1" applyFont="1" applyBorder="1" applyAlignment="1">
      <alignment horizontal="center" vertical="center" wrapText="1"/>
    </xf>
    <xf numFmtId="3" fontId="16" fillId="0" borderId="5" xfId="0" applyNumberFormat="1" applyFont="1" applyBorder="1" applyAlignment="1">
      <alignment vertical="center" wrapText="1"/>
    </xf>
    <xf numFmtId="167" fontId="27" fillId="0" borderId="5" xfId="0" applyNumberFormat="1" applyFont="1" applyBorder="1" applyAlignment="1">
      <alignment vertical="center" wrapText="1"/>
    </xf>
    <xf numFmtId="3" fontId="16" fillId="0" borderId="5" xfId="0" applyNumberFormat="1" applyFont="1" applyBorder="1" applyAlignment="1">
      <alignment horizontal="right" vertical="center" wrapText="1"/>
    </xf>
    <xf numFmtId="3" fontId="16" fillId="0" borderId="0" xfId="0" applyNumberFormat="1" applyFont="1" applyAlignment="1">
      <alignment vertical="center" wrapText="1"/>
    </xf>
    <xf numFmtId="3" fontId="15" fillId="0" borderId="6" xfId="0" applyNumberFormat="1" applyFont="1" applyBorder="1" applyAlignment="1">
      <alignment horizontal="left" vertical="center"/>
    </xf>
    <xf numFmtId="3" fontId="16" fillId="0" borderId="7" xfId="0" applyNumberFormat="1" applyFont="1" applyBorder="1" applyAlignment="1">
      <alignment vertical="center"/>
    </xf>
    <xf numFmtId="3" fontId="16" fillId="0" borderId="6" xfId="0" applyNumberFormat="1" applyFont="1" applyBorder="1" applyAlignment="1">
      <alignment vertical="center"/>
    </xf>
    <xf numFmtId="4" fontId="16" fillId="0" borderId="6" xfId="0" applyNumberFormat="1" applyFont="1" applyBorder="1" applyAlignment="1">
      <alignment vertical="center"/>
    </xf>
    <xf numFmtId="3" fontId="16" fillId="0" borderId="6" xfId="0" applyNumberFormat="1" applyFont="1" applyBorder="1" applyAlignment="1">
      <alignment horizontal="right" vertical="center"/>
    </xf>
    <xf numFmtId="3" fontId="15" fillId="0" borderId="6" xfId="0" applyNumberFormat="1" applyFont="1" applyBorder="1" applyAlignment="1">
      <alignment horizontal="right" vertical="center"/>
    </xf>
    <xf numFmtId="3" fontId="16" fillId="0" borderId="6" xfId="0" applyNumberFormat="1" applyFont="1" applyBorder="1" applyAlignment="1">
      <alignment horizontal="center" vertical="center"/>
    </xf>
    <xf numFmtId="3" fontId="16" fillId="0" borderId="0" xfId="0" quotePrefix="1" applyNumberFormat="1" applyFont="1" applyAlignment="1">
      <alignment horizontal="center" vertical="center"/>
    </xf>
    <xf numFmtId="3" fontId="15" fillId="0" borderId="8" xfId="0" applyNumberFormat="1" applyFont="1" applyBorder="1" applyAlignment="1">
      <alignment horizontal="left" vertical="center"/>
    </xf>
    <xf numFmtId="3" fontId="16" fillId="0" borderId="8" xfId="0" applyNumberFormat="1" applyFont="1" applyBorder="1" applyAlignment="1">
      <alignment vertical="center"/>
    </xf>
    <xf numFmtId="170" fontId="16" fillId="0" borderId="8" xfId="0" applyNumberFormat="1" applyFont="1" applyBorder="1" applyAlignment="1">
      <alignment vertical="center"/>
    </xf>
    <xf numFmtId="3" fontId="16" fillId="0" borderId="8" xfId="0" applyNumberFormat="1" applyFont="1" applyBorder="1" applyAlignment="1">
      <alignment horizontal="right" vertical="center"/>
    </xf>
    <xf numFmtId="3" fontId="15" fillId="0" borderId="8" xfId="0" applyNumberFormat="1" applyFont="1" applyBorder="1" applyAlignment="1">
      <alignment horizontal="right" vertical="center"/>
    </xf>
    <xf numFmtId="3" fontId="15" fillId="0" borderId="3" xfId="0" applyNumberFormat="1" applyFont="1" applyBorder="1" applyAlignment="1">
      <alignment horizontal="left" vertical="center"/>
    </xf>
    <xf numFmtId="3" fontId="16" fillId="0" borderId="3" xfId="0" applyNumberFormat="1" applyFont="1" applyBorder="1" applyAlignment="1">
      <alignment vertical="center"/>
    </xf>
    <xf numFmtId="167" fontId="16" fillId="0" borderId="3" xfId="0" applyNumberFormat="1" applyFont="1" applyBorder="1" applyAlignment="1">
      <alignment horizontal="right" vertical="center"/>
    </xf>
    <xf numFmtId="3" fontId="16" fillId="0" borderId="3" xfId="0" applyNumberFormat="1" applyFont="1" applyBorder="1" applyAlignment="1">
      <alignment horizontal="right" vertical="center"/>
    </xf>
    <xf numFmtId="165" fontId="16" fillId="0" borderId="3" xfId="0" applyNumberFormat="1" applyFont="1" applyBorder="1" applyAlignment="1">
      <alignment horizontal="center" vertical="center"/>
    </xf>
    <xf numFmtId="3" fontId="16" fillId="0" borderId="3" xfId="0" applyNumberFormat="1" applyFont="1" applyBorder="1" applyAlignment="1">
      <alignment horizontal="center" vertical="center"/>
    </xf>
    <xf numFmtId="3" fontId="15" fillId="0" borderId="3" xfId="0" applyNumberFormat="1" applyFont="1" applyFill="1" applyBorder="1" applyAlignment="1">
      <alignment horizontal="right" vertical="center"/>
    </xf>
    <xf numFmtId="3" fontId="28" fillId="0" borderId="0" xfId="0" applyNumberFormat="1" applyFont="1" applyAlignment="1">
      <alignment vertical="center"/>
    </xf>
    <xf numFmtId="3" fontId="7" fillId="0" borderId="0" xfId="0" applyNumberFormat="1" applyFont="1" applyAlignment="1">
      <alignment horizontal="center" vertical="center"/>
    </xf>
    <xf numFmtId="167" fontId="7" fillId="0" borderId="0" xfId="0" applyNumberFormat="1" applyFont="1" applyAlignment="1">
      <alignment horizontal="right" vertical="center"/>
    </xf>
    <xf numFmtId="3" fontId="7" fillId="0" borderId="0" xfId="0" applyNumberFormat="1" applyFont="1" applyAlignment="1">
      <alignment horizontal="right" vertical="center"/>
    </xf>
    <xf numFmtId="0" fontId="3" fillId="0" borderId="2" xfId="0" applyFont="1" applyFill="1" applyBorder="1" applyAlignment="1">
      <alignment horizontal="center" vertical="center" wrapText="1"/>
    </xf>
    <xf numFmtId="0" fontId="13" fillId="0" borderId="1" xfId="0" applyFont="1" applyFill="1" applyBorder="1" applyAlignment="1">
      <alignment horizontal="center" vertical="center" wrapText="1"/>
    </xf>
    <xf numFmtId="169" fontId="13" fillId="0" borderId="1" xfId="0" applyNumberFormat="1" applyFont="1" applyFill="1" applyBorder="1" applyAlignment="1">
      <alignment horizontal="center" vertical="center" wrapText="1"/>
    </xf>
    <xf numFmtId="0" fontId="12" fillId="3" borderId="3" xfId="0" applyFont="1" applyFill="1" applyBorder="1" applyAlignment="1">
      <alignment horizontal="center" vertical="center"/>
    </xf>
    <xf numFmtId="0" fontId="12" fillId="3" borderId="3" xfId="0" applyFont="1" applyFill="1" applyBorder="1" applyAlignment="1">
      <alignment horizontal="center" vertical="center" wrapText="1"/>
    </xf>
    <xf numFmtId="0" fontId="18" fillId="0" borderId="2" xfId="0" applyFont="1" applyBorder="1" applyAlignment="1">
      <alignment horizontal="center" vertical="center"/>
    </xf>
    <xf numFmtId="0" fontId="18" fillId="0" borderId="2" xfId="0" applyFont="1" applyBorder="1" applyAlignment="1">
      <alignment horizontal="left" vertical="center" wrapText="1"/>
    </xf>
    <xf numFmtId="171" fontId="18" fillId="0" borderId="2" xfId="1" applyNumberFormat="1" applyFont="1" applyBorder="1" applyAlignment="1">
      <alignment vertical="center" wrapText="1"/>
    </xf>
    <xf numFmtId="0" fontId="24" fillId="0" borderId="2" xfId="0" quotePrefix="1" applyFont="1" applyBorder="1" applyAlignment="1">
      <alignment horizontal="left" vertical="center" wrapText="1"/>
    </xf>
    <xf numFmtId="0" fontId="24" fillId="0" borderId="2" xfId="0" applyFont="1" applyBorder="1" applyAlignment="1">
      <alignment horizontal="center" vertical="center" wrapText="1"/>
    </xf>
    <xf numFmtId="171" fontId="24" fillId="0" borderId="2" xfId="1" applyNumberFormat="1" applyFont="1" applyBorder="1" applyAlignment="1">
      <alignment vertical="center" wrapText="1"/>
    </xf>
    <xf numFmtId="0" fontId="18" fillId="0" borderId="2" xfId="0" applyFont="1" applyBorder="1" applyAlignment="1">
      <alignment horizontal="center" vertical="center" wrapText="1"/>
    </xf>
    <xf numFmtId="171" fontId="18" fillId="0" borderId="2" xfId="0" applyNumberFormat="1" applyFont="1" applyBorder="1" applyAlignment="1">
      <alignment vertical="center"/>
    </xf>
    <xf numFmtId="0" fontId="24" fillId="0" borderId="2" xfId="0" applyFont="1" applyBorder="1" applyAlignment="1">
      <alignment horizontal="left" vertical="center" wrapText="1"/>
    </xf>
    <xf numFmtId="0" fontId="31" fillId="0" borderId="2" xfId="0" applyFont="1" applyBorder="1" applyAlignment="1">
      <alignment horizontal="center" vertical="center" wrapText="1"/>
    </xf>
    <xf numFmtId="171" fontId="31" fillId="0" borderId="2" xfId="1" applyNumberFormat="1" applyFont="1" applyBorder="1" applyAlignment="1">
      <alignment vertical="center" wrapText="1"/>
    </xf>
    <xf numFmtId="0" fontId="18" fillId="0" borderId="2" xfId="0" applyFont="1" applyFill="1" applyBorder="1" applyAlignment="1">
      <alignment horizontal="center" vertical="center"/>
    </xf>
    <xf numFmtId="0" fontId="18" fillId="0" borderId="2" xfId="0" applyFont="1" applyFill="1" applyBorder="1" applyAlignment="1">
      <alignment horizontal="left" vertical="center" wrapText="1"/>
    </xf>
    <xf numFmtId="0" fontId="18" fillId="0" borderId="2" xfId="0" applyFont="1" applyFill="1" applyBorder="1" applyAlignment="1">
      <alignment horizontal="center" vertical="center" wrapText="1"/>
    </xf>
    <xf numFmtId="171" fontId="18" fillId="0" borderId="2" xfId="0" applyNumberFormat="1" applyFont="1" applyFill="1" applyBorder="1" applyAlignment="1">
      <alignment vertical="center"/>
    </xf>
    <xf numFmtId="171" fontId="18" fillId="0" borderId="2" xfId="1" applyNumberFormat="1" applyFont="1" applyBorder="1" applyAlignment="1">
      <alignment horizontal="center" vertical="center" wrapText="1"/>
    </xf>
    <xf numFmtId="171" fontId="18" fillId="0" borderId="2" xfId="1" applyNumberFormat="1" applyFont="1" applyFill="1" applyBorder="1" applyAlignment="1">
      <alignment horizontal="center" vertical="center" wrapText="1"/>
    </xf>
    <xf numFmtId="171" fontId="24" fillId="0" borderId="2" xfId="1" applyNumberFormat="1" applyFont="1" applyBorder="1" applyAlignment="1">
      <alignment horizontal="center" vertical="center" wrapText="1"/>
    </xf>
    <xf numFmtId="0" fontId="12" fillId="0" borderId="2" xfId="0" applyFont="1" applyBorder="1" applyAlignment="1">
      <alignment horizontal="center" vertical="center" wrapText="1"/>
    </xf>
    <xf numFmtId="171" fontId="12" fillId="0" borderId="2" xfId="1" applyNumberFormat="1" applyFont="1" applyBorder="1" applyAlignment="1">
      <alignment horizontal="center" vertical="center" wrapText="1"/>
    </xf>
    <xf numFmtId="0" fontId="30" fillId="0" borderId="2" xfId="0" applyFont="1" applyBorder="1" applyAlignment="1">
      <alignment horizontal="left" vertical="center" wrapText="1"/>
    </xf>
    <xf numFmtId="0" fontId="12" fillId="0" borderId="9" xfId="0" applyFont="1" applyBorder="1" applyAlignment="1">
      <alignment horizontal="center" vertical="center"/>
    </xf>
    <xf numFmtId="0" fontId="24" fillId="0" borderId="9" xfId="0" applyFont="1" applyBorder="1" applyAlignment="1">
      <alignment horizontal="center" vertical="center" wrapText="1"/>
    </xf>
    <xf numFmtId="171" fontId="12" fillId="0" borderId="9" xfId="1" applyNumberFormat="1" applyFont="1" applyBorder="1" applyAlignment="1">
      <alignment horizontal="center" vertical="center" wrapText="1"/>
    </xf>
    <xf numFmtId="43" fontId="12" fillId="3" borderId="3" xfId="1" applyNumberFormat="1" applyFont="1" applyFill="1" applyBorder="1" applyAlignment="1">
      <alignment horizontal="center" vertical="center" wrapText="1"/>
    </xf>
    <xf numFmtId="0" fontId="24" fillId="0" borderId="9" xfId="0" applyFont="1" applyBorder="1" applyAlignment="1">
      <alignment horizontal="left" vertical="center" wrapText="1"/>
    </xf>
    <xf numFmtId="0" fontId="24" fillId="0" borderId="2" xfId="0" quotePrefix="1" applyFont="1" applyBorder="1" applyAlignment="1">
      <alignment horizontal="center" vertical="center" wrapText="1"/>
    </xf>
    <xf numFmtId="164" fontId="24" fillId="0" borderId="2" xfId="0" quotePrefix="1" applyNumberFormat="1" applyFont="1" applyBorder="1" applyAlignment="1">
      <alignment horizontal="right" vertical="center" wrapText="1"/>
    </xf>
    <xf numFmtId="0" fontId="24" fillId="0" borderId="2" xfId="0" applyFont="1" applyBorder="1" applyAlignment="1">
      <alignment horizontal="right" vertical="center" wrapText="1"/>
    </xf>
    <xf numFmtId="0" fontId="21" fillId="0" borderId="2" xfId="0" applyFont="1" applyBorder="1" applyAlignment="1">
      <alignment horizontal="center" vertical="center"/>
    </xf>
    <xf numFmtId="164" fontId="24" fillId="0" borderId="2" xfId="0" applyNumberFormat="1" applyFont="1" applyBorder="1" applyAlignment="1">
      <alignment horizontal="right" vertical="center" wrapText="1"/>
    </xf>
    <xf numFmtId="164" fontId="24" fillId="0" borderId="0" xfId="0" quotePrefix="1" applyNumberFormat="1" applyFont="1" applyBorder="1" applyAlignment="1">
      <alignment horizontal="right"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43" fontId="12" fillId="0" borderId="1" xfId="1" applyNumberFormat="1" applyFont="1" applyFill="1" applyBorder="1" applyAlignment="1">
      <alignment horizontal="center" vertical="center" wrapText="1"/>
    </xf>
    <xf numFmtId="176" fontId="14" fillId="0" borderId="0" xfId="0" applyNumberFormat="1" applyFont="1" applyAlignment="1">
      <alignment vertical="center"/>
    </xf>
    <xf numFmtId="0" fontId="13" fillId="0" borderId="2" xfId="0" applyFont="1" applyFill="1" applyBorder="1" applyAlignment="1">
      <alignment horizontal="center" vertical="center" wrapText="1"/>
    </xf>
    <xf numFmtId="169" fontId="13"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0" fontId="32" fillId="0" borderId="0" xfId="0" applyFont="1" applyFill="1"/>
    <xf numFmtId="0" fontId="33" fillId="0" borderId="0" xfId="0" applyFont="1" applyFill="1" applyAlignment="1"/>
    <xf numFmtId="0" fontId="33" fillId="0" borderId="0" xfId="0" applyFont="1" applyFill="1"/>
    <xf numFmtId="0" fontId="32" fillId="0" borderId="10" xfId="0" applyFont="1" applyFill="1" applyBorder="1" applyAlignment="1">
      <alignment horizontal="center" vertical="center"/>
    </xf>
    <xf numFmtId="0" fontId="32" fillId="0" borderId="11" xfId="0" applyFont="1" applyFill="1" applyBorder="1" applyAlignment="1">
      <alignment horizontal="center" vertical="center"/>
    </xf>
    <xf numFmtId="0" fontId="32" fillId="0" borderId="11" xfId="0" applyFont="1" applyFill="1" applyBorder="1" applyAlignment="1">
      <alignment horizontal="centerContinuous" vertical="center"/>
    </xf>
    <xf numFmtId="0" fontId="32" fillId="0" borderId="12" xfId="0" applyFont="1" applyFill="1" applyBorder="1" applyAlignment="1">
      <alignment horizontal="center" vertical="center"/>
    </xf>
    <xf numFmtId="0" fontId="32" fillId="0" borderId="13" xfId="0" applyFont="1" applyFill="1" applyBorder="1"/>
    <xf numFmtId="170" fontId="32" fillId="0" borderId="13" xfId="0" applyNumberFormat="1" applyFont="1" applyFill="1" applyBorder="1"/>
    <xf numFmtId="0" fontId="33" fillId="0" borderId="0" xfId="0" applyFont="1" applyFill="1" applyBorder="1" applyAlignment="1">
      <alignment horizontal="centerContinuous" vertical="center"/>
    </xf>
    <xf numFmtId="170" fontId="33" fillId="0" borderId="0" xfId="0" applyNumberFormat="1" applyFont="1" applyFill="1" applyBorder="1" applyAlignment="1">
      <alignment horizontal="centerContinuous" vertical="center"/>
    </xf>
    <xf numFmtId="0" fontId="33" fillId="0" borderId="0" xfId="0" applyFont="1" applyFill="1" applyBorder="1" applyAlignment="1">
      <alignment horizontal="right"/>
    </xf>
    <xf numFmtId="0" fontId="33" fillId="0" borderId="0" xfId="0" applyFont="1" applyFill="1" applyBorder="1"/>
    <xf numFmtId="170" fontId="33" fillId="0" borderId="0" xfId="0" applyNumberFormat="1" applyFont="1" applyFill="1" applyBorder="1"/>
    <xf numFmtId="0" fontId="32" fillId="0" borderId="0" xfId="0" applyFont="1" applyFill="1" applyBorder="1" applyAlignment="1">
      <alignment horizontal="centerContinuous" vertical="center"/>
    </xf>
    <xf numFmtId="170" fontId="32" fillId="0" borderId="0" xfId="0" applyNumberFormat="1" applyFont="1" applyFill="1" applyBorder="1" applyAlignment="1">
      <alignment horizontal="centerContinuous" vertical="center"/>
    </xf>
    <xf numFmtId="0" fontId="32" fillId="0" borderId="14" xfId="0" applyFont="1" applyFill="1" applyBorder="1" applyAlignment="1">
      <alignment horizontal="centerContinuous" vertical="center"/>
    </xf>
    <xf numFmtId="170" fontId="32" fillId="0" borderId="14" xfId="0" applyNumberFormat="1" applyFont="1" applyFill="1" applyBorder="1" applyAlignment="1">
      <alignment horizontal="centerContinuous" vertical="center"/>
    </xf>
    <xf numFmtId="0" fontId="32" fillId="0" borderId="0" xfId="0" applyFont="1" applyFill="1" applyAlignment="1">
      <alignment horizontal="centerContinuous" vertical="center"/>
    </xf>
    <xf numFmtId="0" fontId="33" fillId="0" borderId="0" xfId="0" applyFont="1" applyFill="1" applyAlignment="1">
      <alignment horizontal="center"/>
    </xf>
    <xf numFmtId="0" fontId="34" fillId="0" borderId="0" xfId="0" applyNumberFormat="1" applyFont="1" applyFill="1" applyAlignment="1">
      <alignment horizontal="centerContinuous" vertical="center"/>
    </xf>
    <xf numFmtId="0" fontId="34" fillId="0" borderId="0" xfId="0" applyFont="1" applyFill="1" applyAlignment="1">
      <alignment horizontal="centerContinuous" vertical="center"/>
    </xf>
    <xf numFmtId="0" fontId="34" fillId="0" borderId="0" xfId="0" applyFont="1" applyFill="1" applyBorder="1" applyAlignment="1">
      <alignment horizontal="centerContinuous" vertical="center"/>
    </xf>
    <xf numFmtId="0" fontId="35" fillId="0" borderId="0" xfId="0" applyFont="1" applyFill="1" applyAlignment="1">
      <alignment horizontal="centerContinuous" vertical="center"/>
    </xf>
    <xf numFmtId="0" fontId="18" fillId="0" borderId="0" xfId="0" applyFont="1" applyFill="1" applyAlignment="1">
      <alignment horizontal="centerContinuous" vertical="center"/>
    </xf>
    <xf numFmtId="43" fontId="18" fillId="0" borderId="0" xfId="1" applyFont="1" applyFill="1" applyAlignment="1">
      <alignment horizontal="centerContinuous" vertical="center"/>
    </xf>
    <xf numFmtId="0" fontId="18" fillId="0" borderId="0" xfId="0" applyFont="1" applyFill="1" applyBorder="1" applyAlignment="1">
      <alignment horizontal="centerContinuous" vertical="center"/>
    </xf>
    <xf numFmtId="0" fontId="18" fillId="0" borderId="0" xfId="0" applyFont="1" applyFill="1" applyAlignment="1">
      <alignment vertical="top" wrapText="1"/>
    </xf>
    <xf numFmtId="43" fontId="18" fillId="0" borderId="0" xfId="1" applyFont="1" applyFill="1" applyAlignment="1"/>
    <xf numFmtId="172" fontId="18" fillId="0" borderId="0" xfId="1" applyNumberFormat="1" applyFont="1" applyFill="1"/>
    <xf numFmtId="0" fontId="36" fillId="0" borderId="0" xfId="0" applyFont="1" applyFill="1"/>
    <xf numFmtId="0" fontId="5" fillId="0" borderId="0" xfId="0" applyFont="1" applyFill="1" applyAlignment="1">
      <alignment horizontal="center"/>
    </xf>
    <xf numFmtId="0" fontId="5" fillId="0" borderId="0" xfId="0" applyFont="1" applyFill="1"/>
    <xf numFmtId="43" fontId="5" fillId="0" borderId="0" xfId="1" applyFont="1" applyFill="1"/>
    <xf numFmtId="3" fontId="5" fillId="0" borderId="0" xfId="0" applyNumberFormat="1" applyFont="1" applyFill="1"/>
    <xf numFmtId="0" fontId="3" fillId="0" borderId="3" xfId="0" applyNumberFormat="1" applyFont="1" applyFill="1" applyBorder="1" applyAlignment="1">
      <alignment horizontal="center" vertical="center" wrapText="1"/>
    </xf>
    <xf numFmtId="0" fontId="3" fillId="0" borderId="3" xfId="0" applyNumberFormat="1" applyFont="1" applyFill="1" applyBorder="1" applyAlignment="1">
      <alignment horizontal="left" vertical="center"/>
    </xf>
    <xf numFmtId="0" fontId="7" fillId="0" borderId="15" xfId="0" quotePrefix="1" applyNumberFormat="1" applyFont="1" applyFill="1" applyBorder="1" applyAlignment="1">
      <alignment horizontal="left" vertical="center"/>
    </xf>
    <xf numFmtId="0" fontId="3" fillId="0" borderId="3" xfId="0" applyNumberFormat="1" applyFont="1" applyFill="1" applyBorder="1" applyAlignment="1">
      <alignment horizontal="center" vertical="center"/>
    </xf>
    <xf numFmtId="0" fontId="3" fillId="3" borderId="4" xfId="0" applyFont="1" applyFill="1" applyBorder="1" applyAlignment="1">
      <alignment horizontal="center" vertical="center" wrapText="1"/>
    </xf>
    <xf numFmtId="2" fontId="3" fillId="3" borderId="4" xfId="0" applyNumberFormat="1" applyFont="1" applyFill="1" applyBorder="1" applyAlignment="1">
      <alignment horizontal="center" vertical="center" wrapText="1"/>
    </xf>
    <xf numFmtId="0" fontId="18" fillId="0" borderId="2" xfId="0" applyFont="1" applyBorder="1" applyAlignment="1">
      <alignment vertical="center" wrapText="1"/>
    </xf>
    <xf numFmtId="164" fontId="18" fillId="0" borderId="2" xfId="0" applyNumberFormat="1" applyFont="1" applyBorder="1" applyAlignment="1">
      <alignment horizontal="right" vertical="center" wrapText="1"/>
    </xf>
    <xf numFmtId="0" fontId="40" fillId="0" borderId="2" xfId="0" applyFont="1" applyBorder="1" applyAlignment="1">
      <alignment vertical="center" wrapText="1"/>
    </xf>
    <xf numFmtId="0" fontId="3" fillId="0" borderId="1" xfId="0" applyFont="1" applyFill="1" applyBorder="1" applyAlignment="1">
      <alignment horizontal="left" vertical="center" wrapText="1"/>
    </xf>
    <xf numFmtId="164" fontId="3" fillId="0" borderId="1" xfId="0" applyNumberFormat="1" applyFont="1" applyFill="1" applyBorder="1" applyAlignment="1">
      <alignment horizontal="right" vertical="center" wrapText="1"/>
    </xf>
    <xf numFmtId="168" fontId="13" fillId="0" borderId="1" xfId="0" applyNumberFormat="1" applyFont="1" applyFill="1" applyBorder="1" applyAlignment="1">
      <alignment horizontal="center" vertical="center" wrapText="1"/>
    </xf>
    <xf numFmtId="168" fontId="13" fillId="0" borderId="2" xfId="0" applyNumberFormat="1" applyFont="1" applyFill="1" applyBorder="1" applyAlignment="1">
      <alignment horizontal="center" vertical="center" wrapText="1"/>
    </xf>
    <xf numFmtId="164" fontId="3" fillId="0" borderId="2" xfId="0" applyNumberFormat="1" applyFont="1" applyFill="1" applyBorder="1" applyAlignment="1">
      <alignment horizontal="right" vertical="center" wrapText="1"/>
    </xf>
    <xf numFmtId="0" fontId="3" fillId="0" borderId="9" xfId="0" applyFont="1" applyFill="1" applyBorder="1" applyAlignment="1">
      <alignment horizontal="center" vertical="center" wrapText="1"/>
    </xf>
    <xf numFmtId="166" fontId="7" fillId="0" borderId="2" xfId="0" applyNumberFormat="1" applyFont="1" applyFill="1" applyBorder="1" applyAlignment="1">
      <alignment horizontal="right" vertical="center" wrapText="1"/>
    </xf>
    <xf numFmtId="166" fontId="7" fillId="0" borderId="9" xfId="0" applyNumberFormat="1" applyFont="1" applyFill="1" applyBorder="1" applyAlignment="1">
      <alignment horizontal="right" vertical="center" wrapText="1"/>
    </xf>
    <xf numFmtId="0" fontId="46" fillId="0" borderId="1" xfId="0" applyFont="1" applyBorder="1" applyAlignment="1">
      <alignment horizontal="left" vertical="center" wrapText="1"/>
    </xf>
    <xf numFmtId="171" fontId="18" fillId="0" borderId="2" xfId="1" applyNumberFormat="1" applyFont="1" applyBorder="1" applyAlignment="1">
      <alignment horizontal="right" vertical="center" wrapText="1"/>
    </xf>
    <xf numFmtId="173" fontId="18" fillId="0" borderId="2" xfId="1" applyNumberFormat="1" applyFont="1" applyBorder="1" applyAlignment="1">
      <alignment horizontal="right" vertical="center" wrapText="1"/>
    </xf>
    <xf numFmtId="166" fontId="18" fillId="0" borderId="2" xfId="0" applyNumberFormat="1" applyFont="1" applyBorder="1" applyAlignment="1">
      <alignment horizontal="right" vertical="center"/>
    </xf>
    <xf numFmtId="0" fontId="41" fillId="0" borderId="2" xfId="0" applyFont="1" applyBorder="1" applyAlignment="1">
      <alignment horizontal="center" vertical="center" wrapText="1"/>
    </xf>
    <xf numFmtId="0" fontId="41" fillId="0" borderId="2" xfId="0" applyFont="1" applyBorder="1" applyAlignment="1">
      <alignment horizontal="center" vertical="center"/>
    </xf>
    <xf numFmtId="173" fontId="18" fillId="0" borderId="2" xfId="1" applyNumberFormat="1" applyFont="1" applyBorder="1" applyAlignment="1">
      <alignment horizontal="right" vertical="center"/>
    </xf>
    <xf numFmtId="0" fontId="18" fillId="0" borderId="3" xfId="0" applyFont="1" applyBorder="1" applyAlignment="1">
      <alignment horizontal="center" vertical="center"/>
    </xf>
    <xf numFmtId="0" fontId="46" fillId="0" borderId="3" xfId="0" applyFont="1" applyBorder="1" applyAlignment="1">
      <alignment horizontal="center" vertical="center"/>
    </xf>
    <xf numFmtId="2" fontId="18" fillId="0" borderId="3" xfId="0" applyNumberFormat="1" applyFont="1" applyBorder="1" applyAlignment="1">
      <alignment horizontal="right" vertical="center"/>
    </xf>
    <xf numFmtId="166" fontId="46" fillId="0" borderId="3" xfId="0" applyNumberFormat="1" applyFont="1" applyBorder="1" applyAlignment="1">
      <alignment vertical="center"/>
    </xf>
    <xf numFmtId="173" fontId="3" fillId="0" borderId="0" xfId="1" applyNumberFormat="1" applyFont="1" applyAlignment="1">
      <alignment vertical="center"/>
    </xf>
    <xf numFmtId="166" fontId="6" fillId="0" borderId="0" xfId="0" applyNumberFormat="1" applyFont="1" applyAlignment="1">
      <alignment vertical="center"/>
    </xf>
    <xf numFmtId="166" fontId="7" fillId="0" borderId="0" xfId="0" applyNumberFormat="1" applyFont="1" applyAlignment="1">
      <alignment vertical="center"/>
    </xf>
    <xf numFmtId="0" fontId="32" fillId="0" borderId="16" xfId="0" applyFont="1" applyFill="1" applyBorder="1"/>
    <xf numFmtId="0" fontId="33" fillId="0" borderId="17" xfId="0" applyFont="1" applyFill="1" applyBorder="1" applyAlignment="1">
      <alignment horizontal="centerContinuous" vertical="center"/>
    </xf>
    <xf numFmtId="0" fontId="33" fillId="0" borderId="17" xfId="0" applyFont="1" applyFill="1" applyBorder="1"/>
    <xf numFmtId="0" fontId="32" fillId="0" borderId="17" xfId="0" applyFont="1" applyFill="1" applyBorder="1" applyAlignment="1">
      <alignment horizontal="centerContinuous" vertical="center"/>
    </xf>
    <xf numFmtId="0" fontId="32" fillId="0" borderId="18" xfId="0" applyFont="1" applyFill="1" applyBorder="1" applyAlignment="1">
      <alignment horizontal="centerContinuous" vertical="center"/>
    </xf>
    <xf numFmtId="0" fontId="18" fillId="0" borderId="9" xfId="0" applyFont="1" applyBorder="1" applyAlignment="1">
      <alignment horizontal="center" vertical="center"/>
    </xf>
    <xf numFmtId="0" fontId="3" fillId="3" borderId="19" xfId="0" applyFont="1" applyFill="1" applyBorder="1" applyAlignment="1">
      <alignment horizontal="center" vertical="center" wrapText="1"/>
    </xf>
    <xf numFmtId="166" fontId="3" fillId="3" borderId="4" xfId="0" applyNumberFormat="1" applyFont="1" applyFill="1" applyBorder="1" applyAlignment="1">
      <alignment horizontal="center" vertical="center"/>
    </xf>
    <xf numFmtId="0" fontId="18" fillId="0" borderId="1" xfId="0" applyFont="1" applyBorder="1" applyAlignment="1">
      <alignment horizontal="center" vertical="center" wrapText="1"/>
    </xf>
    <xf numFmtId="171" fontId="18" fillId="0" borderId="1" xfId="1" applyNumberFormat="1" applyFont="1" applyBorder="1" applyAlignment="1">
      <alignment horizontal="right" vertical="center" wrapText="1"/>
    </xf>
    <xf numFmtId="173" fontId="18" fillId="0" borderId="1" xfId="1" applyNumberFormat="1" applyFont="1" applyBorder="1" applyAlignment="1">
      <alignment horizontal="right" vertical="center" wrapText="1"/>
    </xf>
    <xf numFmtId="166" fontId="18" fillId="0" borderId="1" xfId="0" applyNumberFormat="1" applyFont="1" applyBorder="1" applyAlignment="1">
      <alignment horizontal="right" vertical="center"/>
    </xf>
    <xf numFmtId="0" fontId="46" fillId="0" borderId="2" xfId="0" applyFont="1" applyBorder="1" applyAlignment="1">
      <alignment horizontal="left" vertical="center" wrapText="1"/>
    </xf>
    <xf numFmtId="0" fontId="18" fillId="0" borderId="9" xfId="0" applyFont="1" applyBorder="1" applyAlignment="1">
      <alignment vertical="center" wrapText="1"/>
    </xf>
    <xf numFmtId="0" fontId="18" fillId="0" borderId="9" xfId="0" applyFont="1" applyBorder="1" applyAlignment="1">
      <alignment horizontal="center" vertical="center" wrapText="1"/>
    </xf>
    <xf numFmtId="164" fontId="18" fillId="0" borderId="9" xfId="0" applyNumberFormat="1" applyFont="1" applyBorder="1" applyAlignment="1">
      <alignment horizontal="right" vertical="center" wrapText="1"/>
    </xf>
    <xf numFmtId="173" fontId="18" fillId="0" borderId="9" xfId="1" applyNumberFormat="1" applyFont="1" applyBorder="1" applyAlignment="1">
      <alignment horizontal="right" vertical="center"/>
    </xf>
    <xf numFmtId="166" fontId="18" fillId="0" borderId="9" xfId="0" applyNumberFormat="1" applyFont="1" applyBorder="1" applyAlignment="1">
      <alignment horizontal="right" vertical="center"/>
    </xf>
    <xf numFmtId="0" fontId="43" fillId="0" borderId="20" xfId="0" applyFont="1" applyFill="1" applyBorder="1"/>
    <xf numFmtId="0" fontId="43" fillId="0" borderId="16" xfId="0" applyFont="1" applyFill="1" applyBorder="1" applyAlignment="1">
      <alignment horizontal="center"/>
    </xf>
    <xf numFmtId="0" fontId="43" fillId="0" borderId="13" xfId="0" applyFont="1" applyFill="1" applyBorder="1"/>
    <xf numFmtId="170" fontId="43" fillId="0" borderId="13" xfId="0" applyNumberFormat="1" applyFont="1" applyFill="1" applyBorder="1"/>
    <xf numFmtId="0" fontId="43" fillId="0" borderId="16" xfId="0" applyFont="1" applyFill="1" applyBorder="1"/>
    <xf numFmtId="3" fontId="43" fillId="0" borderId="21" xfId="0" applyNumberFormat="1" applyFont="1" applyFill="1" applyBorder="1"/>
    <xf numFmtId="0" fontId="44" fillId="0" borderId="22" xfId="0" applyFont="1" applyFill="1" applyBorder="1"/>
    <xf numFmtId="0" fontId="44" fillId="0" borderId="17" xfId="0" applyFont="1" applyFill="1" applyBorder="1" applyAlignment="1">
      <alignment horizontal="center"/>
    </xf>
    <xf numFmtId="3" fontId="44" fillId="0" borderId="23" xfId="0" applyNumberFormat="1" applyFont="1" applyFill="1" applyBorder="1"/>
    <xf numFmtId="0" fontId="43" fillId="0" borderId="22" xfId="0" applyFont="1" applyFill="1" applyBorder="1"/>
    <xf numFmtId="0" fontId="43" fillId="0" borderId="17" xfId="0" applyFont="1" applyFill="1" applyBorder="1" applyAlignment="1">
      <alignment horizontal="center"/>
    </xf>
    <xf numFmtId="3" fontId="43" fillId="0" borderId="23" xfId="0" applyNumberFormat="1" applyFont="1" applyFill="1" applyBorder="1"/>
    <xf numFmtId="0" fontId="45" fillId="0" borderId="22" xfId="0" applyFont="1" applyFill="1" applyBorder="1"/>
    <xf numFmtId="0" fontId="43" fillId="0" borderId="24" xfId="0" applyFont="1" applyFill="1" applyBorder="1"/>
    <xf numFmtId="0" fontId="43" fillId="0" borderId="18" xfId="0" applyFont="1" applyFill="1" applyBorder="1" applyAlignment="1">
      <alignment horizontal="center"/>
    </xf>
    <xf numFmtId="3" fontId="43" fillId="0" borderId="25" xfId="0" applyNumberFormat="1" applyFont="1" applyFill="1" applyBorder="1"/>
    <xf numFmtId="0" fontId="3" fillId="0" borderId="0" xfId="0" applyFont="1" applyFill="1" applyAlignment="1">
      <alignment vertical="center"/>
    </xf>
    <xf numFmtId="0" fontId="12" fillId="0" borderId="2" xfId="0" applyFont="1" applyFill="1" applyBorder="1" applyAlignment="1">
      <alignment vertical="center" wrapText="1"/>
    </xf>
    <xf numFmtId="43" fontId="12" fillId="0" borderId="1" xfId="1" applyNumberFormat="1" applyFont="1" applyFill="1" applyBorder="1" applyAlignment="1">
      <alignment horizontal="right" vertical="center" wrapText="1"/>
    </xf>
    <xf numFmtId="0" fontId="12" fillId="0" borderId="2" xfId="0" applyFont="1" applyFill="1" applyBorder="1" applyAlignment="1">
      <alignment horizontal="right" vertical="center" wrapText="1"/>
    </xf>
    <xf numFmtId="0" fontId="7" fillId="0" borderId="2" xfId="0" applyFont="1" applyFill="1" applyBorder="1" applyAlignment="1">
      <alignment horizontal="left" vertical="center" wrapText="1"/>
    </xf>
    <xf numFmtId="166" fontId="7" fillId="0" borderId="2" xfId="0" applyNumberFormat="1" applyFont="1" applyFill="1" applyBorder="1" applyAlignment="1">
      <alignment horizontal="right" vertical="center"/>
    </xf>
    <xf numFmtId="0" fontId="7" fillId="0" borderId="2" xfId="0" applyFont="1" applyFill="1" applyBorder="1" applyAlignment="1">
      <alignment horizontal="centerContinuous" vertical="center"/>
    </xf>
    <xf numFmtId="175" fontId="7" fillId="0" borderId="2" xfId="0" applyNumberFormat="1" applyFont="1" applyFill="1" applyBorder="1" applyAlignment="1">
      <alignment vertical="center"/>
    </xf>
    <xf numFmtId="172" fontId="7" fillId="0" borderId="2" xfId="0" applyNumberFormat="1" applyFont="1" applyFill="1" applyBorder="1" applyAlignment="1">
      <alignment vertical="center"/>
    </xf>
    <xf numFmtId="3" fontId="3" fillId="0" borderId="2" xfId="0" applyNumberFormat="1" applyFont="1" applyFill="1" applyBorder="1" applyAlignment="1">
      <alignment horizontal="left" vertical="center" wrapText="1"/>
    </xf>
    <xf numFmtId="0" fontId="7" fillId="0" borderId="9" xfId="0" applyFont="1" applyFill="1" applyBorder="1" applyAlignment="1">
      <alignment horizontal="centerContinuous" vertical="center"/>
    </xf>
    <xf numFmtId="175" fontId="7" fillId="0" borderId="9" xfId="0" applyNumberFormat="1" applyFont="1" applyFill="1" applyBorder="1" applyAlignment="1">
      <alignment vertical="center"/>
    </xf>
    <xf numFmtId="3" fontId="7" fillId="0" borderId="2" xfId="0" applyNumberFormat="1" applyFont="1" applyFill="1" applyBorder="1" applyAlignment="1">
      <alignment horizontal="left" vertical="center" wrapText="1"/>
    </xf>
    <xf numFmtId="164" fontId="7" fillId="0" borderId="2" xfId="0" applyNumberFormat="1" applyFont="1" applyFill="1" applyBorder="1" applyAlignment="1">
      <alignment horizontal="right" vertical="center" wrapText="1"/>
    </xf>
    <xf numFmtId="0" fontId="4" fillId="0" borderId="2" xfId="0" applyFont="1" applyFill="1" applyBorder="1" applyAlignment="1">
      <alignment horizontal="center" vertical="center" wrapText="1"/>
    </xf>
    <xf numFmtId="3" fontId="4" fillId="0" borderId="2" xfId="0" applyNumberFormat="1" applyFont="1" applyFill="1" applyBorder="1" applyAlignment="1">
      <alignment horizontal="left" vertical="center" wrapText="1"/>
    </xf>
    <xf numFmtId="0" fontId="4" fillId="0" borderId="2" xfId="0" applyFont="1" applyFill="1" applyBorder="1" applyAlignment="1">
      <alignment horizontal="left" vertical="center"/>
    </xf>
    <xf numFmtId="0" fontId="4" fillId="0" borderId="2" xfId="0" applyFont="1" applyFill="1" applyBorder="1" applyAlignment="1">
      <alignment horizontal="centerContinuous" vertical="center"/>
    </xf>
    <xf numFmtId="164" fontId="4" fillId="0" borderId="2" xfId="0" applyNumberFormat="1" applyFont="1" applyFill="1" applyBorder="1" applyAlignment="1">
      <alignment horizontal="right" vertical="center" wrapText="1"/>
    </xf>
    <xf numFmtId="168" fontId="36" fillId="0" borderId="2" xfId="0" applyNumberFormat="1" applyFont="1" applyFill="1" applyBorder="1" applyAlignment="1">
      <alignment horizontal="center" vertical="center" wrapText="1"/>
    </xf>
    <xf numFmtId="0" fontId="4" fillId="0" borderId="9" xfId="0" applyFont="1" applyFill="1" applyBorder="1" applyAlignment="1">
      <alignment horizontal="left" vertical="center"/>
    </xf>
    <xf numFmtId="0" fontId="4" fillId="0" borderId="9" xfId="0" applyFont="1" applyFill="1" applyBorder="1" applyAlignment="1">
      <alignment horizontal="centerContinuous" vertical="center"/>
    </xf>
    <xf numFmtId="0" fontId="4" fillId="0" borderId="2" xfId="0" applyFont="1" applyFill="1" applyBorder="1" applyAlignment="1">
      <alignment horizontal="center" vertical="center"/>
    </xf>
    <xf numFmtId="0" fontId="4" fillId="0" borderId="1" xfId="0" applyFont="1" applyFill="1" applyBorder="1" applyAlignment="1">
      <alignment horizontal="left" vertical="center"/>
    </xf>
    <xf numFmtId="0" fontId="4" fillId="0" borderId="1" xfId="0" applyFont="1" applyFill="1" applyBorder="1" applyAlignment="1">
      <alignment horizontal="centerContinuous" vertical="center"/>
    </xf>
    <xf numFmtId="0" fontId="4" fillId="0" borderId="1" xfId="0" applyFont="1" applyFill="1" applyBorder="1" applyAlignment="1">
      <alignment horizontal="center" vertical="center"/>
    </xf>
    <xf numFmtId="173" fontId="7" fillId="0" borderId="2" xfId="0" applyNumberFormat="1" applyFont="1" applyFill="1" applyBorder="1" applyAlignment="1">
      <alignment horizontal="right" vertical="center" wrapText="1"/>
    </xf>
    <xf numFmtId="0" fontId="43" fillId="0" borderId="0" xfId="0" applyFont="1" applyFill="1" applyBorder="1" applyAlignment="1">
      <alignment horizontal="left"/>
    </xf>
    <xf numFmtId="0" fontId="43" fillId="0" borderId="0" xfId="0" applyFont="1" applyFill="1" applyBorder="1" applyAlignment="1">
      <alignment horizontal="center"/>
    </xf>
    <xf numFmtId="3" fontId="43" fillId="0" borderId="0" xfId="0" applyNumberFormat="1" applyFont="1" applyFill="1" applyBorder="1"/>
    <xf numFmtId="0" fontId="43" fillId="0" borderId="0" xfId="0" applyFont="1" applyFill="1" applyBorder="1"/>
    <xf numFmtId="171" fontId="7" fillId="0" borderId="2" xfId="1" applyNumberFormat="1" applyFont="1" applyFill="1" applyBorder="1" applyAlignment="1">
      <alignment horizontal="right" vertical="center" wrapText="1"/>
    </xf>
    <xf numFmtId="171" fontId="18" fillId="0" borderId="2" xfId="1" applyNumberFormat="1" applyFont="1" applyFill="1" applyBorder="1" applyAlignment="1">
      <alignment horizontal="right" vertical="center" wrapText="1"/>
    </xf>
    <xf numFmtId="0" fontId="53" fillId="0" borderId="1" xfId="0" applyFont="1" applyFill="1" applyBorder="1" applyAlignment="1">
      <alignment horizontal="center" vertical="center"/>
    </xf>
    <xf numFmtId="0" fontId="56" fillId="0" borderId="0" xfId="0" applyFont="1" applyFill="1" applyAlignment="1">
      <alignment vertical="center"/>
    </xf>
    <xf numFmtId="0" fontId="18" fillId="0" borderId="0" xfId="0" applyFont="1" applyFill="1" applyAlignment="1">
      <alignment vertical="center"/>
    </xf>
    <xf numFmtId="0" fontId="7" fillId="0" borderId="1" xfId="0" applyFont="1" applyFill="1" applyBorder="1" applyAlignment="1">
      <alignment horizontal="center" vertical="center"/>
    </xf>
    <xf numFmtId="167" fontId="7" fillId="0" borderId="1" xfId="0" applyNumberFormat="1" applyFont="1" applyFill="1" applyBorder="1" applyAlignment="1">
      <alignment vertical="center"/>
    </xf>
    <xf numFmtId="166" fontId="7" fillId="0" borderId="2" xfId="8" applyNumberFormat="1" applyFont="1" applyFill="1" applyBorder="1" applyAlignment="1">
      <alignment horizontal="right" vertical="center" wrapText="1"/>
    </xf>
    <xf numFmtId="166" fontId="3" fillId="0" borderId="2" xfId="8" applyNumberFormat="1" applyFont="1" applyFill="1" applyBorder="1" applyAlignment="1">
      <alignment horizontal="right" vertical="center" wrapText="1"/>
    </xf>
    <xf numFmtId="0" fontId="58" fillId="0" borderId="0" xfId="0" applyFont="1" applyFill="1" applyAlignment="1">
      <alignment vertical="center"/>
    </xf>
    <xf numFmtId="0" fontId="3" fillId="0" borderId="3" xfId="8" applyFont="1" applyFill="1" applyBorder="1" applyAlignment="1">
      <alignment horizontal="right" vertical="center"/>
    </xf>
    <xf numFmtId="169" fontId="4" fillId="0" borderId="2" xfId="0" applyNumberFormat="1" applyFont="1" applyFill="1" applyBorder="1" applyAlignment="1">
      <alignment horizontal="right" vertical="center" wrapText="1"/>
    </xf>
    <xf numFmtId="168" fontId="5" fillId="0" borderId="2" xfId="0" applyNumberFormat="1" applyFont="1" applyFill="1" applyBorder="1" applyAlignment="1">
      <alignment horizontal="center" vertical="center"/>
    </xf>
    <xf numFmtId="0" fontId="7" fillId="0" borderId="4" xfId="0" applyFont="1" applyFill="1" applyBorder="1" applyAlignment="1">
      <alignment horizontal="center" vertical="center"/>
    </xf>
    <xf numFmtId="167" fontId="7" fillId="0" borderId="4" xfId="0" applyNumberFormat="1" applyFont="1" applyFill="1" applyBorder="1" applyAlignment="1">
      <alignment vertical="center"/>
    </xf>
    <xf numFmtId="166" fontId="7" fillId="0" borderId="1" xfId="8" applyNumberFormat="1" applyFont="1" applyFill="1" applyBorder="1" applyAlignment="1">
      <alignment horizontal="right" vertical="center" wrapText="1"/>
    </xf>
    <xf numFmtId="0" fontId="3" fillId="0" borderId="2" xfId="0" applyFont="1" applyFill="1" applyBorder="1" applyAlignment="1">
      <alignment vertical="center" wrapText="1"/>
    </xf>
    <xf numFmtId="167" fontId="7" fillId="0" borderId="2" xfId="0" applyNumberFormat="1" applyFont="1" applyFill="1" applyBorder="1" applyAlignment="1">
      <alignment vertical="center"/>
    </xf>
    <xf numFmtId="0" fontId="7" fillId="0" borderId="2" xfId="0" applyFont="1" applyFill="1" applyBorder="1" applyAlignment="1">
      <alignment vertical="center" wrapText="1"/>
    </xf>
    <xf numFmtId="0" fontId="7" fillId="0" borderId="9" xfId="0" applyFont="1" applyFill="1" applyBorder="1" applyAlignment="1">
      <alignment horizontal="center" vertical="center" wrapText="1"/>
    </xf>
    <xf numFmtId="0" fontId="7" fillId="0" borderId="9" xfId="0" applyFont="1" applyFill="1" applyBorder="1" applyAlignment="1">
      <alignment vertical="center" wrapText="1"/>
    </xf>
    <xf numFmtId="0" fontId="7" fillId="0" borderId="9" xfId="0" applyFont="1" applyFill="1" applyBorder="1" applyAlignment="1">
      <alignment horizontal="center" vertical="center"/>
    </xf>
    <xf numFmtId="167" fontId="7" fillId="0" borderId="9" xfId="0" applyNumberFormat="1" applyFont="1" applyFill="1" applyBorder="1" applyAlignment="1">
      <alignment vertical="center"/>
    </xf>
    <xf numFmtId="166" fontId="7" fillId="0" borderId="9" xfId="8" applyNumberFormat="1" applyFont="1" applyFill="1" applyBorder="1" applyAlignment="1">
      <alignment horizontal="right" vertical="center" wrapText="1"/>
    </xf>
    <xf numFmtId="0" fontId="3" fillId="0" borderId="2" xfId="0" applyFont="1" applyFill="1" applyBorder="1" applyAlignment="1">
      <alignment horizontal="center" vertical="center"/>
    </xf>
    <xf numFmtId="167" fontId="3" fillId="0" borderId="2" xfId="0" applyNumberFormat="1" applyFont="1" applyFill="1" applyBorder="1" applyAlignment="1">
      <alignment vertical="center"/>
    </xf>
    <xf numFmtId="0" fontId="3" fillId="0" borderId="26" xfId="0" applyFont="1" applyFill="1" applyBorder="1" applyAlignment="1">
      <alignment horizontal="center" vertical="center" wrapText="1"/>
    </xf>
    <xf numFmtId="171" fontId="3" fillId="0" borderId="26" xfId="1" applyNumberFormat="1" applyFont="1" applyFill="1" applyBorder="1" applyAlignment="1">
      <alignment horizontal="right" vertical="center" wrapText="1"/>
    </xf>
    <xf numFmtId="0" fontId="7" fillId="0" borderId="26" xfId="0" applyFont="1" applyFill="1" applyBorder="1" applyAlignment="1">
      <alignment horizontal="center" vertical="center" wrapText="1"/>
    </xf>
    <xf numFmtId="0" fontId="13" fillId="0" borderId="26" xfId="0" applyFont="1" applyFill="1" applyBorder="1" applyAlignment="1">
      <alignment horizontal="center" vertical="center" wrapText="1"/>
    </xf>
    <xf numFmtId="169" fontId="13" fillId="0" borderId="26" xfId="0" applyNumberFormat="1" applyFont="1" applyFill="1" applyBorder="1" applyAlignment="1">
      <alignment horizontal="center" vertical="center" wrapText="1"/>
    </xf>
    <xf numFmtId="172" fontId="7" fillId="0" borderId="9" xfId="0" applyNumberFormat="1" applyFont="1" applyFill="1" applyBorder="1" applyAlignment="1">
      <alignment vertical="center"/>
    </xf>
    <xf numFmtId="171" fontId="7" fillId="0" borderId="26" xfId="1" applyNumberFormat="1" applyFont="1" applyFill="1" applyBorder="1" applyAlignment="1">
      <alignment horizontal="right" vertical="center" wrapText="1"/>
    </xf>
    <xf numFmtId="0" fontId="7" fillId="0" borderId="1" xfId="0" applyFont="1" applyFill="1" applyBorder="1" applyAlignment="1">
      <alignment horizontal="center" vertical="center" wrapText="1"/>
    </xf>
    <xf numFmtId="172" fontId="4" fillId="0" borderId="2" xfId="0" applyNumberFormat="1" applyFont="1" applyFill="1" applyBorder="1" applyAlignment="1">
      <alignment vertical="center"/>
    </xf>
    <xf numFmtId="172" fontId="13" fillId="0" borderId="1" xfId="0" applyNumberFormat="1" applyFont="1" applyFill="1" applyBorder="1" applyAlignment="1">
      <alignment horizontal="center" vertical="center" wrapText="1"/>
    </xf>
    <xf numFmtId="172" fontId="13" fillId="0" borderId="2" xfId="0" applyNumberFormat="1" applyFont="1" applyFill="1" applyBorder="1" applyAlignment="1">
      <alignment horizontal="center" vertical="center" wrapText="1"/>
    </xf>
    <xf numFmtId="172" fontId="5" fillId="0" borderId="2" xfId="0" applyNumberFormat="1" applyFont="1" applyFill="1" applyBorder="1" applyAlignment="1">
      <alignment vertical="center"/>
    </xf>
    <xf numFmtId="172" fontId="4" fillId="0" borderId="9" xfId="0" applyNumberFormat="1" applyFont="1" applyFill="1" applyBorder="1" applyAlignment="1">
      <alignment vertical="center"/>
    </xf>
    <xf numFmtId="3" fontId="3" fillId="0" borderId="9" xfId="0" applyNumberFormat="1" applyFont="1" applyFill="1" applyBorder="1" applyAlignment="1">
      <alignment horizontal="center" vertical="center" wrapText="1"/>
    </xf>
    <xf numFmtId="3" fontId="3" fillId="0" borderId="3" xfId="1" applyNumberFormat="1" applyFont="1" applyFill="1" applyBorder="1" applyAlignment="1">
      <alignment horizontal="right" vertical="center"/>
    </xf>
    <xf numFmtId="0" fontId="12" fillId="0" borderId="0" xfId="9" applyFont="1" applyFill="1" applyBorder="1" applyAlignment="1">
      <alignment vertical="center"/>
    </xf>
    <xf numFmtId="0" fontId="11" fillId="0" borderId="0" xfId="0" applyFont="1" applyFill="1" applyAlignment="1">
      <alignment vertical="center"/>
    </xf>
    <xf numFmtId="0" fontId="9" fillId="0" borderId="0" xfId="0" applyFont="1" applyFill="1" applyAlignment="1">
      <alignment horizontal="center" vertical="center"/>
    </xf>
    <xf numFmtId="43" fontId="4" fillId="0" borderId="0" xfId="1" applyNumberFormat="1" applyFont="1" applyFill="1" applyAlignment="1">
      <alignment horizontal="right" vertical="center"/>
    </xf>
    <xf numFmtId="0" fontId="3" fillId="0" borderId="3" xfId="0" applyFont="1" applyFill="1" applyBorder="1" applyAlignment="1">
      <alignment horizontal="center" vertical="center" wrapText="1"/>
    </xf>
    <xf numFmtId="43" fontId="3" fillId="0" borderId="3" xfId="1"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2" xfId="0" applyFont="1" applyFill="1" applyBorder="1" applyAlignment="1">
      <alignment horizontal="left" vertical="center" wrapText="1"/>
    </xf>
    <xf numFmtId="3" fontId="18" fillId="0" borderId="2" xfId="0" applyNumberFormat="1" applyFont="1" applyFill="1" applyBorder="1" applyAlignment="1">
      <alignment horizontal="left" vertical="center"/>
    </xf>
    <xf numFmtId="3" fontId="18" fillId="0" borderId="2" xfId="0" applyNumberFormat="1" applyFont="1" applyFill="1" applyBorder="1" applyAlignment="1">
      <alignment horizontal="left" vertical="center" wrapText="1"/>
    </xf>
    <xf numFmtId="0" fontId="18" fillId="0" borderId="2" xfId="0" applyFont="1" applyFill="1" applyBorder="1" applyAlignment="1">
      <alignment horizontal="left" vertical="center"/>
    </xf>
    <xf numFmtId="0" fontId="18" fillId="0" borderId="2" xfId="9" applyFont="1" applyFill="1" applyBorder="1" applyAlignment="1">
      <alignment horizontal="left" vertical="center"/>
    </xf>
    <xf numFmtId="0" fontId="12" fillId="0" borderId="2" xfId="9" applyFont="1" applyFill="1" applyBorder="1" applyAlignment="1">
      <alignment horizontal="left" vertical="center" wrapText="1"/>
    </xf>
    <xf numFmtId="0" fontId="12" fillId="0" borderId="2" xfId="9" applyFont="1" applyFill="1" applyBorder="1" applyAlignment="1">
      <alignment horizontal="center" vertical="center"/>
    </xf>
    <xf numFmtId="174" fontId="12" fillId="0" borderId="0" xfId="9" applyNumberFormat="1" applyFont="1" applyFill="1" applyBorder="1" applyAlignment="1">
      <alignment vertical="center"/>
    </xf>
    <xf numFmtId="0" fontId="18" fillId="0" borderId="2" xfId="9" applyFont="1" applyFill="1" applyBorder="1" applyAlignment="1">
      <alignment horizontal="left" vertical="center" wrapText="1"/>
    </xf>
    <xf numFmtId="0" fontId="34" fillId="0" borderId="2" xfId="0" applyFont="1" applyFill="1" applyBorder="1" applyAlignment="1">
      <alignment horizontal="center" vertical="center"/>
    </xf>
    <xf numFmtId="0" fontId="48" fillId="0" borderId="0" xfId="0" applyFont="1" applyFill="1" applyBorder="1" applyAlignment="1">
      <alignment vertical="center"/>
    </xf>
    <xf numFmtId="0" fontId="18" fillId="0" borderId="2" xfId="9" applyFont="1" applyFill="1" applyBorder="1" applyAlignment="1">
      <alignment horizontal="left" vertical="center" shrinkToFit="1"/>
    </xf>
    <xf numFmtId="0" fontId="18" fillId="0" borderId="9" xfId="9" applyFont="1" applyFill="1" applyBorder="1" applyAlignment="1">
      <alignment horizontal="left" vertical="center" wrapText="1"/>
    </xf>
    <xf numFmtId="0" fontId="18" fillId="0" borderId="9" xfId="0" applyFont="1" applyFill="1" applyBorder="1" applyAlignment="1">
      <alignment horizontal="center" vertical="center"/>
    </xf>
    <xf numFmtId="171" fontId="18" fillId="0" borderId="9" xfId="1" applyNumberFormat="1" applyFont="1" applyFill="1" applyBorder="1" applyAlignment="1">
      <alignment horizontal="right" vertical="center" wrapText="1"/>
    </xf>
    <xf numFmtId="0" fontId="12" fillId="0" borderId="26" xfId="0" applyFont="1" applyFill="1" applyBorder="1" applyAlignment="1">
      <alignment vertical="center" wrapText="1"/>
    </xf>
    <xf numFmtId="171" fontId="18" fillId="0" borderId="26" xfId="1" applyNumberFormat="1" applyFont="1" applyFill="1" applyBorder="1" applyAlignment="1">
      <alignment horizontal="right" vertical="center" wrapText="1"/>
    </xf>
    <xf numFmtId="0" fontId="8" fillId="0" borderId="0" xfId="0" applyFont="1" applyFill="1" applyAlignment="1">
      <alignment horizontal="left" vertical="center"/>
    </xf>
    <xf numFmtId="0" fontId="18" fillId="0" borderId="9" xfId="0" applyFont="1" applyFill="1" applyBorder="1" applyAlignment="1">
      <alignment horizontal="center" vertical="center" wrapText="1"/>
    </xf>
    <xf numFmtId="174" fontId="7" fillId="0" borderId="0" xfId="0" applyNumberFormat="1" applyFont="1" applyFill="1" applyAlignment="1">
      <alignment vertical="center"/>
    </xf>
    <xf numFmtId="0" fontId="18" fillId="0" borderId="26" xfId="0" applyFont="1" applyFill="1" applyBorder="1" applyAlignment="1">
      <alignment horizontal="center" vertical="center"/>
    </xf>
    <xf numFmtId="0" fontId="18" fillId="0" borderId="2" xfId="0" applyFont="1" applyFill="1" applyBorder="1" applyAlignment="1">
      <alignment vertical="center"/>
    </xf>
    <xf numFmtId="0" fontId="7" fillId="0" borderId="0" xfId="0" applyFont="1" applyFill="1" applyBorder="1" applyAlignment="1">
      <alignment vertical="center"/>
    </xf>
    <xf numFmtId="0" fontId="18" fillId="0" borderId="0" xfId="0" applyFont="1" applyFill="1" applyBorder="1" applyAlignment="1">
      <alignment horizontal="center" vertical="center"/>
    </xf>
    <xf numFmtId="0" fontId="18" fillId="0" borderId="9" xfId="0" applyFont="1" applyFill="1" applyBorder="1" applyAlignment="1">
      <alignment vertical="center"/>
    </xf>
    <xf numFmtId="0" fontId="7" fillId="0" borderId="0" xfId="0" applyFont="1" applyFill="1" applyAlignment="1">
      <alignment horizontal="center" vertical="center"/>
    </xf>
    <xf numFmtId="43" fontId="7" fillId="0" borderId="0" xfId="1" applyNumberFormat="1" applyFont="1" applyFill="1" applyAlignment="1">
      <alignment horizontal="right" vertical="center"/>
    </xf>
    <xf numFmtId="0" fontId="12" fillId="0" borderId="1" xfId="0" applyFont="1" applyFill="1" applyBorder="1" applyAlignment="1">
      <alignment horizontal="left" vertical="center" wrapText="1"/>
    </xf>
    <xf numFmtId="0" fontId="12" fillId="0" borderId="2" xfId="0" applyFont="1" applyFill="1" applyBorder="1" applyAlignment="1">
      <alignment horizontal="center" vertical="center"/>
    </xf>
    <xf numFmtId="0" fontId="7" fillId="0" borderId="0" xfId="0" applyNumberFormat="1" applyFont="1" applyFill="1" applyAlignment="1">
      <alignment vertical="center"/>
    </xf>
    <xf numFmtId="9" fontId="7" fillId="0" borderId="0" xfId="0" applyNumberFormat="1" applyFont="1" applyFill="1" applyBorder="1" applyAlignment="1">
      <alignment vertical="center"/>
    </xf>
    <xf numFmtId="164" fontId="7" fillId="0" borderId="0" xfId="0" applyNumberFormat="1" applyFont="1" applyFill="1" applyAlignment="1">
      <alignment vertical="center"/>
    </xf>
    <xf numFmtId="0" fontId="7" fillId="0" borderId="27" xfId="0" applyFont="1" applyFill="1" applyBorder="1" applyAlignment="1">
      <alignment vertical="center"/>
    </xf>
    <xf numFmtId="0" fontId="12" fillId="0" borderId="26" xfId="0" applyFont="1" applyFill="1" applyBorder="1" applyAlignment="1">
      <alignment horizontal="center" vertical="center" wrapText="1"/>
    </xf>
    <xf numFmtId="0" fontId="12" fillId="0" borderId="26" xfId="0" applyFont="1" applyFill="1" applyBorder="1" applyAlignment="1">
      <alignment horizontal="center" vertical="center"/>
    </xf>
    <xf numFmtId="0" fontId="12" fillId="0" borderId="26" xfId="0" applyFont="1" applyFill="1" applyBorder="1" applyAlignment="1">
      <alignment horizontal="left" vertical="center" wrapText="1"/>
    </xf>
    <xf numFmtId="0" fontId="3" fillId="0" borderId="0" xfId="0" applyFont="1" applyFill="1" applyAlignment="1">
      <alignment horizontal="center" vertical="center"/>
    </xf>
    <xf numFmtId="0" fontId="11" fillId="0" borderId="0" xfId="0" applyFont="1" applyFill="1" applyAlignment="1">
      <alignment horizontal="center" vertical="center"/>
    </xf>
    <xf numFmtId="2" fontId="11" fillId="0" borderId="0" xfId="0" applyNumberFormat="1" applyFont="1" applyFill="1" applyAlignment="1">
      <alignment horizontal="right" vertical="center"/>
    </xf>
    <xf numFmtId="2" fontId="13" fillId="0" borderId="28" xfId="0" applyNumberFormat="1" applyFont="1" applyFill="1" applyBorder="1" applyAlignment="1">
      <alignment horizontal="center" vertical="center" wrapText="1"/>
    </xf>
    <xf numFmtId="166" fontId="13" fillId="0" borderId="28" xfId="0" applyNumberFormat="1" applyFont="1" applyFill="1" applyBorder="1" applyAlignment="1">
      <alignment horizontal="center" vertical="center"/>
    </xf>
    <xf numFmtId="171" fontId="7" fillId="0" borderId="1" xfId="1" applyNumberFormat="1" applyFont="1" applyFill="1" applyBorder="1" applyAlignment="1">
      <alignment horizontal="right" vertical="center" wrapText="1"/>
    </xf>
    <xf numFmtId="3" fontId="7" fillId="0" borderId="9" xfId="0" applyNumberFormat="1" applyFont="1" applyFill="1" applyBorder="1" applyAlignment="1">
      <alignment horizontal="left" vertical="center" wrapText="1"/>
    </xf>
    <xf numFmtId="0" fontId="7" fillId="0" borderId="9" xfId="0" applyFont="1" applyFill="1" applyBorder="1" applyAlignment="1">
      <alignment horizontal="left" vertical="center" wrapText="1"/>
    </xf>
    <xf numFmtId="171" fontId="7" fillId="0" borderId="9" xfId="1" applyNumberFormat="1" applyFont="1" applyFill="1" applyBorder="1" applyAlignment="1">
      <alignment horizontal="right" vertical="center" wrapText="1"/>
    </xf>
    <xf numFmtId="166" fontId="7" fillId="0" borderId="9" xfId="0" applyNumberFormat="1" applyFont="1" applyFill="1" applyBorder="1" applyAlignment="1">
      <alignment horizontal="right" vertical="center"/>
    </xf>
    <xf numFmtId="171" fontId="3" fillId="0" borderId="2" xfId="1" applyNumberFormat="1" applyFont="1" applyFill="1" applyBorder="1" applyAlignment="1">
      <alignment horizontal="right" vertical="center" wrapText="1"/>
    </xf>
    <xf numFmtId="0" fontId="7" fillId="0" borderId="3" xfId="0" applyFont="1" applyFill="1" applyBorder="1" applyAlignment="1">
      <alignment horizontal="center" vertical="center"/>
    </xf>
    <xf numFmtId="2" fontId="7" fillId="0" borderId="3" xfId="0" applyNumberFormat="1" applyFont="1" applyFill="1" applyBorder="1" applyAlignment="1">
      <alignment horizontal="right" vertical="center"/>
    </xf>
    <xf numFmtId="0" fontId="7" fillId="0" borderId="3" xfId="0" applyFont="1" applyFill="1" applyBorder="1" applyAlignment="1">
      <alignment vertical="center"/>
    </xf>
    <xf numFmtId="2" fontId="7" fillId="0" borderId="0" xfId="0" applyNumberFormat="1" applyFont="1" applyFill="1" applyAlignment="1">
      <alignment horizontal="right" vertical="center"/>
    </xf>
    <xf numFmtId="3" fontId="3" fillId="0" borderId="1" xfId="0" applyNumberFormat="1" applyFont="1" applyFill="1" applyBorder="1" applyAlignment="1">
      <alignment horizontal="left" vertical="center" wrapText="1"/>
    </xf>
    <xf numFmtId="173" fontId="7" fillId="0" borderId="1" xfId="1" applyNumberFormat="1" applyFont="1" applyFill="1" applyBorder="1" applyAlignment="1">
      <alignment horizontal="right" vertical="center" wrapText="1"/>
    </xf>
    <xf numFmtId="166" fontId="7" fillId="0" borderId="1" xfId="0" applyNumberFormat="1" applyFont="1" applyFill="1" applyBorder="1" applyAlignment="1">
      <alignment horizontal="right" vertical="center"/>
    </xf>
    <xf numFmtId="166" fontId="3" fillId="0" borderId="1" xfId="0" applyNumberFormat="1" applyFont="1" applyFill="1" applyBorder="1" applyAlignment="1">
      <alignment horizontal="right" vertical="center"/>
    </xf>
    <xf numFmtId="173" fontId="7" fillId="0" borderId="2" xfId="1" applyNumberFormat="1" applyFont="1" applyFill="1" applyBorder="1" applyAlignment="1">
      <alignment horizontal="right" vertical="center" wrapText="1"/>
    </xf>
    <xf numFmtId="166" fontId="3" fillId="0" borderId="2" xfId="0" applyNumberFormat="1" applyFont="1" applyFill="1" applyBorder="1" applyAlignment="1">
      <alignment horizontal="right" vertical="center"/>
    </xf>
    <xf numFmtId="173" fontId="7" fillId="0" borderId="9" xfId="1" applyNumberFormat="1" applyFont="1" applyFill="1" applyBorder="1" applyAlignment="1">
      <alignment horizontal="right" vertical="center" wrapText="1"/>
    </xf>
    <xf numFmtId="3" fontId="3" fillId="0" borderId="26" xfId="0" applyNumberFormat="1" applyFont="1" applyFill="1" applyBorder="1" applyAlignment="1">
      <alignment horizontal="left" vertical="center" wrapText="1"/>
    </xf>
    <xf numFmtId="0" fontId="3" fillId="0" borderId="26" xfId="0" applyFont="1" applyFill="1" applyBorder="1" applyAlignment="1">
      <alignment horizontal="left" vertical="center" wrapText="1"/>
    </xf>
    <xf numFmtId="173" fontId="7" fillId="0" borderId="26" xfId="1" applyNumberFormat="1" applyFont="1" applyFill="1" applyBorder="1" applyAlignment="1">
      <alignment horizontal="right" vertical="center" wrapText="1"/>
    </xf>
    <xf numFmtId="166" fontId="7" fillId="0" borderId="26" xfId="0" applyNumberFormat="1" applyFont="1" applyFill="1" applyBorder="1" applyAlignment="1">
      <alignment horizontal="right" vertical="center"/>
    </xf>
    <xf numFmtId="166" fontId="3" fillId="0" borderId="26" xfId="0" applyNumberFormat="1" applyFont="1" applyFill="1" applyBorder="1" applyAlignment="1">
      <alignment horizontal="right" vertical="center"/>
    </xf>
    <xf numFmtId="3" fontId="7" fillId="0" borderId="2" xfId="0" applyNumberFormat="1" applyFont="1" applyFill="1" applyBorder="1" applyAlignment="1">
      <alignment horizontal="center" vertical="center" wrapText="1"/>
    </xf>
    <xf numFmtId="173" fontId="7" fillId="0" borderId="2" xfId="1" applyNumberFormat="1" applyFont="1" applyFill="1" applyBorder="1" applyAlignment="1">
      <alignment vertical="center"/>
    </xf>
    <xf numFmtId="0" fontId="7" fillId="0" borderId="2" xfId="0" applyFont="1" applyFill="1" applyBorder="1" applyAlignment="1">
      <alignment vertical="center"/>
    </xf>
    <xf numFmtId="166" fontId="3" fillId="0" borderId="3" xfId="0" applyNumberFormat="1" applyFont="1" applyFill="1" applyBorder="1" applyAlignment="1">
      <alignment vertical="center"/>
    </xf>
    <xf numFmtId="0" fontId="13" fillId="0" borderId="3" xfId="0" applyFont="1" applyFill="1" applyBorder="1" applyAlignment="1">
      <alignment horizontal="center" vertical="center" wrapText="1"/>
    </xf>
    <xf numFmtId="169" fontId="13" fillId="0" borderId="3" xfId="0" applyNumberFormat="1" applyFont="1" applyFill="1" applyBorder="1" applyAlignment="1">
      <alignment horizontal="center" vertical="center" wrapText="1"/>
    </xf>
    <xf numFmtId="0" fontId="13" fillId="0" borderId="0" xfId="0" applyFont="1" applyFill="1" applyAlignment="1">
      <alignment horizontal="center" vertical="center"/>
    </xf>
    <xf numFmtId="0" fontId="5" fillId="0" borderId="0" xfId="0" applyFont="1" applyFill="1" applyAlignment="1">
      <alignment horizontal="left" vertical="center"/>
    </xf>
    <xf numFmtId="169" fontId="5" fillId="0" borderId="0" xfId="0" applyNumberFormat="1" applyFont="1" applyFill="1" applyAlignment="1">
      <alignment vertical="center"/>
    </xf>
    <xf numFmtId="173" fontId="3" fillId="0" borderId="2" xfId="1" applyNumberFormat="1" applyFont="1" applyFill="1" applyBorder="1" applyAlignment="1">
      <alignment horizontal="right" vertical="center" wrapText="1"/>
    </xf>
    <xf numFmtId="0" fontId="5" fillId="0" borderId="2" xfId="0" applyFont="1" applyFill="1" applyBorder="1" applyAlignment="1">
      <alignment vertical="center"/>
    </xf>
    <xf numFmtId="166" fontId="3" fillId="0" borderId="2" xfId="0" applyNumberFormat="1" applyFont="1" applyFill="1" applyBorder="1" applyAlignment="1">
      <alignment horizontal="right" vertical="center" wrapText="1"/>
    </xf>
    <xf numFmtId="0" fontId="16" fillId="0" borderId="0" xfId="0" applyFont="1" applyFill="1" applyAlignment="1">
      <alignment vertical="center"/>
    </xf>
    <xf numFmtId="172" fontId="15" fillId="0" borderId="28" xfId="0" applyNumberFormat="1" applyFont="1" applyFill="1" applyBorder="1" applyAlignment="1">
      <alignment horizontal="center" vertical="center" wrapText="1"/>
    </xf>
    <xf numFmtId="168" fontId="15" fillId="0" borderId="28" xfId="0" applyNumberFormat="1" applyFont="1" applyFill="1" applyBorder="1" applyAlignment="1">
      <alignment horizontal="center" vertical="center" wrapText="1"/>
    </xf>
    <xf numFmtId="169" fontId="3" fillId="0" borderId="1" xfId="0" applyNumberFormat="1" applyFont="1" applyFill="1" applyBorder="1" applyAlignment="1">
      <alignment horizontal="center" vertical="center" wrapText="1"/>
    </xf>
    <xf numFmtId="172" fontId="7" fillId="0" borderId="2" xfId="1" applyNumberFormat="1" applyFont="1" applyFill="1" applyBorder="1" applyAlignment="1">
      <alignment horizontal="right" vertical="center" wrapText="1"/>
    </xf>
    <xf numFmtId="168" fontId="7" fillId="0" borderId="2" xfId="0" applyNumberFormat="1" applyFont="1" applyFill="1" applyBorder="1" applyAlignment="1">
      <alignment horizontal="right" vertical="center" wrapText="1"/>
    </xf>
    <xf numFmtId="169" fontId="7" fillId="0" borderId="2" xfId="0" applyNumberFormat="1" applyFont="1" applyFill="1" applyBorder="1" applyAlignment="1">
      <alignment horizontal="right" vertical="center" wrapText="1"/>
    </xf>
    <xf numFmtId="172" fontId="7" fillId="0" borderId="2" xfId="2" applyNumberFormat="1" applyFont="1" applyFill="1" applyBorder="1" applyAlignment="1">
      <alignment horizontal="right" vertical="center" wrapText="1"/>
    </xf>
    <xf numFmtId="168" fontId="4" fillId="0" borderId="2" xfId="0" applyNumberFormat="1" applyFont="1" applyFill="1" applyBorder="1" applyAlignment="1">
      <alignment horizontal="right" vertical="center" wrapText="1"/>
    </xf>
    <xf numFmtId="0" fontId="51" fillId="0" borderId="0" xfId="0" applyFont="1" applyFill="1" applyAlignment="1">
      <alignment vertical="center"/>
    </xf>
    <xf numFmtId="0" fontId="51" fillId="0" borderId="2" xfId="0" applyFont="1" applyFill="1" applyBorder="1" applyAlignment="1">
      <alignment vertical="center"/>
    </xf>
    <xf numFmtId="168" fontId="4" fillId="0" borderId="2" xfId="1" applyNumberFormat="1" applyFont="1" applyFill="1" applyBorder="1" applyAlignment="1">
      <alignment horizontal="right" vertical="center" wrapText="1"/>
    </xf>
    <xf numFmtId="172" fontId="7" fillId="0" borderId="2" xfId="0" applyNumberFormat="1" applyFont="1" applyFill="1" applyBorder="1" applyAlignment="1">
      <alignment horizontal="right" vertical="center" wrapText="1"/>
    </xf>
    <xf numFmtId="168" fontId="7" fillId="0" borderId="2" xfId="1" applyNumberFormat="1" applyFont="1" applyFill="1" applyBorder="1" applyAlignment="1">
      <alignment horizontal="right" vertical="center" wrapText="1"/>
    </xf>
    <xf numFmtId="168" fontId="51" fillId="0" borderId="2" xfId="0" applyNumberFormat="1" applyFont="1" applyFill="1" applyBorder="1" applyAlignment="1">
      <alignment horizontal="center" vertical="center"/>
    </xf>
    <xf numFmtId="0" fontId="51" fillId="0" borderId="9" xfId="0" applyFont="1" applyFill="1" applyBorder="1" applyAlignment="1">
      <alignment vertical="center"/>
    </xf>
    <xf numFmtId="169" fontId="4" fillId="0" borderId="9" xfId="0" applyNumberFormat="1" applyFont="1" applyFill="1" applyBorder="1" applyAlignment="1">
      <alignment horizontal="right" vertical="center" wrapText="1"/>
    </xf>
    <xf numFmtId="0" fontId="7" fillId="0" borderId="0" xfId="0" applyFont="1" applyFill="1" applyAlignment="1">
      <alignment horizontal="left" vertical="center"/>
    </xf>
    <xf numFmtId="171" fontId="7" fillId="0" borderId="0" xfId="1" applyNumberFormat="1" applyFont="1" applyFill="1" applyAlignment="1">
      <alignment horizontal="right" vertical="center"/>
    </xf>
    <xf numFmtId="172" fontId="7" fillId="0" borderId="0" xfId="0" applyNumberFormat="1" applyFont="1" applyFill="1" applyAlignment="1">
      <alignment vertical="center"/>
    </xf>
    <xf numFmtId="168" fontId="7" fillId="0" borderId="0" xfId="0" applyNumberFormat="1" applyFont="1" applyFill="1" applyAlignment="1">
      <alignment horizontal="center" vertical="center"/>
    </xf>
    <xf numFmtId="171" fontId="5" fillId="0" borderId="0" xfId="1" applyNumberFormat="1" applyFont="1" applyFill="1" applyAlignment="1">
      <alignment horizontal="right" vertical="center"/>
    </xf>
    <xf numFmtId="172" fontId="5" fillId="0" borderId="0" xfId="0" applyNumberFormat="1" applyFont="1" applyFill="1" applyAlignment="1">
      <alignment vertical="center"/>
    </xf>
    <xf numFmtId="168" fontId="5" fillId="0" borderId="0" xfId="0" applyNumberFormat="1" applyFont="1" applyFill="1" applyAlignment="1">
      <alignment horizontal="center" vertical="center"/>
    </xf>
    <xf numFmtId="0" fontId="7" fillId="0" borderId="2" xfId="0" applyFont="1" applyFill="1" applyBorder="1" applyAlignment="1">
      <alignment horizontal="right" vertical="center" wrapText="1"/>
    </xf>
    <xf numFmtId="168" fontId="3" fillId="0" borderId="2" xfId="0" applyNumberFormat="1" applyFont="1" applyFill="1" applyBorder="1" applyAlignment="1">
      <alignment horizontal="right" vertical="center" wrapText="1"/>
    </xf>
    <xf numFmtId="171" fontId="3" fillId="0" borderId="3" xfId="1" applyNumberFormat="1" applyFont="1" applyFill="1" applyBorder="1" applyAlignment="1">
      <alignment horizontal="center" vertical="center" wrapText="1"/>
    </xf>
    <xf numFmtId="171" fontId="7" fillId="0" borderId="1" xfId="1" applyNumberFormat="1" applyFont="1" applyFill="1" applyBorder="1" applyAlignment="1">
      <alignment horizontal="right" vertical="center"/>
    </xf>
    <xf numFmtId="173" fontId="7" fillId="0" borderId="1" xfId="1" applyNumberFormat="1" applyFont="1" applyFill="1" applyBorder="1" applyAlignment="1">
      <alignment horizontal="right" vertical="center"/>
    </xf>
    <xf numFmtId="173" fontId="7" fillId="0" borderId="1" xfId="1" applyNumberFormat="1" applyFont="1" applyFill="1" applyBorder="1" applyAlignment="1">
      <alignment vertical="center"/>
    </xf>
    <xf numFmtId="171" fontId="7" fillId="0" borderId="2" xfId="1" applyNumberFormat="1" applyFont="1" applyFill="1" applyBorder="1" applyAlignment="1">
      <alignment horizontal="right" vertical="center"/>
    </xf>
    <xf numFmtId="173" fontId="7" fillId="0" borderId="2" xfId="1" applyNumberFormat="1" applyFont="1" applyFill="1" applyBorder="1" applyAlignment="1">
      <alignment horizontal="right" vertical="center"/>
    </xf>
    <xf numFmtId="171" fontId="7" fillId="0" borderId="9" xfId="1" applyNumberFormat="1" applyFont="1" applyFill="1" applyBorder="1" applyAlignment="1">
      <alignment horizontal="right" vertical="center"/>
    </xf>
    <xf numFmtId="173" fontId="7" fillId="0" borderId="9" xfId="1" applyNumberFormat="1" applyFont="1" applyFill="1" applyBorder="1" applyAlignment="1">
      <alignment horizontal="right" vertical="center"/>
    </xf>
    <xf numFmtId="173" fontId="7" fillId="0" borderId="9" xfId="1" applyNumberFormat="1" applyFont="1" applyFill="1" applyBorder="1" applyAlignment="1">
      <alignment vertical="center"/>
    </xf>
    <xf numFmtId="171" fontId="7" fillId="0" borderId="3" xfId="1" applyNumberFormat="1" applyFont="1" applyFill="1" applyBorder="1" applyAlignment="1">
      <alignment horizontal="right" vertical="center"/>
    </xf>
    <xf numFmtId="173" fontId="3" fillId="0" borderId="3" xfId="0" applyNumberFormat="1" applyFont="1" applyFill="1" applyBorder="1" applyAlignment="1">
      <alignment vertical="center"/>
    </xf>
    <xf numFmtId="174" fontId="7" fillId="0" borderId="2" xfId="0" applyNumberFormat="1" applyFont="1" applyFill="1" applyBorder="1" applyAlignment="1">
      <alignment vertical="center"/>
    </xf>
    <xf numFmtId="0" fontId="7" fillId="0" borderId="0" xfId="0" applyFont="1" applyFill="1" applyBorder="1" applyAlignment="1">
      <alignment horizontal="center" vertical="center"/>
    </xf>
    <xf numFmtId="0" fontId="3" fillId="0" borderId="0" xfId="0" applyFont="1" applyFill="1" applyBorder="1" applyAlignment="1">
      <alignment horizontal="center" vertical="center"/>
    </xf>
    <xf numFmtId="171" fontId="7" fillId="0" borderId="0" xfId="1" applyNumberFormat="1" applyFont="1" applyFill="1" applyBorder="1" applyAlignment="1">
      <alignment horizontal="right" vertical="center"/>
    </xf>
    <xf numFmtId="173" fontId="3" fillId="0" borderId="0" xfId="0" applyNumberFormat="1" applyFont="1" applyFill="1" applyBorder="1" applyAlignment="1">
      <alignment vertical="center"/>
    </xf>
    <xf numFmtId="0" fontId="7" fillId="0" borderId="9" xfId="0" applyFont="1" applyFill="1" applyBorder="1" applyAlignment="1">
      <alignment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28" xfId="0" applyNumberFormat="1" applyFont="1" applyFill="1" applyBorder="1" applyAlignment="1">
      <alignment horizontal="left" vertical="center"/>
    </xf>
    <xf numFmtId="0" fontId="3" fillId="0" borderId="28"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33" xfId="0" applyFont="1" applyFill="1" applyBorder="1" applyAlignment="1">
      <alignment horizontal="center" vertical="center"/>
    </xf>
    <xf numFmtId="170" fontId="3" fillId="0" borderId="30" xfId="0" applyNumberFormat="1" applyFont="1" applyFill="1" applyBorder="1" applyAlignment="1">
      <alignment horizontal="center" vertical="center"/>
    </xf>
    <xf numFmtId="43" fontId="3" fillId="0" borderId="33" xfId="1" applyFont="1" applyFill="1" applyBorder="1" applyAlignment="1">
      <alignment horizontal="center" vertical="center"/>
    </xf>
    <xf numFmtId="0" fontId="3" fillId="0" borderId="34" xfId="0" applyFont="1" applyFill="1" applyBorder="1" applyAlignment="1">
      <alignment horizontal="center" vertical="center"/>
    </xf>
    <xf numFmtId="0" fontId="7" fillId="0" borderId="1" xfId="0" quotePrefix="1" applyNumberFormat="1" applyFont="1" applyFill="1" applyBorder="1" applyAlignment="1">
      <alignment horizontal="left" vertical="center"/>
    </xf>
    <xf numFmtId="0" fontId="7" fillId="0" borderId="2" xfId="0" quotePrefix="1" applyNumberFormat="1" applyFont="1" applyFill="1" applyBorder="1" applyAlignment="1">
      <alignment horizontal="left" vertical="center"/>
    </xf>
    <xf numFmtId="0" fontId="7" fillId="0" borderId="35" xfId="0" applyFont="1" applyFill="1" applyBorder="1" applyAlignment="1">
      <alignment horizontal="center" vertical="center"/>
    </xf>
    <xf numFmtId="170" fontId="3" fillId="0" borderId="35" xfId="0" applyNumberFormat="1" applyFont="1" applyFill="1" applyBorder="1" applyAlignment="1">
      <alignment horizontal="center" vertical="center"/>
    </xf>
    <xf numFmtId="43" fontId="7" fillId="0" borderId="35" xfId="1" applyFont="1" applyFill="1" applyBorder="1" applyAlignment="1">
      <alignment horizontal="center" vertical="center"/>
    </xf>
    <xf numFmtId="0" fontId="7" fillId="0" borderId="36"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38" xfId="0" quotePrefix="1" applyFont="1" applyFill="1" applyBorder="1" applyAlignment="1">
      <alignment vertical="center" wrapText="1"/>
    </xf>
    <xf numFmtId="172" fontId="3" fillId="0" borderId="39" xfId="1" applyNumberFormat="1" applyFont="1" applyFill="1" applyBorder="1" applyAlignment="1">
      <alignment vertical="center" wrapText="1"/>
    </xf>
    <xf numFmtId="167" fontId="3" fillId="0" borderId="35" xfId="0" applyNumberFormat="1" applyFont="1" applyFill="1" applyBorder="1" applyAlignment="1">
      <alignment horizontal="center" vertical="center"/>
    </xf>
    <xf numFmtId="0" fontId="7" fillId="0" borderId="2" xfId="0" quotePrefix="1" applyNumberFormat="1" applyFont="1" applyFill="1" applyBorder="1" applyAlignment="1">
      <alignment horizontal="left" vertical="center" wrapText="1"/>
    </xf>
    <xf numFmtId="0" fontId="7" fillId="0" borderId="2" xfId="0" quotePrefix="1" applyFont="1" applyFill="1" applyBorder="1" applyAlignment="1">
      <alignment vertical="center" wrapText="1"/>
    </xf>
    <xf numFmtId="172" fontId="3" fillId="0" borderId="35" xfId="1" applyNumberFormat="1" applyFont="1" applyFill="1" applyBorder="1" applyAlignment="1">
      <alignment vertical="center" wrapText="1"/>
    </xf>
    <xf numFmtId="0" fontId="7" fillId="0" borderId="9" xfId="0" quotePrefix="1" applyNumberFormat="1" applyFont="1" applyFill="1" applyBorder="1" applyAlignment="1">
      <alignment horizontal="left" vertical="center"/>
    </xf>
    <xf numFmtId="0" fontId="7" fillId="0" borderId="26" xfId="0" quotePrefix="1" applyNumberFormat="1" applyFont="1" applyFill="1" applyBorder="1" applyAlignment="1">
      <alignment horizontal="left" vertical="center"/>
    </xf>
    <xf numFmtId="0" fontId="7" fillId="0" borderId="26" xfId="0" applyFont="1" applyFill="1" applyBorder="1" applyAlignment="1">
      <alignment horizontal="center" vertical="center"/>
    </xf>
    <xf numFmtId="0" fontId="7" fillId="0" borderId="15" xfId="0" quotePrefix="1" applyFont="1" applyFill="1" applyBorder="1" applyAlignment="1">
      <alignment horizontal="center" vertical="center"/>
    </xf>
    <xf numFmtId="0" fontId="7" fillId="0" borderId="8" xfId="0" applyFont="1" applyFill="1" applyBorder="1" applyAlignment="1">
      <alignment horizontal="center" vertical="center"/>
    </xf>
    <xf numFmtId="0" fontId="7" fillId="0" borderId="40" xfId="0" applyFont="1" applyFill="1" applyBorder="1" applyAlignment="1">
      <alignment horizontal="center" vertical="center"/>
    </xf>
    <xf numFmtId="0" fontId="7" fillId="0" borderId="41" xfId="0" applyFont="1" applyFill="1" applyBorder="1" applyAlignment="1">
      <alignment horizontal="center" vertical="center"/>
    </xf>
    <xf numFmtId="170" fontId="3" fillId="0" borderId="41" xfId="0" applyNumberFormat="1" applyFont="1" applyFill="1" applyBorder="1" applyAlignment="1">
      <alignment horizontal="center" vertical="center"/>
    </xf>
    <xf numFmtId="43" fontId="7" fillId="0" borderId="41" xfId="1" applyFont="1" applyFill="1" applyBorder="1" applyAlignment="1">
      <alignment horizontal="center" vertical="center"/>
    </xf>
    <xf numFmtId="0" fontId="7" fillId="0" borderId="42" xfId="0" applyFont="1" applyFill="1" applyBorder="1" applyAlignment="1">
      <alignment horizontal="center" vertical="center"/>
    </xf>
    <xf numFmtId="0" fontId="7" fillId="0" borderId="37" xfId="0" quotePrefix="1" applyNumberFormat="1" applyFont="1" applyFill="1" applyBorder="1" applyAlignment="1">
      <alignment horizontal="center" vertical="center" wrapText="1"/>
    </xf>
    <xf numFmtId="0" fontId="7" fillId="0" borderId="37" xfId="0" quotePrefix="1" applyFont="1" applyFill="1" applyBorder="1" applyAlignment="1">
      <alignment horizontal="center" vertical="center"/>
    </xf>
    <xf numFmtId="172" fontId="18" fillId="0" borderId="0" xfId="1" applyNumberFormat="1" applyFont="1" applyFill="1" applyAlignment="1">
      <alignment vertical="top" wrapText="1"/>
    </xf>
    <xf numFmtId="0" fontId="7" fillId="0" borderId="35" xfId="0" quotePrefix="1" applyFont="1" applyFill="1" applyBorder="1" applyAlignment="1">
      <alignment horizontal="center" vertical="center"/>
    </xf>
    <xf numFmtId="0" fontId="7" fillId="0" borderId="43" xfId="0" applyFont="1" applyFill="1" applyBorder="1" applyAlignment="1">
      <alignment horizontal="center" vertical="center"/>
    </xf>
    <xf numFmtId="0" fontId="7" fillId="0" borderId="43" xfId="0" quotePrefix="1" applyFont="1" applyFill="1" applyBorder="1" applyAlignment="1">
      <alignment horizontal="center" vertical="center"/>
    </xf>
    <xf numFmtId="43" fontId="7" fillId="0" borderId="43" xfId="1" applyFont="1" applyFill="1" applyBorder="1" applyAlignment="1">
      <alignment horizontal="center" vertical="center"/>
    </xf>
    <xf numFmtId="0" fontId="7" fillId="0" borderId="44" xfId="0" applyFont="1" applyFill="1" applyBorder="1" applyAlignment="1">
      <alignment horizontal="center" vertical="center"/>
    </xf>
    <xf numFmtId="0" fontId="7" fillId="0" borderId="40" xfId="0" quotePrefix="1" applyFont="1" applyFill="1" applyBorder="1" applyAlignment="1">
      <alignment horizontal="center" vertical="center"/>
    </xf>
    <xf numFmtId="43" fontId="3" fillId="0" borderId="41" xfId="1" applyFont="1" applyFill="1" applyBorder="1" applyAlignment="1">
      <alignment horizontal="center" vertical="center"/>
    </xf>
    <xf numFmtId="173" fontId="5" fillId="0" borderId="0" xfId="0" applyNumberFormat="1" applyFont="1" applyFill="1"/>
    <xf numFmtId="173" fontId="3" fillId="0" borderId="29" xfId="1" applyNumberFormat="1" applyFont="1" applyFill="1" applyBorder="1" applyAlignment="1">
      <alignment horizontal="center" vertical="center"/>
    </xf>
    <xf numFmtId="43" fontId="3" fillId="0" borderId="30" xfId="1" applyFont="1" applyFill="1" applyBorder="1" applyAlignment="1">
      <alignment horizontal="center" vertical="center"/>
    </xf>
    <xf numFmtId="0" fontId="4" fillId="0" borderId="37" xfId="0" applyFont="1" applyFill="1" applyBorder="1" applyAlignment="1">
      <alignment horizontal="center" vertical="center"/>
    </xf>
    <xf numFmtId="167" fontId="18" fillId="0" borderId="0" xfId="0" applyNumberFormat="1" applyFont="1" applyFill="1" applyAlignment="1">
      <alignment vertical="top" wrapText="1"/>
    </xf>
    <xf numFmtId="173" fontId="13" fillId="0" borderId="0" xfId="1" applyNumberFormat="1" applyFont="1" applyFill="1"/>
    <xf numFmtId="2" fontId="3" fillId="0" borderId="0" xfId="0" applyNumberFormat="1" applyFont="1" applyFill="1" applyBorder="1" applyAlignment="1">
      <alignment horizontal="center" vertical="top"/>
    </xf>
    <xf numFmtId="2" fontId="12" fillId="0" borderId="0" xfId="0" applyNumberFormat="1" applyFont="1" applyFill="1" applyBorder="1" applyAlignment="1">
      <alignment horizontal="center" vertical="top"/>
    </xf>
    <xf numFmtId="2" fontId="61" fillId="0" borderId="14" xfId="0" applyNumberFormat="1" applyFont="1" applyFill="1" applyBorder="1" applyAlignment="1">
      <alignment horizontal="center" vertical="top"/>
    </xf>
    <xf numFmtId="0" fontId="57" fillId="0" borderId="0" xfId="0" applyFont="1" applyFill="1" applyAlignment="1">
      <alignment vertical="center"/>
    </xf>
    <xf numFmtId="164" fontId="7" fillId="0" borderId="0" xfId="0" applyNumberFormat="1" applyFont="1" applyFill="1" applyBorder="1" applyAlignment="1">
      <alignment horizontal="center" vertical="center"/>
    </xf>
    <xf numFmtId="164" fontId="3" fillId="0" borderId="0" xfId="0" applyNumberFormat="1" applyFont="1" applyFill="1" applyBorder="1" applyAlignment="1">
      <alignment horizontal="left" vertical="center"/>
    </xf>
    <xf numFmtId="164" fontId="3" fillId="0" borderId="0" xfId="0" applyNumberFormat="1" applyFont="1" applyFill="1" applyBorder="1" applyAlignment="1">
      <alignment horizontal="center" vertical="center"/>
    </xf>
    <xf numFmtId="171" fontId="3" fillId="0" borderId="0" xfId="1" applyNumberFormat="1" applyFont="1" applyFill="1" applyBorder="1" applyAlignment="1">
      <alignment horizontal="right" vertical="center"/>
    </xf>
    <xf numFmtId="164" fontId="7" fillId="0" borderId="0" xfId="0" applyNumberFormat="1" applyFont="1" applyFill="1" applyBorder="1" applyAlignment="1">
      <alignment horizontal="right" vertical="center"/>
    </xf>
    <xf numFmtId="0" fontId="59" fillId="0" borderId="0" xfId="0" applyFont="1" applyFill="1" applyAlignment="1">
      <alignment vertical="center"/>
    </xf>
    <xf numFmtId="0" fontId="4" fillId="0" borderId="0" xfId="0" applyFont="1" applyFill="1" applyAlignment="1">
      <alignment vertical="center"/>
    </xf>
    <xf numFmtId="166" fontId="3" fillId="0" borderId="0" xfId="0" applyNumberFormat="1" applyFont="1" applyFill="1" applyAlignment="1">
      <alignment vertical="center"/>
    </xf>
    <xf numFmtId="169" fontId="3" fillId="0" borderId="3" xfId="8" applyNumberFormat="1" applyFont="1" applyFill="1" applyBorder="1" applyAlignment="1">
      <alignment horizontal="center" vertical="center" wrapText="1"/>
    </xf>
    <xf numFmtId="169" fontId="3" fillId="0" borderId="4" xfId="8" applyNumberFormat="1" applyFont="1" applyFill="1" applyBorder="1" applyAlignment="1">
      <alignment horizontal="center" vertical="center" wrapText="1"/>
    </xf>
    <xf numFmtId="171" fontId="3" fillId="0" borderId="4" xfId="1" applyNumberFormat="1" applyFont="1" applyFill="1" applyBorder="1" applyAlignment="1">
      <alignment horizontal="center" vertical="center" wrapText="1"/>
    </xf>
    <xf numFmtId="166" fontId="3" fillId="0" borderId="29" xfId="8" applyNumberFormat="1" applyFont="1" applyFill="1" applyBorder="1" applyAlignment="1">
      <alignment horizontal="center" vertical="center" wrapText="1"/>
    </xf>
    <xf numFmtId="166" fontId="3" fillId="0" borderId="3" xfId="8"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vertical="center" wrapText="1"/>
    </xf>
    <xf numFmtId="166" fontId="7" fillId="0" borderId="4" xfId="8" applyNumberFormat="1" applyFont="1" applyFill="1" applyBorder="1" applyAlignment="1">
      <alignment horizontal="right" vertical="center" wrapText="1"/>
    </xf>
    <xf numFmtId="166" fontId="3" fillId="0" borderId="8" xfId="8" applyNumberFormat="1" applyFont="1" applyFill="1" applyBorder="1" applyAlignment="1">
      <alignment horizontal="right" vertical="center" wrapText="1"/>
    </xf>
    <xf numFmtId="0" fontId="3" fillId="0" borderId="1" xfId="0" applyFont="1" applyFill="1" applyBorder="1" applyAlignment="1">
      <alignment vertical="center" wrapText="1"/>
    </xf>
    <xf numFmtId="166" fontId="3" fillId="0" borderId="1" xfId="8" applyNumberFormat="1" applyFont="1" applyFill="1" applyBorder="1" applyAlignment="1">
      <alignment horizontal="right" vertical="center" wrapText="1"/>
    </xf>
    <xf numFmtId="0" fontId="3" fillId="0" borderId="1" xfId="0" applyFont="1" applyFill="1" applyBorder="1" applyAlignment="1">
      <alignment horizontal="center" vertical="center"/>
    </xf>
    <xf numFmtId="167" fontId="3" fillId="0" borderId="1" xfId="0" applyNumberFormat="1" applyFont="1" applyFill="1" applyBorder="1" applyAlignment="1">
      <alignment vertical="center"/>
    </xf>
    <xf numFmtId="0" fontId="13" fillId="0" borderId="1" xfId="0" applyFont="1" applyFill="1" applyBorder="1" applyAlignment="1">
      <alignment vertical="center" wrapText="1"/>
    </xf>
    <xf numFmtId="0" fontId="3" fillId="0" borderId="28" xfId="8" applyFont="1" applyFill="1" applyBorder="1" applyAlignment="1">
      <alignment horizontal="center" vertical="center"/>
    </xf>
    <xf numFmtId="166" fontId="18" fillId="0" borderId="0" xfId="8" applyNumberFormat="1" applyFont="1" applyFill="1" applyAlignment="1">
      <alignment horizontal="center" vertical="center"/>
    </xf>
    <xf numFmtId="0" fontId="16" fillId="0" borderId="0" xfId="8" applyFont="1" applyFill="1" applyAlignment="1">
      <alignment horizontal="left" vertical="center"/>
    </xf>
    <xf numFmtId="0" fontId="18" fillId="0" borderId="0" xfId="8" applyFont="1" applyFill="1" applyAlignment="1">
      <alignment vertical="center"/>
    </xf>
    <xf numFmtId="0" fontId="53" fillId="0" borderId="0" xfId="8" applyFont="1" applyFill="1" applyAlignment="1">
      <alignment horizontal="center" vertical="center"/>
    </xf>
    <xf numFmtId="3" fontId="18" fillId="0" borderId="0" xfId="8" applyNumberFormat="1" applyFont="1" applyFill="1" applyAlignment="1">
      <alignment horizontal="center" vertical="center"/>
    </xf>
    <xf numFmtId="169" fontId="18" fillId="0" borderId="0" xfId="8" applyNumberFormat="1" applyFont="1" applyFill="1" applyAlignment="1">
      <alignment horizontal="center" vertical="center"/>
    </xf>
    <xf numFmtId="166" fontId="18" fillId="0" borderId="0" xfId="8" applyNumberFormat="1" applyFont="1" applyFill="1" applyAlignment="1">
      <alignment horizontal="right" vertical="center"/>
    </xf>
    <xf numFmtId="169" fontId="54" fillId="0" borderId="19" xfId="8" applyNumberFormat="1" applyFont="1" applyFill="1" applyBorder="1" applyAlignment="1">
      <alignment horizontal="center" vertical="center" wrapText="1"/>
    </xf>
    <xf numFmtId="0" fontId="55" fillId="0" borderId="0" xfId="0" applyFont="1" applyFill="1" applyAlignment="1">
      <alignment vertical="center"/>
    </xf>
    <xf numFmtId="166" fontId="16" fillId="0" borderId="0" xfId="0" applyNumberFormat="1" applyFont="1" applyFill="1" applyAlignment="1">
      <alignment horizontal="center" vertical="center"/>
    </xf>
    <xf numFmtId="0" fontId="16" fillId="0" borderId="0" xfId="0" applyFont="1" applyFill="1" applyAlignment="1">
      <alignment horizontal="left" vertical="center"/>
    </xf>
    <xf numFmtId="0" fontId="16" fillId="0" borderId="0" xfId="0" applyFont="1" applyFill="1" applyAlignment="1">
      <alignment horizontal="center" vertical="center"/>
    </xf>
    <xf numFmtId="3" fontId="16" fillId="0" borderId="0" xfId="0" applyNumberFormat="1" applyFont="1" applyFill="1" applyAlignment="1">
      <alignment vertical="center"/>
    </xf>
    <xf numFmtId="166" fontId="18" fillId="0" borderId="0" xfId="0" applyNumberFormat="1" applyFont="1" applyFill="1" applyAlignment="1">
      <alignment horizontal="center" vertical="center"/>
    </xf>
    <xf numFmtId="0" fontId="53" fillId="0" borderId="0" xfId="0" applyFont="1" applyFill="1" applyAlignment="1">
      <alignment horizontal="center" vertical="center"/>
    </xf>
    <xf numFmtId="3" fontId="18" fillId="0" borderId="0" xfId="0" applyNumberFormat="1" applyFont="1" applyFill="1" applyAlignment="1">
      <alignment vertical="center"/>
    </xf>
    <xf numFmtId="0" fontId="18" fillId="0" borderId="0" xfId="8" applyFont="1" applyFill="1" applyAlignment="1">
      <alignment horizontal="right" vertical="center"/>
    </xf>
    <xf numFmtId="0" fontId="54" fillId="0" borderId="1" xfId="0" applyFont="1" applyFill="1" applyBorder="1" applyAlignment="1">
      <alignment horizontal="center" vertical="center"/>
    </xf>
    <xf numFmtId="3" fontId="54" fillId="0" borderId="1" xfId="0" applyNumberFormat="1" applyFont="1" applyFill="1" applyBorder="1" applyAlignment="1">
      <alignment horizontal="left" vertical="center"/>
    </xf>
    <xf numFmtId="0" fontId="54" fillId="0" borderId="1" xfId="0" applyFont="1" applyFill="1" applyBorder="1" applyAlignment="1">
      <alignment horizontal="left" vertical="center" wrapText="1"/>
    </xf>
    <xf numFmtId="0" fontId="12" fillId="0" borderId="0" xfId="0" applyFont="1" applyFill="1" applyAlignment="1">
      <alignment vertical="center"/>
    </xf>
    <xf numFmtId="0" fontId="16" fillId="0" borderId="0" xfId="0" applyFont="1" applyFill="1" applyAlignment="1">
      <alignment horizontal="right" vertical="center"/>
    </xf>
    <xf numFmtId="0" fontId="18" fillId="0" borderId="0" xfId="0" applyFont="1" applyFill="1" applyAlignment="1">
      <alignment horizontal="right" vertical="center"/>
    </xf>
    <xf numFmtId="0" fontId="11" fillId="0" borderId="0" xfId="0" applyFont="1" applyFill="1"/>
    <xf numFmtId="0" fontId="11" fillId="0" borderId="1" xfId="7" applyFont="1" applyFill="1" applyBorder="1" applyAlignment="1">
      <alignment horizontal="center" vertical="center"/>
    </xf>
    <xf numFmtId="0" fontId="11" fillId="0" borderId="1" xfId="7" applyFont="1" applyFill="1" applyBorder="1" applyAlignment="1">
      <alignment horizontal="left" vertical="center"/>
    </xf>
    <xf numFmtId="0" fontId="11" fillId="0" borderId="1" xfId="0" applyFont="1" applyFill="1" applyBorder="1" applyAlignment="1">
      <alignment horizontal="center"/>
    </xf>
    <xf numFmtId="171" fontId="11" fillId="0" borderId="1" xfId="1" applyNumberFormat="1" applyFont="1" applyFill="1" applyBorder="1"/>
    <xf numFmtId="0" fontId="11" fillId="0" borderId="0" xfId="7" applyFont="1" applyFill="1" applyBorder="1" applyAlignment="1">
      <alignment horizontal="left" vertical="center"/>
    </xf>
    <xf numFmtId="171" fontId="11" fillId="0" borderId="0" xfId="0" applyNumberFormat="1" applyFont="1" applyFill="1"/>
    <xf numFmtId="0" fontId="11" fillId="0" borderId="2" xfId="7" applyFont="1" applyFill="1" applyBorder="1" applyAlignment="1">
      <alignment horizontal="center" vertical="center"/>
    </xf>
    <xf numFmtId="0" fontId="11" fillId="0" borderId="2" xfId="7" applyFont="1" applyFill="1" applyBorder="1" applyAlignment="1">
      <alignment horizontal="left" vertical="center"/>
    </xf>
    <xf numFmtId="0" fontId="11" fillId="0" borderId="2" xfId="0" applyFont="1" applyFill="1" applyBorder="1" applyAlignment="1">
      <alignment horizontal="center"/>
    </xf>
    <xf numFmtId="171" fontId="11" fillId="0" borderId="2" xfId="1" applyNumberFormat="1" applyFont="1" applyFill="1" applyBorder="1"/>
    <xf numFmtId="0" fontId="11" fillId="0" borderId="0" xfId="0" applyFont="1" applyFill="1" applyAlignment="1">
      <alignment horizontal="right"/>
    </xf>
    <xf numFmtId="0" fontId="11" fillId="0" borderId="9" xfId="7" applyFont="1" applyFill="1" applyBorder="1" applyAlignment="1">
      <alignment horizontal="center" vertical="center"/>
    </xf>
    <xf numFmtId="0" fontId="11" fillId="0" borderId="9" xfId="7" applyFont="1" applyFill="1" applyBorder="1" applyAlignment="1">
      <alignment horizontal="left" vertical="center"/>
    </xf>
    <xf numFmtId="0" fontId="11" fillId="0" borderId="9" xfId="0" applyFont="1" applyFill="1" applyBorder="1" applyAlignment="1">
      <alignment horizontal="center"/>
    </xf>
    <xf numFmtId="171" fontId="11" fillId="0" borderId="9" xfId="1" applyNumberFormat="1" applyFont="1" applyFill="1" applyBorder="1"/>
    <xf numFmtId="171" fontId="10" fillId="0" borderId="3" xfId="7" applyNumberFormat="1" applyFont="1" applyFill="1" applyBorder="1" applyAlignment="1">
      <alignment vertical="center"/>
    </xf>
    <xf numFmtId="171" fontId="10" fillId="0" borderId="3" xfId="1" applyNumberFormat="1" applyFont="1" applyFill="1" applyBorder="1"/>
    <xf numFmtId="171" fontId="11" fillId="0" borderId="0" xfId="1" applyNumberFormat="1" applyFont="1" applyFill="1"/>
    <xf numFmtId="0" fontId="10" fillId="0" borderId="0" xfId="0" applyFont="1" applyFill="1"/>
    <xf numFmtId="171" fontId="10" fillId="0" borderId="0" xfId="1" applyNumberFormat="1" applyFont="1" applyFill="1"/>
    <xf numFmtId="0" fontId="10" fillId="0" borderId="33" xfId="0" applyFont="1" applyFill="1" applyBorder="1" applyAlignment="1">
      <alignment horizontal="center"/>
    </xf>
    <xf numFmtId="0" fontId="10" fillId="0" borderId="3" xfId="0" applyFont="1" applyFill="1" applyBorder="1" applyAlignment="1">
      <alignment horizontal="center"/>
    </xf>
    <xf numFmtId="171" fontId="10" fillId="0" borderId="3" xfId="1" applyNumberFormat="1" applyFont="1" applyFill="1" applyBorder="1" applyAlignment="1">
      <alignment horizontal="center"/>
    </xf>
    <xf numFmtId="2" fontId="12" fillId="0" borderId="0" xfId="0" applyNumberFormat="1" applyFont="1" applyFill="1" applyBorder="1" applyAlignment="1">
      <alignment vertical="top"/>
    </xf>
    <xf numFmtId="0" fontId="18" fillId="0" borderId="2" xfId="0" applyFont="1" applyBorder="1" applyAlignment="1">
      <alignment horizontal="left"/>
    </xf>
    <xf numFmtId="0" fontId="4" fillId="0" borderId="9" xfId="0" applyFont="1" applyFill="1" applyBorder="1" applyAlignment="1">
      <alignment horizontal="center" vertical="center" wrapText="1"/>
    </xf>
    <xf numFmtId="3" fontId="4" fillId="0" borderId="9" xfId="0" applyNumberFormat="1" applyFont="1" applyFill="1" applyBorder="1" applyAlignment="1">
      <alignment horizontal="left" vertical="center" wrapText="1"/>
    </xf>
    <xf numFmtId="168" fontId="51" fillId="0" borderId="9" xfId="0" applyNumberFormat="1" applyFont="1" applyFill="1" applyBorder="1" applyAlignment="1">
      <alignment horizontal="center" vertical="center"/>
    </xf>
    <xf numFmtId="0" fontId="3" fillId="0" borderId="0" xfId="0" applyFont="1" applyFill="1" applyBorder="1" applyAlignment="1">
      <alignment vertical="center"/>
    </xf>
    <xf numFmtId="0" fontId="18" fillId="0" borderId="0" xfId="0" applyFont="1" applyFill="1" applyBorder="1" applyAlignment="1">
      <alignment horizontal="left" vertical="center" wrapText="1"/>
    </xf>
    <xf numFmtId="0" fontId="18" fillId="0" borderId="0" xfId="0" applyFont="1" applyBorder="1" applyAlignment="1">
      <alignment horizontal="center" vertical="center"/>
    </xf>
    <xf numFmtId="3" fontId="18" fillId="0" borderId="0" xfId="0" applyNumberFormat="1" applyFont="1" applyFill="1" applyBorder="1" applyAlignment="1">
      <alignment horizontal="left" vertical="center"/>
    </xf>
    <xf numFmtId="3" fontId="18" fillId="0" borderId="0" xfId="0" applyNumberFormat="1" applyFont="1" applyFill="1" applyBorder="1" applyAlignment="1">
      <alignment horizontal="left" vertical="center" wrapText="1"/>
    </xf>
    <xf numFmtId="0" fontId="18" fillId="0" borderId="0" xfId="9" applyFont="1" applyFill="1" applyBorder="1" applyAlignment="1">
      <alignment horizontal="left" vertical="center"/>
    </xf>
    <xf numFmtId="0" fontId="5" fillId="0" borderId="0" xfId="0" applyFont="1"/>
    <xf numFmtId="0" fontId="5" fillId="0" borderId="33" xfId="0" applyFont="1" applyBorder="1"/>
    <xf numFmtId="0" fontId="12" fillId="0" borderId="3" xfId="0" applyFont="1" applyBorder="1" applyAlignment="1">
      <alignment horizontal="center" vertical="center" wrapText="1"/>
    </xf>
    <xf numFmtId="0" fontId="18" fillId="0" borderId="0" xfId="0" applyFont="1"/>
    <xf numFmtId="0" fontId="18" fillId="0" borderId="0" xfId="0" applyFont="1" applyAlignment="1"/>
    <xf numFmtId="0" fontId="18" fillId="0" borderId="2" xfId="6" applyFont="1" applyBorder="1" applyAlignment="1">
      <alignment horizontal="center"/>
    </xf>
    <xf numFmtId="0" fontId="18" fillId="0" borderId="2" xfId="6" applyFont="1" applyBorder="1" applyAlignment="1"/>
    <xf numFmtId="0" fontId="7" fillId="0" borderId="2" xfId="0" applyFont="1" applyBorder="1" applyAlignment="1">
      <alignment horizontal="left"/>
    </xf>
    <xf numFmtId="0" fontId="18" fillId="0" borderId="9" xfId="6" applyFont="1" applyBorder="1" applyAlignment="1">
      <alignment horizontal="center"/>
    </xf>
    <xf numFmtId="0" fontId="18" fillId="0" borderId="2" xfId="6" applyFont="1" applyBorder="1" applyAlignment="1">
      <alignment horizontal="left"/>
    </xf>
    <xf numFmtId="0" fontId="18" fillId="0" borderId="2" xfId="0" applyFont="1" applyBorder="1" applyAlignment="1"/>
    <xf numFmtId="0" fontId="11" fillId="0" borderId="0" xfId="0" applyFont="1"/>
    <xf numFmtId="0" fontId="5" fillId="0" borderId="0" xfId="0" applyFont="1" applyAlignment="1">
      <alignment horizontal="left"/>
    </xf>
    <xf numFmtId="0" fontId="18" fillId="0" borderId="0" xfId="0" applyFont="1" applyAlignment="1">
      <alignment vertical="center"/>
    </xf>
    <xf numFmtId="0" fontId="10" fillId="0" borderId="3" xfId="6" applyFont="1" applyBorder="1" applyAlignment="1">
      <alignment horizontal="center" vertical="center" wrapText="1"/>
    </xf>
    <xf numFmtId="0" fontId="10" fillId="0" borderId="3" xfId="6" applyFont="1" applyBorder="1" applyAlignment="1">
      <alignment horizontal="center" vertical="center"/>
    </xf>
    <xf numFmtId="0" fontId="10" fillId="0" borderId="3" xfId="0" applyFont="1" applyBorder="1" applyAlignment="1">
      <alignment horizontal="center" vertical="center" wrapText="1"/>
    </xf>
    <xf numFmtId="0" fontId="12" fillId="4" borderId="1" xfId="6" applyFont="1" applyFill="1" applyBorder="1" applyAlignment="1">
      <alignment horizontal="center"/>
    </xf>
    <xf numFmtId="179" fontId="12" fillId="4" borderId="1" xfId="6" applyNumberFormat="1" applyFont="1" applyFill="1" applyBorder="1" applyAlignment="1">
      <alignment horizontal="right"/>
    </xf>
    <xf numFmtId="180" fontId="12" fillId="4" borderId="1" xfId="6" applyNumberFormat="1" applyFont="1" applyFill="1" applyBorder="1" applyAlignment="1">
      <alignment horizontal="right"/>
    </xf>
    <xf numFmtId="0" fontId="62" fillId="0" borderId="2" xfId="6" applyFont="1" applyBorder="1" applyAlignment="1">
      <alignment horizontal="center"/>
    </xf>
    <xf numFmtId="0" fontId="31" fillId="0" borderId="2" xfId="6" applyFont="1" applyBorder="1"/>
    <xf numFmtId="179" fontId="62" fillId="0" borderId="2" xfId="6" applyNumberFormat="1" applyFont="1" applyBorder="1"/>
    <xf numFmtId="0" fontId="62" fillId="0" borderId="2" xfId="6" applyFont="1" applyBorder="1"/>
    <xf numFmtId="179" fontId="31" fillId="0" borderId="2" xfId="6" applyNumberFormat="1" applyFont="1" applyBorder="1"/>
    <xf numFmtId="0" fontId="31" fillId="0" borderId="0" xfId="0" applyFont="1"/>
    <xf numFmtId="0" fontId="18" fillId="0" borderId="2" xfId="6" applyFont="1" applyBorder="1"/>
    <xf numFmtId="179" fontId="18" fillId="0" borderId="2" xfId="6" applyNumberFormat="1" applyFont="1" applyBorder="1"/>
    <xf numFmtId="0" fontId="18" fillId="0" borderId="2" xfId="0" applyFont="1" applyBorder="1"/>
    <xf numFmtId="179" fontId="18" fillId="0" borderId="2" xfId="6" applyNumberFormat="1" applyFont="1" applyBorder="1" applyAlignment="1"/>
    <xf numFmtId="179" fontId="41" fillId="0" borderId="2" xfId="6" applyNumberFormat="1" applyFont="1" applyBorder="1" applyAlignment="1"/>
    <xf numFmtId="0" fontId="21" fillId="0" borderId="2" xfId="6" applyFont="1" applyBorder="1" applyAlignment="1"/>
    <xf numFmtId="4" fontId="18" fillId="0" borderId="2" xfId="6" applyNumberFormat="1" applyFont="1" applyBorder="1" applyAlignment="1">
      <alignment horizontal="right"/>
    </xf>
    <xf numFmtId="0" fontId="63" fillId="0" borderId="2" xfId="6" applyFont="1" applyBorder="1"/>
    <xf numFmtId="0" fontId="21" fillId="0" borderId="2" xfId="6" quotePrefix="1" applyFont="1" applyBorder="1" applyAlignment="1">
      <alignment horizontal="center"/>
    </xf>
    <xf numFmtId="0" fontId="21" fillId="0" borderId="2" xfId="0" applyFont="1" applyBorder="1"/>
    <xf numFmtId="0" fontId="21" fillId="0" borderId="0" xfId="0" applyFont="1"/>
    <xf numFmtId="0" fontId="21" fillId="0" borderId="2" xfId="6" applyFont="1" applyBorder="1"/>
    <xf numFmtId="0" fontId="62" fillId="0" borderId="2" xfId="6" applyFont="1" applyBorder="1" applyAlignment="1">
      <alignment horizontal="left"/>
    </xf>
    <xf numFmtId="0" fontId="62" fillId="0" borderId="2" xfId="0" applyFont="1" applyBorder="1"/>
    <xf numFmtId="0" fontId="12" fillId="4" borderId="2" xfId="6" applyFont="1" applyFill="1" applyBorder="1" applyAlignment="1">
      <alignment horizontal="center"/>
    </xf>
    <xf numFmtId="179" fontId="12" fillId="4" borderId="2" xfId="6" applyNumberFormat="1" applyFont="1" applyFill="1" applyBorder="1" applyAlignment="1">
      <alignment horizontal="right"/>
    </xf>
    <xf numFmtId="180" fontId="12" fillId="4" borderId="2" xfId="6" applyNumberFormat="1" applyFont="1" applyFill="1" applyBorder="1" applyAlignment="1">
      <alignment horizontal="right"/>
    </xf>
    <xf numFmtId="179" fontId="64" fillId="0" borderId="2" xfId="6" applyNumberFormat="1" applyFont="1" applyBorder="1"/>
    <xf numFmtId="180" fontId="62" fillId="0" borderId="2" xfId="6" applyNumberFormat="1" applyFont="1" applyBorder="1"/>
    <xf numFmtId="0" fontId="41" fillId="0" borderId="2" xfId="6" applyFont="1" applyBorder="1"/>
    <xf numFmtId="179" fontId="41" fillId="0" borderId="2" xfId="6" applyNumberFormat="1" applyFont="1" applyBorder="1"/>
    <xf numFmtId="168" fontId="62" fillId="0" borderId="2" xfId="6" applyNumberFormat="1" applyFont="1" applyBorder="1" applyAlignment="1">
      <alignment horizontal="right"/>
    </xf>
    <xf numFmtId="168" fontId="18" fillId="0" borderId="2" xfId="6" applyNumberFormat="1" applyFont="1" applyBorder="1" applyAlignment="1">
      <alignment horizontal="right"/>
    </xf>
    <xf numFmtId="180" fontId="18" fillId="0" borderId="2" xfId="6" applyNumberFormat="1" applyFont="1" applyBorder="1"/>
    <xf numFmtId="168" fontId="12" fillId="0" borderId="2" xfId="6" applyNumberFormat="1" applyFont="1" applyBorder="1" applyAlignment="1">
      <alignment horizontal="right"/>
    </xf>
    <xf numFmtId="0" fontId="21" fillId="0" borderId="2" xfId="6" applyFont="1" applyBorder="1" applyAlignment="1">
      <alignment horizontal="center"/>
    </xf>
    <xf numFmtId="0" fontId="19" fillId="0" borderId="2" xfId="6" applyFont="1" applyBorder="1"/>
    <xf numFmtId="168" fontId="18" fillId="0" borderId="2" xfId="6" applyNumberFormat="1" applyFont="1" applyBorder="1"/>
    <xf numFmtId="12" fontId="18" fillId="0" borderId="2" xfId="6" applyNumberFormat="1" applyFont="1" applyBorder="1"/>
    <xf numFmtId="0" fontId="18" fillId="0" borderId="2" xfId="6" applyFont="1" applyBorder="1" applyAlignment="1">
      <alignment vertical="center"/>
    </xf>
    <xf numFmtId="4" fontId="18" fillId="0" borderId="2" xfId="6" applyNumberFormat="1" applyFont="1" applyBorder="1" applyAlignment="1">
      <alignment vertical="center"/>
    </xf>
    <xf numFmtId="0" fontId="18" fillId="0" borderId="2" xfId="6" applyFont="1" applyBorder="1" applyAlignment="1">
      <alignment horizontal="left" vertical="center"/>
    </xf>
    <xf numFmtId="179" fontId="18" fillId="0" borderId="2" xfId="6" applyNumberFormat="1" applyFont="1" applyBorder="1" applyAlignment="1">
      <alignment horizontal="right" vertical="center"/>
    </xf>
    <xf numFmtId="0" fontId="18" fillId="0" borderId="2" xfId="6" applyFont="1" applyBorder="1" applyAlignment="1">
      <alignment vertical="center" wrapText="1"/>
    </xf>
    <xf numFmtId="0" fontId="41" fillId="0" borderId="2" xfId="6" applyFont="1" applyBorder="1" applyAlignment="1">
      <alignment horizontal="left" vertical="center"/>
    </xf>
    <xf numFmtId="0" fontId="19" fillId="0" borderId="2" xfId="6" applyFont="1" applyBorder="1" applyAlignment="1">
      <alignment horizontal="right" vertical="center" wrapText="1"/>
    </xf>
    <xf numFmtId="0" fontId="19" fillId="0" borderId="2" xfId="6" applyFont="1" applyBorder="1" applyAlignment="1">
      <alignment vertical="center" wrapText="1"/>
    </xf>
    <xf numFmtId="0" fontId="41" fillId="0" borderId="2" xfId="6" applyFont="1" applyBorder="1" applyAlignment="1">
      <alignment vertical="center"/>
    </xf>
    <xf numFmtId="0" fontId="18" fillId="0" borderId="2" xfId="6" applyFont="1" applyFill="1" applyBorder="1"/>
    <xf numFmtId="0" fontId="12" fillId="4" borderId="2" xfId="6" applyFont="1" applyFill="1" applyBorder="1" applyAlignment="1">
      <alignment horizontal="right"/>
    </xf>
    <xf numFmtId="0" fontId="12" fillId="0" borderId="2" xfId="6" applyFont="1" applyBorder="1" applyAlignment="1">
      <alignment horizontal="center"/>
    </xf>
    <xf numFmtId="0" fontId="18" fillId="0" borderId="9" xfId="6" applyFont="1" applyBorder="1"/>
    <xf numFmtId="179" fontId="18" fillId="0" borderId="9" xfId="6" applyNumberFormat="1" applyFont="1" applyBorder="1"/>
    <xf numFmtId="0" fontId="18" fillId="0" borderId="9" xfId="0" applyFont="1" applyBorder="1"/>
    <xf numFmtId="0" fontId="12" fillId="0" borderId="9" xfId="6" applyFont="1" applyBorder="1" applyAlignment="1">
      <alignment horizontal="center"/>
    </xf>
    <xf numFmtId="43" fontId="12" fillId="0" borderId="3" xfId="1" applyFont="1" applyBorder="1"/>
    <xf numFmtId="173" fontId="12" fillId="0" borderId="3" xfId="1" applyNumberFormat="1" applyFont="1" applyBorder="1"/>
    <xf numFmtId="0" fontId="18" fillId="0" borderId="3" xfId="6" applyFont="1" applyBorder="1"/>
    <xf numFmtId="0" fontId="18" fillId="0" borderId="0" xfId="6" applyFont="1"/>
    <xf numFmtId="0" fontId="10" fillId="0" borderId="3" xfId="0" applyFont="1" applyBorder="1" applyAlignment="1">
      <alignment horizontal="center" vertical="center"/>
    </xf>
    <xf numFmtId="0" fontId="11" fillId="0" borderId="1" xfId="0" applyFont="1" applyBorder="1" applyAlignment="1">
      <alignment horizontal="center"/>
    </xf>
    <xf numFmtId="3" fontId="11" fillId="0" borderId="1" xfId="1" applyNumberFormat="1" applyFont="1" applyBorder="1" applyAlignment="1">
      <alignment horizontal="right"/>
    </xf>
    <xf numFmtId="0" fontId="11" fillId="0" borderId="0" xfId="0" applyFont="1" applyAlignment="1"/>
    <xf numFmtId="0" fontId="11" fillId="0" borderId="2" xfId="0" applyFont="1" applyBorder="1" applyAlignment="1">
      <alignment horizontal="center"/>
    </xf>
    <xf numFmtId="3" fontId="11" fillId="0" borderId="2" xfId="1" applyNumberFormat="1" applyFont="1" applyBorder="1" applyAlignment="1">
      <alignment horizontal="right"/>
    </xf>
    <xf numFmtId="0" fontId="11" fillId="0" borderId="2" xfId="0" applyFont="1" applyBorder="1" applyAlignment="1">
      <alignment horizontal="left"/>
    </xf>
    <xf numFmtId="0" fontId="11" fillId="0" borderId="2" xfId="0" applyFont="1" applyBorder="1" applyAlignment="1">
      <alignment horizontal="left" wrapText="1"/>
    </xf>
    <xf numFmtId="0" fontId="11" fillId="0" borderId="9" xfId="0" applyFont="1" applyBorder="1" applyAlignment="1">
      <alignment horizontal="center"/>
    </xf>
    <xf numFmtId="3" fontId="11" fillId="0" borderId="9" xfId="1" applyNumberFormat="1" applyFont="1" applyBorder="1" applyAlignment="1">
      <alignment horizontal="right"/>
    </xf>
    <xf numFmtId="0" fontId="10" fillId="0" borderId="3" xfId="0" applyFont="1" applyBorder="1" applyAlignment="1">
      <alignment horizontal="center"/>
    </xf>
    <xf numFmtId="3" fontId="10" fillId="0" borderId="3" xfId="1" applyNumberFormat="1" applyFont="1" applyBorder="1" applyAlignment="1">
      <alignment horizontal="right"/>
    </xf>
    <xf numFmtId="0" fontId="11" fillId="0" borderId="3" xfId="0" applyFont="1" applyBorder="1" applyAlignment="1"/>
    <xf numFmtId="0" fontId="11" fillId="0" borderId="0" xfId="0" applyFont="1" applyAlignment="1">
      <alignment horizontal="left"/>
    </xf>
    <xf numFmtId="0" fontId="65" fillId="0" borderId="0" xfId="0" applyFont="1" applyAlignment="1">
      <alignment horizontal="center" vertical="center"/>
    </xf>
    <xf numFmtId="0" fontId="18" fillId="0" borderId="0" xfId="0" applyFont="1" applyAlignment="1">
      <alignment horizontal="center" vertical="center"/>
    </xf>
    <xf numFmtId="0" fontId="12" fillId="0" borderId="3" xfId="0" applyFont="1" applyBorder="1" applyAlignment="1">
      <alignment horizontal="center" vertical="center"/>
    </xf>
    <xf numFmtId="0" fontId="18" fillId="0" borderId="1" xfId="0" applyFont="1" applyBorder="1" applyAlignment="1">
      <alignment horizontal="center" vertical="center"/>
    </xf>
    <xf numFmtId="0" fontId="18" fillId="0" borderId="26" xfId="0" applyFont="1" applyBorder="1" applyAlignment="1">
      <alignment horizontal="center" vertical="center"/>
    </xf>
    <xf numFmtId="0" fontId="18" fillId="0" borderId="15" xfId="0" applyFont="1" applyBorder="1" applyAlignment="1">
      <alignment horizontal="center" vertical="center"/>
    </xf>
    <xf numFmtId="0" fontId="34" fillId="0" borderId="3" xfId="0" applyFont="1" applyBorder="1" applyAlignment="1">
      <alignment horizontal="center" vertical="center"/>
    </xf>
    <xf numFmtId="0" fontId="34" fillId="0" borderId="31" xfId="0" applyFont="1" applyBorder="1" applyAlignment="1">
      <alignment vertical="center"/>
    </xf>
    <xf numFmtId="0" fontId="12" fillId="0" borderId="0" xfId="0" applyFont="1" applyBorder="1" applyAlignment="1">
      <alignment horizontal="center" vertical="center"/>
    </xf>
    <xf numFmtId="0" fontId="10" fillId="0" borderId="0"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66" fillId="0" borderId="0" xfId="0" applyFont="1"/>
    <xf numFmtId="0" fontId="42" fillId="0" borderId="33" xfId="0" applyFont="1" applyBorder="1" applyAlignment="1">
      <alignment horizontal="center" vertical="center"/>
    </xf>
    <xf numFmtId="0" fontId="0" fillId="0" borderId="0" xfId="0" applyAlignment="1">
      <alignment vertical="center"/>
    </xf>
    <xf numFmtId="0" fontId="0" fillId="0" borderId="0" xfId="0" applyAlignment="1"/>
    <xf numFmtId="0" fontId="0" fillId="0" borderId="0" xfId="0" applyFont="1" applyAlignment="1"/>
    <xf numFmtId="0" fontId="11" fillId="0" borderId="0" xfId="0" applyFont="1" applyAlignment="1">
      <alignment horizontal="center"/>
    </xf>
    <xf numFmtId="0" fontId="11" fillId="0" borderId="3" xfId="0" applyFont="1" applyBorder="1" applyAlignment="1">
      <alignment horizontal="center"/>
    </xf>
    <xf numFmtId="0" fontId="11" fillId="0" borderId="3" xfId="0" applyFont="1" applyBorder="1"/>
    <xf numFmtId="0" fontId="67" fillId="0" borderId="0" xfId="0" applyFont="1"/>
    <xf numFmtId="0" fontId="18" fillId="0" borderId="0" xfId="10" applyFont="1"/>
    <xf numFmtId="0" fontId="12" fillId="0" borderId="3" xfId="10" applyFont="1" applyBorder="1" applyAlignment="1">
      <alignment horizontal="center" vertical="center" wrapText="1"/>
    </xf>
    <xf numFmtId="0" fontId="50" fillId="0" borderId="0" xfId="0" applyFont="1"/>
    <xf numFmtId="0" fontId="18" fillId="0" borderId="3" xfId="10" applyFont="1" applyBorder="1" applyAlignment="1">
      <alignment horizontal="center" vertical="center" wrapText="1"/>
    </xf>
    <xf numFmtId="0" fontId="18" fillId="0" borderId="4" xfId="10" applyFont="1" applyBorder="1" applyAlignment="1">
      <alignment horizontal="center" vertical="center" wrapText="1"/>
    </xf>
    <xf numFmtId="0" fontId="18" fillId="0" borderId="26" xfId="10" applyFont="1" applyBorder="1"/>
    <xf numFmtId="171" fontId="18" fillId="0" borderId="1" xfId="1" applyNumberFormat="1" applyFont="1" applyBorder="1" applyAlignment="1">
      <alignment horizontal="right"/>
    </xf>
    <xf numFmtId="167" fontId="31" fillId="0" borderId="1" xfId="10" applyNumberFormat="1" applyFont="1" applyBorder="1" applyAlignment="1">
      <alignment horizontal="right"/>
    </xf>
    <xf numFmtId="169" fontId="18" fillId="0" borderId="1" xfId="10" applyNumberFormat="1" applyFont="1" applyBorder="1" applyAlignment="1">
      <alignment horizontal="right"/>
    </xf>
    <xf numFmtId="0" fontId="18" fillId="0" borderId="2" xfId="10" applyFont="1" applyBorder="1"/>
    <xf numFmtId="171" fontId="18" fillId="0" borderId="2" xfId="1" applyNumberFormat="1" applyFont="1" applyBorder="1" applyAlignment="1">
      <alignment horizontal="right"/>
    </xf>
    <xf numFmtId="167" fontId="31" fillId="0" borderId="2" xfId="10" applyNumberFormat="1" applyFont="1" applyBorder="1" applyAlignment="1">
      <alignment horizontal="right"/>
    </xf>
    <xf numFmtId="169" fontId="18" fillId="0" borderId="2" xfId="10" applyNumberFormat="1" applyFont="1" applyBorder="1" applyAlignment="1">
      <alignment horizontal="right"/>
    </xf>
    <xf numFmtId="171" fontId="18" fillId="0" borderId="2" xfId="1" applyNumberFormat="1" applyFont="1" applyBorder="1"/>
    <xf numFmtId="171" fontId="18" fillId="0" borderId="0" xfId="1" applyNumberFormat="1" applyFont="1"/>
    <xf numFmtId="0" fontId="5" fillId="0" borderId="2" xfId="10" applyFont="1" applyBorder="1"/>
    <xf numFmtId="0" fontId="68" fillId="0" borderId="0" xfId="0" applyFont="1"/>
    <xf numFmtId="171" fontId="18" fillId="0" borderId="15" xfId="1" applyNumberFormat="1" applyFont="1" applyBorder="1" applyAlignment="1">
      <alignment horizontal="right"/>
    </xf>
    <xf numFmtId="171" fontId="41" fillId="0" borderId="15" xfId="1" applyNumberFormat="1" applyFont="1" applyBorder="1" applyAlignment="1">
      <alignment horizontal="right"/>
    </xf>
    <xf numFmtId="0" fontId="62" fillId="0" borderId="15" xfId="10" applyFont="1" applyBorder="1"/>
    <xf numFmtId="171" fontId="62" fillId="0" borderId="9" xfId="1" applyNumberFormat="1" applyFont="1" applyBorder="1" applyAlignment="1">
      <alignment horizontal="right"/>
    </xf>
    <xf numFmtId="171" fontId="62" fillId="0" borderId="9" xfId="1" quotePrefix="1" applyNumberFormat="1" applyFont="1" applyBorder="1" applyAlignment="1">
      <alignment horizontal="right"/>
    </xf>
    <xf numFmtId="171" fontId="62" fillId="0" borderId="9" xfId="1" applyNumberFormat="1" applyFont="1" applyBorder="1" applyAlignment="1"/>
    <xf numFmtId="0" fontId="18" fillId="0" borderId="15" xfId="10" applyFont="1" applyBorder="1"/>
    <xf numFmtId="0" fontId="12" fillId="0" borderId="3" xfId="10" applyFont="1" applyBorder="1"/>
    <xf numFmtId="169" fontId="12" fillId="0" borderId="3" xfId="10" applyNumberFormat="1" applyFont="1" applyBorder="1" applyAlignment="1">
      <alignment horizontal="right"/>
    </xf>
    <xf numFmtId="0" fontId="10" fillId="0" borderId="0" xfId="10" applyFont="1" applyBorder="1" applyAlignment="1">
      <alignment horizontal="center"/>
    </xf>
    <xf numFmtId="0" fontId="18" fillId="0" borderId="1" xfId="10" applyFont="1" applyBorder="1"/>
    <xf numFmtId="168" fontId="18" fillId="0" borderId="1" xfId="10" applyNumberFormat="1" applyFont="1" applyBorder="1" applyAlignment="1">
      <alignment horizontal="right"/>
    </xf>
    <xf numFmtId="168" fontId="18" fillId="0" borderId="2" xfId="10" applyNumberFormat="1" applyFont="1" applyBorder="1" applyAlignment="1">
      <alignment horizontal="right"/>
    </xf>
    <xf numFmtId="179" fontId="18" fillId="0" borderId="2" xfId="10" applyNumberFormat="1" applyFont="1" applyBorder="1"/>
    <xf numFmtId="168" fontId="18" fillId="0" borderId="15" xfId="10" applyNumberFormat="1" applyFont="1" applyBorder="1" applyAlignment="1">
      <alignment horizontal="right"/>
    </xf>
    <xf numFmtId="168" fontId="12" fillId="0" borderId="3" xfId="10" applyNumberFormat="1" applyFont="1" applyBorder="1" applyAlignment="1">
      <alignment horizontal="right"/>
    </xf>
    <xf numFmtId="168" fontId="34" fillId="0" borderId="3" xfId="10" applyNumberFormat="1" applyFont="1" applyBorder="1" applyAlignment="1">
      <alignment horizontal="right"/>
    </xf>
    <xf numFmtId="168" fontId="18" fillId="0" borderId="0" xfId="10" applyNumberFormat="1" applyFont="1"/>
    <xf numFmtId="179" fontId="18" fillId="0" borderId="0" xfId="10" applyNumberFormat="1" applyFont="1"/>
    <xf numFmtId="0" fontId="10" fillId="0" borderId="0" xfId="10" applyFont="1"/>
    <xf numFmtId="0" fontId="11" fillId="0" borderId="3" xfId="0" applyFont="1" applyBorder="1" applyAlignment="1">
      <alignment horizontal="right"/>
    </xf>
    <xf numFmtId="39" fontId="10" fillId="0" borderId="3" xfId="1" applyNumberFormat="1" applyFont="1" applyBorder="1" applyAlignment="1">
      <alignment horizontal="right"/>
    </xf>
    <xf numFmtId="0" fontId="12" fillId="0" borderId="0" xfId="10" applyFont="1" applyBorder="1"/>
    <xf numFmtId="168" fontId="12" fillId="0" borderId="0" xfId="10" applyNumberFormat="1" applyFont="1" applyBorder="1" applyAlignment="1">
      <alignment horizontal="right"/>
    </xf>
    <xf numFmtId="168" fontId="34" fillId="0" borderId="0" xfId="10" applyNumberFormat="1" applyFont="1" applyBorder="1" applyAlignment="1">
      <alignment horizontal="right"/>
    </xf>
    <xf numFmtId="166" fontId="54" fillId="0" borderId="4" xfId="8" applyNumberFormat="1" applyFont="1" applyFill="1" applyBorder="1" applyAlignment="1">
      <alignment horizontal="center" vertical="center" wrapText="1"/>
    </xf>
    <xf numFmtId="169" fontId="54" fillId="0" borderId="4" xfId="8" applyNumberFormat="1" applyFont="1" applyFill="1" applyBorder="1" applyAlignment="1">
      <alignment horizontal="left" vertical="center" wrapText="1"/>
    </xf>
    <xf numFmtId="169" fontId="54" fillId="0" borderId="4" xfId="8" applyNumberFormat="1" applyFont="1" applyFill="1" applyBorder="1" applyAlignment="1">
      <alignment horizontal="center" vertical="center" wrapText="1"/>
    </xf>
    <xf numFmtId="3" fontId="54" fillId="0" borderId="4" xfId="8" applyNumberFormat="1" applyFont="1" applyFill="1" applyBorder="1" applyAlignment="1">
      <alignment horizontal="center" vertical="center"/>
    </xf>
    <xf numFmtId="167" fontId="54" fillId="0" borderId="4" xfId="8" applyNumberFormat="1" applyFont="1" applyFill="1" applyBorder="1" applyAlignment="1">
      <alignment horizontal="center" vertical="center"/>
    </xf>
    <xf numFmtId="169" fontId="54" fillId="0" borderId="4" xfId="8" applyNumberFormat="1" applyFont="1" applyFill="1" applyBorder="1" applyAlignment="1">
      <alignment horizontal="center" vertical="center"/>
    </xf>
    <xf numFmtId="167" fontId="54" fillId="0" borderId="4" xfId="8" applyNumberFormat="1" applyFont="1" applyFill="1" applyBorder="1" applyAlignment="1">
      <alignment horizontal="center" vertical="center" wrapText="1"/>
    </xf>
    <xf numFmtId="164" fontId="69" fillId="0" borderId="1" xfId="0" applyNumberFormat="1" applyFont="1" applyFill="1" applyBorder="1" applyAlignment="1">
      <alignment horizontal="right" vertical="center"/>
    </xf>
    <xf numFmtId="3" fontId="53" fillId="0" borderId="1" xfId="8" applyNumberFormat="1" applyFont="1" applyFill="1" applyBorder="1" applyAlignment="1">
      <alignment horizontal="center" vertical="center" wrapText="1"/>
    </xf>
    <xf numFmtId="167" fontId="53" fillId="0" borderId="1" xfId="8" applyNumberFormat="1" applyFont="1" applyFill="1" applyBorder="1" applyAlignment="1">
      <alignment horizontal="center" vertical="center" wrapText="1"/>
    </xf>
    <xf numFmtId="173" fontId="53" fillId="0" borderId="1" xfId="1" applyNumberFormat="1" applyFont="1" applyFill="1" applyBorder="1" applyAlignment="1">
      <alignment horizontal="center" vertical="center" wrapText="1"/>
    </xf>
    <xf numFmtId="166" fontId="53" fillId="0" borderId="1" xfId="8" applyNumberFormat="1" applyFont="1" applyFill="1" applyBorder="1" applyAlignment="1">
      <alignment horizontal="center" vertical="center" wrapText="1"/>
    </xf>
    <xf numFmtId="0" fontId="54" fillId="0" borderId="2" xfId="0" applyFont="1" applyFill="1" applyBorder="1" applyAlignment="1">
      <alignment horizontal="center" vertical="center"/>
    </xf>
    <xf numFmtId="3" fontId="54" fillId="0" borderId="2" xfId="0" applyNumberFormat="1" applyFont="1" applyFill="1" applyBorder="1" applyAlignment="1">
      <alignment horizontal="left" vertical="center"/>
    </xf>
    <xf numFmtId="0" fontId="54" fillId="0" borderId="2" xfId="0" applyFont="1" applyFill="1" applyBorder="1" applyAlignment="1">
      <alignment horizontal="left" vertical="center" wrapText="1"/>
    </xf>
    <xf numFmtId="0" fontId="53" fillId="0" borderId="2" xfId="0" applyFont="1" applyFill="1" applyBorder="1" applyAlignment="1">
      <alignment horizontal="center" vertical="center"/>
    </xf>
    <xf numFmtId="164" fontId="69" fillId="0" borderId="2" xfId="0" applyNumberFormat="1" applyFont="1" applyFill="1" applyBorder="1" applyAlignment="1">
      <alignment horizontal="right" vertical="center"/>
    </xf>
    <xf numFmtId="3" fontId="53" fillId="0" borderId="26" xfId="8" applyNumberFormat="1" applyFont="1" applyFill="1" applyBorder="1" applyAlignment="1">
      <alignment horizontal="center" vertical="center" wrapText="1"/>
    </xf>
    <xf numFmtId="167" fontId="53" fillId="0" borderId="26" xfId="8" applyNumberFormat="1" applyFont="1" applyFill="1" applyBorder="1" applyAlignment="1">
      <alignment horizontal="center" vertical="center" wrapText="1"/>
    </xf>
    <xf numFmtId="173" fontId="53" fillId="0" borderId="26" xfId="1" applyNumberFormat="1" applyFont="1" applyFill="1" applyBorder="1" applyAlignment="1">
      <alignment horizontal="center" vertical="center" wrapText="1"/>
    </xf>
    <xf numFmtId="166" fontId="53" fillId="0" borderId="26" xfId="8" applyNumberFormat="1" applyFont="1" applyFill="1" applyBorder="1" applyAlignment="1">
      <alignment horizontal="center" vertical="center" wrapText="1"/>
    </xf>
    <xf numFmtId="3" fontId="53" fillId="0" borderId="2" xfId="8" applyNumberFormat="1" applyFont="1" applyFill="1" applyBorder="1" applyAlignment="1">
      <alignment horizontal="right" vertical="center" wrapText="1"/>
    </xf>
    <xf numFmtId="3" fontId="70" fillId="0" borderId="2" xfId="8" applyNumberFormat="1" applyFont="1" applyFill="1" applyBorder="1" applyAlignment="1">
      <alignment horizontal="right" vertical="center" wrapText="1"/>
    </xf>
    <xf numFmtId="3" fontId="70" fillId="0" borderId="2" xfId="0" applyNumberFormat="1" applyFont="1" applyFill="1" applyBorder="1" applyAlignment="1">
      <alignment vertical="center"/>
    </xf>
    <xf numFmtId="3" fontId="53" fillId="0" borderId="2" xfId="0" applyNumberFormat="1" applyFont="1" applyFill="1" applyBorder="1" applyAlignment="1">
      <alignment horizontal="left" vertical="center"/>
    </xf>
    <xf numFmtId="0" fontId="53" fillId="0" borderId="2" xfId="0" applyFont="1" applyFill="1" applyBorder="1" applyAlignment="1">
      <alignment horizontal="left" vertical="center" wrapText="1"/>
    </xf>
    <xf numFmtId="0" fontId="53" fillId="0" borderId="2" xfId="0" applyFont="1" applyFill="1" applyBorder="1" applyAlignment="1">
      <alignment horizontal="left" vertical="center"/>
    </xf>
    <xf numFmtId="0" fontId="53" fillId="0" borderId="2" xfId="0" applyFont="1" applyFill="1" applyBorder="1" applyAlignment="1">
      <alignment horizontal="right" vertical="center"/>
    </xf>
    <xf numFmtId="0" fontId="53" fillId="0" borderId="9" xfId="0" applyFont="1" applyFill="1" applyBorder="1" applyAlignment="1">
      <alignment horizontal="center" vertical="center"/>
    </xf>
    <xf numFmtId="3" fontId="53" fillId="0" borderId="9" xfId="0" applyNumberFormat="1" applyFont="1" applyFill="1" applyBorder="1" applyAlignment="1">
      <alignment horizontal="left" vertical="center"/>
    </xf>
    <xf numFmtId="0" fontId="53" fillId="0" borderId="9" xfId="0" applyFont="1" applyFill="1" applyBorder="1" applyAlignment="1">
      <alignment horizontal="left" vertical="center" wrapText="1"/>
    </xf>
    <xf numFmtId="164" fontId="69" fillId="0" borderId="9" xfId="0" applyNumberFormat="1" applyFont="1" applyFill="1" applyBorder="1" applyAlignment="1">
      <alignment horizontal="right" vertical="center"/>
    </xf>
    <xf numFmtId="3" fontId="53" fillId="0" borderId="9" xfId="8" applyNumberFormat="1" applyFont="1" applyFill="1" applyBorder="1" applyAlignment="1">
      <alignment horizontal="right" vertical="center" wrapText="1"/>
    </xf>
    <xf numFmtId="3" fontId="70" fillId="0" borderId="9" xfId="8" applyNumberFormat="1" applyFont="1" applyFill="1" applyBorder="1" applyAlignment="1">
      <alignment horizontal="right" vertical="center" wrapText="1"/>
    </xf>
    <xf numFmtId="3" fontId="70" fillId="0" borderId="9" xfId="0" applyNumberFormat="1" applyFont="1" applyFill="1" applyBorder="1" applyAlignment="1">
      <alignment vertical="center"/>
    </xf>
    <xf numFmtId="0" fontId="54" fillId="0" borderId="26" xfId="0" applyFont="1" applyFill="1" applyBorder="1" applyAlignment="1">
      <alignment horizontal="center" vertical="center"/>
    </xf>
    <xf numFmtId="3" fontId="54" fillId="0" borderId="26" xfId="0" applyNumberFormat="1" applyFont="1" applyFill="1" applyBorder="1" applyAlignment="1">
      <alignment horizontal="left" vertical="center"/>
    </xf>
    <xf numFmtId="0" fontId="54" fillId="0" borderId="26" xfId="0" applyFont="1" applyFill="1" applyBorder="1" applyAlignment="1">
      <alignment horizontal="left" vertical="center" wrapText="1"/>
    </xf>
    <xf numFmtId="0" fontId="53" fillId="0" borderId="26" xfId="0" applyFont="1" applyFill="1" applyBorder="1" applyAlignment="1">
      <alignment horizontal="center" vertical="center"/>
    </xf>
    <xf numFmtId="164" fontId="69" fillId="0" borderId="26" xfId="0" applyNumberFormat="1" applyFont="1" applyFill="1" applyBorder="1" applyAlignment="1">
      <alignment horizontal="right" vertical="center"/>
    </xf>
    <xf numFmtId="164" fontId="71" fillId="0" borderId="26" xfId="0" applyNumberFormat="1" applyFont="1" applyFill="1" applyBorder="1" applyAlignment="1">
      <alignment horizontal="right" vertical="center"/>
    </xf>
    <xf numFmtId="3" fontId="54" fillId="0" borderId="26" xfId="8" applyNumberFormat="1" applyFont="1" applyFill="1" applyBorder="1" applyAlignment="1">
      <alignment horizontal="right" vertical="center" wrapText="1"/>
    </xf>
    <xf numFmtId="0" fontId="31" fillId="0" borderId="45" xfId="10" applyFont="1" applyBorder="1" applyAlignment="1"/>
    <xf numFmtId="0" fontId="53" fillId="0" borderId="0" xfId="0" applyFont="1" applyFill="1" applyBorder="1" applyAlignment="1">
      <alignment horizontal="center" vertical="center"/>
    </xf>
    <xf numFmtId="3"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wrapText="1"/>
    </xf>
    <xf numFmtId="164" fontId="69" fillId="0" borderId="0" xfId="0" applyNumberFormat="1" applyFont="1" applyFill="1" applyBorder="1" applyAlignment="1">
      <alignment horizontal="right" vertical="center"/>
    </xf>
    <xf numFmtId="3" fontId="53" fillId="0" borderId="0" xfId="8" applyNumberFormat="1" applyFont="1" applyFill="1" applyBorder="1" applyAlignment="1">
      <alignment horizontal="right" vertical="center" wrapText="1"/>
    </xf>
    <xf numFmtId="3" fontId="70" fillId="0" borderId="0" xfId="8" applyNumberFormat="1" applyFont="1" applyFill="1" applyBorder="1" applyAlignment="1">
      <alignment horizontal="right" vertical="center" wrapText="1"/>
    </xf>
    <xf numFmtId="3" fontId="70" fillId="0" borderId="0" xfId="0" applyNumberFormat="1" applyFont="1" applyFill="1" applyBorder="1" applyAlignment="1">
      <alignment vertical="center"/>
    </xf>
    <xf numFmtId="0" fontId="31" fillId="0" borderId="0" xfId="10" applyFont="1" applyBorder="1" applyAlignment="1"/>
    <xf numFmtId="0" fontId="4" fillId="0" borderId="9" xfId="0" applyFont="1" applyFill="1" applyBorder="1" applyAlignment="1">
      <alignment horizontal="center" vertical="center"/>
    </xf>
    <xf numFmtId="0" fontId="18" fillId="0" borderId="0" xfId="0" applyFont="1" applyFill="1" applyBorder="1" applyAlignment="1">
      <alignment horizontal="center"/>
    </xf>
    <xf numFmtId="167" fontId="18" fillId="0" borderId="0" xfId="0" applyNumberFormat="1" applyFont="1" applyFill="1" applyBorder="1" applyAlignment="1"/>
    <xf numFmtId="167" fontId="18" fillId="0" borderId="0" xfId="1" applyNumberFormat="1" applyFont="1" applyFill="1" applyBorder="1" applyAlignment="1"/>
    <xf numFmtId="0" fontId="18" fillId="0" borderId="0" xfId="0" applyFont="1" applyFill="1" applyBorder="1" applyAlignment="1">
      <alignment horizontal="left"/>
    </xf>
    <xf numFmtId="167" fontId="18" fillId="0" borderId="0" xfId="0" applyNumberFormat="1" applyFont="1" applyFill="1" applyBorder="1" applyAlignment="1">
      <alignment horizontal="right" vertical="center"/>
    </xf>
    <xf numFmtId="167" fontId="18" fillId="0" borderId="0" xfId="1" applyNumberFormat="1" applyFont="1" applyFill="1" applyBorder="1" applyAlignment="1">
      <alignment horizontal="right" vertical="center"/>
    </xf>
    <xf numFmtId="0" fontId="7" fillId="0" borderId="0" xfId="0" applyFont="1" applyFill="1" applyAlignment="1">
      <alignment horizontal="right" vertical="center"/>
    </xf>
    <xf numFmtId="0" fontId="31" fillId="0" borderId="0" xfId="0" applyFont="1" applyFill="1" applyAlignment="1">
      <alignment horizontal="center" vertical="center"/>
    </xf>
    <xf numFmtId="2" fontId="12" fillId="0" borderId="0" xfId="0" applyNumberFormat="1" applyFont="1" applyFill="1" applyAlignment="1">
      <alignment horizontal="center" vertical="top"/>
    </xf>
    <xf numFmtId="0" fontId="10" fillId="0" borderId="0" xfId="10" applyFont="1" applyAlignment="1"/>
    <xf numFmtId="2" fontId="12" fillId="0" borderId="0" xfId="0" applyNumberFormat="1" applyFont="1" applyFill="1" applyAlignment="1">
      <alignment vertical="top"/>
    </xf>
    <xf numFmtId="3" fontId="83" fillId="0" borderId="3" xfId="1" applyNumberFormat="1" applyFont="1" applyFill="1" applyBorder="1" applyAlignment="1">
      <alignment horizontal="right" vertical="center"/>
    </xf>
    <xf numFmtId="0" fontId="72" fillId="0" borderId="0" xfId="5"/>
    <xf numFmtId="0" fontId="18" fillId="0" borderId="0" xfId="5" applyFont="1"/>
    <xf numFmtId="171" fontId="19" fillId="0" borderId="0" xfId="3" applyNumberFormat="1" applyFont="1"/>
    <xf numFmtId="0" fontId="18" fillId="0" borderId="2" xfId="5" applyFont="1" applyBorder="1" applyAlignment="1">
      <alignment horizontal="center"/>
    </xf>
    <xf numFmtId="171" fontId="18" fillId="0" borderId="0" xfId="5" applyNumberFormat="1" applyFont="1"/>
    <xf numFmtId="0" fontId="18" fillId="0" borderId="2" xfId="5" applyFont="1" applyBorder="1"/>
    <xf numFmtId="0" fontId="18" fillId="0" borderId="0" xfId="5" applyFont="1" applyAlignment="1">
      <alignment horizontal="right"/>
    </xf>
    <xf numFmtId="171" fontId="18" fillId="0" borderId="0" xfId="3" applyNumberFormat="1" applyFont="1"/>
    <xf numFmtId="0" fontId="18" fillId="0" borderId="9" xfId="5" applyFont="1" applyBorder="1" applyAlignment="1">
      <alignment horizontal="center"/>
    </xf>
    <xf numFmtId="0" fontId="18" fillId="0" borderId="2" xfId="7" quotePrefix="1" applyFont="1" applyBorder="1" applyAlignment="1">
      <alignment horizontal="right" vertical="center"/>
    </xf>
    <xf numFmtId="0" fontId="18" fillId="0" borderId="2" xfId="7" applyFont="1" applyBorder="1" applyAlignment="1">
      <alignment horizontal="left" vertical="center"/>
    </xf>
    <xf numFmtId="171" fontId="18" fillId="0" borderId="2" xfId="3" applyNumberFormat="1" applyFont="1" applyBorder="1"/>
    <xf numFmtId="0" fontId="18" fillId="0" borderId="0" xfId="7" applyFont="1" applyBorder="1" applyAlignment="1">
      <alignment horizontal="left" vertical="center"/>
    </xf>
    <xf numFmtId="0" fontId="18" fillId="0" borderId="9" xfId="7" quotePrefix="1" applyFont="1" applyBorder="1" applyAlignment="1">
      <alignment horizontal="right" vertical="center"/>
    </xf>
    <xf numFmtId="0" fontId="18" fillId="0" borderId="9" xfId="7" applyFont="1" applyBorder="1" applyAlignment="1">
      <alignment horizontal="left" vertical="center"/>
    </xf>
    <xf numFmtId="171" fontId="18" fillId="0" borderId="9" xfId="3" applyNumberFormat="1" applyFont="1" applyBorder="1"/>
    <xf numFmtId="43" fontId="84" fillId="0" borderId="2" xfId="3" applyFont="1" applyBorder="1" applyAlignment="1">
      <alignment horizontal="right" vertical="center"/>
    </xf>
    <xf numFmtId="43" fontId="84" fillId="0" borderId="9" xfId="3" applyFont="1" applyBorder="1" applyAlignment="1">
      <alignment horizontal="right" vertical="center"/>
    </xf>
    <xf numFmtId="43" fontId="84" fillId="0" borderId="2" xfId="3" applyFont="1" applyBorder="1"/>
    <xf numFmtId="171" fontId="85" fillId="0" borderId="2" xfId="3" applyNumberFormat="1" applyFont="1" applyBorder="1"/>
    <xf numFmtId="171" fontId="85" fillId="0" borderId="9" xfId="3" applyNumberFormat="1" applyFont="1" applyBorder="1"/>
    <xf numFmtId="0" fontId="86" fillId="0" borderId="26" xfId="5" applyFont="1" applyBorder="1"/>
    <xf numFmtId="43" fontId="86" fillId="0" borderId="26" xfId="3" applyFont="1" applyBorder="1"/>
    <xf numFmtId="0" fontId="18" fillId="0" borderId="9" xfId="5" applyFont="1" applyBorder="1"/>
    <xf numFmtId="43" fontId="84" fillId="0" borderId="9" xfId="3" applyFont="1" applyBorder="1"/>
    <xf numFmtId="0" fontId="30" fillId="0" borderId="0" xfId="5" applyFont="1" applyAlignment="1">
      <alignment vertical="center"/>
    </xf>
    <xf numFmtId="171" fontId="30" fillId="0" borderId="0" xfId="3" applyNumberFormat="1" applyFont="1" applyAlignment="1">
      <alignment vertical="center"/>
    </xf>
    <xf numFmtId="0" fontId="86" fillId="0" borderId="0" xfId="5" applyFont="1"/>
    <xf numFmtId="171" fontId="86" fillId="0" borderId="0" xfId="3" applyNumberFormat="1" applyFont="1"/>
    <xf numFmtId="0" fontId="86" fillId="0" borderId="0" xfId="7" applyFont="1" applyBorder="1" applyAlignment="1">
      <alignment horizontal="left" vertical="center"/>
    </xf>
    <xf numFmtId="171" fontId="86" fillId="0" borderId="0" xfId="5" applyNumberFormat="1" applyFont="1"/>
    <xf numFmtId="171" fontId="86" fillId="0" borderId="26" xfId="3" applyNumberFormat="1" applyFont="1" applyBorder="1"/>
    <xf numFmtId="1" fontId="18" fillId="0" borderId="9" xfId="5" applyNumberFormat="1" applyFont="1" applyBorder="1"/>
    <xf numFmtId="0" fontId="18" fillId="0" borderId="2" xfId="5" quotePrefix="1" applyFont="1" applyBorder="1" applyAlignment="1">
      <alignment horizontal="right"/>
    </xf>
    <xf numFmtId="1" fontId="18" fillId="0" borderId="2" xfId="5" applyNumberFormat="1" applyFont="1" applyBorder="1"/>
    <xf numFmtId="171" fontId="86" fillId="0" borderId="26" xfId="3" applyNumberFormat="1" applyFont="1" applyBorder="1" applyAlignment="1">
      <alignment horizontal="center"/>
    </xf>
    <xf numFmtId="0" fontId="86" fillId="0" borderId="26" xfId="5" applyFont="1" applyBorder="1" applyAlignment="1">
      <alignment horizontal="center"/>
    </xf>
    <xf numFmtId="0" fontId="86" fillId="0" borderId="26" xfId="5" applyFont="1" applyBorder="1" applyAlignment="1">
      <alignment horizontal="left"/>
    </xf>
    <xf numFmtId="43" fontId="87" fillId="0" borderId="26" xfId="3" applyFont="1" applyBorder="1"/>
    <xf numFmtId="0" fontId="18" fillId="0" borderId="9" xfId="5" quotePrefix="1" applyFont="1" applyBorder="1" applyAlignment="1">
      <alignment horizontal="right"/>
    </xf>
    <xf numFmtId="0" fontId="18" fillId="0" borderId="15" xfId="5" quotePrefix="1" applyFont="1" applyBorder="1" applyAlignment="1">
      <alignment horizontal="right"/>
    </xf>
    <xf numFmtId="1" fontId="18" fillId="0" borderId="15" xfId="5" applyNumberFormat="1" applyFont="1" applyBorder="1"/>
    <xf numFmtId="0" fontId="18" fillId="0" borderId="15" xfId="5" applyFont="1" applyBorder="1" applyAlignment="1">
      <alignment horizontal="center"/>
    </xf>
    <xf numFmtId="43" fontId="84" fillId="0" borderId="15" xfId="3" applyFont="1" applyBorder="1"/>
    <xf numFmtId="171" fontId="85" fillId="0" borderId="15" xfId="3" applyNumberFormat="1" applyFont="1" applyBorder="1"/>
    <xf numFmtId="171" fontId="18" fillId="0" borderId="15" xfId="3" applyNumberFormat="1" applyFont="1" applyBorder="1"/>
    <xf numFmtId="171" fontId="86" fillId="0" borderId="3" xfId="3" applyNumberFormat="1" applyFont="1" applyBorder="1"/>
    <xf numFmtId="0" fontId="74" fillId="0" borderId="3" xfId="5" applyFont="1" applyBorder="1" applyAlignment="1">
      <alignment horizontal="center" vertical="center"/>
    </xf>
    <xf numFmtId="43" fontId="88" fillId="0" borderId="3" xfId="3" applyFont="1" applyBorder="1" applyAlignment="1">
      <alignment horizontal="center" vertical="center"/>
    </xf>
    <xf numFmtId="0" fontId="18" fillId="0" borderId="0" xfId="5" applyFont="1" applyAlignment="1">
      <alignment vertical="center"/>
    </xf>
    <xf numFmtId="171" fontId="19" fillId="0" borderId="0" xfId="3" applyNumberFormat="1" applyFont="1" applyAlignment="1">
      <alignment vertical="center"/>
    </xf>
    <xf numFmtId="171" fontId="86" fillId="0" borderId="3" xfId="3" applyNumberFormat="1" applyFont="1" applyBorder="1" applyAlignment="1">
      <alignment horizontal="center" vertical="center" wrapText="1"/>
    </xf>
    <xf numFmtId="174" fontId="18" fillId="0" borderId="0" xfId="5" applyNumberFormat="1" applyFont="1"/>
    <xf numFmtId="171" fontId="88" fillId="0" borderId="26" xfId="5" applyNumberFormat="1" applyFont="1" applyBorder="1" applyAlignment="1">
      <alignment horizontal="center"/>
    </xf>
    <xf numFmtId="171" fontId="88" fillId="0" borderId="26" xfId="5" applyNumberFormat="1" applyFont="1" applyBorder="1"/>
    <xf numFmtId="0" fontId="86" fillId="0" borderId="1" xfId="5" applyFont="1" applyBorder="1" applyAlignment="1">
      <alignment horizontal="center"/>
    </xf>
    <xf numFmtId="0" fontId="86" fillId="0" borderId="1" xfId="5" applyFont="1" applyBorder="1"/>
    <xf numFmtId="43" fontId="86" fillId="0" borderId="1" xfId="3" applyFont="1" applyBorder="1"/>
    <xf numFmtId="171" fontId="86" fillId="0" borderId="1" xfId="3" applyNumberFormat="1" applyFont="1" applyBorder="1"/>
    <xf numFmtId="1" fontId="18" fillId="0" borderId="2" xfId="5" applyNumberFormat="1" applyFont="1" applyBorder="1" applyAlignment="1">
      <alignment horizontal="center"/>
    </xf>
    <xf numFmtId="1" fontId="18" fillId="0" borderId="9" xfId="5" applyNumberFormat="1" applyFont="1" applyBorder="1" applyAlignment="1">
      <alignment horizontal="center"/>
    </xf>
    <xf numFmtId="171" fontId="88" fillId="0" borderId="1" xfId="5" applyNumberFormat="1" applyFont="1" applyBorder="1"/>
    <xf numFmtId="0" fontId="5" fillId="0" borderId="33" xfId="0" applyFont="1" applyBorder="1" applyAlignment="1">
      <alignment horizontal="center"/>
    </xf>
    <xf numFmtId="0" fontId="75" fillId="0" borderId="0" xfId="0" applyFont="1"/>
    <xf numFmtId="0" fontId="13" fillId="0" borderId="0" xfId="6" applyFont="1" applyBorder="1" applyAlignment="1"/>
    <xf numFmtId="0" fontId="5" fillId="0" borderId="0" xfId="0" applyFont="1" applyAlignment="1">
      <alignment horizontal="center"/>
    </xf>
    <xf numFmtId="166" fontId="13" fillId="0" borderId="3" xfId="0" applyNumberFormat="1" applyFont="1" applyFill="1" applyBorder="1" applyAlignment="1">
      <alignment horizontal="center" vertical="center" wrapText="1"/>
    </xf>
    <xf numFmtId="166" fontId="13" fillId="0" borderId="1" xfId="0" applyNumberFormat="1" applyFont="1" applyFill="1" applyBorder="1" applyAlignment="1">
      <alignment horizontal="center" vertical="center" wrapText="1"/>
    </xf>
    <xf numFmtId="166" fontId="13" fillId="0" borderId="2" xfId="0" applyNumberFormat="1" applyFont="1" applyFill="1" applyBorder="1" applyAlignment="1">
      <alignment horizontal="center" vertical="center" wrapText="1"/>
    </xf>
    <xf numFmtId="166" fontId="7" fillId="0" borderId="2" xfId="0" applyNumberFormat="1" applyFont="1" applyFill="1" applyBorder="1" applyAlignment="1">
      <alignment vertical="center"/>
    </xf>
    <xf numFmtId="166" fontId="5" fillId="0" borderId="2" xfId="0" applyNumberFormat="1" applyFont="1" applyFill="1" applyBorder="1" applyAlignment="1">
      <alignment vertical="center"/>
    </xf>
    <xf numFmtId="166" fontId="7" fillId="0" borderId="9" xfId="0" applyNumberFormat="1" applyFont="1" applyFill="1" applyBorder="1" applyAlignment="1">
      <alignment vertical="center"/>
    </xf>
    <xf numFmtId="166" fontId="7" fillId="0" borderId="26" xfId="0" applyNumberFormat="1" applyFont="1" applyFill="1" applyBorder="1" applyAlignment="1">
      <alignment vertical="center"/>
    </xf>
    <xf numFmtId="166" fontId="10" fillId="0" borderId="0" xfId="10" applyNumberFormat="1" applyFont="1"/>
    <xf numFmtId="166" fontId="5" fillId="0" borderId="0" xfId="0" applyNumberFormat="1" applyFont="1" applyFill="1" applyAlignment="1">
      <alignment horizontal="right" vertical="center"/>
    </xf>
    <xf numFmtId="166" fontId="83" fillId="0" borderId="3" xfId="8" applyNumberFormat="1" applyFont="1" applyFill="1" applyBorder="1" applyAlignment="1">
      <alignment horizontal="right" vertical="center" wrapText="1"/>
    </xf>
    <xf numFmtId="0" fontId="4" fillId="0" borderId="0" xfId="0" applyFont="1" applyFill="1" applyBorder="1" applyAlignment="1">
      <alignment horizontal="left" vertical="center"/>
    </xf>
    <xf numFmtId="0" fontId="3" fillId="0" borderId="0" xfId="0"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0" fontId="7" fillId="0" borderId="0" xfId="0" applyFont="1" applyFill="1" applyBorder="1" applyAlignment="1">
      <alignment horizontal="centerContinuous" vertical="center"/>
    </xf>
    <xf numFmtId="175" fontId="7" fillId="0" borderId="0" xfId="0" applyNumberFormat="1" applyFont="1" applyFill="1" applyBorder="1" applyAlignment="1">
      <alignment vertical="center"/>
    </xf>
    <xf numFmtId="166" fontId="7" fillId="0" borderId="0" xfId="0" applyNumberFormat="1" applyFont="1" applyFill="1" applyBorder="1" applyAlignment="1">
      <alignment vertical="center"/>
    </xf>
    <xf numFmtId="166" fontId="7" fillId="0" borderId="0" xfId="0" applyNumberFormat="1" applyFont="1" applyFill="1" applyBorder="1" applyAlignment="1">
      <alignment horizontal="right" vertical="center" wrapText="1"/>
    </xf>
    <xf numFmtId="4" fontId="76" fillId="5" borderId="3" xfId="0" applyNumberFormat="1" applyFont="1" applyFill="1" applyBorder="1" applyAlignment="1">
      <alignment vertical="center"/>
    </xf>
    <xf numFmtId="4" fontId="76" fillId="5" borderId="31" xfId="0" applyNumberFormat="1" applyFont="1" applyFill="1" applyBorder="1" applyAlignment="1">
      <alignment vertical="center"/>
    </xf>
    <xf numFmtId="0" fontId="76" fillId="5" borderId="31" xfId="0" applyFont="1" applyFill="1" applyBorder="1" applyAlignment="1">
      <alignment vertical="center"/>
    </xf>
    <xf numFmtId="4" fontId="76" fillId="5" borderId="3" xfId="6" applyNumberFormat="1" applyFont="1" applyFill="1" applyBorder="1" applyAlignment="1">
      <alignment horizontal="right"/>
    </xf>
    <xf numFmtId="4" fontId="76" fillId="5" borderId="3" xfId="0" applyNumberFormat="1" applyFont="1" applyFill="1" applyBorder="1" applyAlignment="1">
      <alignment horizontal="right" vertical="center"/>
    </xf>
    <xf numFmtId="43" fontId="76" fillId="5" borderId="3" xfId="1" applyFont="1" applyFill="1" applyBorder="1" applyAlignment="1">
      <alignment horizontal="right" vertical="center"/>
    </xf>
    <xf numFmtId="178" fontId="76" fillId="5" borderId="3" xfId="1" applyNumberFormat="1" applyFont="1" applyFill="1" applyBorder="1" applyAlignment="1">
      <alignment horizontal="right" vertical="center"/>
    </xf>
    <xf numFmtId="4" fontId="76" fillId="5" borderId="3" xfId="6" applyNumberFormat="1" applyFont="1" applyFill="1" applyBorder="1" applyAlignment="1">
      <alignment horizontal="right" vertical="center"/>
    </xf>
    <xf numFmtId="2" fontId="76" fillId="5" borderId="3" xfId="6" applyNumberFormat="1" applyFont="1" applyFill="1" applyBorder="1" applyAlignment="1">
      <alignment horizontal="right" vertical="center"/>
    </xf>
    <xf numFmtId="1" fontId="76" fillId="5" borderId="3" xfId="6" applyNumberFormat="1" applyFont="1" applyFill="1" applyBorder="1" applyAlignment="1">
      <alignment horizontal="right" vertical="center"/>
    </xf>
    <xf numFmtId="178" fontId="15" fillId="5" borderId="3" xfId="1" applyNumberFormat="1" applyFont="1" applyFill="1" applyBorder="1" applyAlignment="1">
      <alignment horizontal="right" vertical="center"/>
    </xf>
    <xf numFmtId="3" fontId="76" fillId="5" borderId="3" xfId="6" applyNumberFormat="1" applyFont="1" applyFill="1" applyBorder="1" applyAlignment="1">
      <alignment horizontal="right" vertical="center"/>
    </xf>
    <xf numFmtId="165" fontId="76" fillId="5" borderId="3" xfId="6" applyNumberFormat="1" applyFont="1" applyFill="1" applyBorder="1" applyAlignment="1">
      <alignment horizontal="right"/>
    </xf>
    <xf numFmtId="4" fontId="76" fillId="5" borderId="4" xfId="6" applyNumberFormat="1" applyFont="1" applyFill="1" applyBorder="1" applyAlignment="1">
      <alignment horizontal="right"/>
    </xf>
    <xf numFmtId="0" fontId="15" fillId="5" borderId="4" xfId="6" applyFont="1" applyFill="1" applyBorder="1" applyAlignment="1">
      <alignment horizontal="center"/>
    </xf>
    <xf numFmtId="4" fontId="16" fillId="0" borderId="3" xfId="0" applyNumberFormat="1" applyFont="1" applyBorder="1" applyAlignment="1">
      <alignment horizontal="right" vertical="center"/>
    </xf>
    <xf numFmtId="4" fontId="16" fillId="0" borderId="3" xfId="6" applyNumberFormat="1" applyFont="1" applyBorder="1" applyAlignment="1">
      <alignment horizontal="right"/>
    </xf>
    <xf numFmtId="0" fontId="16" fillId="0" borderId="3" xfId="0" applyFont="1" applyBorder="1" applyAlignment="1">
      <alignment horizontal="right" vertical="center"/>
    </xf>
    <xf numFmtId="0" fontId="16" fillId="0" borderId="3" xfId="0" applyFont="1" applyBorder="1" applyAlignment="1">
      <alignment horizontal="right" vertical="center" wrapText="1"/>
    </xf>
    <xf numFmtId="0" fontId="77" fillId="0" borderId="3" xfId="6" applyFont="1" applyBorder="1" applyAlignment="1">
      <alignment horizontal="right"/>
    </xf>
    <xf numFmtId="4" fontId="16" fillId="0" borderId="3" xfId="0" applyNumberFormat="1" applyFont="1" applyBorder="1" applyAlignment="1">
      <alignment horizontal="right"/>
    </xf>
    <xf numFmtId="0" fontId="16" fillId="0" borderId="3" xfId="0" applyFont="1" applyBorder="1" applyAlignment="1">
      <alignment horizontal="right"/>
    </xf>
    <xf numFmtId="43" fontId="16" fillId="0" borderId="3" xfId="1" applyNumberFormat="1" applyFont="1" applyBorder="1" applyAlignment="1">
      <alignment horizontal="right" vertical="center" wrapText="1"/>
    </xf>
    <xf numFmtId="2" fontId="16" fillId="0" borderId="3" xfId="0" applyNumberFormat="1" applyFont="1" applyBorder="1" applyAlignment="1">
      <alignment horizontal="right" vertical="center" wrapText="1"/>
    </xf>
    <xf numFmtId="43" fontId="16" fillId="0" borderId="3" xfId="1" applyFont="1" applyBorder="1" applyAlignment="1">
      <alignment horizontal="right" vertical="center"/>
    </xf>
    <xf numFmtId="2" fontId="16" fillId="0" borderId="3" xfId="0" applyNumberFormat="1" applyFont="1" applyBorder="1" applyAlignment="1">
      <alignment horizontal="right"/>
    </xf>
    <xf numFmtId="43" fontId="16" fillId="0" borderId="3" xfId="1" applyFont="1" applyBorder="1" applyAlignment="1">
      <alignment horizontal="right" vertical="center" wrapText="1"/>
    </xf>
    <xf numFmtId="4" fontId="16" fillId="0" borderId="3" xfId="1" applyNumberFormat="1" applyFont="1" applyBorder="1" applyAlignment="1">
      <alignment horizontal="right" vertical="center"/>
    </xf>
    <xf numFmtId="4" fontId="16" fillId="0" borderId="3" xfId="1" quotePrefix="1" applyNumberFormat="1" applyFont="1" applyBorder="1" applyAlignment="1">
      <alignment horizontal="right" vertical="center"/>
    </xf>
    <xf numFmtId="4" fontId="16" fillId="0" borderId="3" xfId="1" applyNumberFormat="1" applyFont="1" applyFill="1" applyBorder="1" applyAlignment="1">
      <alignment horizontal="right" vertical="center"/>
    </xf>
    <xf numFmtId="0" fontId="16" fillId="0" borderId="3" xfId="6" applyFont="1" applyBorder="1" applyAlignment="1">
      <alignment horizontal="center"/>
    </xf>
    <xf numFmtId="0" fontId="5" fillId="0" borderId="33" xfId="0" applyFont="1" applyBorder="1" applyAlignment="1">
      <alignment horizontal="left"/>
    </xf>
    <xf numFmtId="0" fontId="16" fillId="0" borderId="3" xfId="6" applyFont="1" applyBorder="1" applyAlignment="1">
      <alignment horizontal="left"/>
    </xf>
    <xf numFmtId="0" fontId="16" fillId="0" borderId="3" xfId="0" applyFont="1" applyBorder="1" applyAlignment="1">
      <alignment horizontal="left" vertical="center" wrapText="1"/>
    </xf>
    <xf numFmtId="0" fontId="78" fillId="0" borderId="3" xfId="6" applyFont="1" applyBorder="1" applyAlignment="1">
      <alignment horizontal="left"/>
    </xf>
    <xf numFmtId="0" fontId="16" fillId="0" borderId="3" xfId="6" applyFont="1" applyBorder="1" applyAlignment="1">
      <alignment horizontal="left" vertical="center"/>
    </xf>
    <xf numFmtId="0" fontId="78" fillId="0" borderId="3" xfId="6" applyFont="1" applyBorder="1" applyAlignment="1">
      <alignment horizontal="left" vertical="center"/>
    </xf>
    <xf numFmtId="0" fontId="15" fillId="5" borderId="3" xfId="6" applyFont="1" applyFill="1" applyBorder="1" applyAlignment="1">
      <alignment horizontal="right"/>
    </xf>
    <xf numFmtId="0" fontId="15" fillId="5" borderId="3" xfId="0" applyFont="1" applyFill="1" applyBorder="1" applyAlignment="1">
      <alignment horizontal="right" vertical="center"/>
    </xf>
    <xf numFmtId="0" fontId="13" fillId="0" borderId="0" xfId="0" applyFont="1"/>
    <xf numFmtId="0" fontId="76" fillId="5" borderId="3" xfId="0" applyFont="1" applyFill="1" applyBorder="1" applyAlignment="1">
      <alignment horizontal="right" vertical="center"/>
    </xf>
    <xf numFmtId="0" fontId="15" fillId="5" borderId="3" xfId="6" applyFont="1" applyFill="1" applyBorder="1" applyAlignment="1">
      <alignment horizontal="right" vertical="center"/>
    </xf>
    <xf numFmtId="43" fontId="79" fillId="5" borderId="3" xfId="1" applyFont="1" applyFill="1" applyBorder="1" applyAlignment="1">
      <alignment horizontal="right" vertical="center"/>
    </xf>
    <xf numFmtId="178" fontId="79" fillId="5" borderId="3" xfId="1" applyNumberFormat="1" applyFont="1" applyFill="1" applyBorder="1" applyAlignment="1">
      <alignment horizontal="right" vertical="center"/>
    </xf>
    <xf numFmtId="0" fontId="76" fillId="5" borderId="3" xfId="6" applyFont="1" applyFill="1" applyBorder="1" applyAlignment="1">
      <alignment horizontal="right" vertical="center"/>
    </xf>
    <xf numFmtId="165" fontId="76" fillId="5" borderId="3" xfId="6" applyNumberFormat="1" applyFont="1" applyFill="1" applyBorder="1" applyAlignment="1">
      <alignment horizontal="right" vertical="center"/>
    </xf>
    <xf numFmtId="0" fontId="13" fillId="0" borderId="0" xfId="0" applyFont="1" applyBorder="1"/>
    <xf numFmtId="4" fontId="79" fillId="5" borderId="3" xfId="1" applyNumberFormat="1" applyFont="1" applyFill="1" applyBorder="1" applyAlignment="1">
      <alignment horizontal="right" vertical="center"/>
    </xf>
    <xf numFmtId="4" fontId="15" fillId="5" borderId="3" xfId="1" applyNumberFormat="1" applyFont="1" applyFill="1" applyBorder="1" applyAlignment="1">
      <alignment horizontal="right" vertical="center" wrapText="1"/>
    </xf>
    <xf numFmtId="4" fontId="76" fillId="5" borderId="3" xfId="0" applyNumberFormat="1" applyFont="1" applyFill="1" applyBorder="1" applyAlignment="1">
      <alignment horizontal="right"/>
    </xf>
    <xf numFmtId="178" fontId="16" fillId="0" borderId="3" xfId="1" applyNumberFormat="1" applyFont="1" applyBorder="1" applyAlignment="1">
      <alignment horizontal="right" vertical="center" wrapText="1"/>
    </xf>
    <xf numFmtId="43" fontId="79" fillId="5" borderId="3" xfId="1" applyNumberFormat="1" applyFont="1" applyFill="1" applyBorder="1" applyAlignment="1">
      <alignment horizontal="right" vertical="center"/>
    </xf>
    <xf numFmtId="0" fontId="18" fillId="0" borderId="33" xfId="0" applyFont="1" applyBorder="1"/>
    <xf numFmtId="0" fontId="18" fillId="0" borderId="33" xfId="0" applyFont="1" applyBorder="1" applyAlignment="1">
      <alignment horizontal="center"/>
    </xf>
    <xf numFmtId="0" fontId="34" fillId="5" borderId="3" xfId="0" applyFont="1" applyFill="1" applyBorder="1" applyAlignment="1">
      <alignment vertical="center"/>
    </xf>
    <xf numFmtId="4" fontId="34" fillId="5" borderId="3" xfId="0" applyNumberFormat="1" applyFont="1" applyFill="1" applyBorder="1" applyAlignment="1">
      <alignment vertical="center"/>
    </xf>
    <xf numFmtId="0" fontId="80" fillId="0" borderId="0" xfId="0" applyFont="1"/>
    <xf numFmtId="0" fontId="12" fillId="5" borderId="3" xfId="6" applyFont="1" applyFill="1" applyBorder="1" applyAlignment="1">
      <alignment horizontal="center"/>
    </xf>
    <xf numFmtId="4" fontId="34" fillId="5" borderId="3" xfId="6" applyNumberFormat="1" applyFont="1" applyFill="1" applyBorder="1" applyAlignment="1">
      <alignment horizontal="right"/>
    </xf>
    <xf numFmtId="0" fontId="18" fillId="0" borderId="3" xfId="6" applyFont="1" applyBorder="1" applyAlignment="1">
      <alignment horizontal="center"/>
    </xf>
    <xf numFmtId="179" fontId="18" fillId="0" borderId="3" xfId="6" applyNumberFormat="1" applyFont="1" applyBorder="1" applyAlignment="1">
      <alignment horizontal="right"/>
    </xf>
    <xf numFmtId="4" fontId="18" fillId="6" borderId="3" xfId="1" applyNumberFormat="1" applyFont="1" applyFill="1" applyBorder="1" applyAlignment="1">
      <alignment horizontal="right"/>
    </xf>
    <xf numFmtId="4" fontId="18" fillId="0" borderId="3" xfId="6" applyNumberFormat="1" applyFont="1" applyBorder="1" applyAlignment="1">
      <alignment horizontal="right"/>
    </xf>
    <xf numFmtId="4" fontId="18" fillId="0" borderId="3" xfId="0" applyNumberFormat="1" applyFont="1" applyBorder="1" applyAlignment="1">
      <alignment horizontal="right"/>
    </xf>
    <xf numFmtId="0" fontId="18" fillId="0" borderId="3" xfId="0" applyFont="1" applyBorder="1" applyAlignment="1">
      <alignment horizontal="left" vertical="center" wrapText="1"/>
    </xf>
    <xf numFmtId="4" fontId="18" fillId="0" borderId="3" xfId="0" applyNumberFormat="1" applyFont="1" applyBorder="1" applyAlignment="1">
      <alignment horizontal="right" vertical="center"/>
    </xf>
    <xf numFmtId="179" fontId="18" fillId="0" borderId="3" xfId="6" applyNumberFormat="1" applyFont="1" applyBorder="1" applyAlignment="1">
      <alignment horizontal="right" vertical="center"/>
    </xf>
    <xf numFmtId="0" fontId="18" fillId="0" borderId="3" xfId="0" applyFont="1" applyBorder="1" applyAlignment="1">
      <alignment horizontal="right" vertical="center"/>
    </xf>
    <xf numFmtId="4" fontId="41" fillId="0" borderId="3" xfId="6" applyNumberFormat="1" applyFont="1" applyBorder="1" applyAlignment="1">
      <alignment horizontal="right"/>
    </xf>
    <xf numFmtId="0" fontId="18" fillId="0" borderId="3" xfId="6" applyFont="1" applyBorder="1" applyAlignment="1">
      <alignment horizontal="left"/>
    </xf>
    <xf numFmtId="0" fontId="18" fillId="0" borderId="3" xfId="0" applyFont="1" applyBorder="1" applyAlignment="1">
      <alignment horizontal="right"/>
    </xf>
    <xf numFmtId="0" fontId="34" fillId="5" borderId="3" xfId="0" applyFont="1" applyFill="1" applyBorder="1" applyAlignment="1">
      <alignment horizontal="right" vertical="center"/>
    </xf>
    <xf numFmtId="4" fontId="34" fillId="5" borderId="3" xfId="0" applyNumberFormat="1" applyFont="1" applyFill="1" applyBorder="1" applyAlignment="1">
      <alignment horizontal="right" vertical="center"/>
    </xf>
    <xf numFmtId="0" fontId="12" fillId="5" borderId="3" xfId="0" applyFont="1" applyFill="1" applyBorder="1" applyAlignment="1">
      <alignment horizontal="right" vertical="center"/>
    </xf>
    <xf numFmtId="43" fontId="81" fillId="5" borderId="3" xfId="1" applyFont="1" applyFill="1" applyBorder="1" applyAlignment="1">
      <alignment horizontal="right" vertical="center"/>
    </xf>
    <xf numFmtId="43" fontId="34" fillId="5" borderId="3" xfId="1" applyFont="1" applyFill="1" applyBorder="1" applyAlignment="1">
      <alignment horizontal="right" vertical="center"/>
    </xf>
    <xf numFmtId="178" fontId="34" fillId="5" borderId="3" xfId="1" applyNumberFormat="1" applyFont="1" applyFill="1" applyBorder="1" applyAlignment="1">
      <alignment horizontal="right" vertical="center"/>
    </xf>
    <xf numFmtId="0" fontId="41" fillId="0" borderId="3" xfId="6" applyFont="1" applyBorder="1"/>
    <xf numFmtId="2" fontId="18" fillId="0" borderId="3" xfId="0" applyNumberFormat="1" applyFont="1" applyBorder="1" applyAlignment="1">
      <alignment horizontal="right" vertical="center" wrapText="1"/>
    </xf>
    <xf numFmtId="179" fontId="41" fillId="0" borderId="3" xfId="6" applyNumberFormat="1" applyFont="1" applyBorder="1" applyAlignment="1">
      <alignment horizontal="right"/>
    </xf>
    <xf numFmtId="0" fontId="18" fillId="0" borderId="3" xfId="0" applyFont="1" applyBorder="1" applyAlignment="1">
      <alignment horizontal="right" vertical="center" wrapText="1"/>
    </xf>
    <xf numFmtId="0" fontId="12" fillId="5" borderId="3" xfId="6" applyFont="1" applyFill="1" applyBorder="1" applyAlignment="1">
      <alignment horizontal="right" vertical="center"/>
    </xf>
    <xf numFmtId="4" fontId="34" fillId="5" borderId="3" xfId="6" applyNumberFormat="1" applyFont="1" applyFill="1" applyBorder="1" applyAlignment="1">
      <alignment horizontal="right" vertical="center"/>
    </xf>
    <xf numFmtId="43" fontId="18" fillId="0" borderId="3" xfId="1" applyFont="1" applyBorder="1" applyAlignment="1">
      <alignment horizontal="right" vertical="center" wrapText="1"/>
    </xf>
    <xf numFmtId="168" fontId="18" fillId="0" borderId="3" xfId="6" applyNumberFormat="1" applyFont="1" applyBorder="1" applyAlignment="1">
      <alignment horizontal="right"/>
    </xf>
    <xf numFmtId="2" fontId="34" fillId="5" borderId="3" xfId="6" applyNumberFormat="1" applyFont="1" applyFill="1" applyBorder="1" applyAlignment="1">
      <alignment horizontal="right" vertical="center"/>
    </xf>
    <xf numFmtId="1" fontId="34" fillId="5" borderId="3" xfId="6" applyNumberFormat="1" applyFont="1" applyFill="1" applyBorder="1" applyAlignment="1">
      <alignment horizontal="right" vertical="center"/>
    </xf>
    <xf numFmtId="178" fontId="12" fillId="5" borderId="3" xfId="1" applyNumberFormat="1" applyFont="1" applyFill="1" applyBorder="1" applyAlignment="1">
      <alignment horizontal="right" vertical="center"/>
    </xf>
    <xf numFmtId="0" fontId="18" fillId="0" borderId="3" xfId="6" applyFont="1" applyBorder="1" applyAlignment="1">
      <alignment vertical="center"/>
    </xf>
    <xf numFmtId="4" fontId="18" fillId="0" borderId="3" xfId="6" applyNumberFormat="1" applyFont="1" applyBorder="1" applyAlignment="1">
      <alignment horizontal="right" vertical="center"/>
    </xf>
    <xf numFmtId="0" fontId="18" fillId="0" borderId="3" xfId="6" applyFont="1" applyBorder="1" applyAlignment="1">
      <alignment horizontal="left" vertical="center"/>
    </xf>
    <xf numFmtId="0" fontId="41" fillId="0" borderId="3" xfId="6" applyFont="1" applyBorder="1" applyAlignment="1">
      <alignment horizontal="left" vertical="center"/>
    </xf>
    <xf numFmtId="0" fontId="41" fillId="0" borderId="3" xfId="6" applyFont="1" applyBorder="1" applyAlignment="1">
      <alignment vertical="center"/>
    </xf>
    <xf numFmtId="3" fontId="34" fillId="5" borderId="3" xfId="6" applyNumberFormat="1" applyFont="1" applyFill="1" applyBorder="1" applyAlignment="1">
      <alignment horizontal="right" vertical="center"/>
    </xf>
    <xf numFmtId="4" fontId="18" fillId="0" borderId="3" xfId="1" applyNumberFormat="1" applyFont="1" applyBorder="1" applyAlignment="1">
      <alignment horizontal="right" vertical="center"/>
    </xf>
    <xf numFmtId="0" fontId="18" fillId="0" borderId="0" xfId="0" applyFont="1" applyBorder="1"/>
    <xf numFmtId="43" fontId="12" fillId="5" borderId="3" xfId="1" applyFont="1" applyFill="1" applyBorder="1" applyAlignment="1">
      <alignment horizontal="right" vertical="center"/>
    </xf>
    <xf numFmtId="4" fontId="12" fillId="5" borderId="3" xfId="1" applyNumberFormat="1" applyFont="1" applyFill="1" applyBorder="1" applyAlignment="1">
      <alignment horizontal="right" vertical="center" wrapText="1"/>
    </xf>
    <xf numFmtId="0" fontId="34" fillId="5" borderId="3" xfId="0" applyFont="1" applyFill="1" applyBorder="1" applyAlignment="1">
      <alignment horizontal="center"/>
    </xf>
    <xf numFmtId="4" fontId="34" fillId="5" borderId="3" xfId="0" applyNumberFormat="1" applyFont="1" applyFill="1" applyBorder="1"/>
    <xf numFmtId="0" fontId="18" fillId="0" borderId="0" xfId="0" applyFont="1" applyAlignment="1">
      <alignment horizontal="center"/>
    </xf>
    <xf numFmtId="0" fontId="12" fillId="7" borderId="3" xfId="6" applyFont="1" applyFill="1" applyBorder="1" applyAlignment="1">
      <alignment horizontal="center"/>
    </xf>
    <xf numFmtId="0" fontId="12" fillId="7" borderId="3" xfId="0" applyFont="1" applyFill="1" applyBorder="1" applyAlignment="1">
      <alignment horizontal="left" vertical="center" wrapText="1"/>
    </xf>
    <xf numFmtId="0" fontId="12" fillId="7" borderId="3" xfId="0" applyFont="1" applyFill="1" applyBorder="1" applyAlignment="1">
      <alignment horizontal="right" vertical="center"/>
    </xf>
    <xf numFmtId="4" fontId="12" fillId="7" borderId="3" xfId="1" applyNumberFormat="1" applyFont="1" applyFill="1" applyBorder="1" applyAlignment="1">
      <alignment horizontal="right" vertical="center"/>
    </xf>
    <xf numFmtId="4" fontId="82" fillId="7" borderId="3" xfId="6" applyNumberFormat="1" applyFont="1" applyFill="1" applyBorder="1" applyAlignment="1">
      <alignment horizontal="right"/>
    </xf>
    <xf numFmtId="4" fontId="12" fillId="7" borderId="3" xfId="0" applyNumberFormat="1" applyFont="1" applyFill="1" applyBorder="1" applyAlignment="1">
      <alignment horizontal="right" vertical="center"/>
    </xf>
    <xf numFmtId="0" fontId="89" fillId="0" borderId="33" xfId="0" applyFont="1" applyBorder="1"/>
    <xf numFmtId="4" fontId="91" fillId="5" borderId="3" xfId="0" applyNumberFormat="1" applyFont="1" applyFill="1" applyBorder="1" applyAlignment="1">
      <alignment vertical="center"/>
    </xf>
    <xf numFmtId="4" fontId="91" fillId="5" borderId="4" xfId="6" applyNumberFormat="1" applyFont="1" applyFill="1" applyBorder="1" applyAlignment="1">
      <alignment horizontal="right"/>
    </xf>
    <xf numFmtId="0" fontId="90" fillId="5" borderId="3" xfId="0" applyFont="1" applyFill="1" applyBorder="1" applyAlignment="1">
      <alignment horizontal="right" vertical="center"/>
    </xf>
    <xf numFmtId="4" fontId="91" fillId="5" borderId="3" xfId="0" applyNumberFormat="1" applyFont="1" applyFill="1" applyBorder="1" applyAlignment="1">
      <alignment horizontal="right"/>
    </xf>
    <xf numFmtId="0" fontId="89" fillId="0" borderId="0" xfId="0" applyFont="1"/>
    <xf numFmtId="0" fontId="31" fillId="0" borderId="0" xfId="10" applyFont="1" applyAlignment="1">
      <alignment horizontal="right"/>
    </xf>
    <xf numFmtId="166" fontId="7" fillId="6" borderId="2" xfId="0" applyNumberFormat="1" applyFont="1" applyFill="1" applyBorder="1" applyAlignment="1">
      <alignment vertical="center"/>
    </xf>
    <xf numFmtId="3" fontId="3" fillId="0" borderId="3" xfId="8" applyNumberFormat="1" applyFont="1" applyFill="1" applyBorder="1" applyAlignment="1">
      <alignment horizontal="right" vertical="center" wrapText="1"/>
    </xf>
    <xf numFmtId="0" fontId="31" fillId="0" borderId="0" xfId="10" applyFont="1" applyAlignment="1"/>
    <xf numFmtId="0" fontId="73" fillId="0" borderId="0" xfId="5" applyFont="1" applyBorder="1" applyAlignment="1">
      <alignment horizontal="center" vertical="center"/>
    </xf>
    <xf numFmtId="0" fontId="11" fillId="0" borderId="0" xfId="0" applyFont="1" applyBorder="1" applyAlignment="1">
      <alignment vertical="center"/>
    </xf>
    <xf numFmtId="4" fontId="7" fillId="0" borderId="0" xfId="0" applyNumberFormat="1" applyFont="1" applyFill="1" applyAlignment="1">
      <alignment vertical="center"/>
    </xf>
    <xf numFmtId="0" fontId="12" fillId="8" borderId="3" xfId="6" applyFont="1" applyFill="1" applyBorder="1" applyAlignment="1"/>
    <xf numFmtId="0" fontId="12" fillId="8" borderId="3" xfId="6" applyFont="1" applyFill="1" applyBorder="1" applyAlignment="1">
      <alignment horizontal="center"/>
    </xf>
    <xf numFmtId="0" fontId="12" fillId="8" borderId="3" xfId="6" applyFont="1" applyFill="1" applyBorder="1" applyAlignment="1">
      <alignment horizontal="right"/>
    </xf>
    <xf numFmtId="4" fontId="34" fillId="8" borderId="3" xfId="6" applyNumberFormat="1" applyFont="1" applyFill="1" applyBorder="1" applyAlignment="1">
      <alignment horizontal="right"/>
    </xf>
    <xf numFmtId="165" fontId="34" fillId="8" borderId="3" xfId="6" applyNumberFormat="1" applyFont="1" applyFill="1" applyBorder="1" applyAlignment="1">
      <alignment horizontal="right"/>
    </xf>
    <xf numFmtId="0" fontId="34" fillId="8" borderId="3" xfId="6" applyFont="1" applyFill="1" applyBorder="1" applyAlignment="1">
      <alignment horizontal="right" vertical="center"/>
    </xf>
    <xf numFmtId="4" fontId="34" fillId="8" borderId="3" xfId="6" applyNumberFormat="1" applyFont="1" applyFill="1" applyBorder="1" applyAlignment="1">
      <alignment horizontal="right" vertical="center"/>
    </xf>
    <xf numFmtId="165" fontId="34" fillId="8" borderId="3" xfId="6" applyNumberFormat="1" applyFont="1" applyFill="1" applyBorder="1" applyAlignment="1">
      <alignment horizontal="right" vertical="center"/>
    </xf>
    <xf numFmtId="0" fontId="18" fillId="0" borderId="0" xfId="0" applyFont="1" applyFill="1" applyBorder="1" applyAlignment="1">
      <alignment vertical="top" wrapText="1"/>
    </xf>
    <xf numFmtId="3" fontId="83" fillId="0" borderId="0" xfId="1" applyNumberFormat="1" applyFont="1" applyFill="1" applyBorder="1" applyAlignment="1">
      <alignment horizontal="right" vertical="center"/>
    </xf>
    <xf numFmtId="0" fontId="3" fillId="0" borderId="4" xfId="0" applyFont="1" applyBorder="1" applyAlignment="1">
      <alignment horizontal="center" vertical="center"/>
    </xf>
    <xf numFmtId="0" fontId="7" fillId="0" borderId="1" xfId="0" applyFont="1" applyBorder="1" applyAlignment="1">
      <alignment horizontal="center"/>
    </xf>
    <xf numFmtId="0" fontId="92" fillId="0" borderId="1" xfId="0" applyFont="1" applyBorder="1" applyAlignment="1"/>
    <xf numFmtId="0" fontId="7" fillId="0" borderId="9" xfId="0" applyFont="1" applyBorder="1" applyAlignment="1">
      <alignment horizontal="center"/>
    </xf>
    <xf numFmtId="0" fontId="92" fillId="0" borderId="9" xfId="0" applyFont="1" applyBorder="1" applyAlignment="1"/>
    <xf numFmtId="0" fontId="7" fillId="0" borderId="28" xfId="0" applyFont="1" applyBorder="1" applyAlignment="1">
      <alignment horizontal="center"/>
    </xf>
    <xf numFmtId="0" fontId="92" fillId="0" borderId="0" xfId="0" applyFont="1" applyAlignment="1"/>
    <xf numFmtId="0" fontId="93" fillId="0" borderId="1" xfId="0" applyFont="1" applyBorder="1" applyAlignment="1"/>
    <xf numFmtId="0" fontId="93" fillId="0" borderId="9" xfId="0" applyFont="1" applyBorder="1" applyAlignment="1"/>
    <xf numFmtId="0" fontId="6" fillId="0" borderId="1" xfId="0" applyFont="1" applyBorder="1" applyAlignment="1">
      <alignment horizontal="center"/>
    </xf>
    <xf numFmtId="0" fontId="6" fillId="0" borderId="9" xfId="0" applyFont="1" applyBorder="1" applyAlignment="1">
      <alignment horizontal="center"/>
    </xf>
    <xf numFmtId="0" fontId="7" fillId="0" borderId="2" xfId="0" applyFont="1" applyBorder="1" applyAlignment="1">
      <alignment horizontal="center"/>
    </xf>
    <xf numFmtId="0" fontId="6" fillId="0" borderId="2" xfId="0" applyFont="1" applyBorder="1" applyAlignment="1">
      <alignment horizontal="center"/>
    </xf>
    <xf numFmtId="0" fontId="93" fillId="0" borderId="2" xfId="0" applyFont="1" applyBorder="1" applyAlignment="1"/>
    <xf numFmtId="0" fontId="7" fillId="0" borderId="15" xfId="0" applyFont="1" applyBorder="1" applyAlignment="1">
      <alignment horizontal="center"/>
    </xf>
    <xf numFmtId="0" fontId="93" fillId="0" borderId="15" xfId="0" applyFont="1" applyBorder="1" applyAlignment="1"/>
    <xf numFmtId="0" fontId="7" fillId="0" borderId="1" xfId="0" applyFont="1" applyBorder="1" applyAlignment="1"/>
    <xf numFmtId="0" fontId="7" fillId="0" borderId="9" xfId="0" applyFont="1" applyBorder="1" applyAlignment="1"/>
    <xf numFmtId="0" fontId="7" fillId="0" borderId="2" xfId="0" applyFont="1" applyBorder="1" applyAlignment="1"/>
    <xf numFmtId="0" fontId="94" fillId="0" borderId="3" xfId="0" applyFont="1" applyBorder="1" applyAlignment="1">
      <alignment horizontal="center"/>
    </xf>
    <xf numFmtId="0" fontId="7" fillId="0" borderId="3" xfId="0" applyFont="1" applyBorder="1" applyAlignment="1">
      <alignment horizontal="center"/>
    </xf>
    <xf numFmtId="0" fontId="94" fillId="0" borderId="0" xfId="0" applyFont="1" applyBorder="1" applyAlignment="1">
      <alignment horizontal="center" vertical="center"/>
    </xf>
    <xf numFmtId="0" fontId="7" fillId="0" borderId="0" xfId="0" applyFont="1" applyBorder="1" applyAlignment="1">
      <alignment horizontal="center" vertical="center"/>
    </xf>
    <xf numFmtId="0" fontId="3" fillId="0" borderId="0" xfId="0" applyFont="1" applyBorder="1" applyAlignment="1">
      <alignment vertical="center"/>
    </xf>
    <xf numFmtId="0" fontId="92" fillId="0" borderId="0" xfId="0" applyFont="1"/>
    <xf numFmtId="0" fontId="7" fillId="6" borderId="2" xfId="0" applyFont="1" applyFill="1" applyBorder="1" applyAlignment="1">
      <alignment horizontal="centerContinuous" vertical="center"/>
    </xf>
    <xf numFmtId="172" fontId="7" fillId="6" borderId="2" xfId="0" applyNumberFormat="1" applyFont="1" applyFill="1" applyBorder="1" applyAlignment="1">
      <alignment vertical="center"/>
    </xf>
    <xf numFmtId="0" fontId="13" fillId="0" borderId="3" xfId="0" applyFont="1" applyFill="1" applyBorder="1" applyAlignment="1">
      <alignment vertical="center" wrapText="1"/>
    </xf>
    <xf numFmtId="0" fontId="9" fillId="0" borderId="2" xfId="0" applyFont="1" applyFill="1" applyBorder="1" applyAlignment="1">
      <alignment vertical="center" wrapText="1"/>
    </xf>
    <xf numFmtId="0" fontId="7" fillId="6" borderId="2" xfId="0" quotePrefix="1" applyFont="1" applyFill="1" applyBorder="1" applyAlignment="1">
      <alignment vertical="center" wrapText="1"/>
    </xf>
    <xf numFmtId="0" fontId="7" fillId="0" borderId="9" xfId="0" quotePrefix="1" applyFont="1" applyFill="1" applyBorder="1" applyAlignment="1">
      <alignment vertical="center" wrapText="1"/>
    </xf>
    <xf numFmtId="0" fontId="3" fillId="0" borderId="26" xfId="0" applyFont="1" applyFill="1" applyBorder="1" applyAlignment="1">
      <alignment vertical="center" wrapText="1"/>
    </xf>
    <xf numFmtId="3" fontId="7" fillId="0" borderId="2" xfId="0" applyNumberFormat="1" applyFont="1" applyFill="1" applyBorder="1" applyAlignment="1">
      <alignment vertical="center" wrapText="1"/>
    </xf>
    <xf numFmtId="0" fontId="7" fillId="0" borderId="0" xfId="0" quotePrefix="1" applyFont="1" applyFill="1" applyBorder="1" applyAlignment="1">
      <alignment vertical="center" wrapText="1"/>
    </xf>
    <xf numFmtId="3" fontId="3" fillId="0" borderId="2" xfId="0" applyNumberFormat="1" applyFont="1" applyFill="1" applyBorder="1" applyAlignment="1">
      <alignment vertical="center" wrapText="1"/>
    </xf>
    <xf numFmtId="173" fontId="3" fillId="0" borderId="26" xfId="1" applyNumberFormat="1" applyFont="1" applyFill="1" applyBorder="1" applyAlignment="1">
      <alignment horizontal="right" vertical="center" wrapText="1"/>
    </xf>
    <xf numFmtId="3" fontId="3" fillId="0" borderId="26" xfId="0" applyNumberFormat="1" applyFont="1" applyFill="1" applyBorder="1" applyAlignment="1">
      <alignment vertical="center" wrapText="1"/>
    </xf>
    <xf numFmtId="3" fontId="7" fillId="0" borderId="26" xfId="0" applyNumberFormat="1" applyFont="1" applyFill="1" applyBorder="1" applyAlignment="1">
      <alignment horizontal="center" vertical="center" wrapText="1"/>
    </xf>
    <xf numFmtId="175" fontId="7" fillId="0" borderId="26" xfId="0" applyNumberFormat="1" applyFont="1" applyFill="1" applyBorder="1" applyAlignment="1">
      <alignment vertical="center"/>
    </xf>
    <xf numFmtId="166" fontId="7" fillId="0" borderId="1" xfId="0" applyNumberFormat="1" applyFont="1" applyFill="1" applyBorder="1" applyAlignment="1">
      <alignment vertical="center"/>
    </xf>
    <xf numFmtId="0" fontId="83" fillId="0" borderId="1" xfId="0" applyFont="1" applyFill="1" applyBorder="1" applyAlignment="1">
      <alignment horizontal="center" vertical="center" wrapText="1"/>
    </xf>
    <xf numFmtId="0" fontId="83"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96" fillId="0" borderId="1" xfId="0" applyFont="1" applyFill="1" applyBorder="1" applyAlignment="1">
      <alignment horizontal="center" vertical="center" wrapText="1"/>
    </xf>
    <xf numFmtId="166" fontId="6" fillId="0" borderId="1" xfId="0" applyNumberFormat="1" applyFont="1" applyFill="1" applyBorder="1" applyAlignment="1">
      <alignment vertical="center"/>
    </xf>
    <xf numFmtId="169" fontId="96"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83" fillId="0" borderId="2" xfId="0" applyFont="1" applyFill="1" applyBorder="1" applyAlignment="1">
      <alignment vertical="center" wrapText="1"/>
    </xf>
    <xf numFmtId="0" fontId="96" fillId="0" borderId="2" xfId="0" applyFont="1" applyFill="1" applyBorder="1" applyAlignment="1">
      <alignment horizontal="center" vertical="center" wrapText="1"/>
    </xf>
    <xf numFmtId="166" fontId="6" fillId="0" borderId="2" xfId="0" applyNumberFormat="1" applyFont="1" applyFill="1" applyBorder="1" applyAlignment="1">
      <alignment vertical="center"/>
    </xf>
    <xf numFmtId="169" fontId="96" fillId="0" borderId="2" xfId="0" applyNumberFormat="1" applyFont="1" applyFill="1" applyBorder="1" applyAlignment="1">
      <alignment horizontal="center" vertical="center" wrapText="1"/>
    </xf>
    <xf numFmtId="0" fontId="6" fillId="0" borderId="2" xfId="0" applyFont="1" applyFill="1" applyBorder="1" applyAlignment="1">
      <alignment vertical="center" wrapText="1"/>
    </xf>
    <xf numFmtId="0" fontId="97" fillId="0" borderId="2" xfId="0" applyFont="1" applyFill="1" applyBorder="1" applyAlignment="1">
      <alignment vertical="center" wrapText="1"/>
    </xf>
    <xf numFmtId="0" fontId="6" fillId="0" borderId="2" xfId="0" applyFont="1" applyFill="1" applyBorder="1" applyAlignment="1">
      <alignment horizontal="centerContinuous" vertical="center"/>
    </xf>
    <xf numFmtId="175" fontId="6" fillId="0" borderId="2" xfId="0" applyNumberFormat="1" applyFont="1" applyFill="1" applyBorder="1" applyAlignment="1">
      <alignment vertical="center"/>
    </xf>
    <xf numFmtId="173" fontId="83" fillId="0" borderId="2" xfId="1" applyNumberFormat="1" applyFont="1" applyFill="1" applyBorder="1" applyAlignment="1">
      <alignment horizontal="right" vertical="center" wrapText="1"/>
    </xf>
    <xf numFmtId="0" fontId="6" fillId="0" borderId="2" xfId="0" applyFont="1" applyFill="1" applyBorder="1" applyAlignment="1">
      <alignment vertical="center"/>
    </xf>
    <xf numFmtId="172" fontId="6" fillId="0" borderId="2" xfId="0" applyNumberFormat="1" applyFont="1" applyFill="1" applyBorder="1" applyAlignment="1">
      <alignment vertical="center"/>
    </xf>
    <xf numFmtId="166" fontId="6" fillId="0" borderId="2" xfId="0" applyNumberFormat="1" applyFont="1" applyFill="1" applyBorder="1" applyAlignment="1">
      <alignment horizontal="right" vertical="center" wrapText="1"/>
    </xf>
    <xf numFmtId="0" fontId="6" fillId="0" borderId="2" xfId="0" quotePrefix="1" applyFont="1" applyFill="1" applyBorder="1" applyAlignment="1">
      <alignment vertical="center" wrapText="1"/>
    </xf>
    <xf numFmtId="0" fontId="6" fillId="6" borderId="2" xfId="0" quotePrefix="1" applyFont="1" applyFill="1" applyBorder="1" applyAlignment="1">
      <alignment vertical="center" wrapText="1"/>
    </xf>
    <xf numFmtId="0" fontId="6" fillId="6" borderId="2" xfId="0" applyFont="1" applyFill="1" applyBorder="1" applyAlignment="1">
      <alignment horizontal="centerContinuous" vertical="center"/>
    </xf>
    <xf numFmtId="172" fontId="6" fillId="6" borderId="2" xfId="0" applyNumberFormat="1" applyFont="1" applyFill="1" applyBorder="1" applyAlignment="1">
      <alignment vertical="center"/>
    </xf>
    <xf numFmtId="0" fontId="89" fillId="0" borderId="2" xfId="0" applyFont="1" applyFill="1" applyBorder="1" applyAlignment="1">
      <alignment vertical="center"/>
    </xf>
    <xf numFmtId="166" fontId="83" fillId="0" borderId="2" xfId="0" applyNumberFormat="1" applyFont="1" applyFill="1" applyBorder="1" applyAlignment="1">
      <alignment horizontal="right" vertical="center" wrapText="1"/>
    </xf>
    <xf numFmtId="173" fontId="6" fillId="0" borderId="2" xfId="0" applyNumberFormat="1" applyFont="1" applyFill="1" applyBorder="1" applyAlignment="1">
      <alignment horizontal="right" vertical="center" wrapText="1"/>
    </xf>
    <xf numFmtId="0" fontId="6" fillId="0" borderId="9" xfId="0" applyFont="1" applyFill="1" applyBorder="1" applyAlignment="1">
      <alignment horizontal="center" vertical="center" wrapText="1"/>
    </xf>
    <xf numFmtId="0" fontId="6" fillId="0" borderId="9" xfId="0" quotePrefix="1" applyFont="1" applyFill="1" applyBorder="1" applyAlignment="1">
      <alignment vertical="center" wrapText="1"/>
    </xf>
    <xf numFmtId="0" fontId="6" fillId="0" borderId="9" xfId="0" applyFont="1" applyFill="1" applyBorder="1" applyAlignment="1">
      <alignment horizontal="centerContinuous" vertical="center"/>
    </xf>
    <xf numFmtId="172" fontId="6" fillId="0" borderId="9" xfId="0" applyNumberFormat="1" applyFont="1" applyFill="1" applyBorder="1" applyAlignment="1">
      <alignment vertical="center"/>
    </xf>
    <xf numFmtId="166" fontId="6" fillId="0" borderId="9" xfId="0" applyNumberFormat="1" applyFont="1" applyFill="1" applyBorder="1" applyAlignment="1">
      <alignment horizontal="right" vertical="center" wrapText="1"/>
    </xf>
    <xf numFmtId="166" fontId="6" fillId="0" borderId="9" xfId="0" applyNumberFormat="1" applyFont="1" applyFill="1" applyBorder="1" applyAlignment="1">
      <alignment vertical="center"/>
    </xf>
    <xf numFmtId="0" fontId="5" fillId="0" borderId="2" xfId="0" applyFont="1" applyFill="1" applyBorder="1" applyAlignment="1">
      <alignment horizontal="right" vertical="center"/>
    </xf>
    <xf numFmtId="177" fontId="5" fillId="0" borderId="2" xfId="0" applyNumberFormat="1" applyFont="1" applyFill="1" applyBorder="1" applyAlignment="1">
      <alignment horizontal="right" vertical="center"/>
    </xf>
    <xf numFmtId="9" fontId="5" fillId="0" borderId="2" xfId="0" applyNumberFormat="1" applyFont="1" applyFill="1" applyBorder="1" applyAlignment="1">
      <alignment horizontal="right" vertical="center"/>
    </xf>
    <xf numFmtId="16" fontId="5" fillId="0" borderId="2" xfId="0" quotePrefix="1" applyNumberFormat="1" applyFont="1" applyFill="1" applyBorder="1" applyAlignment="1">
      <alignment horizontal="right" vertical="center"/>
    </xf>
    <xf numFmtId="0" fontId="13" fillId="0" borderId="2" xfId="9" applyFont="1" applyFill="1" applyBorder="1" applyAlignment="1">
      <alignment horizontal="right" vertical="center"/>
    </xf>
    <xf numFmtId="0" fontId="13" fillId="0" borderId="2" xfId="9" applyFont="1" applyFill="1" applyBorder="1" applyAlignment="1">
      <alignment vertical="center"/>
    </xf>
    <xf numFmtId="0" fontId="98" fillId="0" borderId="2" xfId="0" applyFont="1" applyFill="1" applyBorder="1" applyAlignment="1">
      <alignment horizontal="right" vertical="center"/>
    </xf>
    <xf numFmtId="0" fontId="98" fillId="0" borderId="2" xfId="0" applyFont="1" applyFill="1" applyBorder="1" applyAlignment="1">
      <alignment vertical="center"/>
    </xf>
    <xf numFmtId="0" fontId="98" fillId="0" borderId="2" xfId="0" applyFont="1" applyFill="1" applyBorder="1" applyAlignment="1">
      <alignment horizontal="center" vertical="center"/>
    </xf>
    <xf numFmtId="0" fontId="5" fillId="0" borderId="2" xfId="0" applyFont="1" applyFill="1" applyBorder="1" applyAlignment="1">
      <alignment horizontal="left" vertical="center" wrapText="1"/>
    </xf>
    <xf numFmtId="3" fontId="5" fillId="0" borderId="2" xfId="0" applyNumberFormat="1" applyFont="1" applyFill="1" applyBorder="1" applyAlignment="1">
      <alignment horizontal="left" vertical="center"/>
    </xf>
    <xf numFmtId="3" fontId="5" fillId="0" borderId="2" xfId="0" applyNumberFormat="1" applyFont="1" applyFill="1" applyBorder="1" applyAlignment="1">
      <alignment horizontal="left" vertical="center" wrapText="1"/>
    </xf>
    <xf numFmtId="0" fontId="5" fillId="0" borderId="2" xfId="0" applyFont="1" applyFill="1" applyBorder="1" applyAlignment="1">
      <alignment horizontal="left" vertical="center"/>
    </xf>
    <xf numFmtId="0" fontId="5" fillId="0" borderId="2" xfId="9" applyFont="1" applyFill="1" applyBorder="1" applyAlignment="1">
      <alignment horizontal="left" vertical="center"/>
    </xf>
    <xf numFmtId="0" fontId="13" fillId="0" borderId="2" xfId="9" applyFont="1" applyFill="1" applyBorder="1" applyAlignment="1">
      <alignment horizontal="left" vertical="center" wrapText="1"/>
    </xf>
    <xf numFmtId="0" fontId="5" fillId="0" borderId="2" xfId="9" applyFont="1" applyFill="1" applyBorder="1" applyAlignment="1">
      <alignment horizontal="left" vertical="center" wrapText="1"/>
    </xf>
    <xf numFmtId="0" fontId="13" fillId="0" borderId="2" xfId="0" applyFont="1" applyFill="1" applyBorder="1" applyAlignment="1">
      <alignment horizontal="left" vertical="center" wrapText="1"/>
    </xf>
    <xf numFmtId="0" fontId="5" fillId="0" borderId="2" xfId="9" applyFont="1" applyFill="1" applyBorder="1" applyAlignment="1">
      <alignment horizontal="left" vertical="center" shrinkToFit="1"/>
    </xf>
    <xf numFmtId="0" fontId="9" fillId="0" borderId="0" xfId="0" applyFont="1" applyFill="1" applyBorder="1" applyAlignment="1">
      <alignment vertical="center"/>
    </xf>
    <xf numFmtId="0" fontId="9" fillId="0" borderId="0" xfId="0" applyFont="1" applyFill="1" applyAlignment="1">
      <alignment vertical="center"/>
    </xf>
    <xf numFmtId="0" fontId="54" fillId="0" borderId="31" xfId="0" applyFont="1" applyBorder="1" applyAlignment="1">
      <alignment horizontal="center" vertical="center" wrapText="1"/>
    </xf>
    <xf numFmtId="0" fontId="54" fillId="0" borderId="3" xfId="0" applyFont="1" applyBorder="1" applyAlignment="1">
      <alignment horizontal="center" vertical="center" wrapText="1"/>
    </xf>
    <xf numFmtId="0" fontId="53" fillId="0" borderId="0" xfId="0" applyFont="1"/>
    <xf numFmtId="0" fontId="54" fillId="0" borderId="28" xfId="0" applyFont="1" applyBorder="1" applyAlignment="1">
      <alignment horizontal="center" vertical="center"/>
    </xf>
    <xf numFmtId="0" fontId="54" fillId="0" borderId="28" xfId="0" applyFont="1" applyBorder="1" applyAlignment="1">
      <alignment horizontal="center" vertical="center" wrapText="1"/>
    </xf>
    <xf numFmtId="0" fontId="54" fillId="0" borderId="3" xfId="0" applyFont="1" applyBorder="1" applyAlignment="1">
      <alignment horizontal="left" vertical="center" wrapText="1"/>
    </xf>
    <xf numFmtId="0" fontId="99" fillId="0" borderId="28" xfId="0" applyFont="1" applyBorder="1" applyAlignment="1">
      <alignment horizontal="center" vertical="center" wrapText="1"/>
    </xf>
    <xf numFmtId="0" fontId="54" fillId="0" borderId="34" xfId="0" applyFont="1" applyBorder="1" applyAlignment="1">
      <alignment horizontal="center" vertical="center" wrapText="1"/>
    </xf>
    <xf numFmtId="0" fontId="5" fillId="0" borderId="0" xfId="0" applyFont="1" applyAlignment="1">
      <alignment horizontal="center" wrapText="1"/>
    </xf>
    <xf numFmtId="0" fontId="100" fillId="0" borderId="0" xfId="0" applyFont="1"/>
    <xf numFmtId="0" fontId="96" fillId="0" borderId="0" xfId="0" applyFont="1"/>
    <xf numFmtId="0" fontId="27" fillId="0" borderId="3" xfId="0" applyFont="1" applyBorder="1" applyAlignment="1">
      <alignment horizontal="right" vertical="center"/>
    </xf>
    <xf numFmtId="0" fontId="90" fillId="9" borderId="3" xfId="6" applyFont="1" applyFill="1" applyBorder="1" applyAlignment="1">
      <alignment horizontal="center"/>
    </xf>
    <xf numFmtId="0" fontId="90" fillId="9" borderId="3" xfId="0" applyFont="1" applyFill="1" applyBorder="1" applyAlignment="1">
      <alignment horizontal="left" vertical="center" wrapText="1"/>
    </xf>
    <xf numFmtId="4" fontId="90" fillId="9" borderId="3" xfId="0" applyNumberFormat="1" applyFont="1" applyFill="1" applyBorder="1" applyAlignment="1">
      <alignment horizontal="right" vertical="center"/>
    </xf>
    <xf numFmtId="0" fontId="90" fillId="9" borderId="3" xfId="0" applyFont="1" applyFill="1" applyBorder="1" applyAlignment="1">
      <alignment horizontal="right" vertical="center"/>
    </xf>
    <xf numFmtId="0" fontId="89" fillId="6" borderId="0" xfId="0" applyFont="1" applyFill="1"/>
    <xf numFmtId="43" fontId="96" fillId="0" borderId="0" xfId="0" applyNumberFormat="1" applyFont="1"/>
    <xf numFmtId="0" fontId="27" fillId="0" borderId="3" xfId="6" applyFont="1" applyBorder="1" applyAlignment="1">
      <alignment horizontal="center"/>
    </xf>
    <xf numFmtId="0" fontId="27" fillId="0" borderId="3" xfId="6" applyFont="1" applyBorder="1" applyAlignment="1">
      <alignment horizontal="left" vertical="center"/>
    </xf>
    <xf numFmtId="0" fontId="27" fillId="0" borderId="3" xfId="0" applyFont="1" applyBorder="1" applyAlignment="1">
      <alignment horizontal="right" vertical="center" wrapText="1"/>
    </xf>
    <xf numFmtId="43" fontId="27" fillId="0" borderId="3" xfId="1" applyFont="1" applyBorder="1" applyAlignment="1">
      <alignment horizontal="right" vertical="center"/>
    </xf>
    <xf numFmtId="0" fontId="27" fillId="0" borderId="3" xfId="6" applyFont="1" applyBorder="1" applyAlignment="1">
      <alignment horizontal="left"/>
    </xf>
    <xf numFmtId="3" fontId="89" fillId="0" borderId="0" xfId="0" applyNumberFormat="1" applyFont="1"/>
    <xf numFmtId="0" fontId="27" fillId="0" borderId="3" xfId="0" applyFont="1" applyFill="1" applyBorder="1" applyAlignment="1">
      <alignment horizontal="right" vertical="center"/>
    </xf>
    <xf numFmtId="0" fontId="15" fillId="5" borderId="3" xfId="6" applyFont="1" applyFill="1" applyBorder="1" applyAlignment="1">
      <alignment horizontal="center"/>
    </xf>
    <xf numFmtId="0" fontId="15" fillId="5" borderId="3" xfId="6" applyFont="1" applyFill="1" applyBorder="1" applyAlignment="1">
      <alignment horizontal="left"/>
    </xf>
    <xf numFmtId="43" fontId="58" fillId="0" borderId="0" xfId="1" applyFont="1" applyFill="1" applyAlignment="1">
      <alignment vertical="center"/>
    </xf>
    <xf numFmtId="173" fontId="7" fillId="0" borderId="0" xfId="0" applyNumberFormat="1" applyFont="1" applyFill="1" applyAlignment="1">
      <alignment vertical="center"/>
    </xf>
    <xf numFmtId="0" fontId="8" fillId="0" borderId="0" xfId="0" applyFont="1" applyFill="1" applyBorder="1" applyAlignment="1">
      <alignment horizontal="center" vertical="center"/>
    </xf>
    <xf numFmtId="169" fontId="3" fillId="0" borderId="8" xfId="8" applyNumberFormat="1" applyFont="1" applyFill="1" applyBorder="1" applyAlignment="1">
      <alignment horizontal="center" vertical="center" wrapText="1"/>
    </xf>
    <xf numFmtId="171" fontId="3" fillId="0" borderId="8" xfId="1" applyNumberFormat="1" applyFont="1" applyFill="1" applyBorder="1" applyAlignment="1">
      <alignment horizontal="center" vertical="center" wrapText="1"/>
    </xf>
    <xf numFmtId="166" fontId="3" fillId="0" borderId="8" xfId="8" applyNumberFormat="1" applyFont="1" applyFill="1" applyBorder="1" applyAlignment="1">
      <alignment horizontal="center" vertical="center" wrapText="1"/>
    </xf>
    <xf numFmtId="169" fontId="3" fillId="0" borderId="8" xfId="8" applyNumberFormat="1" applyFont="1" applyFill="1" applyBorder="1" applyAlignment="1">
      <alignment horizontal="left" vertical="center" wrapText="1"/>
    </xf>
    <xf numFmtId="3" fontId="5" fillId="0" borderId="0" xfId="0" applyNumberFormat="1" applyFont="1"/>
    <xf numFmtId="2" fontId="62" fillId="0" borderId="0" xfId="0" applyNumberFormat="1" applyFont="1" applyFill="1" applyAlignment="1">
      <alignment vertical="center" wrapText="1"/>
    </xf>
    <xf numFmtId="3" fontId="7" fillId="0" borderId="0" xfId="0" applyNumberFormat="1" applyFont="1" applyFill="1" applyAlignment="1">
      <alignment vertical="center"/>
    </xf>
    <xf numFmtId="177" fontId="7" fillId="0" borderId="0" xfId="0" applyNumberFormat="1" applyFont="1" applyFill="1" applyAlignment="1">
      <alignment vertical="center"/>
    </xf>
    <xf numFmtId="0" fontId="10" fillId="0" borderId="0" xfId="10" applyFont="1" applyFill="1"/>
    <xf numFmtId="0" fontId="7" fillId="0" borderId="0" xfId="0" quotePrefix="1" applyFont="1" applyFill="1" applyAlignment="1">
      <alignment vertical="center"/>
    </xf>
    <xf numFmtId="0" fontId="10" fillId="0" borderId="0" xfId="10" applyFont="1" applyAlignment="1">
      <alignment horizontal="center"/>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7" fillId="10" borderId="2" xfId="0" applyFont="1" applyFill="1" applyBorder="1" applyAlignment="1">
      <alignment horizontal="center" vertical="center" wrapText="1"/>
    </xf>
    <xf numFmtId="0" fontId="7" fillId="10" borderId="2" xfId="0" applyFont="1" applyFill="1" applyBorder="1" applyAlignment="1">
      <alignment vertical="center"/>
    </xf>
    <xf numFmtId="0" fontId="7" fillId="10" borderId="2" xfId="0" applyFont="1" applyFill="1" applyBorder="1" applyAlignment="1">
      <alignment horizontal="centerContinuous" vertical="center"/>
    </xf>
    <xf numFmtId="172" fontId="7" fillId="10" borderId="2" xfId="0" applyNumberFormat="1" applyFont="1" applyFill="1" applyBorder="1" applyAlignment="1">
      <alignment vertical="center"/>
    </xf>
    <xf numFmtId="166" fontId="7" fillId="10" borderId="2" xfId="0" applyNumberFormat="1" applyFont="1" applyFill="1" applyBorder="1" applyAlignment="1">
      <alignment horizontal="right" vertical="center" wrapText="1"/>
    </xf>
    <xf numFmtId="0" fontId="5" fillId="10" borderId="0" xfId="0" applyFont="1" applyFill="1" applyAlignment="1">
      <alignment vertical="center"/>
    </xf>
    <xf numFmtId="166" fontId="7" fillId="10" borderId="2" xfId="0" applyNumberFormat="1" applyFont="1" applyFill="1" applyBorder="1" applyAlignment="1">
      <alignment vertical="center"/>
    </xf>
    <xf numFmtId="43" fontId="5" fillId="10" borderId="0" xfId="1" applyFont="1" applyFill="1" applyAlignment="1">
      <alignment vertical="center"/>
    </xf>
    <xf numFmtId="173" fontId="3" fillId="11" borderId="2" xfId="1" applyNumberFormat="1" applyFont="1" applyFill="1" applyBorder="1" applyAlignment="1">
      <alignment horizontal="right" vertical="center" wrapText="1"/>
    </xf>
    <xf numFmtId="166" fontId="7" fillId="11" borderId="2" xfId="0" applyNumberFormat="1" applyFont="1" applyFill="1" applyBorder="1" applyAlignment="1">
      <alignment horizontal="right" vertical="center" wrapText="1"/>
    </xf>
    <xf numFmtId="43" fontId="58" fillId="0" borderId="0" xfId="1" applyFont="1" applyFill="1" applyBorder="1" applyAlignment="1">
      <alignment vertical="center"/>
    </xf>
    <xf numFmtId="0" fontId="58" fillId="0" borderId="0" xfId="0" applyFont="1" applyFill="1" applyBorder="1" applyAlignment="1">
      <alignment vertical="center"/>
    </xf>
    <xf numFmtId="166" fontId="7" fillId="0" borderId="0" xfId="8" applyNumberFormat="1" applyFont="1" applyFill="1" applyBorder="1" applyAlignment="1">
      <alignment horizontal="right" vertical="center" wrapText="1"/>
    </xf>
    <xf numFmtId="166" fontId="7" fillId="12" borderId="2" xfId="0" applyNumberFormat="1" applyFont="1" applyFill="1" applyBorder="1" applyAlignment="1">
      <alignment vertical="center"/>
    </xf>
    <xf numFmtId="0" fontId="18" fillId="0" borderId="2" xfId="0" applyFont="1" applyFill="1" applyBorder="1" applyAlignment="1">
      <alignment vertical="center" wrapText="1"/>
    </xf>
    <xf numFmtId="0" fontId="12" fillId="0" borderId="1" xfId="0" applyFont="1" applyFill="1" applyBorder="1" applyAlignment="1">
      <alignment vertical="center" wrapText="1"/>
    </xf>
    <xf numFmtId="0" fontId="12" fillId="0" borderId="2" xfId="0" applyFont="1" applyFill="1" applyBorder="1" applyAlignment="1">
      <alignment vertical="center"/>
    </xf>
    <xf numFmtId="0" fontId="18" fillId="0" borderId="1" xfId="0" applyFont="1" applyFill="1" applyBorder="1" applyAlignment="1">
      <alignment horizontal="center" vertical="center"/>
    </xf>
    <xf numFmtId="0" fontId="12" fillId="0" borderId="3" xfId="0" applyFont="1" applyFill="1" applyBorder="1" applyAlignment="1">
      <alignment horizontal="center" vertical="center" wrapText="1"/>
    </xf>
    <xf numFmtId="181" fontId="12" fillId="0" borderId="3" xfId="0" applyNumberFormat="1" applyFont="1" applyFill="1" applyBorder="1" applyAlignment="1">
      <alignment horizontal="center" vertical="center" wrapText="1"/>
    </xf>
    <xf numFmtId="173" fontId="12" fillId="0" borderId="3" xfId="0" applyNumberFormat="1" applyFont="1" applyFill="1" applyBorder="1" applyAlignment="1">
      <alignment horizontal="center" vertical="center" wrapText="1"/>
    </xf>
    <xf numFmtId="169" fontId="12" fillId="0" borderId="3" xfId="0" applyNumberFormat="1" applyFont="1" applyFill="1" applyBorder="1" applyAlignment="1">
      <alignment horizontal="center" vertical="center" wrapText="1"/>
    </xf>
    <xf numFmtId="171" fontId="12" fillId="0" borderId="4" xfId="1" applyNumberFormat="1" applyFont="1" applyFill="1" applyBorder="1" applyAlignment="1">
      <alignment horizontal="center" vertical="center" wrapText="1"/>
    </xf>
    <xf numFmtId="167" fontId="18" fillId="0" borderId="2" xfId="0" applyNumberFormat="1" applyFont="1" applyFill="1" applyBorder="1" applyAlignment="1">
      <alignment vertical="center"/>
    </xf>
    <xf numFmtId="166" fontId="18" fillId="0" borderId="2" xfId="8" applyNumberFormat="1" applyFont="1" applyFill="1" applyBorder="1" applyAlignment="1">
      <alignment horizontal="right" vertical="center" wrapText="1"/>
    </xf>
    <xf numFmtId="169" fontId="12" fillId="0" borderId="4" xfId="8" applyNumberFormat="1" applyFont="1" applyFill="1" applyBorder="1" applyAlignment="1">
      <alignment horizontal="center" vertical="center" wrapText="1"/>
    </xf>
    <xf numFmtId="166" fontId="12" fillId="0" borderId="4" xfId="8" applyNumberFormat="1" applyFont="1" applyFill="1" applyBorder="1" applyAlignment="1">
      <alignment horizontal="center" vertical="center" wrapText="1"/>
    </xf>
    <xf numFmtId="171" fontId="12" fillId="0" borderId="1" xfId="1" applyNumberFormat="1" applyFont="1" applyFill="1" applyBorder="1" applyAlignment="1">
      <alignment horizontal="center" vertical="center" wrapText="1"/>
    </xf>
    <xf numFmtId="166" fontId="12" fillId="0" borderId="1" xfId="8" applyNumberFormat="1" applyFont="1" applyFill="1" applyBorder="1" applyAlignment="1">
      <alignment horizontal="center" vertical="center" wrapText="1"/>
    </xf>
    <xf numFmtId="167" fontId="18" fillId="0" borderId="9" xfId="0" applyNumberFormat="1" applyFont="1" applyFill="1" applyBorder="1" applyAlignment="1">
      <alignment vertical="center"/>
    </xf>
    <xf numFmtId="0" fontId="18" fillId="0" borderId="9" xfId="0" applyFont="1" applyFill="1" applyBorder="1" applyAlignment="1">
      <alignment vertical="center" wrapText="1"/>
    </xf>
    <xf numFmtId="0" fontId="53" fillId="0" borderId="0" xfId="0" applyFont="1" applyFill="1" applyAlignment="1">
      <alignment vertical="center"/>
    </xf>
    <xf numFmtId="166" fontId="16" fillId="0" borderId="2" xfId="8" applyNumberFormat="1" applyFont="1" applyFill="1" applyBorder="1" applyAlignment="1">
      <alignment horizontal="center" vertical="center" wrapText="1"/>
    </xf>
    <xf numFmtId="166" fontId="52" fillId="0" borderId="0" xfId="0" applyNumberFormat="1" applyFont="1" applyFill="1" applyAlignment="1">
      <alignment vertical="center"/>
    </xf>
    <xf numFmtId="0" fontId="52" fillId="0" borderId="0" xfId="8" applyFont="1" applyFill="1" applyAlignment="1">
      <alignment vertical="center"/>
    </xf>
    <xf numFmtId="0" fontId="102" fillId="0" borderId="0" xfId="0" applyFont="1" applyAlignment="1"/>
    <xf numFmtId="166" fontId="18" fillId="0" borderId="9" xfId="8" applyNumberFormat="1" applyFont="1" applyFill="1" applyBorder="1" applyAlignment="1">
      <alignment horizontal="right" vertical="center" wrapText="1"/>
    </xf>
    <xf numFmtId="0" fontId="95" fillId="0" borderId="0" xfId="0" applyFont="1" applyFill="1" applyBorder="1" applyAlignment="1">
      <alignment horizontal="center" vertical="center"/>
    </xf>
    <xf numFmtId="166" fontId="31" fillId="0" borderId="33" xfId="8" applyNumberFormat="1" applyFont="1" applyFill="1" applyBorder="1" applyAlignment="1">
      <alignment horizontal="center" vertical="center"/>
    </xf>
    <xf numFmtId="0" fontId="18" fillId="0" borderId="2" xfId="0" quotePrefix="1" applyFont="1" applyFill="1" applyBorder="1" applyAlignment="1">
      <alignment vertical="center"/>
    </xf>
    <xf numFmtId="0" fontId="18" fillId="0" borderId="2" xfId="0" quotePrefix="1" applyFont="1" applyFill="1" applyBorder="1" applyAlignment="1">
      <alignment vertical="center" wrapText="1"/>
    </xf>
    <xf numFmtId="181" fontId="18" fillId="0" borderId="2" xfId="0" applyNumberFormat="1" applyFont="1" applyFill="1" applyBorder="1" applyAlignment="1">
      <alignment vertical="center"/>
    </xf>
    <xf numFmtId="173" fontId="18" fillId="0" borderId="2" xfId="1" applyNumberFormat="1" applyFont="1" applyFill="1" applyBorder="1" applyAlignment="1">
      <alignment vertical="center"/>
    </xf>
    <xf numFmtId="166" fontId="18" fillId="0" borderId="2" xfId="0" applyNumberFormat="1" applyFont="1" applyFill="1" applyBorder="1" applyAlignment="1">
      <alignment horizontal="right" vertical="center" wrapText="1"/>
    </xf>
    <xf numFmtId="166" fontId="12" fillId="0" borderId="2" xfId="0" applyNumberFormat="1" applyFont="1" applyFill="1" applyBorder="1" applyAlignment="1">
      <alignment horizontal="right" vertical="center" wrapText="1"/>
    </xf>
    <xf numFmtId="0" fontId="12" fillId="0" borderId="2" xfId="0" quotePrefix="1" applyFont="1" applyFill="1" applyBorder="1" applyAlignment="1">
      <alignment vertical="center"/>
    </xf>
    <xf numFmtId="0" fontId="12" fillId="0" borderId="2" xfId="0" quotePrefix="1" applyFont="1" applyFill="1" applyBorder="1" applyAlignment="1">
      <alignment vertical="center" wrapText="1"/>
    </xf>
    <xf numFmtId="0" fontId="12" fillId="0" borderId="0" xfId="0" applyFont="1" applyFill="1" applyAlignment="1">
      <alignment horizontal="center" vertical="center"/>
    </xf>
    <xf numFmtId="0" fontId="12" fillId="0" borderId="0" xfId="0" applyFont="1" applyFill="1" applyAlignment="1">
      <alignment horizontal="center" vertical="center" wrapText="1"/>
    </xf>
    <xf numFmtId="0" fontId="18" fillId="0" borderId="9" xfId="0" quotePrefix="1" applyFont="1" applyFill="1" applyBorder="1" applyAlignment="1">
      <alignment vertical="center"/>
    </xf>
    <xf numFmtId="181" fontId="12" fillId="0" borderId="2" xfId="0" applyNumberFormat="1" applyFont="1" applyFill="1" applyBorder="1" applyAlignment="1">
      <alignment horizontal="center" vertical="center" wrapText="1"/>
    </xf>
    <xf numFmtId="169" fontId="12" fillId="0" borderId="2" xfId="0" applyNumberFormat="1" applyFont="1" applyFill="1" applyBorder="1" applyAlignment="1">
      <alignment horizontal="center" vertical="center" wrapText="1"/>
    </xf>
    <xf numFmtId="173" fontId="12" fillId="0" borderId="2" xfId="1" applyNumberFormat="1" applyFont="1" applyFill="1" applyBorder="1" applyAlignment="1">
      <alignment horizontal="right" vertical="center" wrapText="1"/>
    </xf>
    <xf numFmtId="166" fontId="34" fillId="0" borderId="2" xfId="0" applyNumberFormat="1" applyFont="1" applyFill="1" applyBorder="1" applyAlignment="1">
      <alignment horizontal="right" vertical="center" wrapText="1"/>
    </xf>
    <xf numFmtId="173" fontId="12" fillId="0" borderId="2" xfId="1" applyNumberFormat="1" applyFont="1" applyFill="1" applyBorder="1" applyAlignment="1">
      <alignment vertical="center"/>
    </xf>
    <xf numFmtId="181" fontId="12" fillId="0" borderId="2" xfId="0" applyNumberFormat="1" applyFont="1" applyFill="1" applyBorder="1" applyAlignment="1">
      <alignment vertical="center"/>
    </xf>
    <xf numFmtId="173" fontId="18" fillId="0" borderId="2" xfId="1" applyNumberFormat="1" applyFont="1" applyFill="1" applyBorder="1" applyAlignment="1">
      <alignment horizontal="right" vertical="center" wrapText="1"/>
    </xf>
    <xf numFmtId="181" fontId="18" fillId="0" borderId="9" xfId="0" applyNumberFormat="1" applyFont="1" applyFill="1" applyBorder="1" applyAlignment="1">
      <alignment vertical="center"/>
    </xf>
    <xf numFmtId="173" fontId="18" fillId="0" borderId="9" xfId="1" applyNumberFormat="1" applyFont="1" applyFill="1" applyBorder="1" applyAlignment="1">
      <alignment vertical="center"/>
    </xf>
    <xf numFmtId="166" fontId="18" fillId="0" borderId="9" xfId="0" applyNumberFormat="1" applyFont="1" applyFill="1" applyBorder="1" applyAlignment="1">
      <alignment horizontal="right" vertical="center" wrapText="1"/>
    </xf>
    <xf numFmtId="0" fontId="18" fillId="0" borderId="0" xfId="0" applyFont="1" applyFill="1" applyAlignment="1">
      <alignment horizontal="center" vertical="center"/>
    </xf>
    <xf numFmtId="0" fontId="18" fillId="0" borderId="0" xfId="0" applyFont="1" applyFill="1" applyAlignment="1">
      <alignment horizontal="left" vertical="center"/>
    </xf>
    <xf numFmtId="0" fontId="12" fillId="0" borderId="0" xfId="10" applyFont="1" applyFill="1" applyAlignment="1">
      <alignment horizontal="center"/>
    </xf>
    <xf numFmtId="181" fontId="12" fillId="0" borderId="0" xfId="10" applyNumberFormat="1" applyFont="1" applyFill="1"/>
    <xf numFmtId="173" fontId="12" fillId="0" borderId="0" xfId="10" applyNumberFormat="1" applyFont="1" applyFill="1"/>
    <xf numFmtId="0" fontId="12" fillId="0" borderId="0" xfId="10" applyFont="1" applyFill="1"/>
    <xf numFmtId="181" fontId="18" fillId="0" borderId="0" xfId="0" applyNumberFormat="1" applyFont="1" applyFill="1" applyAlignment="1">
      <alignment vertical="center"/>
    </xf>
    <xf numFmtId="173" fontId="18" fillId="0" borderId="0" xfId="0" applyNumberFormat="1" applyFont="1" applyFill="1" applyAlignment="1">
      <alignment horizontal="right" vertical="center"/>
    </xf>
    <xf numFmtId="169" fontId="18" fillId="0" borderId="0" xfId="0" applyNumberFormat="1" applyFont="1" applyFill="1" applyAlignment="1">
      <alignment vertical="center"/>
    </xf>
    <xf numFmtId="166" fontId="34" fillId="0" borderId="2" xfId="0" applyNumberFormat="1" applyFont="1" applyFill="1" applyBorder="1" applyAlignment="1">
      <alignment horizontal="right" vertical="center"/>
    </xf>
    <xf numFmtId="3" fontId="53" fillId="0" borderId="0" xfId="0" applyNumberFormat="1" applyFont="1" applyFill="1" applyBorder="1" applyAlignment="1">
      <alignment vertical="center"/>
    </xf>
    <xf numFmtId="0" fontId="18" fillId="0" borderId="3" xfId="0" applyFont="1" applyBorder="1"/>
    <xf numFmtId="0" fontId="18" fillId="0" borderId="3" xfId="0" applyFont="1" applyBorder="1" applyAlignment="1">
      <alignment horizontal="center"/>
    </xf>
    <xf numFmtId="0" fontId="12" fillId="0" borderId="3" xfId="0" applyFont="1" applyBorder="1" applyAlignment="1">
      <alignment horizontal="center"/>
    </xf>
    <xf numFmtId="0" fontId="12" fillId="0" borderId="3" xfId="0" applyFont="1" applyBorder="1"/>
    <xf numFmtId="0" fontId="10" fillId="0" borderId="3" xfId="0" applyFont="1" applyBorder="1" applyAlignment="1">
      <alignment horizontal="center"/>
    </xf>
    <xf numFmtId="0" fontId="16" fillId="0" borderId="0" xfId="8" applyFont="1" applyFill="1" applyAlignment="1">
      <alignment horizontal="center" vertical="center"/>
    </xf>
    <xf numFmtId="3" fontId="53" fillId="0" borderId="0" xfId="0" applyNumberFormat="1" applyFont="1" applyFill="1" applyBorder="1" applyAlignment="1">
      <alignment horizontal="center" vertical="center"/>
    </xf>
    <xf numFmtId="0" fontId="10" fillId="0" borderId="3" xfId="0" applyFont="1" applyBorder="1"/>
    <xf numFmtId="0" fontId="11" fillId="0" borderId="3" xfId="0" applyFont="1" applyBorder="1" applyAlignment="1">
      <alignment wrapText="1"/>
    </xf>
    <xf numFmtId="0" fontId="11" fillId="0" borderId="3" xfId="0" applyFont="1" applyBorder="1" applyAlignment="1">
      <alignment horizontal="center" vertical="center"/>
    </xf>
    <xf numFmtId="0" fontId="10" fillId="0" borderId="3" xfId="0" applyFont="1" applyBorder="1" applyAlignment="1">
      <alignment horizontal="center"/>
    </xf>
    <xf numFmtId="0" fontId="12" fillId="0" borderId="3" xfId="0" applyFont="1" applyBorder="1" applyAlignment="1">
      <alignment vertical="center"/>
    </xf>
    <xf numFmtId="0" fontId="18" fillId="0" borderId="3" xfId="0" applyFont="1" applyBorder="1" applyAlignment="1">
      <alignment vertical="center"/>
    </xf>
    <xf numFmtId="0" fontId="18" fillId="0" borderId="3" xfId="0" applyFont="1" applyFill="1" applyBorder="1" applyAlignment="1">
      <alignment vertical="center"/>
    </xf>
    <xf numFmtId="0" fontId="18" fillId="0" borderId="3" xfId="0" applyFont="1" applyFill="1" applyBorder="1" applyAlignment="1">
      <alignment horizontal="center" vertical="center"/>
    </xf>
    <xf numFmtId="0" fontId="18" fillId="0" borderId="3" xfId="0" quotePrefix="1" applyFont="1" applyFill="1" applyBorder="1" applyAlignment="1">
      <alignment vertical="center"/>
    </xf>
    <xf numFmtId="0" fontId="10" fillId="0" borderId="3" xfId="0" applyFont="1" applyBorder="1" applyAlignment="1">
      <alignment vertical="center"/>
    </xf>
    <xf numFmtId="0" fontId="18" fillId="0" borderId="3" xfId="0" applyFont="1" applyBorder="1" applyAlignment="1">
      <alignment vertical="center" wrapText="1"/>
    </xf>
    <xf numFmtId="0" fontId="11" fillId="0" borderId="3" xfId="0" applyFont="1" applyFill="1" applyBorder="1"/>
    <xf numFmtId="0" fontId="11" fillId="0" borderId="3" xfId="0" applyFont="1" applyFill="1" applyBorder="1" applyAlignment="1">
      <alignment horizontal="center"/>
    </xf>
    <xf numFmtId="0" fontId="18" fillId="0" borderId="0" xfId="0" applyFont="1" applyFill="1" applyBorder="1" applyAlignment="1">
      <alignment vertical="center"/>
    </xf>
    <xf numFmtId="3" fontId="103" fillId="0" borderId="0" xfId="0" applyNumberFormat="1" applyFont="1" applyBorder="1" applyAlignment="1">
      <alignment vertical="center" wrapText="1"/>
    </xf>
    <xf numFmtId="0" fontId="31" fillId="0" borderId="3" xfId="0" applyFont="1" applyBorder="1" applyAlignment="1">
      <alignment vertical="center" wrapText="1"/>
    </xf>
    <xf numFmtId="0" fontId="18" fillId="0" borderId="3" xfId="0" applyFont="1" applyFill="1" applyBorder="1" applyAlignment="1">
      <alignment vertical="center" wrapText="1"/>
    </xf>
    <xf numFmtId="0" fontId="8" fillId="0" borderId="0" xfId="8" applyFont="1" applyFill="1" applyAlignment="1">
      <alignment horizontal="center" vertical="center"/>
    </xf>
    <xf numFmtId="166" fontId="13" fillId="0" borderId="3" xfId="8" applyNumberFormat="1" applyFont="1" applyFill="1" applyBorder="1" applyAlignment="1">
      <alignment horizontal="center" vertical="center" wrapText="1"/>
    </xf>
    <xf numFmtId="169" fontId="13" fillId="0" borderId="3" xfId="8" applyNumberFormat="1" applyFont="1" applyFill="1" applyBorder="1" applyAlignment="1">
      <alignment horizontal="center" vertical="center" wrapText="1"/>
    </xf>
    <xf numFmtId="3" fontId="13" fillId="0" borderId="3" xfId="8" applyNumberFormat="1" applyFont="1" applyFill="1" applyBorder="1" applyAlignment="1">
      <alignment horizontal="center" vertical="center"/>
    </xf>
    <xf numFmtId="167" fontId="13" fillId="0" borderId="3" xfId="8" applyNumberFormat="1" applyFont="1" applyFill="1" applyBorder="1" applyAlignment="1">
      <alignment horizontal="center" vertical="center"/>
    </xf>
    <xf numFmtId="169" fontId="13" fillId="0" borderId="3" xfId="8" applyNumberFormat="1" applyFont="1" applyFill="1" applyBorder="1" applyAlignment="1">
      <alignment horizontal="center" vertical="center"/>
    </xf>
    <xf numFmtId="0" fontId="5" fillId="0" borderId="3" xfId="0" applyFont="1" applyFill="1" applyBorder="1" applyAlignment="1">
      <alignment vertical="center"/>
    </xf>
    <xf numFmtId="167" fontId="13" fillId="0" borderId="3" xfId="8" applyNumberFormat="1" applyFont="1" applyFill="1" applyBorder="1" applyAlignment="1">
      <alignment horizontal="center" vertical="center" wrapText="1"/>
    </xf>
    <xf numFmtId="0" fontId="13" fillId="0" borderId="26" xfId="0" applyFont="1" applyFill="1" applyBorder="1" applyAlignment="1">
      <alignment horizontal="center" vertical="center"/>
    </xf>
    <xf numFmtId="0" fontId="5" fillId="0" borderId="26" xfId="0" applyFont="1" applyFill="1" applyBorder="1" applyAlignment="1">
      <alignment horizontal="center" vertical="center"/>
    </xf>
    <xf numFmtId="0" fontId="13" fillId="0" borderId="26" xfId="0" applyFont="1" applyFill="1" applyBorder="1" applyAlignment="1">
      <alignment vertical="center" wrapText="1"/>
    </xf>
    <xf numFmtId="164" fontId="105" fillId="0" borderId="26" xfId="0" applyNumberFormat="1" applyFont="1" applyFill="1" applyBorder="1" applyAlignment="1">
      <alignment horizontal="right" vertical="center"/>
    </xf>
    <xf numFmtId="3" fontId="5" fillId="0" borderId="26" xfId="8" applyNumberFormat="1" applyFont="1" applyFill="1" applyBorder="1" applyAlignment="1">
      <alignment horizontal="center" vertical="center" wrapText="1"/>
    </xf>
    <xf numFmtId="167" fontId="5" fillId="0" borderId="26" xfId="8" applyNumberFormat="1" applyFont="1" applyFill="1" applyBorder="1" applyAlignment="1">
      <alignment horizontal="center" vertical="center" wrapText="1"/>
    </xf>
    <xf numFmtId="173" fontId="5" fillId="0" borderId="26" xfId="1" applyNumberFormat="1" applyFont="1" applyFill="1" applyBorder="1" applyAlignment="1">
      <alignment horizontal="center" vertical="center" wrapText="1"/>
    </xf>
    <xf numFmtId="171" fontId="5" fillId="0" borderId="26" xfId="1" applyNumberFormat="1" applyFont="1" applyFill="1" applyBorder="1" applyAlignment="1">
      <alignment vertical="center"/>
    </xf>
    <xf numFmtId="166" fontId="5" fillId="0" borderId="26" xfId="8" applyNumberFormat="1" applyFont="1" applyFill="1" applyBorder="1" applyAlignment="1">
      <alignment horizontal="center" vertical="center" wrapText="1"/>
    </xf>
    <xf numFmtId="0" fontId="13" fillId="0" borderId="2" xfId="0" applyFont="1" applyFill="1" applyBorder="1" applyAlignment="1">
      <alignment horizontal="center" vertical="center"/>
    </xf>
    <xf numFmtId="0" fontId="5" fillId="0" borderId="2" xfId="0" applyFont="1" applyFill="1" applyBorder="1" applyAlignment="1">
      <alignment horizontal="center" vertical="center"/>
    </xf>
    <xf numFmtId="164" fontId="105" fillId="0" borderId="2" xfId="0" applyNumberFormat="1" applyFont="1" applyFill="1" applyBorder="1" applyAlignment="1">
      <alignment horizontal="right" vertical="center"/>
    </xf>
    <xf numFmtId="3" fontId="13" fillId="0" borderId="2" xfId="8" applyNumberFormat="1" applyFont="1" applyFill="1" applyBorder="1" applyAlignment="1">
      <alignment horizontal="right" vertical="center" wrapText="1"/>
    </xf>
    <xf numFmtId="167" fontId="5" fillId="0" borderId="2" xfId="8" applyNumberFormat="1" applyFont="1" applyFill="1" applyBorder="1" applyAlignment="1">
      <alignment horizontal="center" vertical="center" wrapText="1"/>
    </xf>
    <xf numFmtId="173" fontId="5" fillId="0" borderId="2" xfId="1" applyNumberFormat="1" applyFont="1" applyFill="1" applyBorder="1" applyAlignment="1">
      <alignment horizontal="center" vertical="center" wrapText="1"/>
    </xf>
    <xf numFmtId="171" fontId="5" fillId="0" borderId="2" xfId="1" applyNumberFormat="1" applyFont="1" applyFill="1" applyBorder="1" applyAlignment="1">
      <alignment vertical="center"/>
    </xf>
    <xf numFmtId="166" fontId="5" fillId="0" borderId="2" xfId="8" applyNumberFormat="1" applyFont="1" applyFill="1" applyBorder="1" applyAlignment="1">
      <alignment horizontal="center" vertical="center" wrapText="1"/>
    </xf>
    <xf numFmtId="3" fontId="5" fillId="0" borderId="2" xfId="8" applyNumberFormat="1" applyFont="1" applyFill="1" applyBorder="1" applyAlignment="1">
      <alignment horizontal="right" vertical="center" wrapText="1"/>
    </xf>
    <xf numFmtId="173" fontId="5" fillId="0" borderId="2" xfId="1" applyNumberFormat="1" applyFont="1" applyFill="1" applyBorder="1" applyAlignment="1">
      <alignment vertical="center"/>
    </xf>
    <xf numFmtId="3" fontId="5" fillId="0" borderId="2" xfId="0" applyNumberFormat="1" applyFont="1" applyFill="1" applyBorder="1" applyAlignment="1">
      <alignment vertical="center"/>
    </xf>
    <xf numFmtId="173" fontId="5" fillId="0" borderId="2" xfId="1" applyNumberFormat="1" applyFont="1" applyFill="1" applyBorder="1" applyAlignment="1">
      <alignment horizontal="right" vertical="center" wrapText="1"/>
    </xf>
    <xf numFmtId="0" fontId="5" fillId="0" borderId="2" xfId="0" applyFont="1" applyFill="1" applyBorder="1" applyAlignment="1">
      <alignment horizontal="center" vertical="center" wrapText="1"/>
    </xf>
    <xf numFmtId="0" fontId="5" fillId="0" borderId="9" xfId="0" applyFont="1" applyFill="1" applyBorder="1" applyAlignment="1">
      <alignment horizontal="center" vertical="center"/>
    </xf>
    <xf numFmtId="0" fontId="5" fillId="0" borderId="9" xfId="0" applyFont="1" applyFill="1" applyBorder="1" applyAlignment="1">
      <alignment horizontal="center" vertical="center" wrapText="1"/>
    </xf>
    <xf numFmtId="164" fontId="105" fillId="0" borderId="9" xfId="0" applyNumberFormat="1" applyFont="1" applyFill="1" applyBorder="1" applyAlignment="1">
      <alignment horizontal="right" vertical="center"/>
    </xf>
    <xf numFmtId="3" fontId="5" fillId="0" borderId="9" xfId="8" applyNumberFormat="1" applyFont="1" applyFill="1" applyBorder="1" applyAlignment="1">
      <alignment horizontal="right" vertical="center" wrapText="1"/>
    </xf>
    <xf numFmtId="167" fontId="5" fillId="0" borderId="9" xfId="8" applyNumberFormat="1" applyFont="1" applyFill="1" applyBorder="1" applyAlignment="1">
      <alignment horizontal="center" vertical="center" wrapText="1"/>
    </xf>
    <xf numFmtId="173" fontId="5" fillId="0" borderId="9" xfId="1" applyNumberFormat="1" applyFont="1" applyFill="1" applyBorder="1" applyAlignment="1">
      <alignment horizontal="center" vertical="center" wrapText="1"/>
    </xf>
    <xf numFmtId="173" fontId="5" fillId="0" borderId="9" xfId="1" applyNumberFormat="1" applyFont="1" applyFill="1" applyBorder="1" applyAlignment="1">
      <alignment vertical="center"/>
    </xf>
    <xf numFmtId="3" fontId="5" fillId="0" borderId="9" xfId="0" applyNumberFormat="1" applyFont="1" applyFill="1" applyBorder="1" applyAlignment="1">
      <alignment vertical="center"/>
    </xf>
    <xf numFmtId="0" fontId="13" fillId="0" borderId="2" xfId="0" applyFont="1" applyFill="1" applyBorder="1" applyAlignment="1">
      <alignment horizontal="justify" vertical="center" wrapText="1"/>
    </xf>
    <xf numFmtId="0" fontId="5" fillId="0" borderId="2" xfId="0" applyFont="1" applyFill="1" applyBorder="1" applyAlignment="1">
      <alignment horizontal="justify" vertical="center" wrapText="1"/>
    </xf>
    <xf numFmtId="0" fontId="5" fillId="0" borderId="2" xfId="0" applyFont="1" applyFill="1" applyBorder="1" applyAlignment="1">
      <alignment horizontal="justify" vertical="center"/>
    </xf>
    <xf numFmtId="0" fontId="5" fillId="0" borderId="9" xfId="0" applyFont="1" applyFill="1" applyBorder="1" applyAlignment="1">
      <alignment horizontal="justify" vertical="center"/>
    </xf>
    <xf numFmtId="0" fontId="10" fillId="0" borderId="0" xfId="0" applyFont="1" applyAlignment="1">
      <alignment horizontal="center" vertical="center"/>
    </xf>
    <xf numFmtId="0" fontId="10" fillId="0" borderId="0" xfId="0" applyFont="1" applyAlignment="1">
      <alignment horizontal="center" vertical="center" wrapText="1"/>
    </xf>
    <xf numFmtId="0" fontId="4" fillId="0" borderId="49" xfId="0" applyNumberFormat="1" applyFont="1" applyFill="1" applyBorder="1" applyAlignment="1">
      <alignment horizontal="center" vertical="center"/>
    </xf>
    <xf numFmtId="0" fontId="4" fillId="0" borderId="50" xfId="0" applyNumberFormat="1" applyFont="1" applyFill="1" applyBorder="1" applyAlignment="1">
      <alignment horizontal="center" vertical="center"/>
    </xf>
    <xf numFmtId="0" fontId="4" fillId="0" borderId="51" xfId="0" applyNumberFormat="1" applyFont="1" applyFill="1" applyBorder="1" applyAlignment="1">
      <alignment horizontal="center" vertical="center"/>
    </xf>
    <xf numFmtId="0" fontId="4" fillId="0" borderId="46" xfId="0" applyNumberFormat="1" applyFont="1" applyFill="1" applyBorder="1" applyAlignment="1">
      <alignment horizontal="center" vertical="center"/>
    </xf>
    <xf numFmtId="0" fontId="4" fillId="0" borderId="47" xfId="0" applyNumberFormat="1" applyFont="1" applyFill="1" applyBorder="1" applyAlignment="1">
      <alignment horizontal="center" vertical="center"/>
    </xf>
    <xf numFmtId="0" fontId="4" fillId="0" borderId="48" xfId="0" applyNumberFormat="1" applyFont="1" applyFill="1" applyBorder="1" applyAlignment="1">
      <alignment horizontal="center" vertical="center"/>
    </xf>
    <xf numFmtId="0" fontId="9" fillId="0" borderId="29" xfId="0" applyFont="1" applyFill="1" applyBorder="1" applyAlignment="1">
      <alignment horizontal="center" vertical="center"/>
    </xf>
    <xf numFmtId="0" fontId="9" fillId="0" borderId="30" xfId="0" applyFont="1" applyFill="1" applyBorder="1" applyAlignment="1">
      <alignment horizontal="center" vertical="center"/>
    </xf>
    <xf numFmtId="0" fontId="9" fillId="0" borderId="31" xfId="0" applyFont="1" applyFill="1" applyBorder="1" applyAlignment="1">
      <alignment horizontal="center" vertical="center"/>
    </xf>
    <xf numFmtId="0" fontId="42" fillId="0" borderId="0" xfId="0" applyNumberFormat="1" applyFont="1" applyFill="1" applyAlignment="1">
      <alignment horizontal="center"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1" xfId="0" applyFont="1" applyFill="1" applyBorder="1" applyAlignment="1">
      <alignment horizontal="center" vertical="center"/>
    </xf>
    <xf numFmtId="0" fontId="10" fillId="0" borderId="0" xfId="0" applyNumberFormat="1" applyFont="1" applyFill="1" applyAlignment="1">
      <alignment horizontal="center" vertical="center" wrapText="1"/>
    </xf>
    <xf numFmtId="0" fontId="3" fillId="0" borderId="3" xfId="0" applyNumberFormat="1" applyFont="1" applyFill="1" applyBorder="1" applyAlignment="1">
      <alignment horizontal="center" vertical="center" wrapText="1"/>
    </xf>
    <xf numFmtId="0" fontId="7" fillId="0" borderId="3" xfId="0" applyFont="1" applyFill="1" applyBorder="1"/>
    <xf numFmtId="0" fontId="8" fillId="0" borderId="0" xfId="0" applyFont="1" applyFill="1" applyAlignment="1">
      <alignment horizontal="left"/>
    </xf>
    <xf numFmtId="0" fontId="31" fillId="0" borderId="0" xfId="0" applyFont="1" applyFill="1" applyAlignment="1">
      <alignment horizontal="center" vertical="center"/>
    </xf>
    <xf numFmtId="0" fontId="4" fillId="0" borderId="37" xfId="0" applyNumberFormat="1" applyFont="1" applyFill="1" applyBorder="1" applyAlignment="1">
      <alignment horizontal="center" vertical="center"/>
    </xf>
    <xf numFmtId="0" fontId="4" fillId="0" borderId="35" xfId="0" applyNumberFormat="1" applyFont="1" applyFill="1" applyBorder="1" applyAlignment="1">
      <alignment horizontal="center" vertical="center"/>
    </xf>
    <xf numFmtId="0" fontId="4" fillId="0" borderId="36" xfId="0" applyNumberFormat="1" applyFont="1" applyFill="1" applyBorder="1" applyAlignment="1">
      <alignment horizontal="center" vertical="center"/>
    </xf>
    <xf numFmtId="0" fontId="3" fillId="0" borderId="29" xfId="8" applyFont="1" applyFill="1" applyBorder="1" applyAlignment="1">
      <alignment horizontal="center" vertical="center"/>
    </xf>
    <xf numFmtId="0" fontId="3" fillId="0" borderId="30" xfId="8" applyFont="1" applyFill="1" applyBorder="1" applyAlignment="1">
      <alignment horizontal="center" vertical="center"/>
    </xf>
    <xf numFmtId="0" fontId="3" fillId="0" borderId="31" xfId="8" applyFont="1" applyFill="1" applyBorder="1" applyAlignment="1">
      <alignment horizontal="center" vertical="center"/>
    </xf>
    <xf numFmtId="0" fontId="42" fillId="0" borderId="0" xfId="0" applyFont="1" applyFill="1" applyAlignment="1">
      <alignment horizontal="center" vertical="center"/>
    </xf>
    <xf numFmtId="2" fontId="12" fillId="0" borderId="0" xfId="0" applyNumberFormat="1" applyFont="1" applyFill="1" applyAlignment="1">
      <alignment horizontal="center" vertical="top"/>
    </xf>
    <xf numFmtId="2" fontId="12" fillId="0" borderId="0" xfId="0" applyNumberFormat="1" applyFont="1" applyFill="1" applyBorder="1" applyAlignment="1">
      <alignment horizontal="center" vertical="top"/>
    </xf>
    <xf numFmtId="0" fontId="33" fillId="0" borderId="27" xfId="0" applyFont="1" applyFill="1" applyBorder="1" applyAlignment="1">
      <alignment horizontal="center" vertical="center"/>
    </xf>
    <xf numFmtId="0" fontId="33" fillId="0" borderId="0" xfId="0" applyFont="1" applyFill="1" applyBorder="1" applyAlignment="1">
      <alignment horizontal="center" vertical="center"/>
    </xf>
    <xf numFmtId="0" fontId="33" fillId="0" borderId="17" xfId="0" applyFont="1" applyFill="1" applyBorder="1" applyAlignment="1">
      <alignment horizontal="center" vertical="center"/>
    </xf>
    <xf numFmtId="0" fontId="32" fillId="0" borderId="52" xfId="0" applyFont="1" applyFill="1" applyBorder="1" applyAlignment="1">
      <alignment horizontal="center" vertical="center"/>
    </xf>
    <xf numFmtId="0" fontId="32" fillId="0" borderId="53" xfId="0" applyFont="1" applyFill="1" applyBorder="1" applyAlignment="1">
      <alignment horizontal="center" vertical="center"/>
    </xf>
    <xf numFmtId="0" fontId="32" fillId="0" borderId="11" xfId="0" applyFont="1" applyFill="1" applyBorder="1" applyAlignment="1">
      <alignment horizontal="center" vertical="center"/>
    </xf>
    <xf numFmtId="0" fontId="32" fillId="0" borderId="27" xfId="0" applyFont="1" applyFill="1" applyBorder="1" applyAlignment="1">
      <alignment horizontal="center" vertical="center"/>
    </xf>
    <xf numFmtId="0" fontId="32" fillId="0" borderId="0" xfId="0" applyFont="1" applyFill="1" applyBorder="1" applyAlignment="1">
      <alignment horizontal="center" vertical="center"/>
    </xf>
    <xf numFmtId="0" fontId="32" fillId="0" borderId="17" xfId="0" applyFont="1" applyFill="1" applyBorder="1" applyAlignment="1">
      <alignment horizontal="center" vertical="center"/>
    </xf>
    <xf numFmtId="2" fontId="12" fillId="0" borderId="0" xfId="0" applyNumberFormat="1" applyFont="1" applyFill="1" applyBorder="1" applyAlignment="1">
      <alignment horizontal="center" vertical="top" wrapText="1"/>
    </xf>
    <xf numFmtId="0" fontId="10" fillId="0" borderId="0" xfId="0" applyFont="1" applyFill="1" applyAlignment="1">
      <alignment horizontal="center" vertical="center"/>
    </xf>
    <xf numFmtId="0" fontId="95" fillId="0" borderId="0" xfId="0" applyFont="1" applyFill="1" applyAlignment="1">
      <alignment horizontal="right" vertical="center"/>
    </xf>
    <xf numFmtId="0" fontId="3" fillId="0" borderId="0" xfId="0" applyFont="1" applyFill="1" applyAlignment="1">
      <alignment horizontal="center" vertical="center" wrapText="1"/>
    </xf>
    <xf numFmtId="0" fontId="8" fillId="0" borderId="0" xfId="0" applyFont="1" applyFill="1" applyAlignment="1">
      <alignment horizontal="center" vertical="center"/>
    </xf>
    <xf numFmtId="0" fontId="8" fillId="0" borderId="0" xfId="0" applyFont="1" applyAlignment="1">
      <alignment horizontal="center" vertical="center"/>
    </xf>
    <xf numFmtId="0" fontId="12" fillId="0" borderId="0" xfId="0" applyFont="1" applyAlignment="1">
      <alignment horizontal="center" vertical="center"/>
    </xf>
    <xf numFmtId="0" fontId="10" fillId="0" borderId="0" xfId="10" applyFont="1" applyAlignment="1">
      <alignment horizontal="center"/>
    </xf>
    <xf numFmtId="0" fontId="12" fillId="0" borderId="0" xfId="0" applyFont="1" applyFill="1" applyAlignment="1">
      <alignment horizontal="center" vertical="center"/>
    </xf>
    <xf numFmtId="0" fontId="13" fillId="0" borderId="1"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28" xfId="0" applyFont="1" applyFill="1" applyBorder="1" applyAlignment="1">
      <alignment horizontal="center" vertical="center" wrapText="1"/>
    </xf>
    <xf numFmtId="2" fontId="13" fillId="0" borderId="4" xfId="0" applyNumberFormat="1" applyFont="1" applyFill="1" applyBorder="1" applyAlignment="1">
      <alignment horizontal="center" vertical="center" wrapText="1"/>
    </xf>
    <xf numFmtId="2" fontId="13" fillId="0" borderId="28" xfId="0" applyNumberFormat="1" applyFont="1" applyFill="1" applyBorder="1" applyAlignment="1">
      <alignment horizontal="center" vertical="center" wrapText="1"/>
    </xf>
    <xf numFmtId="0" fontId="13" fillId="0" borderId="29" xfId="0" applyFont="1" applyFill="1" applyBorder="1" applyAlignment="1">
      <alignment horizontal="center" vertical="center" wrapText="1"/>
    </xf>
    <xf numFmtId="0" fontId="13" fillId="0" borderId="30" xfId="0" applyFont="1" applyFill="1" applyBorder="1" applyAlignment="1">
      <alignment horizontal="center" vertical="center" wrapText="1"/>
    </xf>
    <xf numFmtId="0" fontId="13" fillId="0" borderId="31" xfId="0" applyFont="1" applyFill="1" applyBorder="1" applyAlignment="1">
      <alignment horizontal="center" vertical="center" wrapText="1"/>
    </xf>
    <xf numFmtId="166" fontId="13" fillId="0" borderId="29" xfId="0" applyNumberFormat="1" applyFont="1" applyFill="1" applyBorder="1" applyAlignment="1">
      <alignment horizontal="center" vertical="center"/>
    </xf>
    <xf numFmtId="166" fontId="13" fillId="0" borderId="30" xfId="0" applyNumberFormat="1" applyFont="1" applyFill="1" applyBorder="1" applyAlignment="1">
      <alignment horizontal="center" vertical="center"/>
    </xf>
    <xf numFmtId="166" fontId="13" fillId="0" borderId="31" xfId="0" applyNumberFormat="1" applyFont="1" applyFill="1" applyBorder="1" applyAlignment="1">
      <alignment horizontal="center" vertical="center"/>
    </xf>
    <xf numFmtId="0" fontId="31" fillId="0" borderId="0" xfId="10" applyFont="1" applyAlignment="1">
      <alignment horizontal="center"/>
    </xf>
    <xf numFmtId="0" fontId="12" fillId="0" borderId="0" xfId="0" applyFont="1" applyFill="1" applyAlignment="1">
      <alignment horizontal="center" vertical="center" wrapText="1"/>
    </xf>
    <xf numFmtId="164" fontId="13" fillId="0" borderId="33" xfId="0" applyNumberFormat="1" applyFont="1" applyFill="1" applyBorder="1" applyAlignment="1">
      <alignment horizontal="center" vertical="center"/>
    </xf>
    <xf numFmtId="0" fontId="9" fillId="0" borderId="0" xfId="0" applyFont="1" applyFill="1" applyAlignment="1">
      <alignment horizontal="left" vertical="center"/>
    </xf>
    <xf numFmtId="0" fontId="9" fillId="0" borderId="0" xfId="0" applyFont="1" applyFill="1" applyBorder="1" applyAlignment="1">
      <alignment horizontal="left" vertical="center"/>
    </xf>
    <xf numFmtId="0" fontId="12" fillId="0" borderId="33" xfId="0" applyFont="1" applyFill="1" applyBorder="1" applyAlignment="1">
      <alignment horizontal="center" vertical="center"/>
    </xf>
    <xf numFmtId="2" fontId="12" fillId="0" borderId="33" xfId="0" applyNumberFormat="1" applyFont="1" applyFill="1" applyBorder="1" applyAlignment="1">
      <alignment horizontal="center" vertical="top" wrapText="1"/>
    </xf>
    <xf numFmtId="0" fontId="9" fillId="0" borderId="0" xfId="0" applyFont="1" applyFill="1" applyAlignment="1">
      <alignment horizontal="left" vertical="center" wrapText="1"/>
    </xf>
    <xf numFmtId="0" fontId="15" fillId="0" borderId="4" xfId="0" applyFont="1" applyFill="1" applyBorder="1" applyAlignment="1">
      <alignment horizontal="center" vertical="center" wrapText="1"/>
    </xf>
    <xf numFmtId="0" fontId="15" fillId="0" borderId="28" xfId="0" applyFont="1" applyFill="1" applyBorder="1" applyAlignment="1">
      <alignment horizontal="center" vertical="center" wrapText="1"/>
    </xf>
    <xf numFmtId="171" fontId="15" fillId="0" borderId="4" xfId="1" applyNumberFormat="1" applyFont="1" applyFill="1" applyBorder="1" applyAlignment="1">
      <alignment horizontal="center" vertical="center" wrapText="1"/>
    </xf>
    <xf numFmtId="171" fontId="15" fillId="0" borderId="28" xfId="1" applyNumberFormat="1" applyFont="1" applyFill="1" applyBorder="1" applyAlignment="1">
      <alignment horizontal="center" vertical="center" wrapText="1"/>
    </xf>
    <xf numFmtId="0" fontId="15" fillId="0" borderId="29" xfId="0" applyFont="1" applyFill="1" applyBorder="1" applyAlignment="1">
      <alignment horizontal="center" vertical="center" wrapText="1"/>
    </xf>
    <xf numFmtId="0" fontId="15" fillId="0" borderId="31" xfId="0" applyFont="1" applyFill="1" applyBorder="1" applyAlignment="1">
      <alignment horizontal="center" vertical="center" wrapText="1"/>
    </xf>
    <xf numFmtId="0" fontId="3" fillId="0" borderId="0" xfId="0" applyFont="1" applyFill="1" applyAlignment="1">
      <alignment horizontal="center" vertical="center"/>
    </xf>
    <xf numFmtId="0" fontId="3" fillId="0" borderId="0" xfId="0" applyFont="1" applyFill="1" applyBorder="1" applyAlignment="1">
      <alignment horizontal="center" vertical="center"/>
    </xf>
    <xf numFmtId="0" fontId="3" fillId="0" borderId="3" xfId="8" applyFont="1" applyFill="1" applyBorder="1" applyAlignment="1">
      <alignment horizontal="center" vertical="center"/>
    </xf>
    <xf numFmtId="166" fontId="52" fillId="0" borderId="0" xfId="0" applyNumberFormat="1" applyFont="1" applyFill="1" applyAlignment="1">
      <alignment horizontal="center" vertical="center"/>
    </xf>
    <xf numFmtId="0" fontId="10" fillId="0" borderId="0" xfId="10" applyFont="1" applyAlignment="1">
      <alignment horizontal="center" vertical="center"/>
    </xf>
    <xf numFmtId="0" fontId="52" fillId="0" borderId="0" xfId="8" applyFont="1" applyFill="1" applyAlignment="1">
      <alignment horizontal="center" vertical="center" wrapText="1"/>
    </xf>
    <xf numFmtId="0" fontId="102" fillId="0" borderId="0" xfId="0" applyFont="1" applyAlignment="1">
      <alignment horizontal="center" wrapText="1"/>
    </xf>
    <xf numFmtId="0" fontId="102" fillId="0" borderId="0" xfId="0" applyFont="1" applyAlignment="1">
      <alignment horizontal="center"/>
    </xf>
    <xf numFmtId="0" fontId="8" fillId="0" borderId="0" xfId="8" applyFont="1" applyFill="1" applyAlignment="1">
      <alignment horizontal="center" vertical="center" wrapText="1"/>
    </xf>
    <xf numFmtId="0" fontId="8" fillId="0" borderId="0" xfId="8" applyFont="1" applyFill="1" applyAlignment="1">
      <alignment horizontal="center" vertical="center"/>
    </xf>
    <xf numFmtId="0" fontId="7" fillId="0" borderId="0" xfId="8" applyFont="1" applyFill="1" applyBorder="1" applyAlignment="1">
      <alignment horizontal="center" vertical="center"/>
    </xf>
    <xf numFmtId="166" fontId="8" fillId="0" borderId="0" xfId="0" applyNumberFormat="1" applyFont="1" applyFill="1" applyAlignment="1">
      <alignment horizontal="center" vertical="center"/>
    </xf>
    <xf numFmtId="166" fontId="101" fillId="0" borderId="33" xfId="8" applyNumberFormat="1" applyFont="1" applyFill="1" applyBorder="1" applyAlignment="1">
      <alignment horizontal="center" vertical="center"/>
    </xf>
    <xf numFmtId="0" fontId="104" fillId="0" borderId="0" xfId="8" applyFont="1" applyFill="1" applyAlignment="1">
      <alignment horizontal="center" vertical="center" wrapText="1"/>
    </xf>
    <xf numFmtId="0" fontId="52" fillId="0" borderId="0" xfId="8" applyFont="1" applyFill="1" applyAlignment="1">
      <alignment horizontal="center" vertical="center"/>
    </xf>
    <xf numFmtId="0" fontId="7" fillId="0" borderId="33" xfId="8" applyFont="1" applyFill="1" applyBorder="1" applyAlignment="1">
      <alignment horizontal="center" vertical="center"/>
    </xf>
    <xf numFmtId="0" fontId="18" fillId="0" borderId="0" xfId="0" quotePrefix="1" applyFont="1" applyFill="1" applyAlignment="1">
      <alignment horizontal="left" vertical="top" wrapText="1"/>
    </xf>
    <xf numFmtId="0" fontId="18" fillId="0" borderId="0" xfId="0" applyFont="1" applyFill="1" applyAlignment="1">
      <alignment horizontal="left" vertical="top" wrapText="1"/>
    </xf>
    <xf numFmtId="0" fontId="8" fillId="0" borderId="0" xfId="0" applyFont="1" applyFill="1" applyAlignment="1">
      <alignment horizontal="center" vertical="center" wrapText="1"/>
    </xf>
    <xf numFmtId="0" fontId="31" fillId="0" borderId="0" xfId="10" applyFont="1" applyFill="1" applyAlignment="1">
      <alignment horizontal="center"/>
    </xf>
    <xf numFmtId="0" fontId="12" fillId="0" borderId="0" xfId="10" applyFont="1" applyFill="1" applyAlignment="1">
      <alignment horizontal="center"/>
    </xf>
    <xf numFmtId="0" fontId="18" fillId="0" borderId="0" xfId="0" applyFont="1" applyFill="1" applyBorder="1" applyAlignment="1">
      <alignment horizontal="left" vertical="center" wrapText="1"/>
    </xf>
    <xf numFmtId="0" fontId="18" fillId="0" borderId="0" xfId="0" applyFont="1" applyFill="1" applyBorder="1" applyAlignment="1">
      <alignment horizontal="left" vertical="center"/>
    </xf>
    <xf numFmtId="0" fontId="10" fillId="0" borderId="0" xfId="10" applyFont="1" applyBorder="1" applyAlignment="1">
      <alignment horizontal="center"/>
    </xf>
    <xf numFmtId="0" fontId="8" fillId="0" borderId="0" xfId="0" applyFont="1" applyAlignment="1">
      <alignment horizontal="center"/>
    </xf>
    <xf numFmtId="0" fontId="12" fillId="0" borderId="0" xfId="0" applyFont="1" applyAlignment="1">
      <alignment horizontal="center"/>
    </xf>
    <xf numFmtId="0" fontId="12" fillId="0" borderId="4" xfId="0" applyFont="1" applyBorder="1" applyAlignment="1">
      <alignment horizontal="center" vertical="center"/>
    </xf>
    <xf numFmtId="0" fontId="12" fillId="0" borderId="8" xfId="0" applyFont="1" applyBorder="1" applyAlignment="1">
      <alignment horizontal="center" vertical="center"/>
    </xf>
    <xf numFmtId="0" fontId="12" fillId="0" borderId="28" xfId="0" applyFont="1" applyBorder="1" applyAlignment="1">
      <alignment horizontal="center" vertical="center"/>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28" xfId="0" applyFont="1" applyBorder="1" applyAlignment="1">
      <alignment horizontal="center" vertical="center" wrapText="1"/>
    </xf>
    <xf numFmtId="0" fontId="12" fillId="5" borderId="3" xfId="6" applyFont="1" applyFill="1" applyBorder="1" applyAlignment="1">
      <alignment horizontal="center"/>
    </xf>
    <xf numFmtId="0" fontId="34" fillId="5" borderId="3" xfId="0" applyFont="1" applyFill="1" applyBorder="1" applyAlignment="1">
      <alignment horizontal="center" vertical="center"/>
    </xf>
    <xf numFmtId="0" fontId="12" fillId="5" borderId="3" xfId="0" applyFont="1" applyFill="1" applyBorder="1" applyAlignment="1">
      <alignment horizontal="center" vertical="center"/>
    </xf>
    <xf numFmtId="0" fontId="12" fillId="5" borderId="3" xfId="6" applyFont="1" applyFill="1" applyBorder="1" applyAlignment="1">
      <alignment horizontal="center" vertical="center"/>
    </xf>
    <xf numFmtId="0" fontId="34" fillId="5" borderId="3" xfId="0" applyFont="1" applyFill="1" applyBorder="1" applyAlignment="1">
      <alignment horizontal="center"/>
    </xf>
    <xf numFmtId="0" fontId="34" fillId="8" borderId="3" xfId="6" applyFont="1" applyFill="1" applyBorder="1" applyAlignment="1">
      <alignment horizontal="center" vertical="center"/>
    </xf>
    <xf numFmtId="0" fontId="76" fillId="5" borderId="3" xfId="0" applyFont="1" applyFill="1" applyBorder="1" applyAlignment="1">
      <alignment horizontal="right"/>
    </xf>
    <xf numFmtId="0" fontId="15" fillId="5" borderId="3" xfId="6" applyFont="1" applyFill="1" applyBorder="1" applyAlignment="1">
      <alignment horizontal="right" vertical="center"/>
    </xf>
    <xf numFmtId="0" fontId="76" fillId="5" borderId="3" xfId="0" applyFont="1" applyFill="1" applyBorder="1" applyAlignment="1">
      <alignment horizontal="right" vertical="center"/>
    </xf>
    <xf numFmtId="0" fontId="76" fillId="5" borderId="3" xfId="6" applyFont="1" applyFill="1" applyBorder="1" applyAlignment="1">
      <alignment horizontal="right" vertical="center"/>
    </xf>
    <xf numFmtId="0" fontId="15" fillId="5" borderId="3" xfId="0" applyFont="1" applyFill="1" applyBorder="1" applyAlignment="1">
      <alignment horizontal="right" vertical="center"/>
    </xf>
    <xf numFmtId="0" fontId="13" fillId="0" borderId="0" xfId="0" applyFont="1" applyAlignment="1">
      <alignment horizontal="center"/>
    </xf>
    <xf numFmtId="0" fontId="54" fillId="0" borderId="4" xfId="0" applyFont="1" applyBorder="1" applyAlignment="1">
      <alignment horizontal="center" vertical="center"/>
    </xf>
    <xf numFmtId="0" fontId="54" fillId="0" borderId="8" xfId="0" applyFont="1" applyBorder="1" applyAlignment="1">
      <alignment horizontal="center" vertical="center"/>
    </xf>
    <xf numFmtId="0" fontId="54" fillId="0" borderId="28" xfId="0" applyFont="1" applyBorder="1" applyAlignment="1">
      <alignment horizontal="center" vertical="center"/>
    </xf>
    <xf numFmtId="0" fontId="54" fillId="0" borderId="4" xfId="0" applyFont="1" applyBorder="1" applyAlignment="1">
      <alignment horizontal="center" vertical="center" wrapText="1"/>
    </xf>
    <xf numFmtId="0" fontId="54" fillId="0" borderId="8" xfId="0" applyFont="1" applyBorder="1" applyAlignment="1">
      <alignment horizontal="center" vertical="center" wrapText="1"/>
    </xf>
    <xf numFmtId="0" fontId="54" fillId="0" borderId="28" xfId="0" applyFont="1" applyBorder="1" applyAlignment="1">
      <alignment horizontal="center" vertical="center" wrapText="1"/>
    </xf>
    <xf numFmtId="0" fontId="54" fillId="0" borderId="29" xfId="0" applyFont="1" applyBorder="1" applyAlignment="1">
      <alignment horizontal="center" vertical="center" wrapText="1"/>
    </xf>
    <xf numFmtId="0" fontId="54" fillId="0" borderId="30" xfId="0" applyFont="1" applyBorder="1" applyAlignment="1">
      <alignment horizontal="center" vertical="center" wrapText="1"/>
    </xf>
    <xf numFmtId="0" fontId="54" fillId="0" borderId="31" xfId="0" applyFont="1" applyBorder="1" applyAlignment="1">
      <alignment horizontal="center" vertical="center" wrapText="1"/>
    </xf>
    <xf numFmtId="0" fontId="54" fillId="0" borderId="3" xfId="0" applyFont="1" applyBorder="1" applyAlignment="1">
      <alignment horizontal="center" vertical="center" wrapText="1"/>
    </xf>
    <xf numFmtId="0" fontId="76" fillId="5" borderId="3" xfId="0" applyFont="1" applyFill="1" applyBorder="1" applyAlignment="1">
      <alignment horizontal="center" vertical="center"/>
    </xf>
    <xf numFmtId="0" fontId="15" fillId="5" borderId="19" xfId="6" applyFont="1" applyFill="1" applyBorder="1" applyAlignment="1">
      <alignment horizontal="center"/>
    </xf>
    <xf numFmtId="0" fontId="15" fillId="5" borderId="54" xfId="6" applyFont="1" applyFill="1" applyBorder="1" applyAlignment="1">
      <alignment horizontal="center"/>
    </xf>
    <xf numFmtId="0" fontId="15" fillId="5" borderId="3" xfId="6" applyFont="1" applyFill="1" applyBorder="1" applyAlignment="1">
      <alignment horizontal="right"/>
    </xf>
    <xf numFmtId="0" fontId="54" fillId="0" borderId="19" xfId="0" applyFont="1" applyBorder="1" applyAlignment="1">
      <alignment horizontal="center" vertical="center" wrapText="1"/>
    </xf>
    <xf numFmtId="0" fontId="54" fillId="0" borderId="45" xfId="0" applyFont="1" applyBorder="1" applyAlignment="1">
      <alignment horizontal="center" vertical="center" wrapText="1"/>
    </xf>
    <xf numFmtId="0" fontId="54" fillId="0" borderId="54" xfId="0" applyFont="1" applyBorder="1" applyAlignment="1">
      <alignment horizontal="center" vertical="center" wrapText="1"/>
    </xf>
    <xf numFmtId="0" fontId="10" fillId="0" borderId="0" xfId="0" applyFont="1" applyBorder="1" applyAlignment="1">
      <alignment horizontal="center" vertical="center"/>
    </xf>
    <xf numFmtId="0" fontId="8" fillId="0" borderId="0" xfId="0" applyFont="1" applyFill="1" applyBorder="1" applyAlignment="1">
      <alignment horizontal="center"/>
    </xf>
    <xf numFmtId="0" fontId="10" fillId="0" borderId="3" xfId="7" applyFont="1" applyFill="1" applyBorder="1" applyAlignment="1">
      <alignment horizontal="center" vertical="center"/>
    </xf>
    <xf numFmtId="0" fontId="31" fillId="0" borderId="0" xfId="0" applyFont="1" applyBorder="1" applyAlignment="1">
      <alignment horizontal="center" vertical="center"/>
    </xf>
    <xf numFmtId="3" fontId="17" fillId="0" borderId="0" xfId="0" applyNumberFormat="1" applyFont="1" applyAlignment="1">
      <alignment horizontal="center" vertical="center"/>
    </xf>
    <xf numFmtId="3" fontId="20" fillId="0" borderId="0" xfId="0" applyNumberFormat="1" applyFont="1" applyAlignment="1">
      <alignment horizontal="center" vertical="center"/>
    </xf>
    <xf numFmtId="3" fontId="26" fillId="0" borderId="0" xfId="0" applyNumberFormat="1" applyFont="1" applyAlignment="1">
      <alignment horizontal="center" vertical="center"/>
    </xf>
    <xf numFmtId="0" fontId="73" fillId="0" borderId="4" xfId="5" applyFont="1" applyBorder="1" applyAlignment="1">
      <alignment horizontal="center" vertical="center"/>
    </xf>
    <xf numFmtId="0" fontId="86" fillId="0" borderId="3" xfId="7" applyFont="1" applyBorder="1" applyAlignment="1">
      <alignment horizontal="center" vertical="center"/>
    </xf>
    <xf numFmtId="0" fontId="8" fillId="0" borderId="0" xfId="0" applyFont="1" applyAlignment="1">
      <alignment horizontal="center" vertical="center" wrapText="1"/>
    </xf>
    <xf numFmtId="0" fontId="12" fillId="0" borderId="29" xfId="6" applyFont="1" applyBorder="1" applyAlignment="1">
      <alignment horizontal="center"/>
    </xf>
    <xf numFmtId="0" fontId="12" fillId="0" borderId="31" xfId="6" applyFont="1" applyBorder="1" applyAlignment="1">
      <alignment horizontal="center"/>
    </xf>
    <xf numFmtId="0" fontId="18" fillId="0" borderId="0" xfId="6" applyFont="1" applyBorder="1" applyAlignment="1">
      <alignment horizontal="left"/>
    </xf>
    <xf numFmtId="0" fontId="8" fillId="0" borderId="33" xfId="0" applyFont="1" applyBorder="1" applyAlignment="1">
      <alignment horizontal="center" vertical="center"/>
    </xf>
    <xf numFmtId="0" fontId="10" fillId="0" borderId="3" xfId="0" applyFont="1" applyBorder="1" applyAlignment="1">
      <alignment horizontal="center"/>
    </xf>
    <xf numFmtId="0" fontId="7" fillId="0" borderId="1" xfId="0" applyFont="1" applyBorder="1" applyAlignment="1">
      <alignment horizontal="center" vertical="center"/>
    </xf>
    <xf numFmtId="0" fontId="7" fillId="0" borderId="9" xfId="0" applyFont="1" applyBorder="1" applyAlignment="1">
      <alignment horizontal="center" vertical="center"/>
    </xf>
    <xf numFmtId="0" fontId="12" fillId="0" borderId="0"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9" xfId="0" applyFont="1" applyBorder="1" applyAlignment="1">
      <alignment horizontal="center" vertical="center" wrapText="1"/>
    </xf>
    <xf numFmtId="0" fontId="3" fillId="0" borderId="54" xfId="0" applyFont="1" applyBorder="1" applyAlignment="1">
      <alignment horizontal="center" vertical="center" wrapText="1"/>
    </xf>
    <xf numFmtId="0" fontId="7" fillId="0" borderId="2" xfId="0" applyFont="1" applyBorder="1" applyAlignment="1">
      <alignment horizontal="center" vertical="center"/>
    </xf>
    <xf numFmtId="0" fontId="4" fillId="0" borderId="0" xfId="0" applyFont="1" applyBorder="1" applyAlignment="1">
      <alignment horizontal="center" vertical="center"/>
    </xf>
    <xf numFmtId="0" fontId="3" fillId="0" borderId="0" xfId="0" applyFont="1" applyBorder="1" applyAlignment="1">
      <alignment horizontal="center" vertical="center"/>
    </xf>
    <xf numFmtId="0" fontId="7" fillId="0" borderId="4"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5" xfId="0" applyFont="1" applyBorder="1" applyAlignment="1">
      <alignment horizontal="center" vertical="center"/>
    </xf>
    <xf numFmtId="0" fontId="94" fillId="0" borderId="29" xfId="0" applyFont="1" applyBorder="1" applyAlignment="1">
      <alignment horizontal="center"/>
    </xf>
    <xf numFmtId="0" fontId="94" fillId="0" borderId="30" xfId="0" applyFont="1" applyBorder="1" applyAlignment="1">
      <alignment horizont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65" fillId="0" borderId="0" xfId="0" applyFont="1" applyAlignment="1">
      <alignment horizontal="center" vertical="center"/>
    </xf>
    <xf numFmtId="0" fontId="18" fillId="0" borderId="4" xfId="0" applyFont="1" applyBorder="1" applyAlignment="1">
      <alignment horizontal="center" vertical="center"/>
    </xf>
    <xf numFmtId="0" fontId="18" fillId="0" borderId="26" xfId="0"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9" xfId="0" applyFont="1" applyBorder="1" applyAlignment="1">
      <alignment horizontal="center" vertic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9" xfId="0" applyFont="1" applyBorder="1" applyAlignment="1">
      <alignment horizontal="center" vertical="center"/>
    </xf>
    <xf numFmtId="0" fontId="12" fillId="0" borderId="26" xfId="0" applyFont="1" applyBorder="1" applyAlignment="1">
      <alignment horizontal="center" vertical="center"/>
    </xf>
    <xf numFmtId="0" fontId="34" fillId="0" borderId="29" xfId="0" applyFont="1" applyBorder="1" applyAlignment="1">
      <alignment horizontal="center" vertical="center"/>
    </xf>
    <xf numFmtId="0" fontId="34" fillId="0" borderId="30" xfId="0" applyFont="1" applyBorder="1" applyAlignment="1">
      <alignment horizontal="center" vertical="center"/>
    </xf>
    <xf numFmtId="0" fontId="10" fillId="0" borderId="0" xfId="0" applyFont="1" applyAlignment="1">
      <alignment horizontal="center"/>
    </xf>
    <xf numFmtId="0" fontId="11" fillId="0" borderId="0" xfId="0" applyFont="1" applyAlignment="1">
      <alignment horizontal="right"/>
    </xf>
    <xf numFmtId="0" fontId="8" fillId="0" borderId="0" xfId="0" applyFont="1" applyFill="1" applyBorder="1" applyAlignment="1">
      <alignment horizontal="center" vertical="center"/>
    </xf>
    <xf numFmtId="2" fontId="62" fillId="0" borderId="0" xfId="0" applyNumberFormat="1" applyFont="1" applyFill="1" applyAlignment="1">
      <alignment horizontal="center" vertical="center" wrapText="1"/>
    </xf>
    <xf numFmtId="0" fontId="31" fillId="0" borderId="0" xfId="10" applyFont="1" applyAlignment="1">
      <alignment horizontal="right"/>
    </xf>
    <xf numFmtId="0" fontId="12" fillId="0" borderId="0" xfId="0" applyFont="1" applyAlignment="1">
      <alignment horizontal="center" wrapText="1"/>
    </xf>
    <xf numFmtId="0" fontId="18" fillId="0" borderId="4" xfId="0" applyFont="1" applyBorder="1" applyAlignment="1">
      <alignment horizontal="left" vertical="center"/>
    </xf>
    <xf numFmtId="0" fontId="18" fillId="0" borderId="8" xfId="0" applyFont="1" applyBorder="1" applyAlignment="1">
      <alignment horizontal="left" vertical="center"/>
    </xf>
    <xf numFmtId="0" fontId="18" fillId="0" borderId="28" xfId="0" applyFont="1" applyBorder="1" applyAlignment="1">
      <alignment horizontal="left" vertical="center"/>
    </xf>
    <xf numFmtId="0" fontId="8" fillId="0" borderId="0" xfId="0" applyFont="1" applyAlignment="1">
      <alignment horizontal="center" wrapText="1"/>
    </xf>
    <xf numFmtId="0" fontId="10" fillId="0" borderId="29" xfId="0" applyFont="1" applyBorder="1" applyAlignment="1">
      <alignment horizontal="left"/>
    </xf>
    <xf numFmtId="0" fontId="10" fillId="0" borderId="30" xfId="0" applyFont="1" applyBorder="1" applyAlignment="1">
      <alignment horizontal="left"/>
    </xf>
    <xf numFmtId="0" fontId="10" fillId="0" borderId="31" xfId="0" applyFont="1" applyBorder="1" applyAlignment="1">
      <alignment horizontal="left"/>
    </xf>
    <xf numFmtId="0" fontId="18" fillId="0" borderId="4"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28" xfId="0" applyFont="1" applyBorder="1" applyAlignment="1">
      <alignment horizontal="center" vertical="center" wrapText="1"/>
    </xf>
  </cellXfs>
  <cellStyles count="12">
    <cellStyle name="Comma" xfId="1" builtinId="3"/>
    <cellStyle name="Comma [0]" xfId="2" builtinId="6"/>
    <cellStyle name="Comma 2" xfId="3"/>
    <cellStyle name="Currency 2" xfId="4"/>
    <cellStyle name="Normal" xfId="0" builtinId="0"/>
    <cellStyle name="Normal 2" xfId="5"/>
    <cellStyle name="Normal_CTCAUQ0109" xfId="6"/>
    <cellStyle name="Normal_Sheet1" xfId="7"/>
    <cellStyle name="Normal_Sheet2" xfId="8"/>
    <cellStyle name="Normal_THKLCAUDUONGSONG" xfId="9"/>
    <cellStyle name="Normal_tonghopcachat" xfId="10"/>
    <cellStyle name="Percent 2" xf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512885</xdr:colOff>
      <xdr:row>3</xdr:row>
      <xdr:rowOff>14654</xdr:rowOff>
    </xdr:from>
    <xdr:to>
      <xdr:col>12</xdr:col>
      <xdr:colOff>51289</xdr:colOff>
      <xdr:row>3</xdr:row>
      <xdr:rowOff>14654</xdr:rowOff>
    </xdr:to>
    <xdr:cxnSp macro="">
      <xdr:nvCxnSpPr>
        <xdr:cNvPr id="3" name="Straight Connector 2"/>
        <xdr:cNvCxnSpPr/>
      </xdr:nvCxnSpPr>
      <xdr:spPr>
        <a:xfrm>
          <a:off x="3751385" y="952500"/>
          <a:ext cx="254976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du%20lieu%20Khac%20Huy\Khac%20Quy\BDTX\BDTX%20n&#259;m%202020\D&#7921;%20to&#225;n%20BDTX%202020\D&#7921;%20to&#225;n%2022.5%20t&#7927;\D&#7921;%20to&#225;n%202019%20g&#7917;i%20s&#7903;%20t&#224;i%20ch&#237;nh\D&#7918;%20LI&#7878;U%20LONG\6.%20PH&#7908;C%20L&#7908;C%2003%20+%20&#272;&#416;N%20GI&#193;%20H&#272;\N&#258;M%202016\5.%20&#272;&#7843;m%20b&#7843;o%20giao%20th&#244;ng%20&#273;&#7907;t%202%20n&#259;m%202016%20(KQ%20Th&#7849;m%20tra)\THDT%20DBGT%20dot%202%20201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du%20lieu%20Khac%20Huy\Khac%20Quy\BDTX\BDTX%20n&#259;m%202020\D&#7921;%20to&#225;n%20BDTX%202020\D&#7921;%20to&#225;n%2022.5%20t&#7927;\K&#7870;%20HO&#7840;CH%206,5%20t&#7927;(Than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ngKS"/>
      <sheetName val="DONGIA"/>
      <sheetName val="DTKS"/>
      <sheetName val="DPTG"/>
      <sheetName val="THDT"/>
      <sheetName val="THDT-06"/>
      <sheetName val="HESO"/>
      <sheetName val="chenhlenh"/>
      <sheetName val="0000000000"/>
      <sheetName val="XXXXXXXXXX"/>
    </sheetNames>
    <sheetDataSet>
      <sheetData sheetId="0" refreshError="1"/>
      <sheetData sheetId="1" refreshError="1"/>
      <sheetData sheetId="2"/>
      <sheetData sheetId="3" refreshError="1">
        <row r="29">
          <cell r="B29" t="e">
            <v>#NAME?</v>
          </cell>
        </row>
      </sheetData>
      <sheetData sheetId="4" refreshError="1"/>
      <sheetData sheetId="5" refreshError="1"/>
      <sheetData sheetId="6"/>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ổng hợp kinh phí"/>
      <sheetName val="Khối lượngĐB"/>
      <sheetName val="DTKP CẦU-ĐƯỜNG"/>
      <sheetName val="Đơn giá dự toán"/>
      <sheetName val="TH CAU-DUONG"/>
      <sheetName val="CỌC TIÊU, BIỂN BÁO"/>
      <sheetName val="Đường TPVL"/>
      <sheetName val="SỐ LIỆU CẦU"/>
      <sheetName val="SỐ LƯỢNG CẦU"/>
      <sheetName val="MẶT BIỂN PHẢN QUANG"/>
      <sheetName val="chi tiết cầu"/>
      <sheetName val="Rãnh dọc"/>
      <sheetName val="ĐƯỜNG THỦY"/>
      <sheetName val="khối lượng ĐT"/>
      <sheetName val="TỔNG HỢP BH"/>
      <sheetName val="TỔNG HỢP PHAO"/>
    </sheetNames>
    <sheetDataSet>
      <sheetData sheetId="0"/>
      <sheetData sheetId="1"/>
      <sheetData sheetId="2"/>
      <sheetData sheetId="3"/>
      <sheetData sheetId="4"/>
      <sheetData sheetId="5"/>
      <sheetData sheetId="6">
        <row r="38">
          <cell r="C38">
            <v>28.46200000000001</v>
          </cell>
          <cell r="D38">
            <v>2.69E-2</v>
          </cell>
        </row>
      </sheetData>
      <sheetData sheetId="7"/>
      <sheetData sheetId="8"/>
      <sheetData sheetId="9"/>
      <sheetData sheetId="10" refreshError="1">
        <row r="5">
          <cell r="D5">
            <v>255.04000000000002</v>
          </cell>
        </row>
        <row r="13">
          <cell r="D13">
            <v>860.90000000000032</v>
          </cell>
        </row>
        <row r="35">
          <cell r="D35">
            <v>164</v>
          </cell>
        </row>
        <row r="40">
          <cell r="D40">
            <v>111.2</v>
          </cell>
        </row>
        <row r="41">
          <cell r="D41">
            <v>98</v>
          </cell>
        </row>
        <row r="43">
          <cell r="D43">
            <v>163.63999999999999</v>
          </cell>
        </row>
        <row r="47">
          <cell r="D47">
            <v>693.83999999999992</v>
          </cell>
        </row>
        <row r="58">
          <cell r="D58">
            <v>941.25000000000011</v>
          </cell>
        </row>
        <row r="80">
          <cell r="D80">
            <v>212.84</v>
          </cell>
        </row>
        <row r="87">
          <cell r="D87">
            <v>906.19999999999993</v>
          </cell>
        </row>
        <row r="107">
          <cell r="D107">
            <v>1013.6199999999997</v>
          </cell>
        </row>
        <row r="126">
          <cell r="D126">
            <v>502.58</v>
          </cell>
        </row>
        <row r="138">
          <cell r="D138">
            <v>259</v>
          </cell>
        </row>
        <row r="145">
          <cell r="D145">
            <v>707.61</v>
          </cell>
        </row>
      </sheetData>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topLeftCell="A61" workbookViewId="0">
      <selection activeCell="F47" sqref="F47"/>
    </sheetView>
  </sheetViews>
  <sheetFormatPr defaultColWidth="8.90625" defaultRowHeight="13.8"/>
  <cols>
    <col min="1" max="1" width="4.6328125" style="6" customWidth="1"/>
    <col min="2" max="2" width="50.453125" style="1" customWidth="1"/>
    <col min="3" max="3" width="7.36328125" style="6" customWidth="1"/>
    <col min="4" max="4" width="9.81640625" style="7" customWidth="1"/>
    <col min="5" max="5" width="9.08984375" style="1" bestFit="1" customWidth="1"/>
    <col min="6" max="6" width="10" style="1" customWidth="1"/>
    <col min="7" max="16384" width="8.90625" style="1"/>
  </cols>
  <sheetData>
    <row r="1" spans="1:9" ht="21.75" customHeight="1">
      <c r="A1" s="1272" t="s">
        <v>103</v>
      </c>
      <c r="B1" s="1272"/>
      <c r="C1" s="1272"/>
      <c r="D1" s="1272"/>
    </row>
    <row r="2" spans="1:9" s="8" customFormat="1" ht="36" customHeight="1">
      <c r="A2" s="1273" t="s">
        <v>105</v>
      </c>
      <c r="B2" s="1273"/>
      <c r="C2" s="1273"/>
      <c r="D2" s="1273"/>
    </row>
    <row r="3" spans="1:9" s="8" customFormat="1" ht="18" customHeight="1">
      <c r="A3" s="1272" t="s">
        <v>102</v>
      </c>
      <c r="B3" s="1272"/>
      <c r="C3" s="1272"/>
      <c r="D3" s="1272"/>
    </row>
    <row r="4" spans="1:9" ht="6.75" customHeight="1">
      <c r="A4" s="3"/>
      <c r="B4" s="3"/>
      <c r="C4" s="3"/>
      <c r="D4" s="4"/>
    </row>
    <row r="5" spans="1:9" s="5" customFormat="1" ht="40.5" customHeight="1">
      <c r="A5" s="99" t="s">
        <v>2</v>
      </c>
      <c r="B5" s="99" t="s">
        <v>108</v>
      </c>
      <c r="C5" s="100" t="s">
        <v>12</v>
      </c>
      <c r="D5" s="125" t="s">
        <v>13</v>
      </c>
    </row>
    <row r="6" spans="1:9" s="5" customFormat="1" ht="21.9" customHeight="1">
      <c r="A6" s="133"/>
      <c r="B6" s="24" t="s">
        <v>126</v>
      </c>
      <c r="C6" s="134"/>
      <c r="D6" s="135"/>
    </row>
    <row r="7" spans="1:9" s="9" customFormat="1" ht="18.899999999999999" customHeight="1">
      <c r="A7" s="101">
        <v>1</v>
      </c>
      <c r="B7" s="102" t="s">
        <v>106</v>
      </c>
      <c r="C7" s="101" t="s">
        <v>29</v>
      </c>
      <c r="D7" s="103">
        <f>36*1.4*0.3</f>
        <v>15.12</v>
      </c>
    </row>
    <row r="8" spans="1:9" s="9" customFormat="1" ht="18.899999999999999" customHeight="1">
      <c r="A8" s="32"/>
      <c r="B8" s="109" t="s">
        <v>144</v>
      </c>
      <c r="C8" s="105"/>
      <c r="D8" s="106"/>
      <c r="F8" s="29"/>
    </row>
    <row r="9" spans="1:9" s="9" customFormat="1" ht="18.899999999999999" customHeight="1">
      <c r="A9" s="101">
        <v>2</v>
      </c>
      <c r="B9" s="102" t="s">
        <v>109</v>
      </c>
      <c r="C9" s="107" t="s">
        <v>118</v>
      </c>
      <c r="D9" s="103">
        <v>12</v>
      </c>
    </row>
    <row r="10" spans="1:9" s="9" customFormat="1" ht="18.899999999999999" customHeight="1">
      <c r="A10" s="101">
        <v>3</v>
      </c>
      <c r="B10" s="102" t="s">
        <v>107</v>
      </c>
      <c r="C10" s="107" t="s">
        <v>29</v>
      </c>
      <c r="D10" s="108">
        <f>38*0.6*0.3*2</f>
        <v>13.68</v>
      </c>
    </row>
    <row r="11" spans="1:9" s="9" customFormat="1" ht="18.899999999999999" customHeight="1">
      <c r="A11" s="32"/>
      <c r="B11" s="109" t="s">
        <v>143</v>
      </c>
      <c r="C11" s="110"/>
      <c r="D11" s="111"/>
      <c r="G11" s="21"/>
      <c r="H11" s="21"/>
      <c r="I11" s="21"/>
    </row>
    <row r="12" spans="1:9" s="30" customFormat="1" ht="18.899999999999999" customHeight="1">
      <c r="A12" s="112">
        <v>4</v>
      </c>
      <c r="B12" s="113" t="s">
        <v>110</v>
      </c>
      <c r="C12" s="114" t="s">
        <v>29</v>
      </c>
      <c r="D12" s="115">
        <f>38*1.4*0.5</f>
        <v>26.599999999999998</v>
      </c>
      <c r="G12" s="31"/>
      <c r="H12" s="31"/>
      <c r="I12" s="31"/>
    </row>
    <row r="13" spans="1:9" s="9" customFormat="1" ht="18.899999999999999" customHeight="1">
      <c r="A13" s="32"/>
      <c r="B13" s="109" t="s">
        <v>155</v>
      </c>
      <c r="C13" s="105"/>
      <c r="D13" s="106"/>
    </row>
    <row r="14" spans="1:9" s="9" customFormat="1" ht="18.899999999999999" customHeight="1">
      <c r="A14" s="101">
        <v>5</v>
      </c>
      <c r="B14" s="102" t="s">
        <v>111</v>
      </c>
      <c r="C14" s="107" t="s">
        <v>33</v>
      </c>
      <c r="D14" s="116">
        <f>(D7+D10+D12)/100</f>
        <v>0.55399999999999994</v>
      </c>
    </row>
    <row r="15" spans="1:9" s="9" customFormat="1" ht="18.899999999999999" customHeight="1">
      <c r="A15" s="32"/>
      <c r="B15" s="109" t="s">
        <v>162</v>
      </c>
      <c r="C15" s="105"/>
      <c r="D15" s="106"/>
    </row>
    <row r="16" spans="1:9" s="9" customFormat="1" ht="18.899999999999999" customHeight="1">
      <c r="A16" s="101">
        <v>6</v>
      </c>
      <c r="B16" s="102" t="s">
        <v>166</v>
      </c>
      <c r="C16" s="107" t="s">
        <v>33</v>
      </c>
      <c r="D16" s="108">
        <f>72.86*0.15/100</f>
        <v>0.10929</v>
      </c>
    </row>
    <row r="17" spans="1:7" s="9" customFormat="1" ht="18.899999999999999" customHeight="1">
      <c r="A17" s="32"/>
      <c r="B17" s="109" t="s">
        <v>160</v>
      </c>
      <c r="C17" s="105"/>
      <c r="D17" s="106"/>
    </row>
    <row r="18" spans="1:7" s="9" customFormat="1" ht="18.899999999999999" customHeight="1">
      <c r="A18" s="101">
        <v>7</v>
      </c>
      <c r="B18" s="102" t="s">
        <v>165</v>
      </c>
      <c r="C18" s="107" t="s">
        <v>33</v>
      </c>
      <c r="D18" s="103">
        <f>72.86*0.25/100</f>
        <v>0.18215000000000001</v>
      </c>
      <c r="G18" s="22"/>
    </row>
    <row r="19" spans="1:7" s="9" customFormat="1" ht="18.899999999999999" customHeight="1">
      <c r="A19" s="32"/>
      <c r="B19" s="109" t="s">
        <v>161</v>
      </c>
      <c r="C19" s="105"/>
      <c r="D19" s="28"/>
      <c r="G19" s="22"/>
    </row>
    <row r="20" spans="1:7" s="9" customFormat="1" ht="18.899999999999999" customHeight="1">
      <c r="A20" s="101">
        <v>8</v>
      </c>
      <c r="B20" s="102" t="s">
        <v>112</v>
      </c>
      <c r="C20" s="107" t="s">
        <v>34</v>
      </c>
      <c r="D20" s="116">
        <v>0.72899999999999998</v>
      </c>
    </row>
    <row r="21" spans="1:7" s="9" customFormat="1" ht="18.899999999999999" customHeight="1">
      <c r="A21" s="101">
        <v>9</v>
      </c>
      <c r="B21" s="102" t="s">
        <v>113</v>
      </c>
      <c r="C21" s="107" t="s">
        <v>34</v>
      </c>
      <c r="D21" s="117">
        <v>0.72899999999999998</v>
      </c>
    </row>
    <row r="22" spans="1:7" s="9" customFormat="1" ht="18.899999999999999" customHeight="1">
      <c r="A22" s="101">
        <v>10</v>
      </c>
      <c r="B22" s="102" t="s">
        <v>114</v>
      </c>
      <c r="C22" s="107" t="s">
        <v>34</v>
      </c>
      <c r="D22" s="117">
        <v>0.72899999999999998</v>
      </c>
    </row>
    <row r="23" spans="1:7" s="9" customFormat="1" ht="18" customHeight="1">
      <c r="A23" s="101">
        <v>11</v>
      </c>
      <c r="B23" s="102" t="s">
        <v>115</v>
      </c>
      <c r="C23" s="107" t="s">
        <v>34</v>
      </c>
      <c r="D23" s="117">
        <v>0.72899999999999998</v>
      </c>
      <c r="E23" s="35"/>
    </row>
    <row r="24" spans="1:7" s="9" customFormat="1" ht="18" customHeight="1">
      <c r="A24" s="101">
        <v>12</v>
      </c>
      <c r="B24" s="102" t="s">
        <v>51</v>
      </c>
      <c r="C24" s="107" t="s">
        <v>40</v>
      </c>
      <c r="D24" s="116">
        <f>(0.729*11.87+0.729*16.62)/100</f>
        <v>0.20769210000000002</v>
      </c>
      <c r="E24" s="22"/>
    </row>
    <row r="25" spans="1:7" s="9" customFormat="1" ht="18" customHeight="1">
      <c r="A25" s="32"/>
      <c r="B25" s="109" t="s">
        <v>156</v>
      </c>
      <c r="C25" s="119"/>
      <c r="D25" s="120"/>
    </row>
    <row r="26" spans="1:7" s="9" customFormat="1" ht="18" customHeight="1">
      <c r="A26" s="101">
        <v>13</v>
      </c>
      <c r="B26" s="102" t="s">
        <v>116</v>
      </c>
      <c r="C26" s="107" t="s">
        <v>117</v>
      </c>
      <c r="D26" s="116">
        <f>18*2/100</f>
        <v>0.36</v>
      </c>
    </row>
    <row r="27" spans="1:7" s="9" customFormat="1" ht="18" customHeight="1">
      <c r="A27" s="101"/>
      <c r="B27" s="109" t="s">
        <v>145</v>
      </c>
      <c r="C27" s="119"/>
      <c r="D27" s="120"/>
    </row>
    <row r="28" spans="1:7" s="9" customFormat="1" ht="18" customHeight="1">
      <c r="A28" s="101">
        <v>14</v>
      </c>
      <c r="B28" s="102" t="s">
        <v>119</v>
      </c>
      <c r="C28" s="107" t="s">
        <v>34</v>
      </c>
      <c r="D28" s="116">
        <f>18*2/100</f>
        <v>0.36</v>
      </c>
    </row>
    <row r="29" spans="1:7" s="9" customFormat="1" ht="18" customHeight="1">
      <c r="A29" s="101"/>
      <c r="B29" s="109" t="s">
        <v>146</v>
      </c>
      <c r="C29" s="119"/>
      <c r="D29" s="120"/>
    </row>
    <row r="30" spans="1:7" s="9" customFormat="1" ht="18" customHeight="1">
      <c r="A30" s="101">
        <v>15</v>
      </c>
      <c r="B30" s="102" t="s">
        <v>120</v>
      </c>
      <c r="C30" s="107" t="s">
        <v>29</v>
      </c>
      <c r="D30" s="116">
        <f>18*0.4*0.4*2</f>
        <v>5.7600000000000007</v>
      </c>
    </row>
    <row r="31" spans="1:7" s="9" customFormat="1" ht="18" customHeight="1">
      <c r="A31" s="101"/>
      <c r="B31" s="109" t="s">
        <v>147</v>
      </c>
      <c r="C31" s="119"/>
      <c r="D31" s="120"/>
    </row>
    <row r="32" spans="1:7" s="9" customFormat="1" ht="18" customHeight="1">
      <c r="A32" s="101">
        <v>16</v>
      </c>
      <c r="B32" s="102" t="s">
        <v>121</v>
      </c>
      <c r="C32" s="107" t="s">
        <v>29</v>
      </c>
      <c r="D32" s="116">
        <f>(18*2+3.14*2)*0.035</f>
        <v>1.4798000000000002</v>
      </c>
    </row>
    <row r="33" spans="1:5" s="9" customFormat="1" ht="18" customHeight="1">
      <c r="A33" s="101"/>
      <c r="B33" s="109" t="s">
        <v>153</v>
      </c>
      <c r="C33" s="119"/>
      <c r="D33" s="120"/>
    </row>
    <row r="34" spans="1:5" s="9" customFormat="1" ht="18" customHeight="1">
      <c r="A34" s="101">
        <v>17</v>
      </c>
      <c r="B34" s="102" t="s">
        <v>149</v>
      </c>
      <c r="C34" s="107" t="s">
        <v>29</v>
      </c>
      <c r="D34" s="116">
        <f>D35+D36</f>
        <v>11.382400000000001</v>
      </c>
    </row>
    <row r="35" spans="1:5" s="9" customFormat="1" ht="18" customHeight="1">
      <c r="A35" s="101"/>
      <c r="B35" s="104" t="s">
        <v>154</v>
      </c>
      <c r="C35" s="127" t="s">
        <v>29</v>
      </c>
      <c r="D35" s="128">
        <f>(18*2+3.14*2)*0.18</f>
        <v>7.6104000000000003</v>
      </c>
      <c r="E35" s="132"/>
    </row>
    <row r="36" spans="1:5" s="9" customFormat="1" ht="18" customHeight="1">
      <c r="A36" s="101"/>
      <c r="B36" s="104" t="s">
        <v>150</v>
      </c>
      <c r="C36" s="127" t="s">
        <v>29</v>
      </c>
      <c r="D36" s="128">
        <f>(5.5*2-3.14*1^2/2)*0.2*2</f>
        <v>3.7720000000000002</v>
      </c>
    </row>
    <row r="37" spans="1:5" s="9" customFormat="1" ht="18" customHeight="1">
      <c r="A37" s="101">
        <v>18</v>
      </c>
      <c r="B37" s="102" t="s">
        <v>148</v>
      </c>
      <c r="C37" s="107" t="s">
        <v>34</v>
      </c>
      <c r="D37" s="116">
        <f>D38+D39</f>
        <v>0.55935999999999997</v>
      </c>
    </row>
    <row r="38" spans="1:5" s="9" customFormat="1" ht="18" customHeight="1">
      <c r="A38" s="101"/>
      <c r="B38" s="104" t="s">
        <v>157</v>
      </c>
      <c r="C38" s="105" t="s">
        <v>34</v>
      </c>
      <c r="D38" s="131">
        <f>(18*2+3.14*2)*1.2/100</f>
        <v>0.50735999999999992</v>
      </c>
    </row>
    <row r="39" spans="1:5" s="9" customFormat="1" ht="18" customHeight="1">
      <c r="A39" s="101"/>
      <c r="B39" s="104" t="s">
        <v>151</v>
      </c>
      <c r="C39" s="105" t="s">
        <v>34</v>
      </c>
      <c r="D39" s="129">
        <f>(5.5*0.2*2+2*0.2)*2/100</f>
        <v>5.2000000000000005E-2</v>
      </c>
    </row>
    <row r="40" spans="1:5" s="9" customFormat="1" ht="18" customHeight="1">
      <c r="A40" s="101">
        <v>19</v>
      </c>
      <c r="B40" s="102" t="s">
        <v>167</v>
      </c>
      <c r="C40" s="107" t="s">
        <v>29</v>
      </c>
      <c r="D40" s="116">
        <f>18*1.4*0.4</f>
        <v>10.08</v>
      </c>
    </row>
    <row r="41" spans="1:5" s="9" customFormat="1" ht="18" customHeight="1">
      <c r="A41" s="101"/>
      <c r="B41" s="109" t="s">
        <v>152</v>
      </c>
      <c r="C41" s="119"/>
      <c r="D41" s="120"/>
    </row>
    <row r="42" spans="1:5" s="9" customFormat="1" ht="18" customHeight="1">
      <c r="A42" s="101">
        <v>20</v>
      </c>
      <c r="B42" s="102" t="s">
        <v>122</v>
      </c>
      <c r="C42" s="107" t="s">
        <v>123</v>
      </c>
      <c r="D42" s="116">
        <v>0.12</v>
      </c>
    </row>
    <row r="43" spans="1:5" s="9" customFormat="1" ht="18" customHeight="1">
      <c r="A43" s="101">
        <v>21</v>
      </c>
      <c r="B43" s="102" t="s">
        <v>168</v>
      </c>
      <c r="C43" s="107" t="s">
        <v>123</v>
      </c>
      <c r="D43" s="116">
        <v>0.06</v>
      </c>
    </row>
    <row r="44" spans="1:5" s="9" customFormat="1" ht="18" customHeight="1">
      <c r="A44" s="101">
        <v>22</v>
      </c>
      <c r="B44" s="102" t="s">
        <v>169</v>
      </c>
      <c r="C44" s="107" t="s">
        <v>171</v>
      </c>
      <c r="D44" s="116">
        <f>18*1.4</f>
        <v>25.2</v>
      </c>
    </row>
    <row r="45" spans="1:5" s="9" customFormat="1" ht="18" customHeight="1">
      <c r="A45" s="101"/>
      <c r="B45" s="109" t="s">
        <v>172</v>
      </c>
      <c r="C45" s="107"/>
      <c r="D45" s="116"/>
    </row>
    <row r="46" spans="1:5" s="9" customFormat="1" ht="18" customHeight="1">
      <c r="A46" s="101">
        <v>23</v>
      </c>
      <c r="B46" s="102" t="s">
        <v>170</v>
      </c>
      <c r="C46" s="107" t="s">
        <v>34</v>
      </c>
      <c r="D46" s="116">
        <f>D44/100</f>
        <v>0.252</v>
      </c>
    </row>
    <row r="47" spans="1:5" s="9" customFormat="1" ht="18" customHeight="1">
      <c r="A47" s="101">
        <v>24</v>
      </c>
      <c r="B47" s="102" t="s">
        <v>124</v>
      </c>
      <c r="C47" s="107" t="s">
        <v>29</v>
      </c>
      <c r="D47" s="116">
        <f>0.4*0.4*0.6*2</f>
        <v>0.19200000000000003</v>
      </c>
    </row>
    <row r="48" spans="1:5" s="9" customFormat="1" ht="18" customHeight="1">
      <c r="A48" s="101"/>
      <c r="B48" s="109" t="s">
        <v>138</v>
      </c>
      <c r="C48" s="107"/>
      <c r="D48" s="120"/>
    </row>
    <row r="49" spans="1:4" s="9" customFormat="1" ht="18" customHeight="1">
      <c r="A49" s="101">
        <v>25</v>
      </c>
      <c r="B49" s="102" t="s">
        <v>44</v>
      </c>
      <c r="C49" s="107" t="s">
        <v>41</v>
      </c>
      <c r="D49" s="116">
        <v>4</v>
      </c>
    </row>
    <row r="50" spans="1:4" s="9" customFormat="1" ht="18" customHeight="1">
      <c r="A50" s="101">
        <v>26</v>
      </c>
      <c r="B50" s="102" t="s">
        <v>130</v>
      </c>
      <c r="C50" s="107" t="s">
        <v>42</v>
      </c>
      <c r="D50" s="116">
        <v>2</v>
      </c>
    </row>
    <row r="51" spans="1:4" s="9" customFormat="1" ht="18" customHeight="1">
      <c r="A51" s="101">
        <v>27</v>
      </c>
      <c r="B51" s="102" t="s">
        <v>46</v>
      </c>
      <c r="C51" s="107" t="s">
        <v>43</v>
      </c>
      <c r="D51" s="116">
        <v>8</v>
      </c>
    </row>
    <row r="52" spans="1:4" s="9" customFormat="1" ht="18" customHeight="1">
      <c r="A52" s="101">
        <v>28</v>
      </c>
      <c r="B52" s="102" t="s">
        <v>45</v>
      </c>
      <c r="C52" s="107" t="s">
        <v>17</v>
      </c>
      <c r="D52" s="116">
        <v>2</v>
      </c>
    </row>
    <row r="53" spans="1:4" s="9" customFormat="1" ht="18" customHeight="1">
      <c r="A53" s="101">
        <v>29</v>
      </c>
      <c r="B53" s="102" t="s">
        <v>50</v>
      </c>
      <c r="C53" s="107" t="s">
        <v>29</v>
      </c>
      <c r="D53" s="116">
        <f>0.4*0.4*0.5*2</f>
        <v>0.16000000000000003</v>
      </c>
    </row>
    <row r="54" spans="1:4" s="9" customFormat="1" ht="18" customHeight="1">
      <c r="A54" s="101"/>
      <c r="B54" s="109" t="s">
        <v>163</v>
      </c>
      <c r="C54" s="107"/>
      <c r="D54" s="116"/>
    </row>
    <row r="55" spans="1:4" s="9" customFormat="1" ht="18" customHeight="1">
      <c r="A55" s="101">
        <v>30</v>
      </c>
      <c r="B55" s="102" t="s">
        <v>125</v>
      </c>
      <c r="C55" s="107" t="s">
        <v>29</v>
      </c>
      <c r="D55" s="116">
        <f>0.4*0.4*0.6*2</f>
        <v>0.19200000000000003</v>
      </c>
    </row>
    <row r="56" spans="1:4" s="9" customFormat="1" ht="18" customHeight="1">
      <c r="A56" s="101"/>
      <c r="B56" s="109" t="s">
        <v>138</v>
      </c>
      <c r="C56" s="107"/>
      <c r="D56" s="116"/>
    </row>
    <row r="57" spans="1:4" s="9" customFormat="1" ht="18" customHeight="1">
      <c r="A57" s="101">
        <v>31</v>
      </c>
      <c r="B57" s="102" t="s">
        <v>70</v>
      </c>
      <c r="C57" s="107" t="s">
        <v>34</v>
      </c>
      <c r="D57" s="116">
        <f>0.4*0.6*4*2/100</f>
        <v>1.9199999999999998E-2</v>
      </c>
    </row>
    <row r="58" spans="1:4" s="9" customFormat="1" ht="18" customHeight="1">
      <c r="A58" s="101"/>
      <c r="B58" s="109" t="s">
        <v>139</v>
      </c>
      <c r="C58" s="107"/>
      <c r="D58" s="116"/>
    </row>
    <row r="59" spans="1:4" s="9" customFormat="1" ht="18" customHeight="1">
      <c r="A59" s="101">
        <v>32</v>
      </c>
      <c r="B59" s="102" t="s">
        <v>71</v>
      </c>
      <c r="C59" s="107" t="s">
        <v>5</v>
      </c>
      <c r="D59" s="117">
        <f>4*0.4*18*2</f>
        <v>57.6</v>
      </c>
    </row>
    <row r="60" spans="1:4" s="9" customFormat="1" ht="18" customHeight="1">
      <c r="A60" s="101"/>
      <c r="B60" s="104" t="s">
        <v>137</v>
      </c>
      <c r="C60" s="105"/>
      <c r="D60" s="118"/>
    </row>
    <row r="61" spans="1:4" s="9" customFormat="1" ht="21.9" customHeight="1">
      <c r="A61" s="130"/>
      <c r="B61" s="121" t="s">
        <v>127</v>
      </c>
      <c r="C61" s="105"/>
      <c r="D61" s="118"/>
    </row>
    <row r="62" spans="1:4" s="9" customFormat="1" ht="18" customHeight="1">
      <c r="A62" s="101">
        <v>1</v>
      </c>
      <c r="B62" s="102" t="s">
        <v>128</v>
      </c>
      <c r="C62" s="107" t="s">
        <v>41</v>
      </c>
      <c r="D62" s="116">
        <v>2</v>
      </c>
    </row>
    <row r="63" spans="1:4" s="9" customFormat="1" ht="18" customHeight="1">
      <c r="A63" s="101">
        <v>2</v>
      </c>
      <c r="B63" s="102" t="s">
        <v>129</v>
      </c>
      <c r="C63" s="107" t="s">
        <v>41</v>
      </c>
      <c r="D63" s="116">
        <v>2</v>
      </c>
    </row>
    <row r="64" spans="1:4" s="9" customFormat="1" ht="18" customHeight="1">
      <c r="A64" s="101">
        <v>3</v>
      </c>
      <c r="B64" s="102" t="s">
        <v>132</v>
      </c>
      <c r="C64" s="107" t="s">
        <v>35</v>
      </c>
      <c r="D64" s="116">
        <v>2</v>
      </c>
    </row>
    <row r="65" spans="1:6" s="9" customFormat="1" ht="18" customHeight="1">
      <c r="A65" s="101">
        <v>4</v>
      </c>
      <c r="B65" s="102" t="s">
        <v>131</v>
      </c>
      <c r="C65" s="107" t="s">
        <v>35</v>
      </c>
      <c r="D65" s="116">
        <v>2</v>
      </c>
    </row>
    <row r="66" spans="1:6" s="9" customFormat="1" ht="18" customHeight="1">
      <c r="A66" s="101">
        <v>5</v>
      </c>
      <c r="B66" s="102" t="s">
        <v>46</v>
      </c>
      <c r="C66" s="107" t="s">
        <v>43</v>
      </c>
      <c r="D66" s="116">
        <v>10</v>
      </c>
    </row>
    <row r="67" spans="1:6" s="9" customFormat="1" ht="18" customHeight="1">
      <c r="A67" s="101">
        <v>6</v>
      </c>
      <c r="B67" s="102" t="s">
        <v>45</v>
      </c>
      <c r="C67" s="107" t="s">
        <v>17</v>
      </c>
      <c r="D67" s="116">
        <v>4</v>
      </c>
    </row>
    <row r="68" spans="1:6" s="9" customFormat="1" ht="18" customHeight="1">
      <c r="A68" s="101">
        <v>7</v>
      </c>
      <c r="B68" s="102" t="s">
        <v>50</v>
      </c>
      <c r="C68" s="107" t="s">
        <v>29</v>
      </c>
      <c r="D68" s="116">
        <f>0.4*0.4*0.6*4</f>
        <v>0.38400000000000006</v>
      </c>
    </row>
    <row r="69" spans="1:6" s="9" customFormat="1" ht="18" customHeight="1">
      <c r="A69" s="101"/>
      <c r="B69" s="109" t="s">
        <v>140</v>
      </c>
      <c r="C69" s="107"/>
      <c r="D69" s="116"/>
    </row>
    <row r="70" spans="1:6" s="9" customFormat="1" ht="18" customHeight="1">
      <c r="A70" s="101">
        <v>8</v>
      </c>
      <c r="B70" s="102" t="s">
        <v>125</v>
      </c>
      <c r="C70" s="107" t="s">
        <v>29</v>
      </c>
      <c r="D70" s="116">
        <f>0.4*0.4*0.6*4</f>
        <v>0.38400000000000006</v>
      </c>
    </row>
    <row r="71" spans="1:6" s="9" customFormat="1" ht="18" customHeight="1">
      <c r="A71" s="32"/>
      <c r="B71" s="109" t="s">
        <v>140</v>
      </c>
      <c r="C71" s="107"/>
      <c r="D71" s="120"/>
    </row>
    <row r="72" spans="1:6" s="9" customFormat="1" ht="18" customHeight="1">
      <c r="A72" s="101">
        <v>9</v>
      </c>
      <c r="B72" s="102" t="s">
        <v>70</v>
      </c>
      <c r="C72" s="107" t="s">
        <v>34</v>
      </c>
      <c r="D72" s="116">
        <f>0.4*0.6*4*4/100</f>
        <v>3.8399999999999997E-2</v>
      </c>
    </row>
    <row r="73" spans="1:6" s="9" customFormat="1" ht="18" customHeight="1">
      <c r="A73" s="32"/>
      <c r="B73" s="109" t="s">
        <v>141</v>
      </c>
      <c r="C73" s="119"/>
      <c r="D73" s="120"/>
      <c r="F73" s="22"/>
    </row>
    <row r="74" spans="1:6" s="9" customFormat="1" ht="18" customHeight="1">
      <c r="A74" s="101">
        <v>10</v>
      </c>
      <c r="B74" s="102" t="s">
        <v>164</v>
      </c>
      <c r="C74" s="107" t="s">
        <v>29</v>
      </c>
      <c r="D74" s="116">
        <f>0.4*0.4*0.6*4</f>
        <v>0.38400000000000006</v>
      </c>
      <c r="F74" s="22"/>
    </row>
    <row r="75" spans="1:6" s="9" customFormat="1" ht="18" customHeight="1">
      <c r="A75" s="32"/>
      <c r="B75" s="109" t="s">
        <v>140</v>
      </c>
      <c r="C75" s="107"/>
      <c r="D75" s="120"/>
      <c r="F75" s="22"/>
    </row>
    <row r="76" spans="1:6" s="9" customFormat="1" ht="18" customHeight="1">
      <c r="A76" s="101">
        <v>11</v>
      </c>
      <c r="B76" s="102" t="s">
        <v>133</v>
      </c>
      <c r="C76" s="107" t="s">
        <v>41</v>
      </c>
      <c r="D76" s="116">
        <v>2</v>
      </c>
      <c r="F76" s="22"/>
    </row>
    <row r="77" spans="1:6" s="9" customFormat="1" ht="18" customHeight="1">
      <c r="A77" s="101">
        <v>12</v>
      </c>
      <c r="B77" s="102" t="s">
        <v>142</v>
      </c>
      <c r="C77" s="107" t="s">
        <v>31</v>
      </c>
      <c r="D77" s="116">
        <f>(1.5*4+0.7*2+0.6*4)*3.77*2</f>
        <v>73.89200000000001</v>
      </c>
      <c r="E77" s="22"/>
      <c r="F77" s="22"/>
    </row>
    <row r="78" spans="1:6" s="9" customFormat="1" ht="18" customHeight="1">
      <c r="A78" s="32"/>
      <c r="B78" s="109" t="s">
        <v>158</v>
      </c>
      <c r="C78" s="119"/>
      <c r="D78" s="120"/>
      <c r="F78" s="22"/>
    </row>
    <row r="79" spans="1:6" s="9" customFormat="1" ht="18" customHeight="1">
      <c r="A79" s="101">
        <v>13</v>
      </c>
      <c r="B79" s="102" t="s">
        <v>134</v>
      </c>
      <c r="C79" s="107" t="s">
        <v>43</v>
      </c>
      <c r="D79" s="116">
        <v>2</v>
      </c>
      <c r="F79" s="136"/>
    </row>
    <row r="80" spans="1:6" s="9" customFormat="1" ht="18" customHeight="1">
      <c r="A80" s="101">
        <v>14</v>
      </c>
      <c r="B80" s="102" t="s">
        <v>135</v>
      </c>
      <c r="C80" s="107" t="s">
        <v>30</v>
      </c>
      <c r="D80" s="116">
        <v>10</v>
      </c>
    </row>
    <row r="81" spans="1:4" s="9" customFormat="1" ht="18" customHeight="1">
      <c r="A81" s="122"/>
      <c r="B81" s="126" t="s">
        <v>136</v>
      </c>
      <c r="C81" s="123"/>
      <c r="D81" s="124"/>
    </row>
    <row r="82" spans="1:4" s="9" customFormat="1" ht="18" customHeight="1">
      <c r="A82" s="18"/>
      <c r="B82" s="19"/>
      <c r="C82" s="20"/>
      <c r="D82" s="17"/>
    </row>
    <row r="83" spans="1:4" ht="18" customHeight="1"/>
    <row r="84" spans="1:4" ht="18" customHeight="1"/>
  </sheetData>
  <mergeCells count="3">
    <mergeCell ref="A1:D1"/>
    <mergeCell ref="A2:D2"/>
    <mergeCell ref="A3:D3"/>
  </mergeCells>
  <phoneticPr fontId="2" type="noConversion"/>
  <pageMargins left="0.74" right="0.32" top="0.66" bottom="0.54" header="0.5" footer="0.23"/>
  <pageSetup paperSize="9" orientation="portrait" verticalDpi="0" r:id="rId1"/>
  <headerFooter alignWithMargins="0">
    <oddFooter>&amp;CTrang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67"/>
  <sheetViews>
    <sheetView workbookViewId="0">
      <selection activeCell="F358" sqref="F358"/>
    </sheetView>
  </sheetViews>
  <sheetFormatPr defaultColWidth="8.90625" defaultRowHeight="13.2"/>
  <cols>
    <col min="1" max="1" width="35.36328125" style="172" customWidth="1"/>
    <col min="2" max="2" width="5.81640625" style="172" customWidth="1"/>
    <col min="3" max="3" width="6.453125" style="172" customWidth="1"/>
    <col min="4" max="4" width="2.36328125" style="172" customWidth="1"/>
    <col min="5" max="5" width="5.453125" style="172" customWidth="1"/>
    <col min="6" max="6" width="3.453125" style="172" bestFit="1" customWidth="1"/>
    <col min="7" max="7" width="3.54296875" style="173" customWidth="1"/>
    <col min="8" max="8" width="0.90625" style="171" customWidth="1"/>
    <col min="9" max="9" width="12.08984375" style="172" customWidth="1"/>
    <col min="10" max="10" width="11.6328125" style="172" bestFit="1" customWidth="1"/>
    <col min="11" max="11" width="8.90625" style="172"/>
    <col min="12" max="12" width="14.36328125" style="172" customWidth="1"/>
    <col min="13" max="13" width="17.08984375" style="172" customWidth="1"/>
    <col min="14" max="16384" width="8.90625" style="172"/>
  </cols>
  <sheetData>
    <row r="1" spans="1:14" ht="24" customHeight="1">
      <c r="A1" s="1283" t="s">
        <v>451</v>
      </c>
      <c r="B1" s="1283"/>
      <c r="C1" s="1283"/>
      <c r="D1" s="1283"/>
      <c r="E1" s="1283"/>
      <c r="F1" s="1283"/>
      <c r="G1" s="1283"/>
      <c r="H1" s="1283"/>
      <c r="I1" s="1283"/>
    </row>
    <row r="2" spans="1:14" s="23" customFormat="1" ht="21.9" customHeight="1">
      <c r="A2" s="1287" t="str">
        <f>THKL!A2:D2</f>
        <v>Công trình: Bảo dưỡng thường xuyên cầu, đường bộ, đường thủy nội địa</v>
      </c>
      <c r="B2" s="1287"/>
      <c r="C2" s="1287"/>
      <c r="D2" s="1287"/>
      <c r="E2" s="1287"/>
      <c r="F2" s="1287"/>
      <c r="G2" s="1287"/>
      <c r="H2" s="1287"/>
      <c r="I2" s="1287"/>
    </row>
    <row r="3" spans="1:14" s="23" customFormat="1" ht="20.100000000000001" customHeight="1">
      <c r="A3" s="1287"/>
      <c r="B3" s="1287"/>
      <c r="C3" s="1287"/>
      <c r="D3" s="1287"/>
      <c r="E3" s="1287"/>
      <c r="F3" s="1287"/>
      <c r="G3" s="1287"/>
      <c r="H3" s="1287"/>
      <c r="I3" s="1287"/>
    </row>
    <row r="4" spans="1:14" s="23" customFormat="1" ht="9" hidden="1" customHeight="1">
      <c r="A4" s="160"/>
      <c r="B4" s="161"/>
      <c r="C4" s="161"/>
      <c r="D4" s="161"/>
      <c r="E4" s="161"/>
      <c r="F4" s="161"/>
      <c r="G4" s="161"/>
      <c r="H4" s="161"/>
      <c r="I4" s="162"/>
    </row>
    <row r="5" spans="1:14" s="23" customFormat="1" ht="15" customHeight="1">
      <c r="A5" s="163"/>
      <c r="B5" s="164"/>
      <c r="C5" s="164"/>
      <c r="D5" s="164"/>
      <c r="E5" s="164"/>
      <c r="F5" s="164"/>
      <c r="G5" s="165"/>
      <c r="H5" s="164"/>
      <c r="I5" s="166"/>
    </row>
    <row r="6" spans="1:14" s="167" customFormat="1" ht="45.75" customHeight="1">
      <c r="A6" s="175" t="s">
        <v>52</v>
      </c>
      <c r="B6" s="175" t="s">
        <v>53</v>
      </c>
      <c r="C6" s="1288" t="s">
        <v>21</v>
      </c>
      <c r="D6" s="1289"/>
      <c r="E6" s="1289"/>
      <c r="F6" s="1289"/>
      <c r="G6" s="1289"/>
      <c r="H6" s="1289"/>
      <c r="I6" s="175" t="s">
        <v>187</v>
      </c>
    </row>
    <row r="7" spans="1:14" s="167" customFormat="1" ht="26.25" customHeight="1">
      <c r="A7" s="176" t="s">
        <v>448</v>
      </c>
      <c r="B7" s="27" t="s">
        <v>431</v>
      </c>
      <c r="C7" s="1284" t="s">
        <v>443</v>
      </c>
      <c r="D7" s="1285"/>
      <c r="E7" s="1285"/>
      <c r="F7" s="1285"/>
      <c r="G7" s="1285"/>
      <c r="H7" s="1286"/>
      <c r="I7" s="311">
        <f>+I8/1.1</f>
        <v>6490076344.8824873</v>
      </c>
    </row>
    <row r="8" spans="1:14" s="167" customFormat="1" ht="24" customHeight="1">
      <c r="A8" s="176" t="s">
        <v>449</v>
      </c>
      <c r="B8" s="27" t="s">
        <v>1</v>
      </c>
      <c r="C8" s="1284" t="s">
        <v>507</v>
      </c>
      <c r="D8" s="1285"/>
      <c r="E8" s="1285"/>
      <c r="F8" s="1285"/>
      <c r="G8" s="1285"/>
      <c r="H8" s="1286"/>
      <c r="I8" s="311">
        <f>KPXD!I251+KPXD!I232+KPXD!I210+KPXD!I189+KPXD!I168+KPXD!I147+KPXD!I125+KPXD!I104+KPXD!I82+KPXD!I61+KPXD!I43+KPXD!I21</f>
        <v>7139083979.3707371</v>
      </c>
      <c r="L8" s="998"/>
      <c r="M8" s="998"/>
      <c r="N8" s="998"/>
    </row>
    <row r="9" spans="1:14" s="167" customFormat="1" ht="24" customHeight="1">
      <c r="A9" s="176" t="s">
        <v>444</v>
      </c>
      <c r="B9" s="27" t="s">
        <v>65</v>
      </c>
      <c r="C9" s="1284" t="s">
        <v>445</v>
      </c>
      <c r="D9" s="1285"/>
      <c r="E9" s="1285"/>
      <c r="F9" s="1285"/>
      <c r="G9" s="1285"/>
      <c r="H9" s="1286"/>
      <c r="I9" s="311">
        <f>I7*10%</f>
        <v>649007634.48824883</v>
      </c>
      <c r="L9" s="998"/>
      <c r="M9" s="998"/>
      <c r="N9" s="998"/>
    </row>
    <row r="10" spans="1:14" s="167" customFormat="1" ht="18" hidden="1" customHeight="1">
      <c r="A10" s="176" t="s">
        <v>296</v>
      </c>
      <c r="B10" s="27" t="s">
        <v>297</v>
      </c>
      <c r="C10" s="437"/>
      <c r="D10" s="438"/>
      <c r="E10" s="438"/>
      <c r="F10" s="438"/>
      <c r="G10" s="438"/>
      <c r="H10" s="439"/>
      <c r="I10" s="311">
        <f>CPTB!F37</f>
        <v>75650000</v>
      </c>
      <c r="L10" s="998"/>
      <c r="M10" s="998"/>
      <c r="N10" s="998"/>
    </row>
    <row r="11" spans="1:14" s="167" customFormat="1" ht="18" hidden="1" customHeight="1">
      <c r="A11" s="176" t="s">
        <v>189</v>
      </c>
      <c r="B11" s="27" t="s">
        <v>190</v>
      </c>
      <c r="C11" s="1284" t="s">
        <v>298</v>
      </c>
      <c r="D11" s="1285"/>
      <c r="E11" s="1285"/>
      <c r="F11" s="1285"/>
      <c r="G11" s="1285"/>
      <c r="H11" s="1286"/>
      <c r="I11" s="311">
        <f>I10*1.1</f>
        <v>83215000</v>
      </c>
      <c r="L11" s="998"/>
      <c r="M11" s="998"/>
      <c r="N11" s="998"/>
    </row>
    <row r="12" spans="1:14" s="167" customFormat="1" ht="18" hidden="1" customHeight="1">
      <c r="A12" s="176" t="s">
        <v>189</v>
      </c>
      <c r="B12" s="27" t="s">
        <v>190</v>
      </c>
      <c r="C12" s="481">
        <v>32010000</v>
      </c>
      <c r="D12" s="438" t="s">
        <v>58</v>
      </c>
      <c r="E12" s="444">
        <v>1.1000000000000001</v>
      </c>
      <c r="F12" s="438"/>
      <c r="G12" s="482"/>
      <c r="H12" s="439"/>
      <c r="I12" s="311">
        <f>+E12*C12*0</f>
        <v>0</v>
      </c>
      <c r="L12" s="998"/>
      <c r="M12" s="998"/>
      <c r="N12" s="998"/>
    </row>
    <row r="13" spans="1:14" s="167" customFormat="1" ht="18" hidden="1" customHeight="1">
      <c r="A13" s="440" t="s">
        <v>251</v>
      </c>
      <c r="B13" s="441" t="s">
        <v>22</v>
      </c>
      <c r="C13" s="442" t="s">
        <v>299</v>
      </c>
      <c r="D13" s="443" t="s">
        <v>58</v>
      </c>
      <c r="E13" s="444">
        <v>2.9359999999999999</v>
      </c>
      <c r="F13" s="443" t="s">
        <v>69</v>
      </c>
      <c r="G13" s="445">
        <v>1.1000000000000001</v>
      </c>
      <c r="H13" s="446" t="s">
        <v>55</v>
      </c>
      <c r="I13" s="311">
        <f>ROUND((I7+I10)*$E$13/100*$G$13,0)</f>
        <v>212046698</v>
      </c>
      <c r="L13" s="998"/>
      <c r="M13" s="998"/>
      <c r="N13" s="998"/>
    </row>
    <row r="14" spans="1:14" s="167" customFormat="1" ht="18" hidden="1" customHeight="1">
      <c r="A14" s="440" t="s">
        <v>252</v>
      </c>
      <c r="B14" s="27" t="s">
        <v>191</v>
      </c>
      <c r="C14" s="1284" t="s">
        <v>192</v>
      </c>
      <c r="D14" s="1285"/>
      <c r="E14" s="1285"/>
      <c r="F14" s="1285"/>
      <c r="G14" s="1285"/>
      <c r="H14" s="1286"/>
      <c r="I14" s="311" t="e">
        <f>ROUND(SUM(I15:I37),0)</f>
        <v>#REF!</v>
      </c>
      <c r="L14" s="998"/>
      <c r="M14" s="998"/>
      <c r="N14" s="998"/>
    </row>
    <row r="15" spans="1:14" s="167" customFormat="1" ht="21" hidden="1" customHeight="1">
      <c r="A15" s="447" t="s">
        <v>240</v>
      </c>
      <c r="B15" s="276" t="s">
        <v>241</v>
      </c>
      <c r="C15" s="1274"/>
      <c r="D15" s="1275"/>
      <c r="E15" s="1275"/>
      <c r="F15" s="1275"/>
      <c r="G15" s="1275"/>
      <c r="H15" s="1276"/>
      <c r="I15" s="311">
        <v>0</v>
      </c>
      <c r="L15" s="998"/>
      <c r="M15" s="998"/>
      <c r="N15" s="998"/>
    </row>
    <row r="16" spans="1:14" s="167" customFormat="1" ht="19.5" hidden="1" customHeight="1">
      <c r="A16" s="448" t="s">
        <v>242</v>
      </c>
      <c r="B16" s="139" t="s">
        <v>243</v>
      </c>
      <c r="C16" s="471" t="s">
        <v>247</v>
      </c>
      <c r="D16" s="449" t="s">
        <v>58</v>
      </c>
      <c r="E16" s="450">
        <v>1.31</v>
      </c>
      <c r="F16" s="449" t="s">
        <v>69</v>
      </c>
      <c r="G16" s="451">
        <v>1.1000000000000001</v>
      </c>
      <c r="H16" s="452" t="s">
        <v>55</v>
      </c>
      <c r="I16" s="311">
        <v>0</v>
      </c>
      <c r="L16" s="998"/>
      <c r="M16" s="998"/>
      <c r="N16" s="998"/>
    </row>
    <row r="17" spans="1:14" s="167" customFormat="1" ht="21" hidden="1" customHeight="1">
      <c r="A17" s="448" t="s">
        <v>193</v>
      </c>
      <c r="B17" s="139" t="s">
        <v>244</v>
      </c>
      <c r="C17" s="453" t="s">
        <v>188</v>
      </c>
      <c r="D17" s="449" t="s">
        <v>58</v>
      </c>
      <c r="E17" s="450">
        <v>0.13600000000000001</v>
      </c>
      <c r="F17" s="449" t="s">
        <v>69</v>
      </c>
      <c r="G17" s="451">
        <v>1.1000000000000001</v>
      </c>
      <c r="H17" s="452" t="s">
        <v>55</v>
      </c>
      <c r="I17" s="311">
        <v>0</v>
      </c>
      <c r="L17" s="998" t="s">
        <v>194</v>
      </c>
      <c r="M17" s="998"/>
      <c r="N17" s="998"/>
    </row>
    <row r="18" spans="1:14" s="167" customFormat="1" ht="19.5" hidden="1" customHeight="1">
      <c r="A18" s="448" t="s">
        <v>195</v>
      </c>
      <c r="B18" s="139" t="s">
        <v>245</v>
      </c>
      <c r="C18" s="453" t="s">
        <v>188</v>
      </c>
      <c r="D18" s="449" t="s">
        <v>58</v>
      </c>
      <c r="E18" s="450">
        <v>0.13300000000000001</v>
      </c>
      <c r="F18" s="449" t="s">
        <v>69</v>
      </c>
      <c r="G18" s="451">
        <v>1.1000000000000001</v>
      </c>
      <c r="H18" s="452" t="s">
        <v>55</v>
      </c>
      <c r="I18" s="311">
        <v>0</v>
      </c>
      <c r="L18" s="998"/>
      <c r="M18" s="998"/>
      <c r="N18" s="998"/>
    </row>
    <row r="19" spans="1:14" s="167" customFormat="1" ht="27.6" hidden="1">
      <c r="A19" s="458" t="s">
        <v>196</v>
      </c>
      <c r="B19" s="139">
        <f>IF(I19=0,0,"TV"&amp;#REF!)</f>
        <v>0</v>
      </c>
      <c r="C19" s="453" t="s">
        <v>188</v>
      </c>
      <c r="D19" s="449" t="s">
        <v>58</v>
      </c>
      <c r="E19" s="450">
        <v>0.1</v>
      </c>
      <c r="F19" s="449" t="s">
        <v>69</v>
      </c>
      <c r="G19" s="451">
        <v>1.1000000000000001</v>
      </c>
      <c r="H19" s="452" t="s">
        <v>55</v>
      </c>
      <c r="I19" s="311">
        <f>ROUND(MIN(MAX(10^6,$I$7%*$E19*$G19),50*10^6),0)*0</f>
        <v>0</v>
      </c>
      <c r="L19" s="998"/>
      <c r="M19" s="998"/>
      <c r="N19" s="998"/>
    </row>
    <row r="20" spans="1:14" s="167" customFormat="1" ht="27.6" hidden="1">
      <c r="A20" s="458" t="s">
        <v>197</v>
      </c>
      <c r="B20" s="139">
        <f>IF(I20=0,0,"TV"&amp;#REF!)</f>
        <v>0</v>
      </c>
      <c r="C20" s="453" t="s">
        <v>188</v>
      </c>
      <c r="D20" s="449" t="s">
        <v>58</v>
      </c>
      <c r="E20" s="450">
        <v>0.05</v>
      </c>
      <c r="F20" s="449" t="s">
        <v>69</v>
      </c>
      <c r="G20" s="451">
        <v>1.1000000000000001</v>
      </c>
      <c r="H20" s="452"/>
      <c r="I20" s="311">
        <f>ROUND(MIN(MAX(10^6,$I$7%*$E20*$G20),50*10^6),0)*0</f>
        <v>0</v>
      </c>
      <c r="L20" s="998"/>
      <c r="M20" s="998"/>
      <c r="N20" s="998"/>
    </row>
    <row r="21" spans="1:14" s="167" customFormat="1" ht="27.6" hidden="1">
      <c r="A21" s="458" t="s">
        <v>198</v>
      </c>
      <c r="B21" s="139">
        <f>IF(I21=0,0,"TV"&amp;#REF!)</f>
        <v>0</v>
      </c>
      <c r="C21" s="453" t="s">
        <v>188</v>
      </c>
      <c r="D21" s="449" t="s">
        <v>58</v>
      </c>
      <c r="E21" s="450">
        <v>0.1</v>
      </c>
      <c r="F21" s="449" t="s">
        <v>69</v>
      </c>
      <c r="G21" s="451">
        <v>1.1000000000000001</v>
      </c>
      <c r="H21" s="452"/>
      <c r="I21" s="311">
        <f>ROUND(MIN(MAX(10^6,$I$7%*$E21*$G21),50*10^6),0)*0</f>
        <v>0</v>
      </c>
      <c r="L21" s="998"/>
      <c r="M21" s="998"/>
      <c r="N21" s="998"/>
    </row>
    <row r="22" spans="1:14" s="167" customFormat="1" ht="27.6" hidden="1">
      <c r="A22" s="458" t="s">
        <v>199</v>
      </c>
      <c r="B22" s="139">
        <f>IF(I22=0,0,"TV"&amp;#REF!)</f>
        <v>0</v>
      </c>
      <c r="C22" s="453" t="s">
        <v>188</v>
      </c>
      <c r="D22" s="449" t="s">
        <v>58</v>
      </c>
      <c r="E22" s="450">
        <v>0.05</v>
      </c>
      <c r="F22" s="449" t="s">
        <v>69</v>
      </c>
      <c r="G22" s="451">
        <v>1.1000000000000001</v>
      </c>
      <c r="H22" s="452"/>
      <c r="I22" s="311">
        <f>ROUND(MIN(MAX(10^6,$I$7%*$E22*$G22),50*10^6),0)*0</f>
        <v>0</v>
      </c>
      <c r="L22" s="998"/>
      <c r="M22" s="998"/>
      <c r="N22" s="998"/>
    </row>
    <row r="23" spans="1:14" s="167" customFormat="1" ht="27.6" hidden="1">
      <c r="A23" s="458" t="s">
        <v>200</v>
      </c>
      <c r="B23" s="139">
        <f>IF(I23=0,0,"TV"&amp;#REF!)</f>
        <v>0</v>
      </c>
      <c r="C23" s="453" t="s">
        <v>188</v>
      </c>
      <c r="D23" s="449" t="s">
        <v>58</v>
      </c>
      <c r="E23" s="450">
        <v>0.02</v>
      </c>
      <c r="F23" s="449" t="s">
        <v>69</v>
      </c>
      <c r="G23" s="451">
        <v>1.1000000000000001</v>
      </c>
      <c r="H23" s="452"/>
      <c r="I23" s="311">
        <f>ROUND(MIN(MAX(10^6,$I$7%*$E23*$G23),50*10^6),0)*0</f>
        <v>0</v>
      </c>
      <c r="L23" s="998"/>
      <c r="M23" s="998"/>
      <c r="N23" s="998"/>
    </row>
    <row r="24" spans="1:14" s="167" customFormat="1" ht="19.5" hidden="1" customHeight="1">
      <c r="A24" s="448" t="s">
        <v>201</v>
      </c>
      <c r="B24" s="139" t="s">
        <v>241</v>
      </c>
      <c r="C24" s="453" t="s">
        <v>188</v>
      </c>
      <c r="D24" s="449" t="s">
        <v>58</v>
      </c>
      <c r="E24" s="450">
        <v>3.2029999999999998</v>
      </c>
      <c r="F24" s="449" t="s">
        <v>69</v>
      </c>
      <c r="G24" s="451">
        <v>1.1000000000000001</v>
      </c>
      <c r="H24" s="452" t="s">
        <v>55</v>
      </c>
      <c r="I24" s="311">
        <f>ROUND($I$7*E24/100*G24,0)</f>
        <v>228664860</v>
      </c>
      <c r="J24" s="167" t="e">
        <f>+#REF!*0.75</f>
        <v>#REF!</v>
      </c>
      <c r="L24" s="998"/>
      <c r="M24" s="998"/>
      <c r="N24" s="998"/>
    </row>
    <row r="25" spans="1:14" s="167" customFormat="1" ht="27.6" hidden="1">
      <c r="A25" s="454" t="s">
        <v>202</v>
      </c>
      <c r="B25" s="139" t="e">
        <f>IF(I25=0,0,"TV"&amp;#REF!)</f>
        <v>#REF!</v>
      </c>
      <c r="C25" s="453" t="s">
        <v>249</v>
      </c>
      <c r="D25" s="449" t="s">
        <v>58</v>
      </c>
      <c r="E25" s="455" t="e">
        <f>IF(#REF!="c",0.1,0)</f>
        <v>#REF!</v>
      </c>
      <c r="F25" s="449" t="s">
        <v>69</v>
      </c>
      <c r="G25" s="451">
        <v>1.1000000000000001</v>
      </c>
      <c r="H25" s="452" t="s">
        <v>55</v>
      </c>
      <c r="I25" s="311" t="e">
        <f>ROUND(IF(#REF!="c",MIN(MAX(10^6,$I$24/1.1*$E25%*$G25),50*10^6),0),0)</f>
        <v>#REF!</v>
      </c>
      <c r="L25" s="998"/>
      <c r="M25" s="998"/>
      <c r="N25" s="998"/>
    </row>
    <row r="26" spans="1:14" s="167" customFormat="1" ht="27.6" hidden="1">
      <c r="A26" s="454" t="s">
        <v>203</v>
      </c>
      <c r="B26" s="139" t="e">
        <f>IF(I26=0,0,"TV"&amp;#REF!)</f>
        <v>#REF!</v>
      </c>
      <c r="C26" s="453" t="s">
        <v>249</v>
      </c>
      <c r="D26" s="449" t="s">
        <v>58</v>
      </c>
      <c r="E26" s="455" t="e">
        <f>IF(#REF!="c",0.05,0)</f>
        <v>#REF!</v>
      </c>
      <c r="F26" s="449" t="s">
        <v>69</v>
      </c>
      <c r="G26" s="451">
        <v>1.1000000000000001</v>
      </c>
      <c r="H26" s="452"/>
      <c r="I26" s="311" t="e">
        <f>ROUND(IF(#REF!="c",MIN(MAX(10^6,$I$24/1.1*$E26%*$G26),50*10^6),0),0)</f>
        <v>#REF!</v>
      </c>
      <c r="L26" s="998"/>
      <c r="M26" s="998"/>
      <c r="N26" s="998"/>
    </row>
    <row r="27" spans="1:14" s="167" customFormat="1" ht="27.6" hidden="1">
      <c r="A27" s="454" t="s">
        <v>204</v>
      </c>
      <c r="B27" s="139" t="e">
        <f>IF(I27=0,0,"TV"&amp;#REF!)</f>
        <v>#REF!</v>
      </c>
      <c r="C27" s="453" t="s">
        <v>249</v>
      </c>
      <c r="D27" s="449" t="s">
        <v>58</v>
      </c>
      <c r="E27" s="455" t="e">
        <f>IF(#REF!="c",0.1,0)</f>
        <v>#REF!</v>
      </c>
      <c r="F27" s="449" t="s">
        <v>69</v>
      </c>
      <c r="G27" s="451">
        <v>1.1000000000000001</v>
      </c>
      <c r="H27" s="452"/>
      <c r="I27" s="311" t="e">
        <f>ROUND(IF(#REF!="c",MIN(MAX(10^6,$I$24/1.1*$E27%*$G27),50*10^6),0),0)</f>
        <v>#REF!</v>
      </c>
      <c r="L27" s="998"/>
      <c r="M27" s="998"/>
      <c r="N27" s="998"/>
    </row>
    <row r="28" spans="1:14" s="167" customFormat="1" ht="27.6" hidden="1">
      <c r="A28" s="454" t="s">
        <v>205</v>
      </c>
      <c r="B28" s="139" t="e">
        <f>IF(I28=0,0,"TV"&amp;#REF!)</f>
        <v>#REF!</v>
      </c>
      <c r="C28" s="453" t="s">
        <v>249</v>
      </c>
      <c r="D28" s="449" t="s">
        <v>58</v>
      </c>
      <c r="E28" s="455" t="e">
        <f>IF(#REF!="c",0.05,0)</f>
        <v>#REF!</v>
      </c>
      <c r="F28" s="449" t="s">
        <v>69</v>
      </c>
      <c r="G28" s="451">
        <v>1.1000000000000001</v>
      </c>
      <c r="H28" s="452"/>
      <c r="I28" s="311" t="e">
        <f>ROUND(IF(#REF!="c",MIN(MAX(10^6,$I$24/1.1*$E28%*$G28),50*10^6),0),0)</f>
        <v>#REF!</v>
      </c>
      <c r="L28" s="998"/>
      <c r="M28" s="998"/>
      <c r="N28" s="998"/>
    </row>
    <row r="29" spans="1:14" s="167" customFormat="1" ht="15.6" hidden="1">
      <c r="A29" s="448" t="s">
        <v>300</v>
      </c>
      <c r="B29" s="139" t="s">
        <v>243</v>
      </c>
      <c r="C29" s="453" t="s">
        <v>301</v>
      </c>
      <c r="D29" s="449" t="s">
        <v>58</v>
      </c>
      <c r="E29" s="450">
        <v>0.67700000000000005</v>
      </c>
      <c r="F29" s="449" t="s">
        <v>69</v>
      </c>
      <c r="G29" s="451">
        <v>1.1000000000000001</v>
      </c>
      <c r="H29" s="452"/>
      <c r="I29" s="311">
        <f>I10*E29/100*G29</f>
        <v>563365.55000000005</v>
      </c>
      <c r="L29" s="998"/>
      <c r="M29" s="998"/>
      <c r="N29" s="998"/>
    </row>
    <row r="30" spans="1:14" s="167" customFormat="1" ht="18.75" hidden="1" customHeight="1">
      <c r="A30" s="448" t="s">
        <v>206</v>
      </c>
      <c r="B30" s="139" t="s">
        <v>244</v>
      </c>
      <c r="C30" s="453" t="s">
        <v>22</v>
      </c>
      <c r="D30" s="449" t="s">
        <v>58</v>
      </c>
      <c r="E30" s="456">
        <v>20</v>
      </c>
      <c r="F30" s="449" t="s">
        <v>69</v>
      </c>
      <c r="G30" s="451">
        <v>1</v>
      </c>
      <c r="H30" s="452" t="s">
        <v>55</v>
      </c>
      <c r="I30" s="311">
        <f>ROUND(I13*E30/100*G30,0)</f>
        <v>42409340</v>
      </c>
      <c r="L30" s="998"/>
      <c r="M30" s="998"/>
      <c r="N30" s="998"/>
    </row>
    <row r="31" spans="1:14" s="167" customFormat="1" ht="18.75" hidden="1" customHeight="1">
      <c r="A31" s="448" t="s">
        <v>207</v>
      </c>
      <c r="B31" s="139">
        <f>IF(I31=0,0,"TV"&amp;#REF!)</f>
        <v>0</v>
      </c>
      <c r="C31" s="483" t="s">
        <v>208</v>
      </c>
      <c r="D31" s="449"/>
      <c r="E31" s="450"/>
      <c r="F31" s="449"/>
      <c r="G31" s="451"/>
      <c r="H31" s="452"/>
      <c r="I31" s="311">
        <v>0</v>
      </c>
      <c r="L31" s="998"/>
      <c r="M31" s="998"/>
      <c r="N31" s="998"/>
    </row>
    <row r="32" spans="1:14" s="167" customFormat="1" ht="36" hidden="1" customHeight="1">
      <c r="A32" s="457" t="s">
        <v>209</v>
      </c>
      <c r="B32" s="139" t="s">
        <v>246</v>
      </c>
      <c r="C32" s="453" t="s">
        <v>188</v>
      </c>
      <c r="D32" s="449" t="s">
        <v>58</v>
      </c>
      <c r="E32" s="450">
        <v>1.36</v>
      </c>
      <c r="F32" s="449" t="s">
        <v>69</v>
      </c>
      <c r="G32" s="451">
        <v>1.1000000000000001</v>
      </c>
      <c r="H32" s="452" t="s">
        <v>55</v>
      </c>
      <c r="I32" s="311"/>
      <c r="L32" s="998"/>
      <c r="M32" s="998"/>
      <c r="N32" s="998"/>
    </row>
    <row r="33" spans="1:14" s="167" customFormat="1" ht="27.6" hidden="1">
      <c r="A33" s="458" t="s">
        <v>202</v>
      </c>
      <c r="B33" s="139" t="e">
        <f>IF(I33=0,0,"TV"&amp;#REF!)</f>
        <v>#REF!</v>
      </c>
      <c r="C33" s="453" t="s">
        <v>250</v>
      </c>
      <c r="D33" s="449" t="s">
        <v>58</v>
      </c>
      <c r="E33" s="459" t="e">
        <f>IF(#REF!="c",0.1,0)</f>
        <v>#REF!</v>
      </c>
      <c r="F33" s="449" t="s">
        <v>69</v>
      </c>
      <c r="G33" s="451">
        <v>1.1000000000000001</v>
      </c>
      <c r="H33" s="452" t="s">
        <v>55</v>
      </c>
      <c r="I33" s="311" t="e">
        <f>ROUND(IF(#REF!="c",MIN(MAX(10^6,$I$32/1.1*$E33%*$G33),50*10^6),0),0)</f>
        <v>#REF!</v>
      </c>
      <c r="L33" s="998"/>
      <c r="M33" s="998"/>
      <c r="N33" s="998"/>
    </row>
    <row r="34" spans="1:14" s="167" customFormat="1" ht="27.6" hidden="1">
      <c r="A34" s="458" t="s">
        <v>203</v>
      </c>
      <c r="B34" s="139" t="e">
        <f>IF(I34=0,0,"TV"&amp;#REF!)</f>
        <v>#REF!</v>
      </c>
      <c r="C34" s="453" t="s">
        <v>250</v>
      </c>
      <c r="D34" s="449" t="s">
        <v>58</v>
      </c>
      <c r="E34" s="459" t="e">
        <f>IF(#REF!="c",0.05,0)</f>
        <v>#REF!</v>
      </c>
      <c r="F34" s="449" t="s">
        <v>69</v>
      </c>
      <c r="G34" s="451">
        <v>1.1000000000000001</v>
      </c>
      <c r="H34" s="452"/>
      <c r="I34" s="311" t="e">
        <f>ROUND(IF(#REF!="c",MIN(MAX(10^6,$I$32/1.1*$E34%*$G34),50*10^6),0),0)</f>
        <v>#REF!</v>
      </c>
      <c r="L34" s="998"/>
      <c r="M34" s="998"/>
      <c r="N34" s="998"/>
    </row>
    <row r="35" spans="1:14" s="167" customFormat="1" ht="27.6" hidden="1">
      <c r="A35" s="458" t="s">
        <v>204</v>
      </c>
      <c r="B35" s="139" t="e">
        <f>IF(I35=0,0,"TV"&amp;#REF!)</f>
        <v>#REF!</v>
      </c>
      <c r="C35" s="453" t="s">
        <v>250</v>
      </c>
      <c r="D35" s="449" t="s">
        <v>58</v>
      </c>
      <c r="E35" s="459" t="e">
        <f>IF(#REF!="c",0.1,0)</f>
        <v>#REF!</v>
      </c>
      <c r="F35" s="449" t="s">
        <v>69</v>
      </c>
      <c r="G35" s="451">
        <v>1.1000000000000001</v>
      </c>
      <c r="H35" s="452"/>
      <c r="I35" s="311" t="e">
        <f>ROUND(IF(#REF!="c",MIN(MAX(10^6,$I$32/1.1*$E35%*$G35),50*10^6),0),0)</f>
        <v>#REF!</v>
      </c>
      <c r="L35" s="998"/>
      <c r="M35" s="998"/>
      <c r="N35" s="998"/>
    </row>
    <row r="36" spans="1:14" s="167" customFormat="1" ht="27.6" hidden="1">
      <c r="A36" s="458" t="s">
        <v>205</v>
      </c>
      <c r="B36" s="139" t="e">
        <f>IF(I36=0,0,"TV"&amp;#REF!)</f>
        <v>#REF!</v>
      </c>
      <c r="C36" s="453" t="s">
        <v>250</v>
      </c>
      <c r="D36" s="449" t="s">
        <v>58</v>
      </c>
      <c r="E36" s="459" t="e">
        <f>IF(#REF!="c",0.05,0)</f>
        <v>#REF!</v>
      </c>
      <c r="F36" s="449" t="s">
        <v>69</v>
      </c>
      <c r="G36" s="451">
        <v>1.1000000000000001</v>
      </c>
      <c r="H36" s="452"/>
      <c r="I36" s="311" t="e">
        <f>ROUND(IF(#REF!="c",MIN(MAX(10^6,$I$32/1.1*$E36%*$G36),50*10^6),0),0)</f>
        <v>#REF!</v>
      </c>
      <c r="L36" s="998"/>
      <c r="M36" s="998"/>
      <c r="N36" s="998"/>
    </row>
    <row r="37" spans="1:14" s="167" customFormat="1" ht="18" hidden="1" customHeight="1">
      <c r="A37" s="460" t="s">
        <v>210</v>
      </c>
      <c r="B37" s="292">
        <f>IF(I37=0,0,"TV"&amp;#REF!)</f>
        <v>0</v>
      </c>
      <c r="C37" s="1277" t="s">
        <v>208</v>
      </c>
      <c r="D37" s="1278"/>
      <c r="E37" s="1278"/>
      <c r="F37" s="1278"/>
      <c r="G37" s="1278"/>
      <c r="H37" s="1279"/>
      <c r="I37" s="311">
        <v>0</v>
      </c>
      <c r="L37" s="998"/>
      <c r="M37" s="998"/>
      <c r="N37" s="998"/>
    </row>
    <row r="38" spans="1:14" s="167" customFormat="1" ht="18" hidden="1" customHeight="1">
      <c r="A38" s="176" t="s">
        <v>211</v>
      </c>
      <c r="B38" s="27" t="s">
        <v>212</v>
      </c>
      <c r="C38" s="1280" t="s">
        <v>213</v>
      </c>
      <c r="D38" s="1281"/>
      <c r="E38" s="1281"/>
      <c r="F38" s="1281"/>
      <c r="G38" s="1281"/>
      <c r="H38" s="1282"/>
      <c r="I38" s="311">
        <v>0</v>
      </c>
      <c r="L38" s="998"/>
      <c r="M38" s="998"/>
      <c r="N38" s="998"/>
    </row>
    <row r="39" spans="1:14" s="167" customFormat="1" ht="18" hidden="1" customHeight="1">
      <c r="A39" s="461" t="s">
        <v>214</v>
      </c>
      <c r="B39" s="462" t="s">
        <v>215</v>
      </c>
      <c r="C39" s="1274" t="s">
        <v>216</v>
      </c>
      <c r="D39" s="1275"/>
      <c r="E39" s="1275"/>
      <c r="F39" s="1275"/>
      <c r="G39" s="1275"/>
      <c r="H39" s="1276"/>
      <c r="I39" s="311">
        <v>0</v>
      </c>
      <c r="L39" s="998"/>
      <c r="M39" s="998"/>
      <c r="N39" s="998"/>
    </row>
    <row r="40" spans="1:14" s="167" customFormat="1" ht="18" hidden="1" customHeight="1">
      <c r="A40" s="461" t="s">
        <v>217</v>
      </c>
      <c r="B40" s="463" t="s">
        <v>218</v>
      </c>
      <c r="C40" s="1292" t="s">
        <v>216</v>
      </c>
      <c r="D40" s="1293"/>
      <c r="E40" s="1293"/>
      <c r="F40" s="1293"/>
      <c r="G40" s="1293"/>
      <c r="H40" s="1294"/>
      <c r="I40" s="311">
        <v>0</v>
      </c>
      <c r="L40" s="998"/>
      <c r="M40" s="998"/>
      <c r="N40" s="998"/>
    </row>
    <row r="41" spans="1:14" s="167" customFormat="1" ht="18" hidden="1" customHeight="1">
      <c r="A41" s="461" t="s">
        <v>219</v>
      </c>
      <c r="B41" s="464" t="s">
        <v>220</v>
      </c>
      <c r="C41" s="1277" t="s">
        <v>216</v>
      </c>
      <c r="D41" s="1278"/>
      <c r="E41" s="1278"/>
      <c r="F41" s="1278"/>
      <c r="G41" s="1278"/>
      <c r="H41" s="1279"/>
      <c r="I41" s="311">
        <v>0</v>
      </c>
      <c r="L41" s="998"/>
      <c r="M41" s="998"/>
      <c r="N41" s="998"/>
    </row>
    <row r="42" spans="1:14" s="167" customFormat="1" ht="18" hidden="1" customHeight="1">
      <c r="A42" s="176" t="s">
        <v>221</v>
      </c>
      <c r="B42" s="27" t="s">
        <v>222</v>
      </c>
      <c r="C42" s="1284" t="s">
        <v>223</v>
      </c>
      <c r="D42" s="1285"/>
      <c r="E42" s="1285"/>
      <c r="F42" s="1285"/>
      <c r="G42" s="1285"/>
      <c r="H42" s="1286"/>
      <c r="I42" s="311" t="e">
        <f>ROUND(SUM(I43:I49),0)</f>
        <v>#REF!</v>
      </c>
      <c r="L42" s="998"/>
      <c r="M42" s="998"/>
      <c r="N42" s="998"/>
    </row>
    <row r="43" spans="1:14" s="167" customFormat="1" ht="18" hidden="1" customHeight="1">
      <c r="A43" s="461" t="s">
        <v>302</v>
      </c>
      <c r="B43" s="276" t="e">
        <f>IF(I43=0,0,"K"&amp;#REF!)</f>
        <v>#REF!</v>
      </c>
      <c r="C43" s="465" t="s">
        <v>299</v>
      </c>
      <c r="D43" s="466" t="s">
        <v>58</v>
      </c>
      <c r="E43" s="467">
        <v>0.4</v>
      </c>
      <c r="F43" s="466" t="s">
        <v>224</v>
      </c>
      <c r="G43" s="468">
        <v>1.1000000000000001</v>
      </c>
      <c r="H43" s="469"/>
      <c r="I43" s="311">
        <f>ROUND(($I$7+$I$10)*E43/100*G43,0)</f>
        <v>28889196</v>
      </c>
      <c r="L43" s="998"/>
      <c r="M43" s="998"/>
      <c r="N43" s="998"/>
    </row>
    <row r="44" spans="1:14" s="167" customFormat="1" ht="45.75" hidden="1" customHeight="1">
      <c r="A44" s="457" t="s">
        <v>225</v>
      </c>
      <c r="B44" s="139" t="e">
        <f>IF(I44=0,0,"K"&amp;#REF!)</f>
        <v>#REF!</v>
      </c>
      <c r="C44" s="470" t="str">
        <f>+C43</f>
        <v>(Gxdtt+Gtbtt)</v>
      </c>
      <c r="D44" s="466" t="s">
        <v>58</v>
      </c>
      <c r="E44" s="467">
        <v>2</v>
      </c>
      <c r="F44" s="466" t="s">
        <v>224</v>
      </c>
      <c r="G44" s="468">
        <v>1.1000000000000001</v>
      </c>
      <c r="H44" s="469"/>
      <c r="I44" s="311">
        <f>ROUND(($I$7+$I$10)*E44/100*G44,0)</f>
        <v>144445980</v>
      </c>
      <c r="L44" s="998"/>
      <c r="M44" s="998"/>
      <c r="N44" s="998"/>
    </row>
    <row r="45" spans="1:14" s="167" customFormat="1" ht="18" hidden="1" customHeight="1">
      <c r="A45" s="461" t="s">
        <v>226</v>
      </c>
      <c r="B45" s="139" t="e">
        <f>IF(I45=0,0,"K"&amp;#REF!)</f>
        <v>#REF!</v>
      </c>
      <c r="C45" s="453" t="s">
        <v>188</v>
      </c>
      <c r="D45" s="466" t="s">
        <v>58</v>
      </c>
      <c r="E45" s="467">
        <v>2</v>
      </c>
      <c r="F45" s="466" t="s">
        <v>224</v>
      </c>
      <c r="G45" s="468">
        <v>1.1000000000000001</v>
      </c>
      <c r="H45" s="469"/>
      <c r="I45" s="311">
        <f>ROUND($I$7*E45/100*G45,0)</f>
        <v>142781680</v>
      </c>
      <c r="L45" s="998"/>
      <c r="M45" s="998"/>
      <c r="N45" s="998"/>
    </row>
    <row r="46" spans="1:14" s="167" customFormat="1" ht="33" hidden="1" customHeight="1">
      <c r="A46" s="457" t="s">
        <v>227</v>
      </c>
      <c r="B46" s="139">
        <f>IF(I46=0,0,"K"&amp;#REF!)</f>
        <v>0</v>
      </c>
      <c r="C46" s="453" t="s">
        <v>188</v>
      </c>
      <c r="D46" s="449" t="s">
        <v>58</v>
      </c>
      <c r="E46" s="450">
        <v>0.4</v>
      </c>
      <c r="F46" s="449" t="s">
        <v>224</v>
      </c>
      <c r="G46" s="451">
        <v>1.1000000000000001</v>
      </c>
      <c r="H46" s="452" t="s">
        <v>55</v>
      </c>
      <c r="I46" s="311"/>
      <c r="L46" s="998"/>
      <c r="M46" s="998"/>
      <c r="N46" s="998"/>
    </row>
    <row r="47" spans="1:14" s="167" customFormat="1" ht="27.6" hidden="1">
      <c r="A47" s="457" t="s">
        <v>228</v>
      </c>
      <c r="B47" s="139" t="s">
        <v>294</v>
      </c>
      <c r="C47" s="471" t="s">
        <v>229</v>
      </c>
      <c r="D47" s="449" t="s">
        <v>58</v>
      </c>
      <c r="E47" s="450">
        <v>1.9E-2</v>
      </c>
      <c r="F47" s="449" t="s">
        <v>224</v>
      </c>
      <c r="G47" s="451">
        <v>1</v>
      </c>
      <c r="H47" s="452" t="s">
        <v>55</v>
      </c>
      <c r="I47" s="311">
        <v>0</v>
      </c>
      <c r="J47" s="472" t="e">
        <f>+#REF!</f>
        <v>#REF!</v>
      </c>
      <c r="L47" s="998"/>
      <c r="M47" s="998"/>
      <c r="N47" s="998"/>
    </row>
    <row r="48" spans="1:14" s="167" customFormat="1" ht="27.6" hidden="1">
      <c r="A48" s="457" t="s">
        <v>230</v>
      </c>
      <c r="B48" s="139" t="s">
        <v>303</v>
      </c>
      <c r="C48" s="471" t="s">
        <v>304</v>
      </c>
      <c r="D48" s="449" t="s">
        <v>58</v>
      </c>
      <c r="E48" s="450">
        <v>0.95</v>
      </c>
      <c r="F48" s="473" t="s">
        <v>224</v>
      </c>
      <c r="G48" s="451">
        <v>1</v>
      </c>
      <c r="H48" s="452" t="s">
        <v>55</v>
      </c>
      <c r="I48" s="311" t="e">
        <f>ROUND(((I8+I11+I13+I14+I38+SUM(I43:I47))*E48/100),0)</f>
        <v>#REF!</v>
      </c>
      <c r="J48" s="484" t="e">
        <f>(I8+I13+I14+I38+SUM(I43:I47))/1000000000</f>
        <v>#REF!</v>
      </c>
      <c r="L48" s="998"/>
      <c r="M48" s="998"/>
      <c r="N48" s="998"/>
    </row>
    <row r="49" spans="1:14" s="167" customFormat="1" ht="27.6" hidden="1">
      <c r="A49" s="457" t="s">
        <v>232</v>
      </c>
      <c r="B49" s="292" t="s">
        <v>248</v>
      </c>
      <c r="C49" s="471" t="s">
        <v>231</v>
      </c>
      <c r="D49" s="474" t="s">
        <v>58</v>
      </c>
      <c r="E49" s="450">
        <v>1.6</v>
      </c>
      <c r="F49" s="475" t="s">
        <v>224</v>
      </c>
      <c r="G49" s="476">
        <v>1.1000000000000001</v>
      </c>
      <c r="H49" s="477" t="s">
        <v>55</v>
      </c>
      <c r="I49" s="311">
        <v>0</v>
      </c>
      <c r="L49" s="998"/>
      <c r="M49" s="998"/>
      <c r="N49" s="998"/>
    </row>
    <row r="50" spans="1:14" s="167" customFormat="1" ht="18" hidden="1" customHeight="1">
      <c r="A50" s="176" t="s">
        <v>233</v>
      </c>
      <c r="B50" s="27" t="s">
        <v>234</v>
      </c>
      <c r="C50" s="1284" t="s">
        <v>235</v>
      </c>
      <c r="D50" s="1285"/>
      <c r="E50" s="1285"/>
      <c r="F50" s="1285"/>
      <c r="G50" s="1285"/>
      <c r="H50" s="1286"/>
      <c r="I50" s="311" t="e">
        <f>I51</f>
        <v>#REF!</v>
      </c>
      <c r="L50" s="998"/>
      <c r="M50" s="998"/>
      <c r="N50" s="998"/>
    </row>
    <row r="51" spans="1:14" s="167" customFormat="1" ht="18" hidden="1" customHeight="1">
      <c r="A51" s="461" t="s">
        <v>236</v>
      </c>
      <c r="B51" s="139" t="e">
        <f>IF(I51=0,0,"Gdp"&amp;#REF!)</f>
        <v>#REF!</v>
      </c>
      <c r="C51" s="478" t="s">
        <v>295</v>
      </c>
      <c r="D51" s="466" t="s">
        <v>58</v>
      </c>
      <c r="E51" s="479">
        <v>5</v>
      </c>
      <c r="F51" s="466" t="s">
        <v>4</v>
      </c>
      <c r="G51" s="468"/>
      <c r="H51" s="469" t="s">
        <v>55</v>
      </c>
      <c r="I51" s="311" t="e">
        <f>ROUND((I8+I11+I13+I14+I38+I42)*$E$51/100,0)</f>
        <v>#REF!</v>
      </c>
      <c r="L51" s="998"/>
      <c r="M51" s="998"/>
      <c r="N51" s="998"/>
    </row>
    <row r="52" spans="1:14" s="167" customFormat="1" ht="18" hidden="1" customHeight="1">
      <c r="A52" s="177" t="s">
        <v>237</v>
      </c>
      <c r="B52" s="139" t="e">
        <f>IF(I52=0,0,"Gdp"&amp;#REF!)</f>
        <v>#NAME?</v>
      </c>
      <c r="C52" s="1277" t="s">
        <v>238</v>
      </c>
      <c r="D52" s="1278"/>
      <c r="E52" s="1278"/>
      <c r="F52" s="1278"/>
      <c r="G52" s="1278"/>
      <c r="H52" s="1279"/>
      <c r="I52" s="311" t="e">
        <f>+[1]DPTG!B29*0</f>
        <v>#NAME?</v>
      </c>
      <c r="L52" s="998"/>
      <c r="M52" s="998"/>
      <c r="N52" s="998"/>
    </row>
    <row r="53" spans="1:14" s="167" customFormat="1" ht="30" customHeight="1">
      <c r="A53" s="178" t="s">
        <v>239</v>
      </c>
      <c r="B53" s="27" t="s">
        <v>452</v>
      </c>
      <c r="C53" s="1284" t="s">
        <v>1</v>
      </c>
      <c r="D53" s="1285"/>
      <c r="E53" s="1285"/>
      <c r="F53" s="1285"/>
      <c r="G53" s="1285"/>
      <c r="H53" s="1286"/>
      <c r="I53" s="786">
        <f>I8</f>
        <v>7139083979.3707371</v>
      </c>
      <c r="L53" s="998"/>
      <c r="M53" s="999"/>
      <c r="N53" s="998"/>
    </row>
    <row r="54" spans="1:14" s="167" customFormat="1" ht="30" hidden="1" customHeight="1">
      <c r="A54" s="178" t="s">
        <v>503</v>
      </c>
      <c r="B54" s="27"/>
      <c r="C54" s="1284"/>
      <c r="D54" s="1285"/>
      <c r="E54" s="1285"/>
      <c r="F54" s="1285"/>
      <c r="G54" s="1285"/>
      <c r="H54" s="1286"/>
      <c r="I54" s="311">
        <v>9520643000</v>
      </c>
      <c r="L54" s="998"/>
      <c r="M54" s="998"/>
      <c r="N54" s="998"/>
    </row>
    <row r="55" spans="1:14" s="167" customFormat="1" ht="30" customHeight="1">
      <c r="A55" s="1295" t="s">
        <v>482</v>
      </c>
      <c r="B55" s="1296"/>
      <c r="C55" s="1296"/>
      <c r="D55" s="1296"/>
      <c r="E55" s="1296"/>
      <c r="F55" s="1296"/>
      <c r="G55" s="1296"/>
      <c r="H55" s="1297"/>
      <c r="I55" s="985">
        <v>6496718000</v>
      </c>
      <c r="L55" s="998"/>
      <c r="M55" s="998"/>
      <c r="N55" s="998"/>
    </row>
    <row r="56" spans="1:14" s="23" customFormat="1" ht="15.6">
      <c r="B56" s="25"/>
      <c r="C56" s="25"/>
      <c r="D56" s="25"/>
      <c r="E56" s="25"/>
      <c r="F56" s="25"/>
      <c r="G56" s="168"/>
      <c r="H56" s="26"/>
      <c r="I56" s="169"/>
      <c r="J56" s="26"/>
    </row>
    <row r="57" spans="1:14" ht="15.6">
      <c r="A57" s="170"/>
      <c r="B57" s="1291" t="s">
        <v>1045</v>
      </c>
      <c r="C57" s="1291"/>
      <c r="D57" s="1291"/>
      <c r="E57" s="1291"/>
      <c r="F57" s="1291"/>
      <c r="G57" s="1291"/>
      <c r="H57" s="1291"/>
      <c r="I57" s="1291"/>
    </row>
    <row r="58" spans="1:14" ht="15.6">
      <c r="A58" s="170"/>
      <c r="B58" s="782"/>
      <c r="C58" s="782"/>
      <c r="D58" s="782"/>
      <c r="E58" s="782"/>
      <c r="F58" s="782"/>
      <c r="G58" s="782"/>
      <c r="H58" s="782"/>
      <c r="I58" s="782"/>
    </row>
    <row r="59" spans="1:14" ht="17.399999999999999">
      <c r="A59" s="1290" t="s">
        <v>961</v>
      </c>
      <c r="B59" s="1290"/>
      <c r="C59" s="1290"/>
      <c r="D59" s="1290"/>
      <c r="E59" s="1290"/>
      <c r="F59" s="1290"/>
      <c r="G59" s="1290"/>
      <c r="H59" s="1290"/>
      <c r="I59" s="1290"/>
      <c r="J59" s="480"/>
    </row>
    <row r="60" spans="1:14">
      <c r="I60" s="174"/>
      <c r="J60" s="480"/>
    </row>
    <row r="61" spans="1:14">
      <c r="J61" s="480"/>
    </row>
    <row r="62" spans="1:14">
      <c r="J62" s="480"/>
    </row>
    <row r="63" spans="1:14">
      <c r="J63" s="480"/>
      <c r="L63" s="171"/>
    </row>
    <row r="64" spans="1:14">
      <c r="J64" s="485"/>
    </row>
    <row r="65" spans="1:12">
      <c r="L65" s="171"/>
    </row>
    <row r="67" spans="1:12" ht="17.399999999999999">
      <c r="A67" s="1290" t="s">
        <v>962</v>
      </c>
      <c r="B67" s="1290"/>
      <c r="C67" s="1290"/>
      <c r="D67" s="1290"/>
      <c r="E67" s="1290"/>
      <c r="F67" s="1290"/>
      <c r="G67" s="1290"/>
      <c r="H67" s="1290"/>
      <c r="I67" s="1290"/>
    </row>
  </sheetData>
  <mergeCells count="24">
    <mergeCell ref="A59:I59"/>
    <mergeCell ref="B57:I57"/>
    <mergeCell ref="A67:I67"/>
    <mergeCell ref="C39:H39"/>
    <mergeCell ref="C40:H40"/>
    <mergeCell ref="C42:H42"/>
    <mergeCell ref="C50:H50"/>
    <mergeCell ref="A55:H55"/>
    <mergeCell ref="C54:H54"/>
    <mergeCell ref="C52:H52"/>
    <mergeCell ref="C53:H53"/>
    <mergeCell ref="C41:H41"/>
    <mergeCell ref="C15:H15"/>
    <mergeCell ref="C37:H37"/>
    <mergeCell ref="C38:H38"/>
    <mergeCell ref="A1:I1"/>
    <mergeCell ref="C14:H14"/>
    <mergeCell ref="C8:H8"/>
    <mergeCell ref="C11:H11"/>
    <mergeCell ref="A2:I2"/>
    <mergeCell ref="C7:H7"/>
    <mergeCell ref="C9:H9"/>
    <mergeCell ref="A3:I3"/>
    <mergeCell ref="C6:H6"/>
  </mergeCells>
  <phoneticPr fontId="2" type="noConversion"/>
  <pageMargins left="0.88" right="0.26" top="0.62" bottom="1" header="0.5" footer="0.5"/>
  <pageSetup paperSize="9" orientation="portrait" verticalDpi="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1"/>
  <sheetViews>
    <sheetView topLeftCell="A58" zoomScaleNormal="100" workbookViewId="0">
      <selection activeCell="F358" sqref="F358"/>
    </sheetView>
  </sheetViews>
  <sheetFormatPr defaultColWidth="8.90625" defaultRowHeight="15.9" customHeight="1"/>
  <cols>
    <col min="1" max="1" width="30.90625" style="142" customWidth="1"/>
    <col min="2" max="2" width="8.1796875" style="159" customWidth="1"/>
    <col min="3" max="3" width="6.36328125" style="159" customWidth="1"/>
    <col min="4" max="4" width="1.54296875" style="159" customWidth="1"/>
    <col min="5" max="5" width="5.81640625" style="159" customWidth="1"/>
    <col min="6" max="6" width="3.08984375" style="159" customWidth="1"/>
    <col min="7" max="7" width="5" style="159" customWidth="1"/>
    <col min="8" max="8" width="2.36328125" style="159" customWidth="1"/>
    <col min="9" max="9" width="11.6328125" style="142" customWidth="1"/>
    <col min="10" max="16384" width="8.90625" style="142"/>
  </cols>
  <sheetData>
    <row r="1" spans="1:9" ht="3.9" customHeight="1">
      <c r="A1" s="140"/>
      <c r="B1" s="141"/>
      <c r="C1" s="141"/>
      <c r="D1" s="141"/>
      <c r="E1" s="141"/>
      <c r="F1" s="141"/>
      <c r="G1" s="141"/>
      <c r="H1" s="141"/>
      <c r="I1" s="141"/>
    </row>
    <row r="2" spans="1:9" ht="3.9" customHeight="1">
      <c r="A2" s="140"/>
      <c r="B2" s="141"/>
      <c r="C2" s="141"/>
      <c r="D2" s="141"/>
      <c r="E2" s="141"/>
      <c r="F2" s="141"/>
      <c r="G2" s="141"/>
      <c r="H2" s="141"/>
      <c r="I2" s="141"/>
    </row>
    <row r="3" spans="1:9" ht="29.1" customHeight="1">
      <c r="A3" s="1298" t="s">
        <v>450</v>
      </c>
      <c r="B3" s="1298"/>
      <c r="C3" s="1298"/>
      <c r="D3" s="1298"/>
      <c r="E3" s="1298"/>
      <c r="F3" s="1298"/>
      <c r="G3" s="1298"/>
      <c r="H3" s="1298"/>
      <c r="I3" s="1298"/>
    </row>
    <row r="4" spans="1:9" ht="20.100000000000001" customHeight="1">
      <c r="A4" s="1299" t="str">
        <f>THKL!A2:D2</f>
        <v>Công trình: Bảo dưỡng thường xuyên cầu, đường bộ, đường thủy nội địa</v>
      </c>
      <c r="B4" s="1299"/>
      <c r="C4" s="1299"/>
      <c r="D4" s="1299"/>
      <c r="E4" s="1299"/>
      <c r="F4" s="1299"/>
      <c r="G4" s="1299"/>
      <c r="H4" s="1299"/>
      <c r="I4" s="1299"/>
    </row>
    <row r="5" spans="1:9" ht="8.1" customHeight="1">
      <c r="A5" s="486"/>
      <c r="B5" s="486"/>
      <c r="C5" s="486"/>
      <c r="D5" s="486"/>
      <c r="E5" s="486"/>
      <c r="F5" s="486"/>
      <c r="G5" s="486"/>
      <c r="H5" s="486"/>
      <c r="I5" s="486"/>
    </row>
    <row r="6" spans="1:9" ht="26.1" customHeight="1">
      <c r="A6" s="1300" t="s">
        <v>430</v>
      </c>
      <c r="B6" s="1300"/>
      <c r="C6" s="1300"/>
      <c r="D6" s="1300"/>
      <c r="E6" s="1300"/>
      <c r="F6" s="1300"/>
      <c r="G6" s="1300"/>
      <c r="H6" s="1300"/>
      <c r="I6" s="1300"/>
    </row>
    <row r="7" spans="1:9" ht="8.1" customHeight="1" thickBot="1">
      <c r="A7" s="488"/>
      <c r="B7" s="488"/>
      <c r="C7" s="488"/>
      <c r="D7" s="488"/>
      <c r="E7" s="488"/>
      <c r="F7" s="488"/>
      <c r="G7" s="488"/>
      <c r="H7" s="488"/>
      <c r="I7" s="488"/>
    </row>
    <row r="8" spans="1:9" ht="32.1" customHeight="1" thickBot="1">
      <c r="A8" s="143" t="s">
        <v>173</v>
      </c>
      <c r="B8" s="144" t="s">
        <v>174</v>
      </c>
      <c r="C8" s="145" t="s">
        <v>175</v>
      </c>
      <c r="D8" s="145"/>
      <c r="E8" s="145"/>
      <c r="F8" s="145"/>
      <c r="G8" s="145"/>
      <c r="H8" s="145"/>
      <c r="I8" s="146" t="s">
        <v>54</v>
      </c>
    </row>
    <row r="9" spans="1:9" ht="20.100000000000001" customHeight="1">
      <c r="A9" s="224" t="s">
        <v>176</v>
      </c>
      <c r="B9" s="225" t="s">
        <v>55</v>
      </c>
      <c r="C9" s="226" t="s">
        <v>55</v>
      </c>
      <c r="D9" s="226"/>
      <c r="E9" s="227"/>
      <c r="F9" s="226"/>
      <c r="G9" s="227"/>
      <c r="H9" s="228"/>
      <c r="I9" s="229"/>
    </row>
    <row r="10" spans="1:9" ht="20.100000000000001" customHeight="1">
      <c r="A10" s="230" t="s">
        <v>177</v>
      </c>
      <c r="B10" s="231" t="s">
        <v>56</v>
      </c>
      <c r="C10" s="149" t="s">
        <v>56</v>
      </c>
      <c r="D10" s="149"/>
      <c r="E10" s="150"/>
      <c r="F10" s="149"/>
      <c r="G10" s="150"/>
      <c r="H10" s="207"/>
      <c r="I10" s="232">
        <f>DTCT!I7</f>
        <v>9349117.8962494992</v>
      </c>
    </row>
    <row r="11" spans="1:9" ht="20.100000000000001" customHeight="1">
      <c r="A11" s="230" t="s">
        <v>178</v>
      </c>
      <c r="B11" s="231" t="s">
        <v>57</v>
      </c>
      <c r="C11" s="149" t="s">
        <v>57</v>
      </c>
      <c r="D11" s="149"/>
      <c r="E11" s="150"/>
      <c r="F11" s="149"/>
      <c r="G11" s="150"/>
      <c r="H11" s="207"/>
      <c r="I11" s="232">
        <f>DTCT!J7</f>
        <v>373570323.54236466</v>
      </c>
    </row>
    <row r="12" spans="1:9" ht="20.100000000000001" customHeight="1">
      <c r="A12" s="230" t="s">
        <v>179</v>
      </c>
      <c r="B12" s="231" t="s">
        <v>59</v>
      </c>
      <c r="C12" s="151" t="s">
        <v>186</v>
      </c>
      <c r="D12" s="152" t="s">
        <v>58</v>
      </c>
      <c r="E12" s="153">
        <v>1.744</v>
      </c>
      <c r="F12" s="152" t="s">
        <v>55</v>
      </c>
      <c r="G12" s="153"/>
      <c r="H12" s="208" t="s">
        <v>55</v>
      </c>
      <c r="I12" s="232">
        <f>E12*DTCT!K7</f>
        <v>36179880.165420063</v>
      </c>
    </row>
    <row r="13" spans="1:9" ht="20.100000000000001" hidden="1" customHeight="1">
      <c r="A13" s="230" t="s">
        <v>180</v>
      </c>
      <c r="B13" s="231" t="s">
        <v>14</v>
      </c>
      <c r="C13" s="151" t="s">
        <v>60</v>
      </c>
      <c r="D13" s="152" t="s">
        <v>58</v>
      </c>
      <c r="E13" s="153">
        <v>2</v>
      </c>
      <c r="F13" s="152" t="s">
        <v>4</v>
      </c>
      <c r="G13" s="153"/>
      <c r="H13" s="208" t="s">
        <v>55</v>
      </c>
      <c r="I13" s="232"/>
    </row>
    <row r="14" spans="1:9" ht="20.100000000000001" customHeight="1">
      <c r="A14" s="233" t="s">
        <v>181</v>
      </c>
      <c r="B14" s="234" t="s">
        <v>3</v>
      </c>
      <c r="C14" s="154" t="s">
        <v>60</v>
      </c>
      <c r="D14" s="154"/>
      <c r="E14" s="155"/>
      <c r="F14" s="154"/>
      <c r="G14" s="155"/>
      <c r="H14" s="209"/>
      <c r="I14" s="235">
        <f>SUM(I10:I13)</f>
        <v>419099321.60403419</v>
      </c>
    </row>
    <row r="15" spans="1:9" ht="20.100000000000001" customHeight="1">
      <c r="A15" s="236" t="s">
        <v>61</v>
      </c>
      <c r="B15" s="231" t="s">
        <v>0</v>
      </c>
      <c r="C15" s="151" t="s">
        <v>57</v>
      </c>
      <c r="D15" s="152" t="s">
        <v>58</v>
      </c>
      <c r="E15" s="153">
        <v>66</v>
      </c>
      <c r="F15" s="152" t="s">
        <v>4</v>
      </c>
      <c r="G15" s="153"/>
      <c r="H15" s="208" t="s">
        <v>55</v>
      </c>
      <c r="I15" s="232">
        <f>ROUND(I11*E15/100,0)</f>
        <v>246556414</v>
      </c>
    </row>
    <row r="16" spans="1:9" ht="20.100000000000001" customHeight="1">
      <c r="A16" s="236" t="s">
        <v>182</v>
      </c>
      <c r="B16" s="231" t="s">
        <v>62</v>
      </c>
      <c r="C16" s="151" t="s">
        <v>63</v>
      </c>
      <c r="D16" s="152" t="s">
        <v>58</v>
      </c>
      <c r="E16" s="153">
        <v>6</v>
      </c>
      <c r="F16" s="152" t="s">
        <v>4</v>
      </c>
      <c r="G16" s="153"/>
      <c r="H16" s="208" t="s">
        <v>55</v>
      </c>
      <c r="I16" s="232">
        <f>ROUND((I15+I14)*E16/100,0)</f>
        <v>39939344</v>
      </c>
    </row>
    <row r="17" spans="1:9" ht="20.100000000000001" customHeight="1">
      <c r="A17" s="233" t="s">
        <v>446</v>
      </c>
      <c r="B17" s="234" t="s">
        <v>431</v>
      </c>
      <c r="C17" s="154" t="s">
        <v>64</v>
      </c>
      <c r="D17" s="154"/>
      <c r="E17" s="155"/>
      <c r="F17" s="154"/>
      <c r="G17" s="155"/>
      <c r="H17" s="209"/>
      <c r="I17" s="235">
        <f>SUM(I14:I16)</f>
        <v>705595079.60403419</v>
      </c>
    </row>
    <row r="18" spans="1:9" ht="20.100000000000001" customHeight="1">
      <c r="A18" s="236" t="s">
        <v>183</v>
      </c>
      <c r="B18" s="231" t="s">
        <v>65</v>
      </c>
      <c r="C18" s="151" t="s">
        <v>431</v>
      </c>
      <c r="D18" s="152" t="s">
        <v>58</v>
      </c>
      <c r="E18" s="153">
        <v>10</v>
      </c>
      <c r="F18" s="152" t="s">
        <v>4</v>
      </c>
      <c r="G18" s="153"/>
      <c r="H18" s="208" t="s">
        <v>55</v>
      </c>
      <c r="I18" s="232">
        <f>ROUND(I17*E18/100,0)</f>
        <v>70559508</v>
      </c>
    </row>
    <row r="19" spans="1:9" ht="20.100000000000001" hidden="1" customHeight="1">
      <c r="A19" s="233" t="s">
        <v>184</v>
      </c>
      <c r="B19" s="234" t="s">
        <v>66</v>
      </c>
      <c r="C19" s="154" t="s">
        <v>67</v>
      </c>
      <c r="D19" s="154"/>
      <c r="E19" s="155"/>
      <c r="F19" s="154"/>
      <c r="G19" s="155"/>
      <c r="H19" s="209"/>
      <c r="I19" s="235"/>
    </row>
    <row r="20" spans="1:9" ht="20.100000000000001" hidden="1" customHeight="1">
      <c r="A20" s="236" t="s">
        <v>185</v>
      </c>
      <c r="B20" s="231" t="s">
        <v>68</v>
      </c>
      <c r="C20" s="151" t="s">
        <v>1</v>
      </c>
      <c r="D20" s="152" t="s">
        <v>58</v>
      </c>
      <c r="E20" s="153">
        <v>1</v>
      </c>
      <c r="F20" s="152" t="s">
        <v>69</v>
      </c>
      <c r="G20" s="153">
        <v>1.1000000000000001</v>
      </c>
      <c r="H20" s="208" t="s">
        <v>55</v>
      </c>
      <c r="I20" s="232"/>
    </row>
    <row r="21" spans="1:9" ht="20.100000000000001" customHeight="1" thickBot="1">
      <c r="A21" s="237" t="s">
        <v>447</v>
      </c>
      <c r="B21" s="238" t="s">
        <v>432</v>
      </c>
      <c r="C21" s="156" t="s">
        <v>67</v>
      </c>
      <c r="D21" s="156"/>
      <c r="E21" s="157"/>
      <c r="F21" s="156"/>
      <c r="G21" s="157"/>
      <c r="H21" s="210"/>
      <c r="I21" s="239">
        <f>I18+I17</f>
        <v>776154587.60403419</v>
      </c>
    </row>
    <row r="22" spans="1:9" ht="18.899999999999999" customHeight="1">
      <c r="A22" s="158"/>
      <c r="B22" s="158"/>
      <c r="C22" s="158"/>
      <c r="D22" s="158"/>
      <c r="E22" s="158"/>
      <c r="F22" s="158"/>
      <c r="G22" s="158"/>
      <c r="H22" s="158"/>
      <c r="I22" s="158"/>
    </row>
    <row r="23" spans="1:9" ht="18.899999999999999" customHeight="1">
      <c r="A23" s="158"/>
      <c r="B23" s="158"/>
      <c r="C23" s="158"/>
      <c r="D23" s="158"/>
      <c r="E23" s="158"/>
      <c r="F23" s="158"/>
      <c r="G23" s="158"/>
      <c r="H23" s="158"/>
      <c r="I23" s="158"/>
    </row>
    <row r="24" spans="1:9" ht="18.899999999999999" customHeight="1">
      <c r="A24" s="158"/>
      <c r="B24" s="158"/>
      <c r="C24" s="158"/>
      <c r="D24" s="158"/>
      <c r="E24" s="158"/>
      <c r="F24" s="158"/>
      <c r="G24" s="158"/>
      <c r="H24" s="158"/>
      <c r="I24" s="158"/>
    </row>
    <row r="25" spans="1:9" ht="18.899999999999999" customHeight="1">
      <c r="A25" s="158"/>
      <c r="B25" s="158"/>
      <c r="C25" s="158"/>
      <c r="D25" s="158"/>
      <c r="E25" s="158"/>
      <c r="F25" s="158"/>
      <c r="G25" s="158"/>
      <c r="H25" s="158"/>
      <c r="I25" s="158"/>
    </row>
    <row r="26" spans="1:9" ht="18.899999999999999" customHeight="1">
      <c r="A26" s="158"/>
      <c r="B26" s="158"/>
      <c r="C26" s="158"/>
      <c r="D26" s="158"/>
      <c r="E26" s="158"/>
      <c r="F26" s="158"/>
      <c r="G26" s="158"/>
      <c r="H26" s="158"/>
      <c r="I26" s="158"/>
    </row>
    <row r="27" spans="1:9" ht="18.899999999999999" customHeight="1">
      <c r="A27" s="158"/>
      <c r="B27" s="158"/>
      <c r="C27" s="158"/>
      <c r="D27" s="158"/>
      <c r="E27" s="158"/>
      <c r="F27" s="158"/>
      <c r="G27" s="158"/>
      <c r="H27" s="158"/>
      <c r="I27" s="158"/>
    </row>
    <row r="28" spans="1:9" ht="26.1" customHeight="1">
      <c r="A28" s="1300" t="s">
        <v>421</v>
      </c>
      <c r="B28" s="1300"/>
      <c r="C28" s="1300"/>
      <c r="D28" s="1300"/>
      <c r="E28" s="1300"/>
      <c r="F28" s="1300"/>
      <c r="G28" s="1300"/>
      <c r="H28" s="1300"/>
      <c r="I28" s="1300"/>
    </row>
    <row r="29" spans="1:9" ht="6" customHeight="1" thickBot="1">
      <c r="A29" s="158"/>
      <c r="B29" s="158"/>
      <c r="C29" s="158"/>
      <c r="D29" s="158"/>
      <c r="E29" s="158"/>
      <c r="F29" s="158"/>
      <c r="G29" s="158"/>
      <c r="H29" s="158"/>
      <c r="I29" s="158"/>
    </row>
    <row r="30" spans="1:9" ht="30" customHeight="1" thickBot="1">
      <c r="A30" s="143" t="s">
        <v>173</v>
      </c>
      <c r="B30" s="144" t="s">
        <v>174</v>
      </c>
      <c r="C30" s="145" t="s">
        <v>175</v>
      </c>
      <c r="D30" s="145"/>
      <c r="E30" s="145"/>
      <c r="F30" s="145"/>
      <c r="G30" s="145"/>
      <c r="H30" s="145"/>
      <c r="I30" s="146" t="s">
        <v>54</v>
      </c>
    </row>
    <row r="31" spans="1:9" ht="20.100000000000001" customHeight="1">
      <c r="A31" s="224" t="s">
        <v>176</v>
      </c>
      <c r="B31" s="225" t="s">
        <v>55</v>
      </c>
      <c r="C31" s="226" t="s">
        <v>55</v>
      </c>
      <c r="D31" s="226"/>
      <c r="E31" s="227"/>
      <c r="F31" s="226"/>
      <c r="G31" s="227"/>
      <c r="H31" s="228"/>
      <c r="I31" s="229"/>
    </row>
    <row r="32" spans="1:9" ht="20.100000000000001" customHeight="1">
      <c r="A32" s="230" t="s">
        <v>177</v>
      </c>
      <c r="B32" s="231" t="s">
        <v>56</v>
      </c>
      <c r="C32" s="149" t="s">
        <v>56</v>
      </c>
      <c r="D32" s="149"/>
      <c r="E32" s="150"/>
      <c r="F32" s="149"/>
      <c r="G32" s="150"/>
      <c r="H32" s="207"/>
      <c r="I32" s="232">
        <f>DTCT!I36</f>
        <v>6613311.6052790005</v>
      </c>
    </row>
    <row r="33" spans="1:9" ht="20.100000000000001" customHeight="1">
      <c r="A33" s="230" t="s">
        <v>178</v>
      </c>
      <c r="B33" s="231" t="s">
        <v>57</v>
      </c>
      <c r="C33" s="149" t="s">
        <v>57</v>
      </c>
      <c r="D33" s="149"/>
      <c r="E33" s="150"/>
      <c r="F33" s="149"/>
      <c r="G33" s="150"/>
      <c r="H33" s="207"/>
      <c r="I33" s="232">
        <f>DTCT!J36</f>
        <v>282498759.3166045</v>
      </c>
    </row>
    <row r="34" spans="1:9" ht="20.100000000000001" customHeight="1">
      <c r="A34" s="230" t="s">
        <v>179</v>
      </c>
      <c r="B34" s="231" t="s">
        <v>59</v>
      </c>
      <c r="C34" s="151" t="s">
        <v>186</v>
      </c>
      <c r="D34" s="152" t="s">
        <v>58</v>
      </c>
      <c r="E34" s="153">
        <v>1.744</v>
      </c>
      <c r="F34" s="152" t="s">
        <v>55</v>
      </c>
      <c r="G34" s="153"/>
      <c r="H34" s="208" t="s">
        <v>55</v>
      </c>
      <c r="I34" s="232">
        <f>E34*DTCT!K36</f>
        <v>15184005.53523238</v>
      </c>
    </row>
    <row r="35" spans="1:9" ht="20.100000000000001" hidden="1" customHeight="1">
      <c r="A35" s="230" t="s">
        <v>180</v>
      </c>
      <c r="B35" s="231" t="s">
        <v>14</v>
      </c>
      <c r="C35" s="151" t="s">
        <v>60</v>
      </c>
      <c r="D35" s="152" t="s">
        <v>58</v>
      </c>
      <c r="E35" s="153">
        <v>2</v>
      </c>
      <c r="F35" s="152" t="s">
        <v>4</v>
      </c>
      <c r="G35" s="153"/>
      <c r="H35" s="208" t="s">
        <v>55</v>
      </c>
      <c r="I35" s="232"/>
    </row>
    <row r="36" spans="1:9" ht="20.100000000000001" customHeight="1">
      <c r="A36" s="233" t="s">
        <v>181</v>
      </c>
      <c r="B36" s="234" t="s">
        <v>3</v>
      </c>
      <c r="C36" s="154" t="s">
        <v>60</v>
      </c>
      <c r="D36" s="154"/>
      <c r="E36" s="155"/>
      <c r="F36" s="154"/>
      <c r="G36" s="155"/>
      <c r="H36" s="209"/>
      <c r="I36" s="235">
        <f>SUM(I32:I35)</f>
        <v>304296076.45711589</v>
      </c>
    </row>
    <row r="37" spans="1:9" ht="20.100000000000001" customHeight="1">
      <c r="A37" s="236" t="s">
        <v>61</v>
      </c>
      <c r="B37" s="231" t="s">
        <v>0</v>
      </c>
      <c r="C37" s="151" t="s">
        <v>57</v>
      </c>
      <c r="D37" s="152" t="s">
        <v>58</v>
      </c>
      <c r="E37" s="153">
        <v>66</v>
      </c>
      <c r="F37" s="152" t="s">
        <v>4</v>
      </c>
      <c r="G37" s="153"/>
      <c r="H37" s="208" t="s">
        <v>55</v>
      </c>
      <c r="I37" s="232">
        <f>ROUND(I33*E37/100,0)</f>
        <v>186449181</v>
      </c>
    </row>
    <row r="38" spans="1:9" ht="20.100000000000001" customHeight="1">
      <c r="A38" s="236" t="s">
        <v>182</v>
      </c>
      <c r="B38" s="231" t="s">
        <v>62</v>
      </c>
      <c r="C38" s="151" t="s">
        <v>63</v>
      </c>
      <c r="D38" s="152" t="s">
        <v>58</v>
      </c>
      <c r="E38" s="153">
        <v>6</v>
      </c>
      <c r="F38" s="152" t="s">
        <v>4</v>
      </c>
      <c r="G38" s="153"/>
      <c r="H38" s="208" t="s">
        <v>55</v>
      </c>
      <c r="I38" s="232">
        <f>ROUND((I37+I36)*E38/100,0)</f>
        <v>29444715</v>
      </c>
    </row>
    <row r="39" spans="1:9" ht="20.100000000000001" customHeight="1">
      <c r="A39" s="233" t="s">
        <v>446</v>
      </c>
      <c r="B39" s="234" t="s">
        <v>431</v>
      </c>
      <c r="C39" s="154" t="s">
        <v>64</v>
      </c>
      <c r="D39" s="154"/>
      <c r="E39" s="155"/>
      <c r="F39" s="154"/>
      <c r="G39" s="155"/>
      <c r="H39" s="209"/>
      <c r="I39" s="235">
        <f>SUM(I36:I38)</f>
        <v>520189972.45711589</v>
      </c>
    </row>
    <row r="40" spans="1:9" ht="20.100000000000001" customHeight="1">
      <c r="A40" s="236" t="s">
        <v>183</v>
      </c>
      <c r="B40" s="231" t="s">
        <v>65</v>
      </c>
      <c r="C40" s="151" t="s">
        <v>431</v>
      </c>
      <c r="D40" s="152" t="s">
        <v>58</v>
      </c>
      <c r="E40" s="153">
        <v>10</v>
      </c>
      <c r="F40" s="152" t="s">
        <v>4</v>
      </c>
      <c r="G40" s="153"/>
      <c r="H40" s="208" t="s">
        <v>55</v>
      </c>
      <c r="I40" s="232">
        <f>ROUND(I39*E40/100,0)</f>
        <v>52018997</v>
      </c>
    </row>
    <row r="41" spans="1:9" ht="20.100000000000001" hidden="1" customHeight="1">
      <c r="A41" s="233" t="s">
        <v>184</v>
      </c>
      <c r="B41" s="234" t="s">
        <v>66</v>
      </c>
      <c r="C41" s="154" t="s">
        <v>67</v>
      </c>
      <c r="D41" s="154"/>
      <c r="E41" s="155"/>
      <c r="F41" s="154"/>
      <c r="G41" s="155"/>
      <c r="H41" s="209"/>
      <c r="I41" s="235"/>
    </row>
    <row r="42" spans="1:9" ht="20.100000000000001" hidden="1" customHeight="1">
      <c r="A42" s="236" t="s">
        <v>185</v>
      </c>
      <c r="B42" s="231" t="s">
        <v>68</v>
      </c>
      <c r="C42" s="151" t="s">
        <v>1</v>
      </c>
      <c r="D42" s="152" t="s">
        <v>58</v>
      </c>
      <c r="E42" s="153">
        <v>1</v>
      </c>
      <c r="F42" s="152" t="s">
        <v>69</v>
      </c>
      <c r="G42" s="153">
        <v>1.1000000000000001</v>
      </c>
      <c r="H42" s="208" t="s">
        <v>55</v>
      </c>
      <c r="I42" s="232"/>
    </row>
    <row r="43" spans="1:9" ht="20.100000000000001" customHeight="1" thickBot="1">
      <c r="A43" s="237" t="s">
        <v>447</v>
      </c>
      <c r="B43" s="238" t="s">
        <v>433</v>
      </c>
      <c r="C43" s="156" t="s">
        <v>67</v>
      </c>
      <c r="D43" s="156"/>
      <c r="E43" s="157"/>
      <c r="F43" s="156"/>
      <c r="G43" s="157"/>
      <c r="H43" s="210"/>
      <c r="I43" s="239">
        <f>I40+I39</f>
        <v>572208969.45711589</v>
      </c>
    </row>
    <row r="44" spans="1:9" ht="18.899999999999999" customHeight="1">
      <c r="A44" s="158"/>
      <c r="B44" s="158"/>
      <c r="C44" s="158"/>
      <c r="D44" s="158"/>
      <c r="E44" s="158"/>
      <c r="F44" s="158"/>
      <c r="G44" s="158"/>
      <c r="H44" s="158"/>
      <c r="I44" s="158"/>
    </row>
    <row r="45" spans="1:9" ht="18.899999999999999" customHeight="1">
      <c r="A45" s="158"/>
      <c r="B45" s="158"/>
      <c r="C45" s="158"/>
      <c r="D45" s="158"/>
      <c r="E45" s="158"/>
      <c r="F45" s="158"/>
      <c r="G45" s="158"/>
      <c r="H45" s="158"/>
      <c r="I45" s="158"/>
    </row>
    <row r="46" spans="1:9" ht="18.899999999999999" customHeight="1">
      <c r="A46" s="1300" t="s">
        <v>422</v>
      </c>
      <c r="B46" s="1300"/>
      <c r="C46" s="1300"/>
      <c r="D46" s="1300"/>
      <c r="E46" s="1300"/>
      <c r="F46" s="1300"/>
      <c r="G46" s="1300"/>
      <c r="H46" s="1300"/>
      <c r="I46" s="1300"/>
    </row>
    <row r="47" spans="1:9" ht="9.9" customHeight="1" thickBot="1">
      <c r="A47" s="487"/>
      <c r="B47" s="487"/>
      <c r="C47" s="487"/>
      <c r="D47" s="487"/>
      <c r="E47" s="487"/>
      <c r="F47" s="487"/>
      <c r="G47" s="487"/>
      <c r="H47" s="487"/>
      <c r="I47" s="487"/>
    </row>
    <row r="48" spans="1:9" ht="30" customHeight="1" thickBot="1">
      <c r="A48" s="143" t="s">
        <v>173</v>
      </c>
      <c r="B48" s="144" t="s">
        <v>174</v>
      </c>
      <c r="C48" s="145" t="s">
        <v>175</v>
      </c>
      <c r="D48" s="145"/>
      <c r="E48" s="145"/>
      <c r="F48" s="145"/>
      <c r="G48" s="145"/>
      <c r="H48" s="145"/>
      <c r="I48" s="146" t="s">
        <v>54</v>
      </c>
    </row>
    <row r="49" spans="1:9" ht="20.100000000000001" customHeight="1">
      <c r="A49" s="224" t="s">
        <v>176</v>
      </c>
      <c r="B49" s="225" t="s">
        <v>55</v>
      </c>
      <c r="C49" s="226" t="s">
        <v>55</v>
      </c>
      <c r="D49" s="226"/>
      <c r="E49" s="227"/>
      <c r="F49" s="226"/>
      <c r="G49" s="227"/>
      <c r="H49" s="228"/>
      <c r="I49" s="229"/>
    </row>
    <row r="50" spans="1:9" ht="20.100000000000001" customHeight="1">
      <c r="A50" s="230" t="s">
        <v>177</v>
      </c>
      <c r="B50" s="231" t="s">
        <v>56</v>
      </c>
      <c r="C50" s="149" t="s">
        <v>56</v>
      </c>
      <c r="D50" s="149"/>
      <c r="E50" s="150"/>
      <c r="F50" s="149"/>
      <c r="G50" s="150"/>
      <c r="H50" s="207"/>
      <c r="I50" s="232">
        <f>DTCT!I69</f>
        <v>2539139.3829380004</v>
      </c>
    </row>
    <row r="51" spans="1:9" ht="20.100000000000001" customHeight="1">
      <c r="A51" s="230" t="s">
        <v>178</v>
      </c>
      <c r="B51" s="231" t="s">
        <v>57</v>
      </c>
      <c r="C51" s="149" t="s">
        <v>57</v>
      </c>
      <c r="D51" s="149"/>
      <c r="E51" s="150"/>
      <c r="F51" s="149"/>
      <c r="G51" s="150"/>
      <c r="H51" s="207"/>
      <c r="I51" s="232">
        <f>DTCT!J69</f>
        <v>108027650.96195632</v>
      </c>
    </row>
    <row r="52" spans="1:9" ht="20.100000000000001" customHeight="1">
      <c r="A52" s="230" t="s">
        <v>179</v>
      </c>
      <c r="B52" s="231" t="s">
        <v>59</v>
      </c>
      <c r="C52" s="151" t="s">
        <v>186</v>
      </c>
      <c r="D52" s="152" t="s">
        <v>58</v>
      </c>
      <c r="E52" s="153">
        <v>1.744</v>
      </c>
      <c r="F52" s="152" t="s">
        <v>55</v>
      </c>
      <c r="G52" s="153"/>
      <c r="H52" s="208" t="s">
        <v>55</v>
      </c>
      <c r="I52" s="232">
        <f>E52*DTCT!K69</f>
        <v>3818909.9149830271</v>
      </c>
    </row>
    <row r="53" spans="1:9" ht="20.100000000000001" hidden="1" customHeight="1">
      <c r="A53" s="230" t="s">
        <v>180</v>
      </c>
      <c r="B53" s="231" t="s">
        <v>14</v>
      </c>
      <c r="C53" s="151" t="s">
        <v>60</v>
      </c>
      <c r="D53" s="152" t="s">
        <v>58</v>
      </c>
      <c r="E53" s="153">
        <v>2</v>
      </c>
      <c r="F53" s="152" t="s">
        <v>4</v>
      </c>
      <c r="G53" s="153"/>
      <c r="H53" s="208" t="s">
        <v>55</v>
      </c>
      <c r="I53" s="232"/>
    </row>
    <row r="54" spans="1:9" ht="20.100000000000001" customHeight="1">
      <c r="A54" s="233" t="s">
        <v>181</v>
      </c>
      <c r="B54" s="234" t="s">
        <v>3</v>
      </c>
      <c r="C54" s="154" t="s">
        <v>60</v>
      </c>
      <c r="D54" s="154"/>
      <c r="E54" s="155"/>
      <c r="F54" s="154"/>
      <c r="G54" s="155"/>
      <c r="H54" s="209"/>
      <c r="I54" s="235">
        <f>SUM(I50:I53)</f>
        <v>114385700.25987735</v>
      </c>
    </row>
    <row r="55" spans="1:9" ht="20.100000000000001" customHeight="1">
      <c r="A55" s="236" t="s">
        <v>61</v>
      </c>
      <c r="B55" s="231" t="s">
        <v>0</v>
      </c>
      <c r="C55" s="151" t="s">
        <v>57</v>
      </c>
      <c r="D55" s="152" t="s">
        <v>58</v>
      </c>
      <c r="E55" s="153">
        <v>66</v>
      </c>
      <c r="F55" s="152" t="s">
        <v>4</v>
      </c>
      <c r="G55" s="153"/>
      <c r="H55" s="208" t="s">
        <v>55</v>
      </c>
      <c r="I55" s="232">
        <f>ROUND(I51*E55/100,0)</f>
        <v>71298250</v>
      </c>
    </row>
    <row r="56" spans="1:9" ht="20.100000000000001" customHeight="1">
      <c r="A56" s="236" t="s">
        <v>182</v>
      </c>
      <c r="B56" s="231" t="s">
        <v>62</v>
      </c>
      <c r="C56" s="151" t="s">
        <v>63</v>
      </c>
      <c r="D56" s="152" t="s">
        <v>58</v>
      </c>
      <c r="E56" s="153">
        <v>6</v>
      </c>
      <c r="F56" s="152" t="s">
        <v>4</v>
      </c>
      <c r="G56" s="153"/>
      <c r="H56" s="208" t="s">
        <v>55</v>
      </c>
      <c r="I56" s="232">
        <f>ROUND((I55+I54)*E56/100,0)</f>
        <v>11141037</v>
      </c>
    </row>
    <row r="57" spans="1:9" ht="20.100000000000001" customHeight="1">
      <c r="A57" s="233" t="s">
        <v>446</v>
      </c>
      <c r="B57" s="234" t="s">
        <v>431</v>
      </c>
      <c r="C57" s="154" t="s">
        <v>64</v>
      </c>
      <c r="D57" s="154"/>
      <c r="E57" s="155"/>
      <c r="F57" s="154"/>
      <c r="G57" s="155"/>
      <c r="H57" s="209"/>
      <c r="I57" s="235">
        <f>SUM(I54:I56)</f>
        <v>196824987.25987735</v>
      </c>
    </row>
    <row r="58" spans="1:9" ht="20.100000000000001" customHeight="1">
      <c r="A58" s="236" t="s">
        <v>183</v>
      </c>
      <c r="B58" s="231" t="s">
        <v>65</v>
      </c>
      <c r="C58" s="151" t="s">
        <v>431</v>
      </c>
      <c r="D58" s="152" t="s">
        <v>58</v>
      </c>
      <c r="E58" s="153">
        <v>10</v>
      </c>
      <c r="F58" s="152" t="s">
        <v>4</v>
      </c>
      <c r="G58" s="153"/>
      <c r="H58" s="208" t="s">
        <v>55</v>
      </c>
      <c r="I58" s="232">
        <f>ROUND(I57*E58/100,0)</f>
        <v>19682499</v>
      </c>
    </row>
    <row r="59" spans="1:9" ht="20.100000000000001" hidden="1" customHeight="1">
      <c r="A59" s="233" t="s">
        <v>184</v>
      </c>
      <c r="B59" s="234" t="s">
        <v>66</v>
      </c>
      <c r="C59" s="154" t="s">
        <v>67</v>
      </c>
      <c r="D59" s="154"/>
      <c r="E59" s="155"/>
      <c r="F59" s="154"/>
      <c r="G59" s="155"/>
      <c r="H59" s="209"/>
      <c r="I59" s="235"/>
    </row>
    <row r="60" spans="1:9" ht="20.100000000000001" hidden="1" customHeight="1">
      <c r="A60" s="236" t="s">
        <v>185</v>
      </c>
      <c r="B60" s="231" t="s">
        <v>68</v>
      </c>
      <c r="C60" s="151" t="s">
        <v>1</v>
      </c>
      <c r="D60" s="152" t="s">
        <v>58</v>
      </c>
      <c r="E60" s="153">
        <v>1</v>
      </c>
      <c r="F60" s="152" t="s">
        <v>69</v>
      </c>
      <c r="G60" s="153">
        <v>1.1000000000000001</v>
      </c>
      <c r="H60" s="208" t="s">
        <v>55</v>
      </c>
      <c r="I60" s="232"/>
    </row>
    <row r="61" spans="1:9" ht="20.100000000000001" customHeight="1" thickBot="1">
      <c r="A61" s="237" t="s">
        <v>447</v>
      </c>
      <c r="B61" s="238" t="s">
        <v>434</v>
      </c>
      <c r="C61" s="156" t="s">
        <v>67</v>
      </c>
      <c r="D61" s="156"/>
      <c r="E61" s="157"/>
      <c r="F61" s="156"/>
      <c r="G61" s="157"/>
      <c r="H61" s="210"/>
      <c r="I61" s="239">
        <f>I58+I57</f>
        <v>216507486.25987735</v>
      </c>
    </row>
    <row r="62" spans="1:9" ht="18.899999999999999" customHeight="1">
      <c r="A62" s="487"/>
      <c r="B62" s="487"/>
      <c r="C62" s="487"/>
      <c r="D62" s="487"/>
      <c r="E62" s="487"/>
      <c r="F62" s="487"/>
      <c r="G62" s="487"/>
      <c r="H62" s="487"/>
      <c r="I62" s="487"/>
    </row>
    <row r="63" spans="1:9" ht="18.899999999999999" customHeight="1">
      <c r="A63" s="487"/>
      <c r="B63" s="487"/>
      <c r="C63" s="487"/>
      <c r="D63" s="487"/>
      <c r="E63" s="487"/>
      <c r="F63" s="487"/>
      <c r="G63" s="487"/>
      <c r="H63" s="487"/>
      <c r="I63" s="487"/>
    </row>
    <row r="64" spans="1:9" ht="18.899999999999999" customHeight="1">
      <c r="A64" s="487"/>
      <c r="B64" s="487"/>
      <c r="C64" s="487"/>
      <c r="D64" s="487"/>
      <c r="E64" s="487"/>
      <c r="F64" s="487"/>
      <c r="G64" s="487"/>
      <c r="H64" s="487"/>
      <c r="I64" s="487"/>
    </row>
    <row r="65" spans="1:9" ht="18.899999999999999" customHeight="1">
      <c r="A65" s="487"/>
      <c r="B65" s="487"/>
      <c r="C65" s="487"/>
      <c r="D65" s="487"/>
      <c r="E65" s="487"/>
      <c r="F65" s="487"/>
      <c r="G65" s="487"/>
      <c r="H65" s="487"/>
      <c r="I65" s="487"/>
    </row>
    <row r="66" spans="1:9" ht="18.899999999999999" customHeight="1">
      <c r="A66" s="487"/>
      <c r="B66" s="487"/>
      <c r="C66" s="487"/>
      <c r="D66" s="487"/>
      <c r="E66" s="487"/>
      <c r="F66" s="487"/>
      <c r="G66" s="487"/>
      <c r="H66" s="487"/>
      <c r="I66" s="487"/>
    </row>
    <row r="67" spans="1:9" ht="18.899999999999999" customHeight="1">
      <c r="A67" s="1300" t="s">
        <v>423</v>
      </c>
      <c r="B67" s="1300"/>
      <c r="C67" s="1300"/>
      <c r="D67" s="1300"/>
      <c r="E67" s="1300"/>
      <c r="F67" s="1300"/>
      <c r="G67" s="1300"/>
      <c r="H67" s="1300"/>
      <c r="I67" s="1300"/>
    </row>
    <row r="68" spans="1:9" ht="9.9" customHeight="1" thickBot="1">
      <c r="A68" s="487"/>
      <c r="B68" s="487"/>
      <c r="C68" s="487"/>
      <c r="D68" s="487"/>
      <c r="E68" s="487"/>
      <c r="F68" s="487"/>
      <c r="G68" s="487"/>
      <c r="H68" s="487"/>
      <c r="I68" s="487"/>
    </row>
    <row r="69" spans="1:9" ht="30" customHeight="1" thickBot="1">
      <c r="A69" s="143" t="s">
        <v>173</v>
      </c>
      <c r="B69" s="144" t="s">
        <v>174</v>
      </c>
      <c r="C69" s="145" t="s">
        <v>175</v>
      </c>
      <c r="D69" s="145"/>
      <c r="E69" s="145"/>
      <c r="F69" s="145"/>
      <c r="G69" s="145"/>
      <c r="H69" s="145"/>
      <c r="I69" s="146" t="s">
        <v>54</v>
      </c>
    </row>
    <row r="70" spans="1:9" ht="20.100000000000001" customHeight="1">
      <c r="A70" s="224" t="s">
        <v>176</v>
      </c>
      <c r="B70" s="225" t="s">
        <v>55</v>
      </c>
      <c r="C70" s="226" t="s">
        <v>55</v>
      </c>
      <c r="D70" s="226"/>
      <c r="E70" s="227"/>
      <c r="F70" s="226"/>
      <c r="G70" s="227"/>
      <c r="H70" s="228"/>
      <c r="I70" s="229"/>
    </row>
    <row r="71" spans="1:9" ht="20.100000000000001" customHeight="1">
      <c r="A71" s="230" t="s">
        <v>177</v>
      </c>
      <c r="B71" s="231" t="s">
        <v>56</v>
      </c>
      <c r="C71" s="149" t="s">
        <v>56</v>
      </c>
      <c r="D71" s="149"/>
      <c r="E71" s="150"/>
      <c r="F71" s="149"/>
      <c r="G71" s="150"/>
      <c r="H71" s="207"/>
      <c r="I71" s="232">
        <f>DTCT!I98</f>
        <v>5225180.4880999997</v>
      </c>
    </row>
    <row r="72" spans="1:9" ht="20.100000000000001" customHeight="1">
      <c r="A72" s="230" t="s">
        <v>178</v>
      </c>
      <c r="B72" s="231" t="s">
        <v>57</v>
      </c>
      <c r="C72" s="149" t="s">
        <v>57</v>
      </c>
      <c r="D72" s="149"/>
      <c r="E72" s="150"/>
      <c r="F72" s="149"/>
      <c r="G72" s="150"/>
      <c r="H72" s="207"/>
      <c r="I72" s="232">
        <f>DTCT!J98</f>
        <v>218155078.72827914</v>
      </c>
    </row>
    <row r="73" spans="1:9" ht="20.100000000000001" customHeight="1">
      <c r="A73" s="230" t="s">
        <v>179</v>
      </c>
      <c r="B73" s="231" t="s">
        <v>59</v>
      </c>
      <c r="C73" s="151" t="s">
        <v>186</v>
      </c>
      <c r="D73" s="152" t="s">
        <v>58</v>
      </c>
      <c r="E73" s="153">
        <v>1.744</v>
      </c>
      <c r="F73" s="152" t="s">
        <v>55</v>
      </c>
      <c r="G73" s="153"/>
      <c r="H73" s="208" t="s">
        <v>55</v>
      </c>
      <c r="I73" s="232">
        <f>E73*DTCT!K98</f>
        <v>12117105.41182912</v>
      </c>
    </row>
    <row r="74" spans="1:9" ht="20.100000000000001" hidden="1" customHeight="1">
      <c r="A74" s="230" t="s">
        <v>180</v>
      </c>
      <c r="B74" s="231" t="s">
        <v>14</v>
      </c>
      <c r="C74" s="151" t="s">
        <v>60</v>
      </c>
      <c r="D74" s="152" t="s">
        <v>58</v>
      </c>
      <c r="E74" s="153">
        <v>2</v>
      </c>
      <c r="F74" s="152" t="s">
        <v>4</v>
      </c>
      <c r="G74" s="153"/>
      <c r="H74" s="208" t="s">
        <v>55</v>
      </c>
      <c r="I74" s="232"/>
    </row>
    <row r="75" spans="1:9" ht="20.100000000000001" customHeight="1">
      <c r="A75" s="233" t="s">
        <v>181</v>
      </c>
      <c r="B75" s="234" t="s">
        <v>3</v>
      </c>
      <c r="C75" s="154" t="s">
        <v>60</v>
      </c>
      <c r="D75" s="154"/>
      <c r="E75" s="155"/>
      <c r="F75" s="154"/>
      <c r="G75" s="155"/>
      <c r="H75" s="209"/>
      <c r="I75" s="235">
        <f>SUM(I71:I74)</f>
        <v>235497364.62820825</v>
      </c>
    </row>
    <row r="76" spans="1:9" ht="20.100000000000001" customHeight="1">
      <c r="A76" s="236" t="s">
        <v>61</v>
      </c>
      <c r="B76" s="231" t="s">
        <v>0</v>
      </c>
      <c r="C76" s="151" t="s">
        <v>57</v>
      </c>
      <c r="D76" s="152" t="s">
        <v>58</v>
      </c>
      <c r="E76" s="153">
        <v>66</v>
      </c>
      <c r="F76" s="152" t="s">
        <v>4</v>
      </c>
      <c r="G76" s="153"/>
      <c r="H76" s="208" t="s">
        <v>55</v>
      </c>
      <c r="I76" s="232">
        <f>ROUND(I72*E76/100,0)</f>
        <v>143982352</v>
      </c>
    </row>
    <row r="77" spans="1:9" ht="20.100000000000001" customHeight="1">
      <c r="A77" s="236" t="s">
        <v>182</v>
      </c>
      <c r="B77" s="231" t="s">
        <v>62</v>
      </c>
      <c r="C77" s="151" t="s">
        <v>63</v>
      </c>
      <c r="D77" s="152" t="s">
        <v>58</v>
      </c>
      <c r="E77" s="153">
        <v>6</v>
      </c>
      <c r="F77" s="152" t="s">
        <v>4</v>
      </c>
      <c r="G77" s="153"/>
      <c r="H77" s="208" t="s">
        <v>55</v>
      </c>
      <c r="I77" s="232">
        <f>ROUND((I76+I75)*E77/100,0)</f>
        <v>22768783</v>
      </c>
    </row>
    <row r="78" spans="1:9" ht="20.100000000000001" customHeight="1">
      <c r="A78" s="233" t="s">
        <v>446</v>
      </c>
      <c r="B78" s="234" t="s">
        <v>431</v>
      </c>
      <c r="C78" s="154" t="s">
        <v>64</v>
      </c>
      <c r="D78" s="154"/>
      <c r="E78" s="155"/>
      <c r="F78" s="154"/>
      <c r="G78" s="155"/>
      <c r="H78" s="209"/>
      <c r="I78" s="235">
        <f>SUM(I75:I77)</f>
        <v>402248499.62820828</v>
      </c>
    </row>
    <row r="79" spans="1:9" ht="20.100000000000001" customHeight="1">
      <c r="A79" s="236" t="s">
        <v>183</v>
      </c>
      <c r="B79" s="231" t="s">
        <v>65</v>
      </c>
      <c r="C79" s="151" t="s">
        <v>431</v>
      </c>
      <c r="D79" s="152" t="s">
        <v>58</v>
      </c>
      <c r="E79" s="153">
        <v>10</v>
      </c>
      <c r="F79" s="152" t="s">
        <v>4</v>
      </c>
      <c r="G79" s="153"/>
      <c r="H79" s="208" t="s">
        <v>55</v>
      </c>
      <c r="I79" s="232">
        <f>ROUND(I78*E79/100,0)</f>
        <v>40224850</v>
      </c>
    </row>
    <row r="80" spans="1:9" ht="20.100000000000001" hidden="1" customHeight="1">
      <c r="A80" s="233" t="s">
        <v>184</v>
      </c>
      <c r="B80" s="234" t="s">
        <v>66</v>
      </c>
      <c r="C80" s="154" t="s">
        <v>67</v>
      </c>
      <c r="D80" s="154"/>
      <c r="E80" s="155"/>
      <c r="F80" s="154"/>
      <c r="G80" s="155"/>
      <c r="H80" s="209"/>
      <c r="I80" s="235"/>
    </row>
    <row r="81" spans="1:9" ht="20.100000000000001" hidden="1" customHeight="1">
      <c r="A81" s="236" t="s">
        <v>185</v>
      </c>
      <c r="B81" s="231" t="s">
        <v>68</v>
      </c>
      <c r="C81" s="151" t="s">
        <v>1</v>
      </c>
      <c r="D81" s="152" t="s">
        <v>58</v>
      </c>
      <c r="E81" s="153">
        <v>1</v>
      </c>
      <c r="F81" s="152" t="s">
        <v>69</v>
      </c>
      <c r="G81" s="153">
        <v>1.1000000000000001</v>
      </c>
      <c r="H81" s="208" t="s">
        <v>55</v>
      </c>
      <c r="I81" s="232"/>
    </row>
    <row r="82" spans="1:9" ht="20.100000000000001" customHeight="1" thickBot="1">
      <c r="A82" s="237" t="s">
        <v>447</v>
      </c>
      <c r="B82" s="238" t="s">
        <v>435</v>
      </c>
      <c r="C82" s="156" t="s">
        <v>67</v>
      </c>
      <c r="D82" s="156"/>
      <c r="E82" s="157"/>
      <c r="F82" s="156"/>
      <c r="G82" s="157"/>
      <c r="H82" s="210"/>
      <c r="I82" s="239">
        <f>I79+I78</f>
        <v>442473349.62820828</v>
      </c>
    </row>
    <row r="83" spans="1:9" ht="20.100000000000001" customHeight="1">
      <c r="A83" s="267"/>
      <c r="B83" s="268"/>
      <c r="C83" s="154"/>
      <c r="D83" s="154"/>
      <c r="E83" s="155"/>
      <c r="F83" s="154"/>
      <c r="G83" s="155"/>
      <c r="H83" s="154"/>
      <c r="I83" s="269"/>
    </row>
    <row r="84" spans="1:9" ht="20.100000000000001" customHeight="1">
      <c r="A84" s="267"/>
      <c r="B84" s="268"/>
      <c r="C84" s="154"/>
      <c r="D84" s="154"/>
      <c r="E84" s="155"/>
      <c r="F84" s="154"/>
      <c r="G84" s="155"/>
      <c r="H84" s="154"/>
      <c r="I84" s="269"/>
    </row>
    <row r="85" spans="1:9" ht="20.100000000000001" customHeight="1">
      <c r="A85" s="267"/>
      <c r="B85" s="268"/>
      <c r="C85" s="154"/>
      <c r="D85" s="154"/>
      <c r="E85" s="155"/>
      <c r="F85" s="154"/>
      <c r="G85" s="155"/>
      <c r="H85" s="154"/>
      <c r="I85" s="269"/>
    </row>
    <row r="86" spans="1:9" ht="20.100000000000001" customHeight="1">
      <c r="A86" s="267"/>
      <c r="B86" s="268"/>
      <c r="C86" s="154"/>
      <c r="D86" s="154"/>
      <c r="E86" s="155"/>
      <c r="F86" s="154"/>
      <c r="G86" s="155"/>
      <c r="H86" s="154"/>
      <c r="I86" s="269"/>
    </row>
    <row r="87" spans="1:9" ht="20.100000000000001" customHeight="1">
      <c r="A87" s="267"/>
      <c r="B87" s="268"/>
      <c r="C87" s="154"/>
      <c r="D87" s="154"/>
      <c r="E87" s="155"/>
      <c r="F87" s="154"/>
      <c r="G87" s="155"/>
      <c r="H87" s="154"/>
      <c r="I87" s="269"/>
    </row>
    <row r="88" spans="1:9" ht="20.100000000000001" customHeight="1">
      <c r="A88" s="267"/>
      <c r="B88" s="268"/>
      <c r="C88" s="154"/>
      <c r="D88" s="154"/>
      <c r="E88" s="155"/>
      <c r="F88" s="154"/>
      <c r="G88" s="155"/>
      <c r="H88" s="154"/>
      <c r="I88" s="269"/>
    </row>
    <row r="89" spans="1:9" ht="20.100000000000001" customHeight="1">
      <c r="A89" s="1300" t="s">
        <v>424</v>
      </c>
      <c r="B89" s="1300"/>
      <c r="C89" s="1300"/>
      <c r="D89" s="1300"/>
      <c r="E89" s="1300"/>
      <c r="F89" s="1300"/>
      <c r="G89" s="1300"/>
      <c r="H89" s="1300"/>
      <c r="I89" s="1300"/>
    </row>
    <row r="90" spans="1:9" ht="9.9" customHeight="1" thickBot="1">
      <c r="A90" s="267"/>
      <c r="B90" s="268"/>
      <c r="C90" s="154"/>
      <c r="D90" s="154"/>
      <c r="E90" s="155"/>
      <c r="F90" s="154"/>
      <c r="G90" s="155"/>
      <c r="H90" s="154"/>
      <c r="I90" s="269"/>
    </row>
    <row r="91" spans="1:9" ht="20.100000000000001" customHeight="1" thickBot="1">
      <c r="A91" s="143" t="s">
        <v>173</v>
      </c>
      <c r="B91" s="144" t="s">
        <v>174</v>
      </c>
      <c r="C91" s="145" t="s">
        <v>175</v>
      </c>
      <c r="D91" s="145"/>
      <c r="E91" s="145"/>
      <c r="F91" s="145"/>
      <c r="G91" s="145"/>
      <c r="H91" s="145"/>
      <c r="I91" s="146" t="s">
        <v>54</v>
      </c>
    </row>
    <row r="92" spans="1:9" ht="20.100000000000001" customHeight="1">
      <c r="A92" s="224" t="s">
        <v>176</v>
      </c>
      <c r="B92" s="225" t="s">
        <v>55</v>
      </c>
      <c r="C92" s="226" t="s">
        <v>55</v>
      </c>
      <c r="D92" s="226"/>
      <c r="E92" s="227"/>
      <c r="F92" s="226"/>
      <c r="G92" s="227"/>
      <c r="H92" s="228"/>
      <c r="I92" s="229"/>
    </row>
    <row r="93" spans="1:9" ht="20.100000000000001" customHeight="1">
      <c r="A93" s="230" t="s">
        <v>177</v>
      </c>
      <c r="B93" s="231" t="s">
        <v>56</v>
      </c>
      <c r="C93" s="149" t="s">
        <v>56</v>
      </c>
      <c r="D93" s="149"/>
      <c r="E93" s="150"/>
      <c r="F93" s="149"/>
      <c r="G93" s="150"/>
      <c r="H93" s="207"/>
      <c r="I93" s="232">
        <f>DTCT!I131</f>
        <v>3061913.9775680001</v>
      </c>
    </row>
    <row r="94" spans="1:9" ht="20.100000000000001" customHeight="1">
      <c r="A94" s="230" t="s">
        <v>178</v>
      </c>
      <c r="B94" s="231" t="s">
        <v>57</v>
      </c>
      <c r="C94" s="149" t="s">
        <v>57</v>
      </c>
      <c r="D94" s="149"/>
      <c r="E94" s="150"/>
      <c r="F94" s="149"/>
      <c r="G94" s="150"/>
      <c r="H94" s="207"/>
      <c r="I94" s="232">
        <f>DTCT!J131</f>
        <v>125278596.91673152</v>
      </c>
    </row>
    <row r="95" spans="1:9" ht="20.100000000000001" customHeight="1">
      <c r="A95" s="230" t="s">
        <v>179</v>
      </c>
      <c r="B95" s="231" t="s">
        <v>59</v>
      </c>
      <c r="C95" s="151" t="s">
        <v>186</v>
      </c>
      <c r="D95" s="152" t="s">
        <v>58</v>
      </c>
      <c r="E95" s="153">
        <v>1.744</v>
      </c>
      <c r="F95" s="152" t="s">
        <v>55</v>
      </c>
      <c r="G95" s="153"/>
      <c r="H95" s="208" t="s">
        <v>55</v>
      </c>
      <c r="I95" s="232">
        <f>E95*DTCT!K131</f>
        <v>3551877.3748436994</v>
      </c>
    </row>
    <row r="96" spans="1:9" ht="20.100000000000001" hidden="1" customHeight="1">
      <c r="A96" s="230" t="s">
        <v>180</v>
      </c>
      <c r="B96" s="231" t="s">
        <v>14</v>
      </c>
      <c r="C96" s="151" t="s">
        <v>60</v>
      </c>
      <c r="D96" s="152" t="s">
        <v>58</v>
      </c>
      <c r="E96" s="153">
        <v>2</v>
      </c>
      <c r="F96" s="152" t="s">
        <v>4</v>
      </c>
      <c r="G96" s="153"/>
      <c r="H96" s="208" t="s">
        <v>55</v>
      </c>
      <c r="I96" s="232"/>
    </row>
    <row r="97" spans="1:9" ht="20.100000000000001" customHeight="1">
      <c r="A97" s="233" t="s">
        <v>181</v>
      </c>
      <c r="B97" s="234" t="s">
        <v>3</v>
      </c>
      <c r="C97" s="154" t="s">
        <v>60</v>
      </c>
      <c r="D97" s="154"/>
      <c r="E97" s="155"/>
      <c r="F97" s="154"/>
      <c r="G97" s="155"/>
      <c r="H97" s="209"/>
      <c r="I97" s="235">
        <f>SUM(I93:I96)</f>
        <v>131892388.26914322</v>
      </c>
    </row>
    <row r="98" spans="1:9" ht="20.100000000000001" customHeight="1">
      <c r="A98" s="236" t="s">
        <v>61</v>
      </c>
      <c r="B98" s="231" t="s">
        <v>0</v>
      </c>
      <c r="C98" s="151" t="s">
        <v>57</v>
      </c>
      <c r="D98" s="152" t="s">
        <v>58</v>
      </c>
      <c r="E98" s="153">
        <v>66</v>
      </c>
      <c r="F98" s="152" t="s">
        <v>4</v>
      </c>
      <c r="G98" s="153"/>
      <c r="H98" s="208" t="s">
        <v>55</v>
      </c>
      <c r="I98" s="232">
        <f>ROUND(I94*E98/100,0)</f>
        <v>82683874</v>
      </c>
    </row>
    <row r="99" spans="1:9" ht="20.100000000000001" customHeight="1">
      <c r="A99" s="236" t="s">
        <v>182</v>
      </c>
      <c r="B99" s="231" t="s">
        <v>62</v>
      </c>
      <c r="C99" s="151" t="s">
        <v>63</v>
      </c>
      <c r="D99" s="152" t="s">
        <v>58</v>
      </c>
      <c r="E99" s="153">
        <v>6</v>
      </c>
      <c r="F99" s="152" t="s">
        <v>4</v>
      </c>
      <c r="G99" s="153"/>
      <c r="H99" s="208" t="s">
        <v>55</v>
      </c>
      <c r="I99" s="232">
        <f>ROUND((I98+I97)*E99/100,0)</f>
        <v>12874576</v>
      </c>
    </row>
    <row r="100" spans="1:9" ht="20.100000000000001" customHeight="1">
      <c r="A100" s="233" t="s">
        <v>446</v>
      </c>
      <c r="B100" s="234" t="s">
        <v>431</v>
      </c>
      <c r="C100" s="154" t="s">
        <v>64</v>
      </c>
      <c r="D100" s="154"/>
      <c r="E100" s="155"/>
      <c r="F100" s="154"/>
      <c r="G100" s="155"/>
      <c r="H100" s="209"/>
      <c r="I100" s="235">
        <f>SUM(I97:I99)</f>
        <v>227450838.26914322</v>
      </c>
    </row>
    <row r="101" spans="1:9" ht="20.100000000000001" customHeight="1">
      <c r="A101" s="236" t="s">
        <v>183</v>
      </c>
      <c r="B101" s="231" t="s">
        <v>65</v>
      </c>
      <c r="C101" s="151" t="s">
        <v>431</v>
      </c>
      <c r="D101" s="152" t="s">
        <v>58</v>
      </c>
      <c r="E101" s="153">
        <v>10</v>
      </c>
      <c r="F101" s="152" t="s">
        <v>4</v>
      </c>
      <c r="G101" s="153"/>
      <c r="H101" s="208" t="s">
        <v>55</v>
      </c>
      <c r="I101" s="232">
        <f>ROUND(I100*E101/100,0)</f>
        <v>22745084</v>
      </c>
    </row>
    <row r="102" spans="1:9" ht="20.100000000000001" hidden="1" customHeight="1">
      <c r="A102" s="233" t="s">
        <v>184</v>
      </c>
      <c r="B102" s="234" t="s">
        <v>66</v>
      </c>
      <c r="C102" s="154" t="s">
        <v>67</v>
      </c>
      <c r="D102" s="154"/>
      <c r="E102" s="155"/>
      <c r="F102" s="154"/>
      <c r="G102" s="155"/>
      <c r="H102" s="209"/>
      <c r="I102" s="235"/>
    </row>
    <row r="103" spans="1:9" ht="20.100000000000001" hidden="1" customHeight="1">
      <c r="A103" s="236" t="s">
        <v>185</v>
      </c>
      <c r="B103" s="231" t="s">
        <v>68</v>
      </c>
      <c r="C103" s="151" t="s">
        <v>1</v>
      </c>
      <c r="D103" s="152" t="s">
        <v>58</v>
      </c>
      <c r="E103" s="153">
        <v>1</v>
      </c>
      <c r="F103" s="152" t="s">
        <v>69</v>
      </c>
      <c r="G103" s="153">
        <v>1.1000000000000001</v>
      </c>
      <c r="H103" s="208" t="s">
        <v>55</v>
      </c>
      <c r="I103" s="232"/>
    </row>
    <row r="104" spans="1:9" ht="20.100000000000001" customHeight="1" thickBot="1">
      <c r="A104" s="237" t="s">
        <v>447</v>
      </c>
      <c r="B104" s="238" t="s">
        <v>436</v>
      </c>
      <c r="C104" s="156" t="s">
        <v>67</v>
      </c>
      <c r="D104" s="156"/>
      <c r="E104" s="157"/>
      <c r="F104" s="156"/>
      <c r="G104" s="157"/>
      <c r="H104" s="210"/>
      <c r="I104" s="239">
        <f>I101+I100</f>
        <v>250195922.26914322</v>
      </c>
    </row>
    <row r="105" spans="1:9" ht="20.100000000000001" customHeight="1">
      <c r="A105" s="267"/>
      <c r="B105" s="268"/>
      <c r="C105" s="154"/>
      <c r="D105" s="154"/>
      <c r="E105" s="155"/>
      <c r="F105" s="154"/>
      <c r="G105" s="155"/>
      <c r="H105" s="154"/>
      <c r="I105" s="269"/>
    </row>
    <row r="106" spans="1:9" ht="20.100000000000001" customHeight="1">
      <c r="A106" s="267"/>
      <c r="B106" s="268"/>
      <c r="C106" s="154"/>
      <c r="D106" s="154"/>
      <c r="E106" s="155"/>
      <c r="F106" s="154"/>
      <c r="G106" s="155"/>
      <c r="H106" s="154"/>
      <c r="I106" s="269"/>
    </row>
    <row r="107" spans="1:9" ht="20.100000000000001" customHeight="1">
      <c r="A107" s="267"/>
      <c r="B107" s="268"/>
      <c r="C107" s="154"/>
      <c r="D107" s="154"/>
      <c r="E107" s="155"/>
      <c r="F107" s="154"/>
      <c r="G107" s="155"/>
      <c r="H107" s="154"/>
      <c r="I107" s="269"/>
    </row>
    <row r="108" spans="1:9" ht="20.100000000000001" customHeight="1">
      <c r="A108" s="267"/>
      <c r="B108" s="268"/>
      <c r="C108" s="154"/>
      <c r="D108" s="154"/>
      <c r="E108" s="155"/>
      <c r="F108" s="154"/>
      <c r="G108" s="155"/>
      <c r="H108" s="154"/>
      <c r="I108" s="269"/>
    </row>
    <row r="109" spans="1:9" ht="20.100000000000001" customHeight="1">
      <c r="A109" s="267"/>
      <c r="B109" s="268"/>
      <c r="C109" s="154"/>
      <c r="D109" s="154"/>
      <c r="E109" s="155"/>
      <c r="F109" s="154"/>
      <c r="G109" s="155"/>
      <c r="H109" s="154"/>
      <c r="I109" s="269"/>
    </row>
    <row r="110" spans="1:9" ht="20.100000000000001" customHeight="1">
      <c r="A110" s="1300" t="s">
        <v>425</v>
      </c>
      <c r="B110" s="1300"/>
      <c r="C110" s="1300"/>
      <c r="D110" s="1300"/>
      <c r="E110" s="1300"/>
      <c r="F110" s="1300"/>
      <c r="G110" s="1300"/>
      <c r="H110" s="1300"/>
      <c r="I110" s="1300"/>
    </row>
    <row r="111" spans="1:9" ht="9.9" customHeight="1" thickBot="1">
      <c r="A111" s="267"/>
      <c r="B111" s="268"/>
      <c r="C111" s="154"/>
      <c r="D111" s="154"/>
      <c r="E111" s="155"/>
      <c r="F111" s="154"/>
      <c r="G111" s="155"/>
      <c r="H111" s="154"/>
      <c r="I111" s="269"/>
    </row>
    <row r="112" spans="1:9" ht="20.100000000000001" customHeight="1" thickBot="1">
      <c r="A112" s="143" t="s">
        <v>173</v>
      </c>
      <c r="B112" s="144" t="s">
        <v>174</v>
      </c>
      <c r="C112" s="145" t="s">
        <v>175</v>
      </c>
      <c r="D112" s="145"/>
      <c r="E112" s="145"/>
      <c r="F112" s="145"/>
      <c r="G112" s="145"/>
      <c r="H112" s="145"/>
      <c r="I112" s="146" t="s">
        <v>54</v>
      </c>
    </row>
    <row r="113" spans="1:9" ht="20.100000000000001" customHeight="1">
      <c r="A113" s="224" t="s">
        <v>176</v>
      </c>
      <c r="B113" s="225" t="s">
        <v>55</v>
      </c>
      <c r="C113" s="226" t="s">
        <v>55</v>
      </c>
      <c r="D113" s="226"/>
      <c r="E113" s="227"/>
      <c r="F113" s="226"/>
      <c r="G113" s="227"/>
      <c r="H113" s="228"/>
      <c r="I113" s="229"/>
    </row>
    <row r="114" spans="1:9" ht="20.100000000000001" customHeight="1">
      <c r="A114" s="230" t="s">
        <v>177</v>
      </c>
      <c r="B114" s="231" t="s">
        <v>56</v>
      </c>
      <c r="C114" s="149" t="s">
        <v>56</v>
      </c>
      <c r="D114" s="149"/>
      <c r="E114" s="150"/>
      <c r="F114" s="149"/>
      <c r="G114" s="150"/>
      <c r="H114" s="207"/>
      <c r="I114" s="232">
        <f>DTCT!I160</f>
        <v>3499721.803078</v>
      </c>
    </row>
    <row r="115" spans="1:9" ht="20.100000000000001" customHeight="1">
      <c r="A115" s="230" t="s">
        <v>178</v>
      </c>
      <c r="B115" s="231" t="s">
        <v>57</v>
      </c>
      <c r="C115" s="149" t="s">
        <v>57</v>
      </c>
      <c r="D115" s="149"/>
      <c r="E115" s="150"/>
      <c r="F115" s="149"/>
      <c r="G115" s="150"/>
      <c r="H115" s="207"/>
      <c r="I115" s="232">
        <f>DTCT!J160</f>
        <v>135973526.75971791</v>
      </c>
    </row>
    <row r="116" spans="1:9" ht="20.100000000000001" customHeight="1">
      <c r="A116" s="230" t="s">
        <v>179</v>
      </c>
      <c r="B116" s="231" t="s">
        <v>59</v>
      </c>
      <c r="C116" s="151" t="s">
        <v>186</v>
      </c>
      <c r="D116" s="152" t="s">
        <v>58</v>
      </c>
      <c r="E116" s="153">
        <v>1.744</v>
      </c>
      <c r="F116" s="152" t="s">
        <v>55</v>
      </c>
      <c r="G116" s="153"/>
      <c r="H116" s="208" t="s">
        <v>55</v>
      </c>
      <c r="I116" s="232">
        <f>E116*DTCT!K160</f>
        <v>3291432.7352130427</v>
      </c>
    </row>
    <row r="117" spans="1:9" ht="20.100000000000001" hidden="1" customHeight="1">
      <c r="A117" s="230" t="s">
        <v>180</v>
      </c>
      <c r="B117" s="231" t="s">
        <v>14</v>
      </c>
      <c r="C117" s="151" t="s">
        <v>60</v>
      </c>
      <c r="D117" s="152" t="s">
        <v>58</v>
      </c>
      <c r="E117" s="153">
        <v>2</v>
      </c>
      <c r="F117" s="152" t="s">
        <v>4</v>
      </c>
      <c r="G117" s="153"/>
      <c r="H117" s="208" t="s">
        <v>55</v>
      </c>
      <c r="I117" s="232"/>
    </row>
    <row r="118" spans="1:9" ht="20.100000000000001" customHeight="1">
      <c r="A118" s="233" t="s">
        <v>181</v>
      </c>
      <c r="B118" s="234" t="s">
        <v>3</v>
      </c>
      <c r="C118" s="154" t="s">
        <v>60</v>
      </c>
      <c r="D118" s="154"/>
      <c r="E118" s="155"/>
      <c r="F118" s="154"/>
      <c r="G118" s="155"/>
      <c r="H118" s="209"/>
      <c r="I118" s="235">
        <f>SUM(I114:I117)</f>
        <v>142764681.29800895</v>
      </c>
    </row>
    <row r="119" spans="1:9" ht="20.100000000000001" customHeight="1">
      <c r="A119" s="236" t="s">
        <v>61</v>
      </c>
      <c r="B119" s="231" t="s">
        <v>0</v>
      </c>
      <c r="C119" s="151" t="s">
        <v>57</v>
      </c>
      <c r="D119" s="152" t="s">
        <v>58</v>
      </c>
      <c r="E119" s="153">
        <v>66</v>
      </c>
      <c r="F119" s="152" t="s">
        <v>4</v>
      </c>
      <c r="G119" s="153"/>
      <c r="H119" s="208" t="s">
        <v>55</v>
      </c>
      <c r="I119" s="232">
        <f>ROUND(I115*E119/100,0)</f>
        <v>89742528</v>
      </c>
    </row>
    <row r="120" spans="1:9" ht="20.100000000000001" customHeight="1">
      <c r="A120" s="236" t="s">
        <v>182</v>
      </c>
      <c r="B120" s="231" t="s">
        <v>62</v>
      </c>
      <c r="C120" s="151" t="s">
        <v>63</v>
      </c>
      <c r="D120" s="152" t="s">
        <v>58</v>
      </c>
      <c r="E120" s="153">
        <v>6</v>
      </c>
      <c r="F120" s="152" t="s">
        <v>4</v>
      </c>
      <c r="G120" s="153"/>
      <c r="H120" s="208" t="s">
        <v>55</v>
      </c>
      <c r="I120" s="232">
        <f>ROUND((I119+I118)*E120/100,0)</f>
        <v>13950433</v>
      </c>
    </row>
    <row r="121" spans="1:9" ht="20.100000000000001" customHeight="1">
      <c r="A121" s="233" t="s">
        <v>446</v>
      </c>
      <c r="B121" s="234" t="s">
        <v>431</v>
      </c>
      <c r="C121" s="154" t="s">
        <v>64</v>
      </c>
      <c r="D121" s="154"/>
      <c r="E121" s="155"/>
      <c r="F121" s="154"/>
      <c r="G121" s="155"/>
      <c r="H121" s="209"/>
      <c r="I121" s="235">
        <f>SUM(I118:I120)</f>
        <v>246457642.29800895</v>
      </c>
    </row>
    <row r="122" spans="1:9" ht="20.100000000000001" customHeight="1">
      <c r="A122" s="236" t="s">
        <v>183</v>
      </c>
      <c r="B122" s="231" t="s">
        <v>65</v>
      </c>
      <c r="C122" s="151" t="s">
        <v>431</v>
      </c>
      <c r="D122" s="152" t="s">
        <v>58</v>
      </c>
      <c r="E122" s="153">
        <v>10</v>
      </c>
      <c r="F122" s="152" t="s">
        <v>4</v>
      </c>
      <c r="G122" s="153"/>
      <c r="H122" s="208" t="s">
        <v>55</v>
      </c>
      <c r="I122" s="232">
        <f>ROUND(I121*E122/100,0)</f>
        <v>24645764</v>
      </c>
    </row>
    <row r="123" spans="1:9" ht="20.100000000000001" hidden="1" customHeight="1">
      <c r="A123" s="233" t="s">
        <v>184</v>
      </c>
      <c r="B123" s="234" t="s">
        <v>66</v>
      </c>
      <c r="C123" s="154" t="s">
        <v>67</v>
      </c>
      <c r="D123" s="154"/>
      <c r="E123" s="155"/>
      <c r="F123" s="154"/>
      <c r="G123" s="155"/>
      <c r="H123" s="209"/>
      <c r="I123" s="235"/>
    </row>
    <row r="124" spans="1:9" ht="20.100000000000001" hidden="1" customHeight="1">
      <c r="A124" s="236" t="s">
        <v>185</v>
      </c>
      <c r="B124" s="231" t="s">
        <v>68</v>
      </c>
      <c r="C124" s="151" t="s">
        <v>1</v>
      </c>
      <c r="D124" s="152" t="s">
        <v>58</v>
      </c>
      <c r="E124" s="153">
        <v>1</v>
      </c>
      <c r="F124" s="152" t="s">
        <v>69</v>
      </c>
      <c r="G124" s="153">
        <v>1.1000000000000001</v>
      </c>
      <c r="H124" s="208" t="s">
        <v>55</v>
      </c>
      <c r="I124" s="232"/>
    </row>
    <row r="125" spans="1:9" ht="20.100000000000001" customHeight="1" thickBot="1">
      <c r="A125" s="237" t="s">
        <v>447</v>
      </c>
      <c r="B125" s="238" t="s">
        <v>437</v>
      </c>
      <c r="C125" s="156" t="s">
        <v>67</v>
      </c>
      <c r="D125" s="156"/>
      <c r="E125" s="157"/>
      <c r="F125" s="156"/>
      <c r="G125" s="157"/>
      <c r="H125" s="210"/>
      <c r="I125" s="239">
        <f>I122+I121</f>
        <v>271103406.29800892</v>
      </c>
    </row>
    <row r="126" spans="1:9" ht="20.100000000000001" customHeight="1">
      <c r="A126" s="270"/>
      <c r="B126" s="268"/>
      <c r="C126" s="154"/>
      <c r="D126" s="154"/>
      <c r="E126" s="155"/>
      <c r="F126" s="154"/>
      <c r="G126" s="155"/>
      <c r="H126" s="154"/>
      <c r="I126" s="269"/>
    </row>
    <row r="127" spans="1:9" ht="20.100000000000001" customHeight="1">
      <c r="A127" s="270"/>
      <c r="B127" s="268"/>
      <c r="C127" s="154"/>
      <c r="D127" s="154"/>
      <c r="E127" s="155"/>
      <c r="F127" s="154"/>
      <c r="G127" s="155"/>
      <c r="H127" s="154"/>
      <c r="I127" s="269"/>
    </row>
    <row r="128" spans="1:9" ht="20.100000000000001" customHeight="1">
      <c r="A128" s="270"/>
      <c r="B128" s="268"/>
      <c r="C128" s="154"/>
      <c r="D128" s="154"/>
      <c r="E128" s="155"/>
      <c r="F128" s="154"/>
      <c r="G128" s="155"/>
      <c r="H128" s="154"/>
      <c r="I128" s="269"/>
    </row>
    <row r="129" spans="1:9" ht="20.100000000000001" customHeight="1">
      <c r="A129" s="270"/>
      <c r="B129" s="268"/>
      <c r="C129" s="154"/>
      <c r="D129" s="154"/>
      <c r="E129" s="155"/>
      <c r="F129" s="154"/>
      <c r="G129" s="155"/>
      <c r="H129" s="154"/>
      <c r="I129" s="269"/>
    </row>
    <row r="130" spans="1:9" ht="20.100000000000001" customHeight="1">
      <c r="A130" s="270"/>
      <c r="B130" s="268"/>
      <c r="C130" s="154"/>
      <c r="D130" s="154"/>
      <c r="E130" s="155"/>
      <c r="F130" s="154"/>
      <c r="G130" s="155"/>
      <c r="H130" s="154"/>
      <c r="I130" s="269"/>
    </row>
    <row r="131" spans="1:9" ht="20.100000000000001" customHeight="1">
      <c r="A131" s="270"/>
      <c r="B131" s="268"/>
      <c r="C131" s="154"/>
      <c r="D131" s="154"/>
      <c r="E131" s="155"/>
      <c r="F131" s="154"/>
      <c r="G131" s="155"/>
      <c r="H131" s="154"/>
      <c r="I131" s="269"/>
    </row>
    <row r="132" spans="1:9" ht="20.100000000000001" customHeight="1">
      <c r="A132" s="1300" t="s">
        <v>426</v>
      </c>
      <c r="B132" s="1300"/>
      <c r="C132" s="1300"/>
      <c r="D132" s="1300"/>
      <c r="E132" s="1300"/>
      <c r="F132" s="1300"/>
      <c r="G132" s="1300"/>
      <c r="H132" s="1300"/>
      <c r="I132" s="1300"/>
    </row>
    <row r="133" spans="1:9" ht="9.9" customHeight="1" thickBot="1">
      <c r="A133" s="270"/>
      <c r="B133" s="268"/>
      <c r="C133" s="154"/>
      <c r="D133" s="154"/>
      <c r="E133" s="155"/>
      <c r="F133" s="154"/>
      <c r="G133" s="155"/>
      <c r="H133" s="154"/>
      <c r="I133" s="269"/>
    </row>
    <row r="134" spans="1:9" ht="30" customHeight="1" thickBot="1">
      <c r="A134" s="143" t="s">
        <v>173</v>
      </c>
      <c r="B134" s="144" t="s">
        <v>174</v>
      </c>
      <c r="C134" s="145" t="s">
        <v>175</v>
      </c>
      <c r="D134" s="145"/>
      <c r="E134" s="145"/>
      <c r="F134" s="145"/>
      <c r="G134" s="145"/>
      <c r="H134" s="145"/>
      <c r="I134" s="146" t="s">
        <v>54</v>
      </c>
    </row>
    <row r="135" spans="1:9" ht="20.100000000000001" customHeight="1">
      <c r="A135" s="224" t="s">
        <v>176</v>
      </c>
      <c r="B135" s="225" t="s">
        <v>55</v>
      </c>
      <c r="C135" s="226" t="s">
        <v>55</v>
      </c>
      <c r="D135" s="226"/>
      <c r="E135" s="227"/>
      <c r="F135" s="226"/>
      <c r="G135" s="227"/>
      <c r="H135" s="228"/>
      <c r="I135" s="229"/>
    </row>
    <row r="136" spans="1:9" ht="20.100000000000001" customHeight="1">
      <c r="A136" s="230" t="s">
        <v>177</v>
      </c>
      <c r="B136" s="231" t="s">
        <v>56</v>
      </c>
      <c r="C136" s="149" t="s">
        <v>56</v>
      </c>
      <c r="D136" s="149"/>
      <c r="E136" s="150"/>
      <c r="F136" s="149"/>
      <c r="G136" s="150"/>
      <c r="H136" s="207"/>
      <c r="I136" s="232">
        <f>DTCT!I185</f>
        <v>12042574.04459</v>
      </c>
    </row>
    <row r="137" spans="1:9" ht="20.100000000000001" customHeight="1">
      <c r="A137" s="230" t="s">
        <v>178</v>
      </c>
      <c r="B137" s="231" t="s">
        <v>57</v>
      </c>
      <c r="C137" s="149" t="s">
        <v>57</v>
      </c>
      <c r="D137" s="149"/>
      <c r="E137" s="150"/>
      <c r="F137" s="149"/>
      <c r="G137" s="150"/>
      <c r="H137" s="207"/>
      <c r="I137" s="232">
        <f>DTCT!J185</f>
        <v>487592674.09569347</v>
      </c>
    </row>
    <row r="138" spans="1:9" ht="20.100000000000001" customHeight="1">
      <c r="A138" s="230" t="s">
        <v>179</v>
      </c>
      <c r="B138" s="231" t="s">
        <v>59</v>
      </c>
      <c r="C138" s="151" t="s">
        <v>186</v>
      </c>
      <c r="D138" s="152" t="s">
        <v>58</v>
      </c>
      <c r="E138" s="153">
        <v>1.744</v>
      </c>
      <c r="F138" s="152" t="s">
        <v>55</v>
      </c>
      <c r="G138" s="153"/>
      <c r="H138" s="208" t="s">
        <v>55</v>
      </c>
      <c r="I138" s="232">
        <f>E138*DTCT!K185</f>
        <v>18017636.622837696</v>
      </c>
    </row>
    <row r="139" spans="1:9" ht="20.100000000000001" hidden="1" customHeight="1">
      <c r="A139" s="230" t="s">
        <v>180</v>
      </c>
      <c r="B139" s="231" t="s">
        <v>14</v>
      </c>
      <c r="C139" s="151" t="s">
        <v>60</v>
      </c>
      <c r="D139" s="152" t="s">
        <v>58</v>
      </c>
      <c r="E139" s="153">
        <v>2</v>
      </c>
      <c r="F139" s="152" t="s">
        <v>4</v>
      </c>
      <c r="G139" s="153"/>
      <c r="H139" s="208" t="s">
        <v>55</v>
      </c>
      <c r="I139" s="232"/>
    </row>
    <row r="140" spans="1:9" ht="20.100000000000001" customHeight="1">
      <c r="A140" s="233" t="s">
        <v>181</v>
      </c>
      <c r="B140" s="234" t="s">
        <v>3</v>
      </c>
      <c r="C140" s="154" t="s">
        <v>60</v>
      </c>
      <c r="D140" s="154"/>
      <c r="E140" s="155"/>
      <c r="F140" s="154"/>
      <c r="G140" s="155"/>
      <c r="H140" s="209"/>
      <c r="I140" s="235">
        <f>SUM(I136:I139)</f>
        <v>517652884.76312119</v>
      </c>
    </row>
    <row r="141" spans="1:9" ht="20.100000000000001" customHeight="1">
      <c r="A141" s="236" t="s">
        <v>61</v>
      </c>
      <c r="B141" s="231" t="s">
        <v>0</v>
      </c>
      <c r="C141" s="151" t="s">
        <v>57</v>
      </c>
      <c r="D141" s="152" t="s">
        <v>58</v>
      </c>
      <c r="E141" s="153">
        <v>66</v>
      </c>
      <c r="F141" s="152" t="s">
        <v>4</v>
      </c>
      <c r="G141" s="153"/>
      <c r="H141" s="208" t="s">
        <v>55</v>
      </c>
      <c r="I141" s="232">
        <f>ROUND(I137*E141/100,0)</f>
        <v>321811165</v>
      </c>
    </row>
    <row r="142" spans="1:9" ht="20.100000000000001" customHeight="1">
      <c r="A142" s="236" t="s">
        <v>182</v>
      </c>
      <c r="B142" s="231" t="s">
        <v>62</v>
      </c>
      <c r="C142" s="151" t="s">
        <v>63</v>
      </c>
      <c r="D142" s="152" t="s">
        <v>58</v>
      </c>
      <c r="E142" s="153">
        <v>6</v>
      </c>
      <c r="F142" s="152" t="s">
        <v>4</v>
      </c>
      <c r="G142" s="153"/>
      <c r="H142" s="208" t="s">
        <v>55</v>
      </c>
      <c r="I142" s="232">
        <f>ROUND((I141+I140)*E142/100,0)</f>
        <v>50367843</v>
      </c>
    </row>
    <row r="143" spans="1:9" ht="20.100000000000001" customHeight="1">
      <c r="A143" s="233" t="s">
        <v>446</v>
      </c>
      <c r="B143" s="234" t="s">
        <v>431</v>
      </c>
      <c r="C143" s="154" t="s">
        <v>64</v>
      </c>
      <c r="D143" s="154"/>
      <c r="E143" s="155"/>
      <c r="F143" s="154"/>
      <c r="G143" s="155"/>
      <c r="H143" s="209"/>
      <c r="I143" s="235">
        <f>SUM(I140:I142)</f>
        <v>889831892.76312113</v>
      </c>
    </row>
    <row r="144" spans="1:9" ht="20.100000000000001" customHeight="1">
      <c r="A144" s="236" t="s">
        <v>183</v>
      </c>
      <c r="B144" s="231" t="s">
        <v>65</v>
      </c>
      <c r="C144" s="151" t="s">
        <v>431</v>
      </c>
      <c r="D144" s="152" t="s">
        <v>58</v>
      </c>
      <c r="E144" s="153">
        <v>10</v>
      </c>
      <c r="F144" s="152" t="s">
        <v>4</v>
      </c>
      <c r="G144" s="153"/>
      <c r="H144" s="208" t="s">
        <v>55</v>
      </c>
      <c r="I144" s="232">
        <f>ROUND(I143*E144/100,0)</f>
        <v>88983189</v>
      </c>
    </row>
    <row r="145" spans="1:9" ht="20.100000000000001" hidden="1" customHeight="1">
      <c r="A145" s="233" t="s">
        <v>184</v>
      </c>
      <c r="B145" s="234" t="s">
        <v>66</v>
      </c>
      <c r="C145" s="154" t="s">
        <v>67</v>
      </c>
      <c r="D145" s="154"/>
      <c r="E145" s="155"/>
      <c r="F145" s="154"/>
      <c r="G145" s="155"/>
      <c r="H145" s="209"/>
      <c r="I145" s="235"/>
    </row>
    <row r="146" spans="1:9" ht="20.100000000000001" hidden="1" customHeight="1">
      <c r="A146" s="236" t="s">
        <v>185</v>
      </c>
      <c r="B146" s="231" t="s">
        <v>68</v>
      </c>
      <c r="C146" s="151" t="s">
        <v>1</v>
      </c>
      <c r="D146" s="152" t="s">
        <v>58</v>
      </c>
      <c r="E146" s="153">
        <v>1</v>
      </c>
      <c r="F146" s="152" t="s">
        <v>69</v>
      </c>
      <c r="G146" s="153">
        <v>1.1000000000000001</v>
      </c>
      <c r="H146" s="208" t="s">
        <v>55</v>
      </c>
      <c r="I146" s="232"/>
    </row>
    <row r="147" spans="1:9" ht="20.100000000000001" customHeight="1" thickBot="1">
      <c r="A147" s="237" t="s">
        <v>447</v>
      </c>
      <c r="B147" s="238" t="s">
        <v>438</v>
      </c>
      <c r="C147" s="156" t="s">
        <v>67</v>
      </c>
      <c r="D147" s="156"/>
      <c r="E147" s="157"/>
      <c r="F147" s="156"/>
      <c r="G147" s="157"/>
      <c r="H147" s="210"/>
      <c r="I147" s="239">
        <f>I144+I143</f>
        <v>978815081.76312113</v>
      </c>
    </row>
    <row r="148" spans="1:9" ht="20.100000000000001" customHeight="1">
      <c r="A148" s="270"/>
      <c r="B148" s="268"/>
      <c r="C148" s="154"/>
      <c r="D148" s="154"/>
      <c r="E148" s="155"/>
      <c r="F148" s="154"/>
      <c r="G148" s="155"/>
      <c r="H148" s="154"/>
      <c r="I148" s="269"/>
    </row>
    <row r="149" spans="1:9" ht="20.100000000000001" customHeight="1">
      <c r="A149" s="270"/>
      <c r="B149" s="268"/>
      <c r="C149" s="154"/>
      <c r="D149" s="154"/>
      <c r="E149" s="155"/>
      <c r="F149" s="154"/>
      <c r="G149" s="155"/>
      <c r="H149" s="154"/>
      <c r="I149" s="269"/>
    </row>
    <row r="150" spans="1:9" ht="20.100000000000001" customHeight="1">
      <c r="A150" s="270"/>
      <c r="B150" s="268"/>
      <c r="C150" s="154"/>
      <c r="D150" s="154"/>
      <c r="E150" s="155"/>
      <c r="F150" s="154"/>
      <c r="G150" s="155"/>
      <c r="H150" s="154"/>
      <c r="I150" s="269"/>
    </row>
    <row r="151" spans="1:9" ht="20.100000000000001" customHeight="1">
      <c r="A151" s="270"/>
      <c r="B151" s="268"/>
      <c r="C151" s="154"/>
      <c r="D151" s="154"/>
      <c r="E151" s="155"/>
      <c r="F151" s="154"/>
      <c r="G151" s="155"/>
      <c r="H151" s="154"/>
      <c r="I151" s="269"/>
    </row>
    <row r="152" spans="1:9" ht="20.100000000000001" customHeight="1">
      <c r="A152" s="270"/>
      <c r="B152" s="268"/>
      <c r="C152" s="154"/>
      <c r="D152" s="154"/>
      <c r="E152" s="155"/>
      <c r="F152" s="154"/>
      <c r="G152" s="155"/>
      <c r="H152" s="154"/>
      <c r="I152" s="269"/>
    </row>
    <row r="153" spans="1:9" ht="20.100000000000001" customHeight="1">
      <c r="A153" s="1300" t="s">
        <v>427</v>
      </c>
      <c r="B153" s="1300"/>
      <c r="C153" s="1300"/>
      <c r="D153" s="1300"/>
      <c r="E153" s="1300"/>
      <c r="F153" s="1300"/>
      <c r="G153" s="1300"/>
      <c r="H153" s="1300"/>
      <c r="I153" s="1300"/>
    </row>
    <row r="154" spans="1:9" ht="9.9" customHeight="1" thickBot="1">
      <c r="A154" s="270"/>
      <c r="B154" s="268"/>
      <c r="C154" s="154"/>
      <c r="D154" s="154"/>
      <c r="E154" s="155"/>
      <c r="F154" s="154"/>
      <c r="G154" s="155"/>
      <c r="H154" s="154"/>
      <c r="I154" s="269"/>
    </row>
    <row r="155" spans="1:9" ht="30" customHeight="1" thickBot="1">
      <c r="A155" s="143" t="s">
        <v>173</v>
      </c>
      <c r="B155" s="144" t="s">
        <v>174</v>
      </c>
      <c r="C155" s="145" t="s">
        <v>175</v>
      </c>
      <c r="D155" s="145"/>
      <c r="E155" s="145"/>
      <c r="F155" s="145"/>
      <c r="G155" s="145"/>
      <c r="H155" s="145"/>
      <c r="I155" s="146" t="s">
        <v>54</v>
      </c>
    </row>
    <row r="156" spans="1:9" ht="20.100000000000001" customHeight="1">
      <c r="A156" s="224" t="s">
        <v>176</v>
      </c>
      <c r="B156" s="225" t="s">
        <v>55</v>
      </c>
      <c r="C156" s="226" t="s">
        <v>55</v>
      </c>
      <c r="D156" s="226"/>
      <c r="E156" s="227"/>
      <c r="F156" s="226"/>
      <c r="G156" s="227"/>
      <c r="H156" s="228"/>
      <c r="I156" s="229"/>
    </row>
    <row r="157" spans="1:9" ht="20.100000000000001" customHeight="1">
      <c r="A157" s="230" t="s">
        <v>177</v>
      </c>
      <c r="B157" s="231" t="s">
        <v>56</v>
      </c>
      <c r="C157" s="149" t="s">
        <v>56</v>
      </c>
      <c r="D157" s="149"/>
      <c r="E157" s="150"/>
      <c r="F157" s="149"/>
      <c r="G157" s="150"/>
      <c r="H157" s="207"/>
      <c r="I157" s="232">
        <f>DTCT!I214</f>
        <v>6151365.681655</v>
      </c>
    </row>
    <row r="158" spans="1:9" ht="20.100000000000001" customHeight="1">
      <c r="A158" s="230" t="s">
        <v>178</v>
      </c>
      <c r="B158" s="231" t="s">
        <v>57</v>
      </c>
      <c r="C158" s="149" t="s">
        <v>57</v>
      </c>
      <c r="D158" s="149"/>
      <c r="E158" s="150"/>
      <c r="F158" s="149"/>
      <c r="G158" s="150"/>
      <c r="H158" s="207"/>
      <c r="I158" s="232">
        <f>DTCT!J214</f>
        <v>337460443.60962915</v>
      </c>
    </row>
    <row r="159" spans="1:9" ht="20.100000000000001" customHeight="1">
      <c r="A159" s="230" t="s">
        <v>179</v>
      </c>
      <c r="B159" s="231" t="s">
        <v>59</v>
      </c>
      <c r="C159" s="151" t="s">
        <v>186</v>
      </c>
      <c r="D159" s="152" t="s">
        <v>58</v>
      </c>
      <c r="E159" s="153">
        <v>1.744</v>
      </c>
      <c r="F159" s="152" t="s">
        <v>55</v>
      </c>
      <c r="G159" s="153"/>
      <c r="H159" s="208" t="s">
        <v>55</v>
      </c>
      <c r="I159" s="232">
        <f>E159*DTCT!K214</f>
        <v>10143179.862392033</v>
      </c>
    </row>
    <row r="160" spans="1:9" ht="20.100000000000001" hidden="1" customHeight="1">
      <c r="A160" s="230" t="s">
        <v>180</v>
      </c>
      <c r="B160" s="231" t="s">
        <v>14</v>
      </c>
      <c r="C160" s="151" t="s">
        <v>60</v>
      </c>
      <c r="D160" s="152" t="s">
        <v>58</v>
      </c>
      <c r="E160" s="153">
        <v>2</v>
      </c>
      <c r="F160" s="152" t="s">
        <v>4</v>
      </c>
      <c r="G160" s="153"/>
      <c r="H160" s="208" t="s">
        <v>55</v>
      </c>
      <c r="I160" s="232"/>
    </row>
    <row r="161" spans="1:9" ht="20.100000000000001" customHeight="1">
      <c r="A161" s="233" t="s">
        <v>181</v>
      </c>
      <c r="B161" s="234" t="s">
        <v>3</v>
      </c>
      <c r="C161" s="154" t="s">
        <v>60</v>
      </c>
      <c r="D161" s="154"/>
      <c r="E161" s="155"/>
      <c r="F161" s="154"/>
      <c r="G161" s="155"/>
      <c r="H161" s="209"/>
      <c r="I161" s="235">
        <f>SUM(I157:I160)</f>
        <v>353754989.15367615</v>
      </c>
    </row>
    <row r="162" spans="1:9" ht="20.100000000000001" customHeight="1">
      <c r="A162" s="236" t="s">
        <v>61</v>
      </c>
      <c r="B162" s="231" t="s">
        <v>0</v>
      </c>
      <c r="C162" s="151" t="s">
        <v>57</v>
      </c>
      <c r="D162" s="152" t="s">
        <v>58</v>
      </c>
      <c r="E162" s="153">
        <v>66</v>
      </c>
      <c r="F162" s="152" t="s">
        <v>4</v>
      </c>
      <c r="G162" s="153"/>
      <c r="H162" s="208" t="s">
        <v>55</v>
      </c>
      <c r="I162" s="232">
        <f>ROUND(I158*E162/100,0)</f>
        <v>222723893</v>
      </c>
    </row>
    <row r="163" spans="1:9" ht="20.100000000000001" customHeight="1">
      <c r="A163" s="236" t="s">
        <v>182</v>
      </c>
      <c r="B163" s="231" t="s">
        <v>62</v>
      </c>
      <c r="C163" s="151" t="s">
        <v>63</v>
      </c>
      <c r="D163" s="152" t="s">
        <v>58</v>
      </c>
      <c r="E163" s="153">
        <v>6</v>
      </c>
      <c r="F163" s="152" t="s">
        <v>4</v>
      </c>
      <c r="G163" s="153"/>
      <c r="H163" s="208" t="s">
        <v>55</v>
      </c>
      <c r="I163" s="232">
        <f>ROUND((I162+I161)*E163/100,0)</f>
        <v>34588733</v>
      </c>
    </row>
    <row r="164" spans="1:9" ht="20.100000000000001" customHeight="1">
      <c r="A164" s="233" t="s">
        <v>446</v>
      </c>
      <c r="B164" s="234" t="s">
        <v>431</v>
      </c>
      <c r="C164" s="154" t="s">
        <v>64</v>
      </c>
      <c r="D164" s="154"/>
      <c r="E164" s="155"/>
      <c r="F164" s="154"/>
      <c r="G164" s="155"/>
      <c r="H164" s="209"/>
      <c r="I164" s="235">
        <f>SUM(I161:I163)</f>
        <v>611067615.15367615</v>
      </c>
    </row>
    <row r="165" spans="1:9" ht="20.100000000000001" customHeight="1">
      <c r="A165" s="236" t="s">
        <v>183</v>
      </c>
      <c r="B165" s="231" t="s">
        <v>65</v>
      </c>
      <c r="C165" s="151" t="s">
        <v>431</v>
      </c>
      <c r="D165" s="152" t="s">
        <v>58</v>
      </c>
      <c r="E165" s="153">
        <v>10</v>
      </c>
      <c r="F165" s="152" t="s">
        <v>4</v>
      </c>
      <c r="G165" s="153"/>
      <c r="H165" s="208" t="s">
        <v>55</v>
      </c>
      <c r="I165" s="232">
        <f>ROUND(I164*E165/100,0)</f>
        <v>61106762</v>
      </c>
    </row>
    <row r="166" spans="1:9" ht="20.100000000000001" hidden="1" customHeight="1">
      <c r="A166" s="233" t="s">
        <v>184</v>
      </c>
      <c r="B166" s="234" t="s">
        <v>66</v>
      </c>
      <c r="C166" s="154" t="s">
        <v>67</v>
      </c>
      <c r="D166" s="154"/>
      <c r="E166" s="155"/>
      <c r="F166" s="154"/>
      <c r="G166" s="155"/>
      <c r="H166" s="209"/>
      <c r="I166" s="235"/>
    </row>
    <row r="167" spans="1:9" ht="20.100000000000001" hidden="1" customHeight="1">
      <c r="A167" s="236" t="s">
        <v>185</v>
      </c>
      <c r="B167" s="231" t="s">
        <v>68</v>
      </c>
      <c r="C167" s="151" t="s">
        <v>1</v>
      </c>
      <c r="D167" s="152" t="s">
        <v>58</v>
      </c>
      <c r="E167" s="153">
        <v>1</v>
      </c>
      <c r="F167" s="152" t="s">
        <v>69</v>
      </c>
      <c r="G167" s="153">
        <v>1.1000000000000001</v>
      </c>
      <c r="H167" s="208" t="s">
        <v>55</v>
      </c>
      <c r="I167" s="232"/>
    </row>
    <row r="168" spans="1:9" ht="20.100000000000001" customHeight="1" thickBot="1">
      <c r="A168" s="237" t="s">
        <v>447</v>
      </c>
      <c r="B168" s="238" t="s">
        <v>439</v>
      </c>
      <c r="C168" s="156" t="s">
        <v>67</v>
      </c>
      <c r="D168" s="156"/>
      <c r="E168" s="157"/>
      <c r="F168" s="156"/>
      <c r="G168" s="157"/>
      <c r="H168" s="210"/>
      <c r="I168" s="239">
        <f>I165+I164</f>
        <v>672174377.15367615</v>
      </c>
    </row>
    <row r="169" spans="1:9" ht="20.100000000000001" customHeight="1">
      <c r="A169" s="270"/>
      <c r="B169" s="268"/>
      <c r="C169" s="154"/>
      <c r="D169" s="154"/>
      <c r="E169" s="155"/>
      <c r="F169" s="154"/>
      <c r="G169" s="155"/>
      <c r="H169" s="154"/>
      <c r="I169" s="269"/>
    </row>
    <row r="170" spans="1:9" ht="20.100000000000001" customHeight="1">
      <c r="A170" s="270"/>
      <c r="B170" s="268"/>
      <c r="C170" s="154"/>
      <c r="D170" s="154"/>
      <c r="E170" s="155"/>
      <c r="F170" s="154"/>
      <c r="G170" s="155"/>
      <c r="H170" s="154"/>
      <c r="I170" s="269"/>
    </row>
    <row r="171" spans="1:9" ht="20.100000000000001" customHeight="1">
      <c r="A171" s="270"/>
      <c r="B171" s="268"/>
      <c r="C171" s="154"/>
      <c r="D171" s="154"/>
      <c r="E171" s="155"/>
      <c r="F171" s="154"/>
      <c r="G171" s="155"/>
      <c r="H171" s="154"/>
      <c r="I171" s="269"/>
    </row>
    <row r="172" spans="1:9" ht="20.100000000000001" customHeight="1">
      <c r="A172" s="270"/>
      <c r="B172" s="268"/>
      <c r="C172" s="154"/>
      <c r="D172" s="154"/>
      <c r="E172" s="155"/>
      <c r="F172" s="154"/>
      <c r="G172" s="155"/>
      <c r="H172" s="154"/>
      <c r="I172" s="269"/>
    </row>
    <row r="173" spans="1:9" ht="20.100000000000001" customHeight="1">
      <c r="A173" s="270"/>
      <c r="B173" s="268"/>
      <c r="C173" s="154"/>
      <c r="D173" s="154"/>
      <c r="E173" s="155"/>
      <c r="F173" s="154"/>
      <c r="G173" s="155"/>
      <c r="H173" s="154"/>
      <c r="I173" s="269"/>
    </row>
    <row r="174" spans="1:9" ht="20.100000000000001" customHeight="1">
      <c r="A174" s="1300" t="s">
        <v>428</v>
      </c>
      <c r="B174" s="1300"/>
      <c r="C174" s="1300"/>
      <c r="D174" s="1300"/>
      <c r="E174" s="1300"/>
      <c r="F174" s="1300"/>
      <c r="G174" s="1300"/>
      <c r="H174" s="1300"/>
      <c r="I174" s="1300"/>
    </row>
    <row r="175" spans="1:9" ht="9.9" customHeight="1" thickBot="1">
      <c r="A175" s="270"/>
      <c r="B175" s="268"/>
      <c r="C175" s="154"/>
      <c r="D175" s="154"/>
      <c r="E175" s="155"/>
      <c r="F175" s="154"/>
      <c r="G175" s="155"/>
      <c r="H175" s="154"/>
      <c r="I175" s="269"/>
    </row>
    <row r="176" spans="1:9" ht="30" customHeight="1" thickBot="1">
      <c r="A176" s="143" t="s">
        <v>173</v>
      </c>
      <c r="B176" s="144" t="s">
        <v>174</v>
      </c>
      <c r="C176" s="145" t="s">
        <v>175</v>
      </c>
      <c r="D176" s="145"/>
      <c r="E176" s="145"/>
      <c r="F176" s="145"/>
      <c r="G176" s="145"/>
      <c r="H176" s="145"/>
      <c r="I176" s="146" t="s">
        <v>54</v>
      </c>
    </row>
    <row r="177" spans="1:9" ht="20.100000000000001" customHeight="1">
      <c r="A177" s="224" t="s">
        <v>176</v>
      </c>
      <c r="B177" s="225" t="s">
        <v>55</v>
      </c>
      <c r="C177" s="226" t="s">
        <v>55</v>
      </c>
      <c r="D177" s="226"/>
      <c r="E177" s="227"/>
      <c r="F177" s="226"/>
      <c r="G177" s="227"/>
      <c r="H177" s="228"/>
      <c r="I177" s="229"/>
    </row>
    <row r="178" spans="1:9" ht="20.100000000000001" customHeight="1">
      <c r="A178" s="230" t="s">
        <v>177</v>
      </c>
      <c r="B178" s="231" t="s">
        <v>56</v>
      </c>
      <c r="C178" s="149" t="s">
        <v>56</v>
      </c>
      <c r="D178" s="149"/>
      <c r="E178" s="150"/>
      <c r="F178" s="149"/>
      <c r="G178" s="150"/>
      <c r="H178" s="207"/>
      <c r="I178" s="232">
        <f>DTCT!I243</f>
        <v>7768054.9377375003</v>
      </c>
    </row>
    <row r="179" spans="1:9" ht="20.100000000000001" customHeight="1">
      <c r="A179" s="230" t="s">
        <v>178</v>
      </c>
      <c r="B179" s="231" t="s">
        <v>57</v>
      </c>
      <c r="C179" s="149" t="s">
        <v>57</v>
      </c>
      <c r="D179" s="149"/>
      <c r="E179" s="150"/>
      <c r="F179" s="149"/>
      <c r="G179" s="150"/>
      <c r="H179" s="207"/>
      <c r="I179" s="232">
        <f>DTCT!J243</f>
        <v>344760108.544649</v>
      </c>
    </row>
    <row r="180" spans="1:9" ht="20.100000000000001" customHeight="1">
      <c r="A180" s="230" t="s">
        <v>179</v>
      </c>
      <c r="B180" s="231" t="s">
        <v>59</v>
      </c>
      <c r="C180" s="151" t="s">
        <v>186</v>
      </c>
      <c r="D180" s="152" t="s">
        <v>58</v>
      </c>
      <c r="E180" s="153">
        <v>1.744</v>
      </c>
      <c r="F180" s="152" t="s">
        <v>55</v>
      </c>
      <c r="G180" s="153"/>
      <c r="H180" s="208" t="s">
        <v>55</v>
      </c>
      <c r="I180" s="232">
        <f>E180*DTCT!K243</f>
        <v>12419471.32319032</v>
      </c>
    </row>
    <row r="181" spans="1:9" ht="20.100000000000001" hidden="1" customHeight="1">
      <c r="A181" s="230" t="s">
        <v>180</v>
      </c>
      <c r="B181" s="231" t="s">
        <v>14</v>
      </c>
      <c r="C181" s="151" t="s">
        <v>60</v>
      </c>
      <c r="D181" s="152" t="s">
        <v>58</v>
      </c>
      <c r="E181" s="153">
        <v>2</v>
      </c>
      <c r="F181" s="152" t="s">
        <v>4</v>
      </c>
      <c r="G181" s="153"/>
      <c r="H181" s="208" t="s">
        <v>55</v>
      </c>
      <c r="I181" s="232"/>
    </row>
    <row r="182" spans="1:9" ht="20.100000000000001" customHeight="1">
      <c r="A182" s="233" t="s">
        <v>181</v>
      </c>
      <c r="B182" s="234" t="s">
        <v>3</v>
      </c>
      <c r="C182" s="154" t="s">
        <v>60</v>
      </c>
      <c r="D182" s="154"/>
      <c r="E182" s="155"/>
      <c r="F182" s="154"/>
      <c r="G182" s="155"/>
      <c r="H182" s="209"/>
      <c r="I182" s="235">
        <f>SUM(I178:I181)</f>
        <v>364947634.80557686</v>
      </c>
    </row>
    <row r="183" spans="1:9" ht="20.100000000000001" customHeight="1">
      <c r="A183" s="236" t="s">
        <v>61</v>
      </c>
      <c r="B183" s="231" t="s">
        <v>0</v>
      </c>
      <c r="C183" s="151" t="s">
        <v>57</v>
      </c>
      <c r="D183" s="152" t="s">
        <v>58</v>
      </c>
      <c r="E183" s="153">
        <v>66</v>
      </c>
      <c r="F183" s="152" t="s">
        <v>4</v>
      </c>
      <c r="G183" s="153"/>
      <c r="H183" s="208" t="s">
        <v>55</v>
      </c>
      <c r="I183" s="232">
        <f>ROUND(I179*E183/100,0)</f>
        <v>227541672</v>
      </c>
    </row>
    <row r="184" spans="1:9" ht="20.100000000000001" customHeight="1">
      <c r="A184" s="236" t="s">
        <v>182</v>
      </c>
      <c r="B184" s="231" t="s">
        <v>62</v>
      </c>
      <c r="C184" s="151" t="s">
        <v>63</v>
      </c>
      <c r="D184" s="152" t="s">
        <v>58</v>
      </c>
      <c r="E184" s="153">
        <v>6</v>
      </c>
      <c r="F184" s="152" t="s">
        <v>4</v>
      </c>
      <c r="G184" s="153"/>
      <c r="H184" s="208" t="s">
        <v>55</v>
      </c>
      <c r="I184" s="232">
        <f>ROUND((I183+I182)*E184/100,0)</f>
        <v>35549358</v>
      </c>
    </row>
    <row r="185" spans="1:9" ht="20.100000000000001" customHeight="1">
      <c r="A185" s="233" t="s">
        <v>446</v>
      </c>
      <c r="B185" s="234" t="s">
        <v>431</v>
      </c>
      <c r="C185" s="154" t="s">
        <v>64</v>
      </c>
      <c r="D185" s="154"/>
      <c r="E185" s="155"/>
      <c r="F185" s="154"/>
      <c r="G185" s="155"/>
      <c r="H185" s="209"/>
      <c r="I185" s="235">
        <f>SUM(I182:I184)</f>
        <v>628038664.8055768</v>
      </c>
    </row>
    <row r="186" spans="1:9" ht="20.100000000000001" customHeight="1">
      <c r="A186" s="236" t="s">
        <v>183</v>
      </c>
      <c r="B186" s="231" t="s">
        <v>65</v>
      </c>
      <c r="C186" s="151" t="s">
        <v>431</v>
      </c>
      <c r="D186" s="152" t="s">
        <v>58</v>
      </c>
      <c r="E186" s="153">
        <v>10</v>
      </c>
      <c r="F186" s="152" t="s">
        <v>4</v>
      </c>
      <c r="G186" s="153"/>
      <c r="H186" s="208" t="s">
        <v>55</v>
      </c>
      <c r="I186" s="232">
        <f>ROUND(I185*E186/100,0)</f>
        <v>62803866</v>
      </c>
    </row>
    <row r="187" spans="1:9" ht="20.100000000000001" hidden="1" customHeight="1">
      <c r="A187" s="233" t="s">
        <v>184</v>
      </c>
      <c r="B187" s="234" t="s">
        <v>66</v>
      </c>
      <c r="C187" s="154" t="s">
        <v>67</v>
      </c>
      <c r="D187" s="154"/>
      <c r="E187" s="155"/>
      <c r="F187" s="154"/>
      <c r="G187" s="155"/>
      <c r="H187" s="209"/>
      <c r="I187" s="235"/>
    </row>
    <row r="188" spans="1:9" ht="20.100000000000001" hidden="1" customHeight="1">
      <c r="A188" s="236" t="s">
        <v>185</v>
      </c>
      <c r="B188" s="231" t="s">
        <v>68</v>
      </c>
      <c r="C188" s="151" t="s">
        <v>1</v>
      </c>
      <c r="D188" s="152" t="s">
        <v>58</v>
      </c>
      <c r="E188" s="153">
        <v>1</v>
      </c>
      <c r="F188" s="152" t="s">
        <v>69</v>
      </c>
      <c r="G188" s="153">
        <v>1.1000000000000001</v>
      </c>
      <c r="H188" s="208" t="s">
        <v>55</v>
      </c>
      <c r="I188" s="232"/>
    </row>
    <row r="189" spans="1:9" ht="20.100000000000001" customHeight="1" thickBot="1">
      <c r="A189" s="237" t="s">
        <v>447</v>
      </c>
      <c r="B189" s="238" t="s">
        <v>440</v>
      </c>
      <c r="C189" s="156" t="s">
        <v>67</v>
      </c>
      <c r="D189" s="156"/>
      <c r="E189" s="157"/>
      <c r="F189" s="156"/>
      <c r="G189" s="157"/>
      <c r="H189" s="210"/>
      <c r="I189" s="239">
        <f>I186+I185</f>
        <v>690842530.8055768</v>
      </c>
    </row>
    <row r="190" spans="1:9" ht="20.100000000000001" customHeight="1">
      <c r="A190" s="270"/>
      <c r="B190" s="268"/>
      <c r="C190" s="154"/>
      <c r="D190" s="154"/>
      <c r="E190" s="155"/>
      <c r="F190" s="154"/>
      <c r="G190" s="155"/>
      <c r="H190" s="154"/>
      <c r="I190" s="269"/>
    </row>
    <row r="191" spans="1:9" ht="20.100000000000001" customHeight="1">
      <c r="A191" s="270"/>
      <c r="B191" s="268"/>
      <c r="C191" s="154"/>
      <c r="D191" s="154"/>
      <c r="E191" s="155"/>
      <c r="F191" s="154"/>
      <c r="G191" s="155"/>
      <c r="H191" s="154"/>
      <c r="I191" s="269"/>
    </row>
    <row r="192" spans="1:9" ht="20.100000000000001" customHeight="1">
      <c r="A192" s="270"/>
      <c r="B192" s="268"/>
      <c r="C192" s="154"/>
      <c r="D192" s="154"/>
      <c r="E192" s="155"/>
      <c r="F192" s="154"/>
      <c r="G192" s="155"/>
      <c r="H192" s="154"/>
      <c r="I192" s="269"/>
    </row>
    <row r="193" spans="1:9" ht="20.100000000000001" customHeight="1">
      <c r="A193" s="270"/>
      <c r="B193" s="268"/>
      <c r="C193" s="154"/>
      <c r="D193" s="154"/>
      <c r="E193" s="155"/>
      <c r="F193" s="154"/>
      <c r="G193" s="155"/>
      <c r="H193" s="154"/>
      <c r="I193" s="269"/>
    </row>
    <row r="194" spans="1:9" ht="20.100000000000001" customHeight="1">
      <c r="A194" s="270"/>
      <c r="B194" s="268"/>
      <c r="C194" s="154"/>
      <c r="D194" s="154"/>
      <c r="E194" s="155"/>
      <c r="F194" s="154"/>
      <c r="G194" s="155"/>
      <c r="H194" s="154"/>
      <c r="I194" s="269"/>
    </row>
    <row r="195" spans="1:9" ht="20.100000000000001" customHeight="1">
      <c r="A195" s="1300" t="s">
        <v>429</v>
      </c>
      <c r="B195" s="1300"/>
      <c r="C195" s="1300"/>
      <c r="D195" s="1300"/>
      <c r="E195" s="1300"/>
      <c r="F195" s="1300"/>
      <c r="G195" s="1300"/>
      <c r="H195" s="1300"/>
      <c r="I195" s="1300"/>
    </row>
    <row r="196" spans="1:9" ht="9.9" customHeight="1" thickBot="1">
      <c r="A196" s="267"/>
      <c r="B196" s="268"/>
      <c r="C196" s="154"/>
      <c r="D196" s="154"/>
      <c r="E196" s="155"/>
      <c r="F196" s="154"/>
      <c r="G196" s="155"/>
      <c r="H196" s="154"/>
      <c r="I196" s="269"/>
    </row>
    <row r="197" spans="1:9" ht="30" customHeight="1" thickBot="1">
      <c r="A197" s="143" t="s">
        <v>173</v>
      </c>
      <c r="B197" s="144" t="s">
        <v>174</v>
      </c>
      <c r="C197" s="1304" t="s">
        <v>175</v>
      </c>
      <c r="D197" s="1305"/>
      <c r="E197" s="1305"/>
      <c r="F197" s="1305"/>
      <c r="G197" s="1305"/>
      <c r="H197" s="1306"/>
      <c r="I197" s="146" t="s">
        <v>54</v>
      </c>
    </row>
    <row r="198" spans="1:9" ht="20.100000000000001" customHeight="1">
      <c r="A198" s="224" t="s">
        <v>176</v>
      </c>
      <c r="B198" s="225" t="s">
        <v>55</v>
      </c>
      <c r="C198" s="147" t="s">
        <v>55</v>
      </c>
      <c r="D198" s="147"/>
      <c r="E198" s="148"/>
      <c r="F198" s="147"/>
      <c r="G198" s="148"/>
      <c r="H198" s="206"/>
      <c r="I198" s="229"/>
    </row>
    <row r="199" spans="1:9" ht="20.100000000000001" customHeight="1">
      <c r="A199" s="230" t="s">
        <v>177</v>
      </c>
      <c r="B199" s="231" t="s">
        <v>56</v>
      </c>
      <c r="C199" s="1301" t="s">
        <v>56</v>
      </c>
      <c r="D199" s="1302"/>
      <c r="E199" s="1302"/>
      <c r="F199" s="1302"/>
      <c r="G199" s="1302"/>
      <c r="H199" s="1303"/>
      <c r="I199" s="232">
        <f>DTCT!I276</f>
        <v>2226695.9837999996</v>
      </c>
    </row>
    <row r="200" spans="1:9" ht="20.100000000000001" customHeight="1">
      <c r="A200" s="230" t="s">
        <v>178</v>
      </c>
      <c r="B200" s="231" t="s">
        <v>57</v>
      </c>
      <c r="C200" s="149" t="s">
        <v>57</v>
      </c>
      <c r="D200" s="149"/>
      <c r="E200" s="150"/>
      <c r="F200" s="149"/>
      <c r="G200" s="150"/>
      <c r="H200" s="207"/>
      <c r="I200" s="232">
        <f>DTCT!J276</f>
        <v>87032030.190632001</v>
      </c>
    </row>
    <row r="201" spans="1:9" ht="20.100000000000001" customHeight="1">
      <c r="A201" s="230" t="s">
        <v>179</v>
      </c>
      <c r="B201" s="231" t="s">
        <v>59</v>
      </c>
      <c r="C201" s="151" t="s">
        <v>186</v>
      </c>
      <c r="D201" s="152" t="s">
        <v>58</v>
      </c>
      <c r="E201" s="153">
        <v>1.7669999999999999</v>
      </c>
      <c r="F201" s="152" t="s">
        <v>55</v>
      </c>
      <c r="G201" s="153"/>
      <c r="H201" s="208" t="s">
        <v>55</v>
      </c>
      <c r="I201" s="232">
        <f>E201*DTCT!K276</f>
        <v>1874501.3412669597</v>
      </c>
    </row>
    <row r="202" spans="1:9" ht="20.100000000000001" hidden="1" customHeight="1">
      <c r="A202" s="230" t="s">
        <v>180</v>
      </c>
      <c r="B202" s="231" t="s">
        <v>14</v>
      </c>
      <c r="C202" s="151" t="s">
        <v>60</v>
      </c>
      <c r="D202" s="152" t="s">
        <v>58</v>
      </c>
      <c r="E202" s="153">
        <v>2</v>
      </c>
      <c r="F202" s="152" t="s">
        <v>4</v>
      </c>
      <c r="G202" s="153"/>
      <c r="H202" s="208" t="s">
        <v>55</v>
      </c>
      <c r="I202" s="232"/>
    </row>
    <row r="203" spans="1:9" ht="20.100000000000001" customHeight="1">
      <c r="A203" s="233" t="s">
        <v>181</v>
      </c>
      <c r="B203" s="234" t="s">
        <v>3</v>
      </c>
      <c r="C203" s="1307" t="s">
        <v>60</v>
      </c>
      <c r="D203" s="1308"/>
      <c r="E203" s="1308"/>
      <c r="F203" s="1308"/>
      <c r="G203" s="1308"/>
      <c r="H203" s="1309"/>
      <c r="I203" s="235">
        <f>SUM(I199:I202)</f>
        <v>91133227.515698954</v>
      </c>
    </row>
    <row r="204" spans="1:9" ht="20.100000000000001" customHeight="1">
      <c r="A204" s="236" t="s">
        <v>61</v>
      </c>
      <c r="B204" s="231" t="s">
        <v>0</v>
      </c>
      <c r="C204" s="151" t="s">
        <v>57</v>
      </c>
      <c r="D204" s="152" t="s">
        <v>58</v>
      </c>
      <c r="E204" s="153">
        <v>66</v>
      </c>
      <c r="F204" s="152" t="s">
        <v>4</v>
      </c>
      <c r="G204" s="153"/>
      <c r="H204" s="208" t="s">
        <v>55</v>
      </c>
      <c r="I204" s="232">
        <f>ROUND(I200*E204/100,0)</f>
        <v>57441140</v>
      </c>
    </row>
    <row r="205" spans="1:9" ht="20.100000000000001" customHeight="1">
      <c r="A205" s="236" t="s">
        <v>182</v>
      </c>
      <c r="B205" s="231" t="s">
        <v>62</v>
      </c>
      <c r="C205" s="151" t="s">
        <v>63</v>
      </c>
      <c r="D205" s="152" t="s">
        <v>58</v>
      </c>
      <c r="E205" s="153">
        <v>6</v>
      </c>
      <c r="F205" s="152" t="s">
        <v>4</v>
      </c>
      <c r="G205" s="153"/>
      <c r="H205" s="208" t="s">
        <v>55</v>
      </c>
      <c r="I205" s="232">
        <f>ROUND((I204+I203)*E205/100,0)</f>
        <v>8914462</v>
      </c>
    </row>
    <row r="206" spans="1:9" ht="20.100000000000001" customHeight="1">
      <c r="A206" s="233" t="s">
        <v>446</v>
      </c>
      <c r="B206" s="234" t="s">
        <v>431</v>
      </c>
      <c r="C206" s="1307" t="s">
        <v>64</v>
      </c>
      <c r="D206" s="1308"/>
      <c r="E206" s="1308"/>
      <c r="F206" s="1308"/>
      <c r="G206" s="1308"/>
      <c r="H206" s="1309"/>
      <c r="I206" s="235">
        <f>SUM(I203:I205)</f>
        <v>157488829.51569897</v>
      </c>
    </row>
    <row r="207" spans="1:9" ht="20.100000000000001" customHeight="1">
      <c r="A207" s="236" t="s">
        <v>183</v>
      </c>
      <c r="B207" s="231" t="s">
        <v>65</v>
      </c>
      <c r="C207" s="151" t="s">
        <v>431</v>
      </c>
      <c r="D207" s="152" t="s">
        <v>58</v>
      </c>
      <c r="E207" s="153">
        <v>10</v>
      </c>
      <c r="F207" s="152" t="s">
        <v>4</v>
      </c>
      <c r="G207" s="153"/>
      <c r="H207" s="208" t="s">
        <v>55</v>
      </c>
      <c r="I207" s="232">
        <f>ROUND(I206*E207/100,0)</f>
        <v>15748883</v>
      </c>
    </row>
    <row r="208" spans="1:9" ht="20.100000000000001" hidden="1" customHeight="1">
      <c r="A208" s="233" t="s">
        <v>184</v>
      </c>
      <c r="B208" s="234" t="s">
        <v>66</v>
      </c>
      <c r="C208" s="154" t="s">
        <v>67</v>
      </c>
      <c r="D208" s="154"/>
      <c r="E208" s="155"/>
      <c r="F208" s="154"/>
      <c r="G208" s="155"/>
      <c r="H208" s="209"/>
      <c r="I208" s="235"/>
    </row>
    <row r="209" spans="1:9" ht="20.100000000000001" hidden="1" customHeight="1">
      <c r="A209" s="236" t="s">
        <v>185</v>
      </c>
      <c r="B209" s="231" t="s">
        <v>68</v>
      </c>
      <c r="C209" s="151" t="s">
        <v>1</v>
      </c>
      <c r="D209" s="152" t="s">
        <v>58</v>
      </c>
      <c r="E209" s="153">
        <v>1</v>
      </c>
      <c r="F209" s="152" t="s">
        <v>69</v>
      </c>
      <c r="G209" s="153">
        <v>1.1000000000000001</v>
      </c>
      <c r="H209" s="208" t="s">
        <v>55</v>
      </c>
      <c r="I209" s="232"/>
    </row>
    <row r="210" spans="1:9" ht="20.100000000000001" customHeight="1" thickBot="1">
      <c r="A210" s="237" t="s">
        <v>447</v>
      </c>
      <c r="B210" s="238" t="s">
        <v>441</v>
      </c>
      <c r="C210" s="156" t="s">
        <v>67</v>
      </c>
      <c r="D210" s="156"/>
      <c r="E210" s="157"/>
      <c r="F210" s="156"/>
      <c r="G210" s="157"/>
      <c r="H210" s="210"/>
      <c r="I210" s="239">
        <f>I207+I206</f>
        <v>173237712.51569897</v>
      </c>
    </row>
    <row r="216" spans="1:9" ht="20.100000000000001" customHeight="1"/>
    <row r="217" spans="1:9" ht="35.25" customHeight="1">
      <c r="A217" s="1310" t="s">
        <v>526</v>
      </c>
      <c r="B217" s="1300"/>
      <c r="C217" s="1300"/>
      <c r="D217" s="1300"/>
      <c r="E217" s="1300"/>
      <c r="F217" s="1300"/>
      <c r="G217" s="1300"/>
      <c r="H217" s="1300"/>
      <c r="I217" s="1300"/>
    </row>
    <row r="218" spans="1:9" ht="9.9" customHeight="1" thickBot="1"/>
    <row r="219" spans="1:9" ht="30" customHeight="1" thickBot="1">
      <c r="A219" s="143" t="s">
        <v>173</v>
      </c>
      <c r="B219" s="144" t="s">
        <v>174</v>
      </c>
      <c r="C219" s="1304" t="s">
        <v>175</v>
      </c>
      <c r="D219" s="1305"/>
      <c r="E219" s="1305"/>
      <c r="F219" s="1305"/>
      <c r="G219" s="1305"/>
      <c r="H219" s="1306"/>
      <c r="I219" s="146" t="s">
        <v>54</v>
      </c>
    </row>
    <row r="220" spans="1:9" ht="20.100000000000001" customHeight="1">
      <c r="A220" s="224" t="s">
        <v>176</v>
      </c>
      <c r="B220" s="225" t="s">
        <v>55</v>
      </c>
      <c r="C220" s="147" t="s">
        <v>55</v>
      </c>
      <c r="D220" s="147"/>
      <c r="E220" s="148"/>
      <c r="F220" s="147"/>
      <c r="G220" s="148"/>
      <c r="H220" s="206"/>
      <c r="I220" s="229"/>
    </row>
    <row r="221" spans="1:9" ht="20.100000000000001" customHeight="1">
      <c r="A221" s="230" t="s">
        <v>177</v>
      </c>
      <c r="B221" s="231" t="s">
        <v>56</v>
      </c>
      <c r="C221" s="1301" t="s">
        <v>56</v>
      </c>
      <c r="D221" s="1302"/>
      <c r="E221" s="1302"/>
      <c r="F221" s="1302"/>
      <c r="G221" s="1302"/>
      <c r="H221" s="1303"/>
      <c r="I221" s="232">
        <f>DTCT!I300</f>
        <v>8503780.006705001</v>
      </c>
    </row>
    <row r="222" spans="1:9" ht="20.100000000000001" customHeight="1">
      <c r="A222" s="230" t="s">
        <v>178</v>
      </c>
      <c r="B222" s="231" t="s">
        <v>57</v>
      </c>
      <c r="C222" s="149" t="s">
        <v>57</v>
      </c>
      <c r="D222" s="149"/>
      <c r="E222" s="150"/>
      <c r="F222" s="149"/>
      <c r="G222" s="150"/>
      <c r="H222" s="207"/>
      <c r="I222" s="232">
        <f>DTCT!J300</f>
        <v>324959112.97698903</v>
      </c>
    </row>
    <row r="223" spans="1:9" ht="20.100000000000001" customHeight="1">
      <c r="A223" s="230" t="s">
        <v>179</v>
      </c>
      <c r="B223" s="231" t="s">
        <v>59</v>
      </c>
      <c r="C223" s="151" t="s">
        <v>186</v>
      </c>
      <c r="D223" s="152" t="s">
        <v>58</v>
      </c>
      <c r="E223" s="153">
        <v>1.7669999999999999</v>
      </c>
      <c r="F223" s="152" t="s">
        <v>55</v>
      </c>
      <c r="G223" s="153"/>
      <c r="H223" s="208" t="s">
        <v>55</v>
      </c>
      <c r="I223" s="232">
        <f>E223*DTCT!K300</f>
        <v>13870764.116830321</v>
      </c>
    </row>
    <row r="224" spans="1:9" ht="20.100000000000001" hidden="1" customHeight="1">
      <c r="A224" s="230" t="s">
        <v>180</v>
      </c>
      <c r="B224" s="231" t="s">
        <v>14</v>
      </c>
      <c r="C224" s="151" t="s">
        <v>60</v>
      </c>
      <c r="D224" s="152" t="s">
        <v>58</v>
      </c>
      <c r="E224" s="153">
        <v>2</v>
      </c>
      <c r="F224" s="152" t="s">
        <v>4</v>
      </c>
      <c r="G224" s="153"/>
      <c r="H224" s="208" t="s">
        <v>55</v>
      </c>
      <c r="I224" s="232"/>
    </row>
    <row r="225" spans="1:9" ht="20.100000000000001" customHeight="1">
      <c r="A225" s="233" t="s">
        <v>181</v>
      </c>
      <c r="B225" s="234" t="s">
        <v>3</v>
      </c>
      <c r="C225" s="1307" t="s">
        <v>60</v>
      </c>
      <c r="D225" s="1308"/>
      <c r="E225" s="1308"/>
      <c r="F225" s="1308"/>
      <c r="G225" s="1308"/>
      <c r="H225" s="1309"/>
      <c r="I225" s="235">
        <f>SUM(I221:I224)</f>
        <v>347333657.10052437</v>
      </c>
    </row>
    <row r="226" spans="1:9" ht="20.100000000000001" customHeight="1">
      <c r="A226" s="236" t="s">
        <v>61</v>
      </c>
      <c r="B226" s="231" t="s">
        <v>0</v>
      </c>
      <c r="C226" s="151" t="s">
        <v>57</v>
      </c>
      <c r="D226" s="152" t="s">
        <v>58</v>
      </c>
      <c r="E226" s="153">
        <v>66</v>
      </c>
      <c r="F226" s="152" t="s">
        <v>4</v>
      </c>
      <c r="G226" s="153"/>
      <c r="H226" s="208" t="s">
        <v>55</v>
      </c>
      <c r="I226" s="232">
        <f>ROUND(I222*E226/100,0)</f>
        <v>214473015</v>
      </c>
    </row>
    <row r="227" spans="1:9" ht="20.100000000000001" customHeight="1">
      <c r="A227" s="236" t="s">
        <v>182</v>
      </c>
      <c r="B227" s="231" t="s">
        <v>62</v>
      </c>
      <c r="C227" s="151" t="s">
        <v>63</v>
      </c>
      <c r="D227" s="152" t="s">
        <v>58</v>
      </c>
      <c r="E227" s="153">
        <v>6</v>
      </c>
      <c r="F227" s="152" t="s">
        <v>4</v>
      </c>
      <c r="G227" s="153"/>
      <c r="H227" s="208" t="s">
        <v>55</v>
      </c>
      <c r="I227" s="232">
        <f>ROUND((I226+I225)*E227/100,0)</f>
        <v>33708400</v>
      </c>
    </row>
    <row r="228" spans="1:9" ht="20.100000000000001" customHeight="1">
      <c r="A228" s="233" t="s">
        <v>446</v>
      </c>
      <c r="B228" s="234" t="s">
        <v>431</v>
      </c>
      <c r="C228" s="1307" t="s">
        <v>64</v>
      </c>
      <c r="D228" s="1308"/>
      <c r="E228" s="1308"/>
      <c r="F228" s="1308"/>
      <c r="G228" s="1308"/>
      <c r="H228" s="1309"/>
      <c r="I228" s="235">
        <f>SUM(I225:I227)</f>
        <v>595515072.10052443</v>
      </c>
    </row>
    <row r="229" spans="1:9" ht="20.100000000000001" customHeight="1">
      <c r="A229" s="236" t="s">
        <v>183</v>
      </c>
      <c r="B229" s="231" t="s">
        <v>65</v>
      </c>
      <c r="C229" s="151" t="s">
        <v>431</v>
      </c>
      <c r="D229" s="152" t="s">
        <v>58</v>
      </c>
      <c r="E229" s="153">
        <v>10</v>
      </c>
      <c r="F229" s="152" t="s">
        <v>4</v>
      </c>
      <c r="G229" s="153"/>
      <c r="H229" s="208" t="s">
        <v>55</v>
      </c>
      <c r="I229" s="232">
        <f>ROUND(I228*E229/100,0)</f>
        <v>59551507</v>
      </c>
    </row>
    <row r="230" spans="1:9" ht="20.100000000000001" hidden="1" customHeight="1">
      <c r="A230" s="233" t="s">
        <v>184</v>
      </c>
      <c r="B230" s="234" t="s">
        <v>66</v>
      </c>
      <c r="C230" s="154" t="s">
        <v>67</v>
      </c>
      <c r="D230" s="154"/>
      <c r="E230" s="155"/>
      <c r="F230" s="154"/>
      <c r="G230" s="155"/>
      <c r="H230" s="209"/>
      <c r="I230" s="235"/>
    </row>
    <row r="231" spans="1:9" ht="20.100000000000001" hidden="1" customHeight="1">
      <c r="A231" s="236" t="s">
        <v>185</v>
      </c>
      <c r="B231" s="231" t="s">
        <v>68</v>
      </c>
      <c r="C231" s="151" t="s">
        <v>1</v>
      </c>
      <c r="D231" s="152" t="s">
        <v>58</v>
      </c>
      <c r="E231" s="153">
        <v>1</v>
      </c>
      <c r="F231" s="152" t="s">
        <v>69</v>
      </c>
      <c r="G231" s="153">
        <v>1.1000000000000001</v>
      </c>
      <c r="H231" s="208" t="s">
        <v>55</v>
      </c>
      <c r="I231" s="232"/>
    </row>
    <row r="232" spans="1:9" ht="20.100000000000001" customHeight="1" thickBot="1">
      <c r="A232" s="237" t="s">
        <v>447</v>
      </c>
      <c r="B232" s="238" t="s">
        <v>442</v>
      </c>
      <c r="C232" s="156" t="s">
        <v>67</v>
      </c>
      <c r="D232" s="156"/>
      <c r="E232" s="157"/>
      <c r="F232" s="156"/>
      <c r="G232" s="157"/>
      <c r="H232" s="210"/>
      <c r="I232" s="239">
        <f>I229+I228</f>
        <v>655066579.10052443</v>
      </c>
    </row>
    <row r="233" spans="1:9" ht="20.100000000000001" customHeight="1"/>
    <row r="234" spans="1:9" ht="20.100000000000001" customHeight="1"/>
    <row r="235" spans="1:9" ht="20.100000000000001" customHeight="1"/>
    <row r="236" spans="1:9" ht="15.9" customHeight="1">
      <c r="A236" s="1300" t="s">
        <v>505</v>
      </c>
      <c r="B236" s="1300"/>
      <c r="C236" s="1300"/>
      <c r="D236" s="1300"/>
      <c r="E236" s="1300"/>
      <c r="F236" s="1300"/>
      <c r="G236" s="1300"/>
      <c r="H236" s="1300"/>
      <c r="I236" s="1300"/>
    </row>
    <row r="237" spans="1:9" ht="9.9" customHeight="1" thickBot="1"/>
    <row r="238" spans="1:9" ht="30" customHeight="1" thickBot="1">
      <c r="A238" s="143" t="s">
        <v>173</v>
      </c>
      <c r="B238" s="144" t="s">
        <v>174</v>
      </c>
      <c r="C238" s="1304" t="s">
        <v>175</v>
      </c>
      <c r="D238" s="1305"/>
      <c r="E238" s="1305"/>
      <c r="F238" s="1305"/>
      <c r="G238" s="1305"/>
      <c r="H238" s="1306"/>
      <c r="I238" s="146" t="s">
        <v>54</v>
      </c>
    </row>
    <row r="239" spans="1:9" ht="20.100000000000001" customHeight="1">
      <c r="A239" s="224" t="s">
        <v>176</v>
      </c>
      <c r="B239" s="225" t="s">
        <v>55</v>
      </c>
      <c r="C239" s="147" t="s">
        <v>55</v>
      </c>
      <c r="D239" s="147"/>
      <c r="E239" s="148"/>
      <c r="F239" s="147"/>
      <c r="G239" s="148"/>
      <c r="H239" s="206"/>
      <c r="I239" s="229"/>
    </row>
    <row r="240" spans="1:9" ht="20.100000000000001" customHeight="1">
      <c r="A240" s="230" t="s">
        <v>177</v>
      </c>
      <c r="B240" s="231" t="s">
        <v>56</v>
      </c>
      <c r="C240" s="1301" t="s">
        <v>56</v>
      </c>
      <c r="D240" s="1302"/>
      <c r="E240" s="1302"/>
      <c r="F240" s="1302"/>
      <c r="G240" s="1302"/>
      <c r="H240" s="1303"/>
      <c r="I240" s="232">
        <f>DTCT!I320</f>
        <v>0</v>
      </c>
    </row>
    <row r="241" spans="1:9" ht="20.100000000000001" customHeight="1">
      <c r="A241" s="230" t="s">
        <v>178</v>
      </c>
      <c r="B241" s="231" t="s">
        <v>57</v>
      </c>
      <c r="C241" s="149" t="s">
        <v>57</v>
      </c>
      <c r="D241" s="149"/>
      <c r="E241" s="150"/>
      <c r="F241" s="149"/>
      <c r="G241" s="150"/>
      <c r="H241" s="207"/>
      <c r="I241" s="232">
        <f>DTCT!J332</f>
        <v>246125260.83839998</v>
      </c>
    </row>
    <row r="242" spans="1:9" ht="20.100000000000001" customHeight="1">
      <c r="A242" s="230" t="s">
        <v>179</v>
      </c>
      <c r="B242" s="231" t="s">
        <v>59</v>
      </c>
      <c r="C242" s="151" t="s">
        <v>186</v>
      </c>
      <c r="D242" s="152" t="s">
        <v>58</v>
      </c>
      <c r="E242" s="153">
        <v>1.7669999999999999</v>
      </c>
      <c r="F242" s="152" t="s">
        <v>55</v>
      </c>
      <c r="G242" s="153"/>
      <c r="H242" s="208" t="s">
        <v>55</v>
      </c>
      <c r="I242" s="232">
        <f>E242*DTCT!K332</f>
        <v>826684191.67735195</v>
      </c>
    </row>
    <row r="243" spans="1:9" ht="20.100000000000001" hidden="1" customHeight="1">
      <c r="A243" s="230" t="s">
        <v>180</v>
      </c>
      <c r="B243" s="231" t="s">
        <v>14</v>
      </c>
      <c r="C243" s="151" t="s">
        <v>60</v>
      </c>
      <c r="D243" s="152" t="s">
        <v>58</v>
      </c>
      <c r="E243" s="153">
        <v>2</v>
      </c>
      <c r="F243" s="152" t="s">
        <v>4</v>
      </c>
      <c r="G243" s="153"/>
      <c r="H243" s="208" t="s">
        <v>55</v>
      </c>
      <c r="I243" s="232"/>
    </row>
    <row r="244" spans="1:9" ht="20.100000000000001" customHeight="1">
      <c r="A244" s="233" t="s">
        <v>181</v>
      </c>
      <c r="B244" s="234" t="s">
        <v>3</v>
      </c>
      <c r="C244" s="1307" t="s">
        <v>60</v>
      </c>
      <c r="D244" s="1308"/>
      <c r="E244" s="1308"/>
      <c r="F244" s="1308"/>
      <c r="G244" s="1308"/>
      <c r="H244" s="1309"/>
      <c r="I244" s="235">
        <f>SUM(I240:I243)</f>
        <v>1072809452.515752</v>
      </c>
    </row>
    <row r="245" spans="1:9" ht="20.100000000000001" customHeight="1">
      <c r="A245" s="236" t="s">
        <v>61</v>
      </c>
      <c r="B245" s="231" t="s">
        <v>0</v>
      </c>
      <c r="C245" s="151" t="s">
        <v>57</v>
      </c>
      <c r="D245" s="152" t="s">
        <v>58</v>
      </c>
      <c r="E245" s="153">
        <v>66</v>
      </c>
      <c r="F245" s="152" t="s">
        <v>4</v>
      </c>
      <c r="G245" s="153"/>
      <c r="H245" s="208" t="s">
        <v>55</v>
      </c>
      <c r="I245" s="232">
        <f>ROUND(I241*E245/100,0)</f>
        <v>162442672</v>
      </c>
    </row>
    <row r="246" spans="1:9" ht="20.100000000000001" customHeight="1">
      <c r="A246" s="236" t="s">
        <v>182</v>
      </c>
      <c r="B246" s="231" t="s">
        <v>62</v>
      </c>
      <c r="C246" s="151" t="s">
        <v>63</v>
      </c>
      <c r="D246" s="152" t="s">
        <v>58</v>
      </c>
      <c r="E246" s="153">
        <v>6</v>
      </c>
      <c r="F246" s="152" t="s">
        <v>4</v>
      </c>
      <c r="G246" s="153"/>
      <c r="H246" s="208" t="s">
        <v>55</v>
      </c>
      <c r="I246" s="232">
        <f>ROUND((I245+I244)*E246/100,0)</f>
        <v>74115127</v>
      </c>
    </row>
    <row r="247" spans="1:9" ht="20.100000000000001" customHeight="1">
      <c r="A247" s="233" t="s">
        <v>446</v>
      </c>
      <c r="B247" s="234" t="s">
        <v>431</v>
      </c>
      <c r="C247" s="1307" t="s">
        <v>64</v>
      </c>
      <c r="D247" s="1308"/>
      <c r="E247" s="1308"/>
      <c r="F247" s="1308"/>
      <c r="G247" s="1308"/>
      <c r="H247" s="1309"/>
      <c r="I247" s="235">
        <f>SUM(I244:I246)</f>
        <v>1309367251.5157518</v>
      </c>
    </row>
    <row r="248" spans="1:9" ht="20.100000000000001" customHeight="1">
      <c r="A248" s="236" t="s">
        <v>183</v>
      </c>
      <c r="B248" s="231" t="s">
        <v>65</v>
      </c>
      <c r="C248" s="151" t="s">
        <v>431</v>
      </c>
      <c r="D248" s="152" t="s">
        <v>58</v>
      </c>
      <c r="E248" s="153">
        <v>10</v>
      </c>
      <c r="F248" s="152" t="s">
        <v>4</v>
      </c>
      <c r="G248" s="153"/>
      <c r="H248" s="208" t="s">
        <v>55</v>
      </c>
      <c r="I248" s="232">
        <f>ROUND(I247*E248/100,0)</f>
        <v>130936725</v>
      </c>
    </row>
    <row r="249" spans="1:9" ht="20.100000000000001" hidden="1" customHeight="1">
      <c r="A249" s="233" t="s">
        <v>184</v>
      </c>
      <c r="B249" s="234" t="s">
        <v>66</v>
      </c>
      <c r="C249" s="154" t="s">
        <v>67</v>
      </c>
      <c r="D249" s="154"/>
      <c r="E249" s="155"/>
      <c r="F249" s="154"/>
      <c r="G249" s="155"/>
      <c r="H249" s="209"/>
      <c r="I249" s="235"/>
    </row>
    <row r="250" spans="1:9" ht="20.100000000000001" hidden="1" customHeight="1">
      <c r="A250" s="236" t="s">
        <v>185</v>
      </c>
      <c r="B250" s="231" t="s">
        <v>68</v>
      </c>
      <c r="C250" s="151" t="s">
        <v>1</v>
      </c>
      <c r="D250" s="152" t="s">
        <v>58</v>
      </c>
      <c r="E250" s="153">
        <v>1</v>
      </c>
      <c r="F250" s="152" t="s">
        <v>69</v>
      </c>
      <c r="G250" s="153">
        <v>1.1000000000000001</v>
      </c>
      <c r="H250" s="208" t="s">
        <v>55</v>
      </c>
      <c r="I250" s="232"/>
    </row>
    <row r="251" spans="1:9" ht="20.100000000000001" customHeight="1" thickBot="1">
      <c r="A251" s="237" t="s">
        <v>447</v>
      </c>
      <c r="B251" s="238" t="s">
        <v>506</v>
      </c>
      <c r="C251" s="156" t="s">
        <v>67</v>
      </c>
      <c r="D251" s="156"/>
      <c r="E251" s="157"/>
      <c r="F251" s="156"/>
      <c r="G251" s="157"/>
      <c r="H251" s="210"/>
      <c r="I251" s="239">
        <f>I248+I247</f>
        <v>1440303976.5157518</v>
      </c>
    </row>
  </sheetData>
  <mergeCells count="26">
    <mergeCell ref="A195:I195"/>
    <mergeCell ref="C197:H197"/>
    <mergeCell ref="A132:I132"/>
    <mergeCell ref="A153:I153"/>
    <mergeCell ref="C247:H247"/>
    <mergeCell ref="C221:H221"/>
    <mergeCell ref="C225:H225"/>
    <mergeCell ref="C228:H228"/>
    <mergeCell ref="A236:I236"/>
    <mergeCell ref="C244:H244"/>
    <mergeCell ref="A3:I3"/>
    <mergeCell ref="A4:I4"/>
    <mergeCell ref="A6:I6"/>
    <mergeCell ref="C240:H240"/>
    <mergeCell ref="C238:H238"/>
    <mergeCell ref="A46:I46"/>
    <mergeCell ref="A89:I89"/>
    <mergeCell ref="A28:I28"/>
    <mergeCell ref="A67:I67"/>
    <mergeCell ref="C219:H219"/>
    <mergeCell ref="C199:H199"/>
    <mergeCell ref="C203:H203"/>
    <mergeCell ref="C206:H206"/>
    <mergeCell ref="A217:I217"/>
    <mergeCell ref="A110:I110"/>
    <mergeCell ref="A174:I174"/>
  </mergeCells>
  <phoneticPr fontId="2" type="noConversion"/>
  <pageMargins left="0.99" right="0.19" top="0.73" bottom="0.77" header="0.5" footer="0.45"/>
  <pageSetup paperSize="9" orientation="portrait" verticalDpi="0" r:id="rId1"/>
  <headerFooter alignWithMargins="0">
    <oddFooter>&amp;C&amp;11&amp;A&amp;R&amp;11Trang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8"/>
  <sheetViews>
    <sheetView zoomScale="98" zoomScaleNormal="98" workbookViewId="0">
      <selection activeCell="F358" sqref="F358"/>
    </sheetView>
  </sheetViews>
  <sheetFormatPr defaultColWidth="8.90625" defaultRowHeight="13.8"/>
  <cols>
    <col min="1" max="1" width="4.6328125" style="344" customWidth="1"/>
    <col min="2" max="2" width="45.90625" style="11" customWidth="1"/>
    <col min="3" max="3" width="12.08984375" style="344" customWidth="1"/>
    <col min="4" max="4" width="10.1796875" style="345" customWidth="1"/>
    <col min="5" max="5" width="11.81640625" style="11" customWidth="1"/>
    <col min="6" max="6" width="17.36328125" style="11" customWidth="1"/>
    <col min="7" max="7" width="10.6328125" style="11" customWidth="1"/>
    <col min="8" max="8" width="10.08984375" style="11" bestFit="1" customWidth="1"/>
    <col min="9" max="9" width="31" style="11" customWidth="1"/>
    <col min="10" max="16384" width="8.90625" style="11"/>
  </cols>
  <sheetData>
    <row r="1" spans="1:14" ht="21.75" customHeight="1">
      <c r="A1" s="1314" t="s">
        <v>159</v>
      </c>
      <c r="B1" s="1314"/>
      <c r="C1" s="1314"/>
      <c r="D1" s="1314"/>
    </row>
    <row r="2" spans="1:14" s="313" customFormat="1" ht="20.100000000000001" customHeight="1">
      <c r="A2" s="1313" t="s">
        <v>1041</v>
      </c>
      <c r="B2" s="1313"/>
      <c r="C2" s="1313"/>
      <c r="D2" s="1313"/>
    </row>
    <row r="3" spans="1:14" ht="6.75" customHeight="1">
      <c r="A3" s="314"/>
      <c r="B3" s="314"/>
      <c r="C3" s="314"/>
      <c r="D3" s="315"/>
    </row>
    <row r="4" spans="1:14" s="240" customFormat="1" ht="40.5" customHeight="1">
      <c r="A4" s="27" t="s">
        <v>2</v>
      </c>
      <c r="B4" s="27" t="s">
        <v>108</v>
      </c>
      <c r="C4" s="316" t="s">
        <v>12</v>
      </c>
      <c r="D4" s="317" t="s">
        <v>13</v>
      </c>
    </row>
    <row r="5" spans="1:14" s="240" customFormat="1" ht="40.5" customHeight="1">
      <c r="A5" s="133" t="s">
        <v>340</v>
      </c>
      <c r="B5" s="346" t="s">
        <v>341</v>
      </c>
      <c r="C5" s="134"/>
      <c r="D5" s="242"/>
      <c r="I5" s="565"/>
      <c r="J5" s="565"/>
      <c r="K5" s="565"/>
      <c r="L5" s="565"/>
      <c r="M5" s="565"/>
      <c r="N5" s="565"/>
    </row>
    <row r="6" spans="1:14" s="240" customFormat="1" ht="22.5" customHeight="1">
      <c r="A6" s="347" t="s">
        <v>378</v>
      </c>
      <c r="B6" s="241" t="s">
        <v>483</v>
      </c>
      <c r="C6" s="241"/>
      <c r="D6" s="243"/>
      <c r="I6" s="433"/>
      <c r="J6" s="565"/>
      <c r="K6" s="565"/>
      <c r="L6" s="565"/>
      <c r="M6" s="565"/>
      <c r="N6" s="565"/>
    </row>
    <row r="7" spans="1:14" s="240" customFormat="1" ht="27" customHeight="1">
      <c r="A7" s="318"/>
      <c r="B7" s="319" t="s">
        <v>379</v>
      </c>
      <c r="C7" s="114"/>
      <c r="D7" s="272"/>
      <c r="I7" s="565"/>
      <c r="J7" s="565"/>
      <c r="K7" s="565"/>
      <c r="L7" s="565"/>
      <c r="M7" s="565"/>
      <c r="N7" s="565"/>
    </row>
    <row r="8" spans="1:14" ht="15.9" customHeight="1">
      <c r="A8" s="114">
        <v>1</v>
      </c>
      <c r="B8" s="113" t="s">
        <v>307</v>
      </c>
      <c r="C8" s="114" t="s">
        <v>309</v>
      </c>
      <c r="D8" s="272">
        <f>THCĐ!H5</f>
        <v>48.532389999999999</v>
      </c>
      <c r="I8" s="775"/>
      <c r="J8" s="566"/>
      <c r="K8" s="775"/>
      <c r="L8" s="776"/>
      <c r="M8" s="776"/>
      <c r="N8" s="777"/>
    </row>
    <row r="9" spans="1:14" ht="15.9" customHeight="1">
      <c r="A9" s="114">
        <f>+A8+1</f>
        <v>2</v>
      </c>
      <c r="B9" s="113" t="s">
        <v>308</v>
      </c>
      <c r="C9" s="114" t="s">
        <v>454</v>
      </c>
      <c r="D9" s="272">
        <v>12</v>
      </c>
      <c r="I9" s="775"/>
      <c r="J9" s="778"/>
      <c r="K9" s="775"/>
      <c r="L9" s="776"/>
      <c r="M9" s="776"/>
      <c r="N9" s="777"/>
    </row>
    <row r="10" spans="1:14" ht="31.5" customHeight="1">
      <c r="A10" s="114">
        <f t="shared" ref="A10:A18" si="0">+A9+1</f>
        <v>3</v>
      </c>
      <c r="B10" s="113" t="s">
        <v>336</v>
      </c>
      <c r="C10" s="114" t="s">
        <v>453</v>
      </c>
      <c r="D10" s="272">
        <f>D8*1</f>
        <v>48.532389999999999</v>
      </c>
      <c r="F10" s="11">
        <v>1</v>
      </c>
      <c r="I10" s="342"/>
      <c r="J10" s="566"/>
      <c r="K10" s="342"/>
      <c r="L10" s="779"/>
      <c r="M10" s="779"/>
      <c r="N10" s="780"/>
    </row>
    <row r="11" spans="1:14" ht="15.9" customHeight="1">
      <c r="A11" s="114">
        <f t="shared" si="0"/>
        <v>4</v>
      </c>
      <c r="B11" s="320" t="s">
        <v>315</v>
      </c>
      <c r="C11" s="114" t="s">
        <v>328</v>
      </c>
      <c r="D11" s="272">
        <f>D8/40</f>
        <v>1.2133097500000001</v>
      </c>
      <c r="E11" s="348"/>
      <c r="I11" s="775"/>
      <c r="J11" s="568"/>
      <c r="K11" s="775"/>
      <c r="L11" s="776"/>
      <c r="M11" s="776"/>
      <c r="N11" s="777"/>
    </row>
    <row r="12" spans="1:14" ht="15.9" customHeight="1">
      <c r="A12" s="114">
        <f t="shared" si="0"/>
        <v>5</v>
      </c>
      <c r="B12" s="321" t="s">
        <v>311</v>
      </c>
      <c r="C12" s="112" t="s">
        <v>309</v>
      </c>
      <c r="D12" s="272">
        <f>D8</f>
        <v>48.532389999999999</v>
      </c>
      <c r="I12" s="775"/>
      <c r="J12" s="778"/>
      <c r="K12" s="775"/>
      <c r="L12" s="776"/>
      <c r="M12" s="776"/>
      <c r="N12" s="777"/>
    </row>
    <row r="13" spans="1:14" ht="15.9" customHeight="1">
      <c r="A13" s="114">
        <f t="shared" si="0"/>
        <v>6</v>
      </c>
      <c r="B13" s="322" t="s">
        <v>310</v>
      </c>
      <c r="C13" s="112" t="s">
        <v>453</v>
      </c>
      <c r="D13" s="272">
        <f>D8</f>
        <v>48.532389999999999</v>
      </c>
      <c r="F13" s="11">
        <v>1</v>
      </c>
      <c r="I13" s="775"/>
      <c r="J13" s="778"/>
      <c r="K13" s="775"/>
      <c r="L13" s="776"/>
      <c r="M13" s="776"/>
      <c r="N13" s="777"/>
    </row>
    <row r="14" spans="1:14" ht="15.9" customHeight="1">
      <c r="A14" s="114">
        <f t="shared" si="0"/>
        <v>7</v>
      </c>
      <c r="B14" s="321" t="s">
        <v>312</v>
      </c>
      <c r="C14" s="112" t="s">
        <v>453</v>
      </c>
      <c r="D14" s="272">
        <f>D8*1</f>
        <v>48.532389999999999</v>
      </c>
      <c r="E14" s="341"/>
      <c r="F14" s="11">
        <v>1</v>
      </c>
      <c r="I14" s="775"/>
      <c r="J14" s="566"/>
      <c r="K14" s="775"/>
      <c r="L14" s="776"/>
      <c r="M14" s="776"/>
      <c r="N14" s="777"/>
    </row>
    <row r="15" spans="1:14" ht="15.75" customHeight="1">
      <c r="A15" s="114">
        <f t="shared" si="0"/>
        <v>8</v>
      </c>
      <c r="B15" s="321" t="s">
        <v>330</v>
      </c>
      <c r="C15" s="112" t="s">
        <v>331</v>
      </c>
      <c r="D15" s="272">
        <f>'coc tiêu,km, biển báo'!C3*5/100</f>
        <v>123.95</v>
      </c>
      <c r="E15" s="341"/>
      <c r="I15" s="775"/>
      <c r="J15" s="569"/>
      <c r="K15" s="775"/>
      <c r="L15" s="776"/>
      <c r="M15" s="776"/>
      <c r="N15" s="777"/>
    </row>
    <row r="16" spans="1:14" ht="15.9" customHeight="1">
      <c r="A16" s="114">
        <f t="shared" si="0"/>
        <v>9</v>
      </c>
      <c r="B16" s="323" t="s">
        <v>313</v>
      </c>
      <c r="C16" s="112" t="s">
        <v>332</v>
      </c>
      <c r="D16" s="272">
        <f>'coc tiêu,km, biển báo'!D3*2/100</f>
        <v>0.98</v>
      </c>
      <c r="I16" s="775"/>
      <c r="J16" s="569"/>
      <c r="K16" s="775"/>
      <c r="L16" s="776"/>
      <c r="M16" s="776"/>
      <c r="N16" s="777"/>
    </row>
    <row r="17" spans="1:20" ht="15.9" customHeight="1">
      <c r="A17" s="114">
        <f t="shared" si="0"/>
        <v>10</v>
      </c>
      <c r="B17" s="321" t="s">
        <v>314</v>
      </c>
      <c r="C17" s="112" t="s">
        <v>332</v>
      </c>
      <c r="D17" s="272">
        <f>'coc tiêu,km, biển báo'!E3*2/100</f>
        <v>7.94</v>
      </c>
      <c r="I17" s="775"/>
      <c r="J17" s="569"/>
      <c r="K17" s="775"/>
      <c r="L17" s="776"/>
      <c r="M17" s="776"/>
      <c r="N17" s="777"/>
    </row>
    <row r="18" spans="1:20" ht="15.9" customHeight="1">
      <c r="A18" s="114">
        <f t="shared" si="0"/>
        <v>11</v>
      </c>
      <c r="B18" s="321" t="s">
        <v>509</v>
      </c>
      <c r="C18" s="112" t="s">
        <v>510</v>
      </c>
      <c r="D18" s="272">
        <f>D8*1000*2/100</f>
        <v>970.64779999999996</v>
      </c>
      <c r="I18" s="775"/>
      <c r="J18" s="569"/>
      <c r="K18" s="775"/>
      <c r="L18" s="776"/>
      <c r="M18" s="776"/>
      <c r="N18" s="777"/>
    </row>
    <row r="19" spans="1:20" ht="15.9" customHeight="1">
      <c r="A19" s="114">
        <f>+A18+1</f>
        <v>12</v>
      </c>
      <c r="B19" s="321" t="s">
        <v>512</v>
      </c>
      <c r="C19" s="112" t="s">
        <v>513</v>
      </c>
      <c r="D19" s="272">
        <f>D8*1</f>
        <v>48.532389999999999</v>
      </c>
      <c r="F19" s="11">
        <v>1</v>
      </c>
      <c r="I19" s="775"/>
      <c r="J19" s="570"/>
      <c r="K19" s="775"/>
      <c r="L19" s="776"/>
      <c r="M19" s="776"/>
      <c r="N19" s="777"/>
    </row>
    <row r="20" spans="1:20" ht="15.9" customHeight="1">
      <c r="A20" s="114">
        <f>+A19+1</f>
        <v>13</v>
      </c>
      <c r="B20" s="321" t="s">
        <v>515</v>
      </c>
      <c r="C20" s="112" t="s">
        <v>5</v>
      </c>
      <c r="D20" s="272">
        <f>'Mặt biển phàn quang 1'!D5*1</f>
        <v>174.815</v>
      </c>
      <c r="F20" s="11">
        <v>2</v>
      </c>
      <c r="I20" s="775"/>
      <c r="J20" s="569"/>
      <c r="K20" s="775"/>
      <c r="L20" s="776"/>
      <c r="M20" s="776"/>
      <c r="N20" s="777"/>
    </row>
    <row r="21" spans="1:20" ht="21" customHeight="1">
      <c r="A21" s="318"/>
      <c r="B21" s="324" t="s">
        <v>382</v>
      </c>
      <c r="C21" s="325"/>
      <c r="D21" s="272"/>
      <c r="E21" s="312"/>
      <c r="I21" s="775"/>
      <c r="J21" s="569"/>
      <c r="K21" s="775"/>
      <c r="L21" s="776"/>
      <c r="M21" s="776"/>
      <c r="N21" s="777"/>
      <c r="O21" s="312"/>
      <c r="P21" s="312"/>
    </row>
    <row r="22" spans="1:20" ht="15.9" customHeight="1">
      <c r="A22" s="114">
        <v>14</v>
      </c>
      <c r="B22" s="327" t="s">
        <v>316</v>
      </c>
      <c r="C22" s="112" t="s">
        <v>455</v>
      </c>
      <c r="D22" s="272">
        <f>'KLCT MC+KCG'!E163/10</f>
        <v>361.35500000000002</v>
      </c>
      <c r="F22" s="11">
        <v>1</v>
      </c>
      <c r="I22" s="775"/>
      <c r="J22" s="341"/>
      <c r="K22" s="341"/>
      <c r="L22" s="341"/>
      <c r="M22" s="341"/>
      <c r="N22" s="341"/>
    </row>
    <row r="23" spans="1:20" ht="15.9" customHeight="1">
      <c r="A23" s="114">
        <f>+A22+1</f>
        <v>15</v>
      </c>
      <c r="B23" s="321" t="s">
        <v>317</v>
      </c>
      <c r="C23" s="112" t="s">
        <v>333</v>
      </c>
      <c r="D23" s="272">
        <f>'KLCT MC+KCG'!H163*1</f>
        <v>320</v>
      </c>
      <c r="I23" s="775"/>
    </row>
    <row r="24" spans="1:20" ht="15.9" customHeight="1">
      <c r="A24" s="114">
        <f>+A23+1</f>
        <v>16</v>
      </c>
      <c r="B24" s="323" t="s">
        <v>318</v>
      </c>
      <c r="C24" s="112" t="s">
        <v>5</v>
      </c>
      <c r="D24" s="272">
        <f>'KLCT VSM +PQCD'!V164*1</f>
        <v>741.7</v>
      </c>
      <c r="F24" s="11">
        <v>1</v>
      </c>
      <c r="I24" s="775"/>
    </row>
    <row r="25" spans="1:20" ht="15.9" customHeight="1">
      <c r="A25" s="114">
        <f>+A24+1</f>
        <v>17</v>
      </c>
      <c r="B25" s="323" t="s">
        <v>319</v>
      </c>
      <c r="C25" s="114" t="s">
        <v>34</v>
      </c>
      <c r="D25" s="272">
        <f>'KLCT VSM +PQCD'!I164/100</f>
        <v>11.49</v>
      </c>
      <c r="F25" s="11">
        <v>1</v>
      </c>
      <c r="I25" s="775"/>
    </row>
    <row r="26" spans="1:20" ht="23.25" customHeight="1">
      <c r="A26" s="318"/>
      <c r="B26" s="319" t="s">
        <v>380</v>
      </c>
      <c r="C26" s="328"/>
      <c r="D26" s="272"/>
      <c r="E26" s="329"/>
      <c r="I26" s="329"/>
      <c r="J26" s="329"/>
      <c r="K26" s="329"/>
      <c r="L26" s="329"/>
      <c r="M26" s="329"/>
      <c r="N26" s="329"/>
      <c r="O26" s="329"/>
      <c r="P26" s="329"/>
      <c r="Q26" s="329"/>
      <c r="R26" s="329"/>
      <c r="S26" s="329"/>
      <c r="T26" s="329"/>
    </row>
    <row r="27" spans="1:20" ht="19.5" customHeight="1">
      <c r="A27" s="318"/>
      <c r="B27" s="319" t="s">
        <v>337</v>
      </c>
      <c r="C27" s="328"/>
      <c r="D27" s="272"/>
      <c r="E27" s="329"/>
      <c r="I27" s="329"/>
      <c r="J27" s="329"/>
      <c r="K27" s="329"/>
      <c r="L27" s="329"/>
      <c r="M27" s="329"/>
      <c r="N27" s="329"/>
      <c r="O27" s="329"/>
      <c r="P27" s="329"/>
      <c r="Q27" s="329"/>
      <c r="R27" s="329"/>
      <c r="S27" s="329"/>
      <c r="T27" s="329"/>
    </row>
    <row r="28" spans="1:20" ht="15.9" customHeight="1">
      <c r="A28" s="114">
        <v>18</v>
      </c>
      <c r="B28" s="330" t="s">
        <v>321</v>
      </c>
      <c r="C28" s="112" t="s">
        <v>334</v>
      </c>
      <c r="D28" s="272">
        <f>'số lượng cầu'!D163</f>
        <v>11</v>
      </c>
      <c r="F28" s="11">
        <v>1</v>
      </c>
      <c r="I28" s="775"/>
    </row>
    <row r="29" spans="1:20" ht="15.9" customHeight="1">
      <c r="A29" s="114">
        <f>+A28+1</f>
        <v>19</v>
      </c>
      <c r="B29" s="327" t="s">
        <v>322</v>
      </c>
      <c r="C29" s="112" t="s">
        <v>334</v>
      </c>
      <c r="D29" s="272">
        <f>'số lượng cầu'!D164</f>
        <v>11</v>
      </c>
      <c r="I29" s="775"/>
    </row>
    <row r="30" spans="1:20" ht="15.9" customHeight="1">
      <c r="A30" s="114">
        <f>+A29+1</f>
        <v>20</v>
      </c>
      <c r="B30" s="327" t="s">
        <v>323</v>
      </c>
      <c r="C30" s="112" t="s">
        <v>334</v>
      </c>
      <c r="D30" s="272">
        <f>'số lượng cầu'!D164</f>
        <v>11</v>
      </c>
      <c r="I30" s="775"/>
    </row>
    <row r="31" spans="1:20" ht="19.5" customHeight="1">
      <c r="A31" s="351"/>
      <c r="B31" s="319" t="s">
        <v>338</v>
      </c>
      <c r="C31" s="328"/>
      <c r="D31" s="272"/>
      <c r="I31" s="775"/>
    </row>
    <row r="32" spans="1:20" ht="15.9" customHeight="1">
      <c r="A32" s="114">
        <v>21</v>
      </c>
      <c r="B32" s="330" t="s">
        <v>321</v>
      </c>
      <c r="C32" s="112" t="s">
        <v>334</v>
      </c>
      <c r="D32" s="272">
        <f>'số lượng cầu'!E163</f>
        <v>5</v>
      </c>
      <c r="F32" s="11">
        <v>1</v>
      </c>
      <c r="I32" s="775"/>
    </row>
    <row r="33" spans="1:9" ht="15.9" customHeight="1">
      <c r="A33" s="114">
        <f>+A32+1</f>
        <v>22</v>
      </c>
      <c r="B33" s="327" t="s">
        <v>322</v>
      </c>
      <c r="C33" s="112" t="s">
        <v>334</v>
      </c>
      <c r="D33" s="272">
        <f>'số lượng cầu'!E164</f>
        <v>5</v>
      </c>
      <c r="I33" s="775"/>
    </row>
    <row r="34" spans="1:9" ht="15.9" customHeight="1">
      <c r="A34" s="337">
        <f>+A33+1</f>
        <v>23</v>
      </c>
      <c r="B34" s="331" t="s">
        <v>323</v>
      </c>
      <c r="C34" s="332" t="s">
        <v>334</v>
      </c>
      <c r="D34" s="333">
        <f>'số lượng cầu'!E164</f>
        <v>5</v>
      </c>
      <c r="I34" s="775"/>
    </row>
    <row r="35" spans="1:9" ht="22.5" customHeight="1">
      <c r="A35" s="352" t="s">
        <v>335</v>
      </c>
      <c r="B35" s="334" t="s">
        <v>484</v>
      </c>
      <c r="C35" s="334"/>
      <c r="D35" s="335"/>
    </row>
    <row r="36" spans="1:9" ht="19.5" customHeight="1">
      <c r="A36" s="318"/>
      <c r="B36" s="319" t="s">
        <v>379</v>
      </c>
      <c r="C36" s="114"/>
      <c r="D36" s="272"/>
    </row>
    <row r="37" spans="1:9" ht="15.9" customHeight="1">
      <c r="A37" s="114">
        <v>1</v>
      </c>
      <c r="B37" s="113" t="s">
        <v>307</v>
      </c>
      <c r="C37" s="114" t="s">
        <v>309</v>
      </c>
      <c r="D37" s="272">
        <f>THCĐ!H6</f>
        <v>31.73638</v>
      </c>
    </row>
    <row r="38" spans="1:9" ht="15.9" customHeight="1">
      <c r="A38" s="114">
        <f>+A37+1</f>
        <v>2</v>
      </c>
      <c r="B38" s="113" t="s">
        <v>308</v>
      </c>
      <c r="C38" s="114" t="s">
        <v>454</v>
      </c>
      <c r="D38" s="272">
        <v>12</v>
      </c>
    </row>
    <row r="39" spans="1:9" ht="30" customHeight="1">
      <c r="A39" s="114">
        <f t="shared" ref="A39:A49" si="1">+A38+1</f>
        <v>3</v>
      </c>
      <c r="B39" s="113" t="s">
        <v>336</v>
      </c>
      <c r="C39" s="114" t="s">
        <v>453</v>
      </c>
      <c r="D39" s="272">
        <f>D37*1</f>
        <v>31.73638</v>
      </c>
      <c r="F39" s="11">
        <v>1</v>
      </c>
    </row>
    <row r="40" spans="1:9" ht="15.9" customHeight="1">
      <c r="A40" s="114">
        <f t="shared" si="1"/>
        <v>4</v>
      </c>
      <c r="B40" s="320" t="s">
        <v>315</v>
      </c>
      <c r="C40" s="114" t="s">
        <v>328</v>
      </c>
      <c r="D40" s="272">
        <f>D37/40</f>
        <v>0.79340949999999999</v>
      </c>
    </row>
    <row r="41" spans="1:9" ht="15.9" customHeight="1">
      <c r="A41" s="114">
        <f t="shared" si="1"/>
        <v>5</v>
      </c>
      <c r="B41" s="321" t="s">
        <v>311</v>
      </c>
      <c r="C41" s="112" t="s">
        <v>309</v>
      </c>
      <c r="D41" s="272">
        <f>D37</f>
        <v>31.73638</v>
      </c>
    </row>
    <row r="42" spans="1:9" ht="15.9" customHeight="1">
      <c r="A42" s="114">
        <f t="shared" si="1"/>
        <v>6</v>
      </c>
      <c r="B42" s="322" t="s">
        <v>310</v>
      </c>
      <c r="C42" s="114" t="s">
        <v>453</v>
      </c>
      <c r="D42" s="272">
        <f>D37</f>
        <v>31.73638</v>
      </c>
      <c r="F42" s="11">
        <v>1</v>
      </c>
    </row>
    <row r="43" spans="1:9" ht="15.9" customHeight="1">
      <c r="A43" s="114">
        <f t="shared" si="1"/>
        <v>7</v>
      </c>
      <c r="B43" s="321" t="s">
        <v>312</v>
      </c>
      <c r="C43" s="112" t="s">
        <v>453</v>
      </c>
      <c r="D43" s="272">
        <f>D37*1</f>
        <v>31.73638</v>
      </c>
      <c r="E43" s="341"/>
      <c r="F43" s="11">
        <v>1</v>
      </c>
    </row>
    <row r="44" spans="1:9" ht="15.9" customHeight="1">
      <c r="A44" s="114">
        <f t="shared" si="1"/>
        <v>8</v>
      </c>
      <c r="B44" s="321" t="s">
        <v>330</v>
      </c>
      <c r="C44" s="112" t="s">
        <v>331</v>
      </c>
      <c r="D44" s="272">
        <f>'coc tiêu,km, biển báo'!C4*5/100</f>
        <v>58.1</v>
      </c>
    </row>
    <row r="45" spans="1:9" ht="15.9" customHeight="1">
      <c r="A45" s="114">
        <f t="shared" si="1"/>
        <v>9</v>
      </c>
      <c r="B45" s="323" t="s">
        <v>313</v>
      </c>
      <c r="C45" s="112" t="s">
        <v>332</v>
      </c>
      <c r="D45" s="272">
        <f>'coc tiêu,km, biển báo'!D4*2/100</f>
        <v>0.64</v>
      </c>
    </row>
    <row r="46" spans="1:9" ht="15.9" customHeight="1">
      <c r="A46" s="114">
        <f t="shared" si="1"/>
        <v>10</v>
      </c>
      <c r="B46" s="321" t="s">
        <v>314</v>
      </c>
      <c r="C46" s="112" t="s">
        <v>332</v>
      </c>
      <c r="D46" s="272">
        <f>'coc tiêu,km, biển báo'!E4*2/100</f>
        <v>5.94</v>
      </c>
    </row>
    <row r="47" spans="1:9" ht="15.9" customHeight="1">
      <c r="A47" s="114">
        <f t="shared" si="1"/>
        <v>11</v>
      </c>
      <c r="B47" s="321" t="s">
        <v>509</v>
      </c>
      <c r="C47" s="112" t="s">
        <v>510</v>
      </c>
      <c r="D47" s="272">
        <f>D37*1000*2/100</f>
        <v>634.72760000000005</v>
      </c>
    </row>
    <row r="48" spans="1:9" ht="15.9" customHeight="1">
      <c r="A48" s="114">
        <f t="shared" si="1"/>
        <v>12</v>
      </c>
      <c r="B48" s="321" t="s">
        <v>512</v>
      </c>
      <c r="C48" s="112" t="s">
        <v>513</v>
      </c>
      <c r="D48" s="272">
        <f>D37*1</f>
        <v>31.73638</v>
      </c>
      <c r="F48" s="11">
        <v>1</v>
      </c>
    </row>
    <row r="49" spans="1:10" ht="15.9" customHeight="1">
      <c r="A49" s="114">
        <f t="shared" si="1"/>
        <v>13</v>
      </c>
      <c r="B49" s="321" t="s">
        <v>515</v>
      </c>
      <c r="C49" s="112" t="s">
        <v>5</v>
      </c>
      <c r="D49" s="272">
        <f>'Mặt biển phàn quang 1'!D6</f>
        <v>120.38500000000001</v>
      </c>
      <c r="F49" s="11">
        <v>1</v>
      </c>
    </row>
    <row r="50" spans="1:10" ht="19.5" customHeight="1">
      <c r="A50" s="318"/>
      <c r="B50" s="324" t="s">
        <v>382</v>
      </c>
      <c r="C50" s="325"/>
      <c r="D50" s="272"/>
      <c r="J50" s="312"/>
    </row>
    <row r="51" spans="1:10" ht="15.9" customHeight="1">
      <c r="A51" s="114">
        <v>14</v>
      </c>
      <c r="B51" s="327" t="s">
        <v>316</v>
      </c>
      <c r="C51" s="112" t="s">
        <v>455</v>
      </c>
      <c r="D51" s="272">
        <f>'KLCT MC+KCG'!E124/10</f>
        <v>547.06099999999992</v>
      </c>
      <c r="F51" s="11">
        <v>1</v>
      </c>
    </row>
    <row r="52" spans="1:10" ht="15.9" customHeight="1">
      <c r="A52" s="114">
        <f>+A51+1</f>
        <v>15</v>
      </c>
      <c r="B52" s="321" t="s">
        <v>317</v>
      </c>
      <c r="C52" s="112" t="s">
        <v>333</v>
      </c>
      <c r="D52" s="272">
        <f>'KLCT MC+KCG'!H124</f>
        <v>428</v>
      </c>
    </row>
    <row r="53" spans="1:10" ht="15.9" customHeight="1">
      <c r="A53" s="114">
        <f>+A52+1</f>
        <v>16</v>
      </c>
      <c r="B53" s="323" t="s">
        <v>318</v>
      </c>
      <c r="C53" s="112" t="s">
        <v>5</v>
      </c>
      <c r="D53" s="272">
        <f>'KLCT VSM +PQCD'!V125*1</f>
        <v>446.6</v>
      </c>
      <c r="F53" s="11">
        <v>1</v>
      </c>
    </row>
    <row r="54" spans="1:10" ht="15.9" customHeight="1">
      <c r="A54" s="114">
        <f>+A53+1</f>
        <v>17</v>
      </c>
      <c r="B54" s="323" t="s">
        <v>319</v>
      </c>
      <c r="C54" s="114" t="s">
        <v>34</v>
      </c>
      <c r="D54" s="272">
        <f>'KLCT VSM +PQCD'!I125/100</f>
        <v>7.54</v>
      </c>
      <c r="F54" s="11">
        <v>1</v>
      </c>
    </row>
    <row r="55" spans="1:10" ht="18.75" customHeight="1">
      <c r="A55" s="318"/>
      <c r="B55" s="319" t="s">
        <v>381</v>
      </c>
      <c r="C55" s="328"/>
      <c r="D55" s="272"/>
      <c r="J55" s="329"/>
    </row>
    <row r="56" spans="1:10" ht="19.5" customHeight="1">
      <c r="A56" s="318"/>
      <c r="B56" s="319" t="s">
        <v>337</v>
      </c>
      <c r="C56" s="328"/>
      <c r="D56" s="272"/>
      <c r="J56" s="329"/>
    </row>
    <row r="57" spans="1:10" ht="15.9" customHeight="1">
      <c r="A57" s="114">
        <v>18</v>
      </c>
      <c r="B57" s="330" t="s">
        <v>321</v>
      </c>
      <c r="C57" s="112" t="s">
        <v>334</v>
      </c>
      <c r="D57" s="272">
        <f>'số lượng cầu'!D125</f>
        <v>10</v>
      </c>
      <c r="F57" s="11">
        <v>1</v>
      </c>
    </row>
    <row r="58" spans="1:10" ht="15.9" customHeight="1">
      <c r="A58" s="114">
        <f>+A57+1</f>
        <v>19</v>
      </c>
      <c r="B58" s="327" t="s">
        <v>322</v>
      </c>
      <c r="C58" s="112" t="s">
        <v>334</v>
      </c>
      <c r="D58" s="272">
        <f>'số lượng cầu'!D125</f>
        <v>10</v>
      </c>
    </row>
    <row r="59" spans="1:10" ht="15.9" customHeight="1">
      <c r="A59" s="114">
        <f>+A58+1</f>
        <v>20</v>
      </c>
      <c r="B59" s="327" t="s">
        <v>323</v>
      </c>
      <c r="C59" s="112" t="s">
        <v>334</v>
      </c>
      <c r="D59" s="272">
        <f>'số lượng cầu'!D125</f>
        <v>10</v>
      </c>
    </row>
    <row r="60" spans="1:10" ht="18.75" customHeight="1">
      <c r="A60" s="114"/>
      <c r="B60" s="319" t="s">
        <v>338</v>
      </c>
      <c r="C60" s="328"/>
      <c r="D60" s="272"/>
    </row>
    <row r="61" spans="1:10" ht="15.9" customHeight="1">
      <c r="A61" s="114">
        <v>21</v>
      </c>
      <c r="B61" s="330" t="s">
        <v>321</v>
      </c>
      <c r="C61" s="112" t="s">
        <v>334</v>
      </c>
      <c r="D61" s="272">
        <f>'số lượng cầu'!E125</f>
        <v>8</v>
      </c>
      <c r="F61" s="11">
        <v>1</v>
      </c>
    </row>
    <row r="62" spans="1:10" ht="15.9" customHeight="1">
      <c r="A62" s="114">
        <f t="shared" ref="A62:A67" si="2">+A61+1</f>
        <v>22</v>
      </c>
      <c r="B62" s="327" t="s">
        <v>322</v>
      </c>
      <c r="C62" s="112" t="s">
        <v>334</v>
      </c>
      <c r="D62" s="272">
        <f>'số lượng cầu'!E125</f>
        <v>8</v>
      </c>
    </row>
    <row r="63" spans="1:10" ht="15.9" customHeight="1">
      <c r="A63" s="114">
        <f t="shared" si="2"/>
        <v>23</v>
      </c>
      <c r="B63" s="327" t="s">
        <v>323</v>
      </c>
      <c r="C63" s="112" t="s">
        <v>334</v>
      </c>
      <c r="D63" s="272">
        <f>'số lượng cầu'!E125</f>
        <v>8</v>
      </c>
    </row>
    <row r="64" spans="1:10" ht="18.75" customHeight="1">
      <c r="A64" s="114"/>
      <c r="B64" s="319" t="s">
        <v>339</v>
      </c>
      <c r="C64" s="328"/>
      <c r="D64" s="272"/>
    </row>
    <row r="65" spans="1:6" ht="15.9" customHeight="1">
      <c r="A65" s="114">
        <v>24</v>
      </c>
      <c r="B65" s="330" t="s">
        <v>321</v>
      </c>
      <c r="C65" s="112" t="s">
        <v>334</v>
      </c>
      <c r="D65" s="272">
        <f>'số lượng cầu'!F125</f>
        <v>1</v>
      </c>
      <c r="F65" s="11">
        <v>1</v>
      </c>
    </row>
    <row r="66" spans="1:6" ht="15.9" customHeight="1">
      <c r="A66" s="114">
        <f t="shared" si="2"/>
        <v>25</v>
      </c>
      <c r="B66" s="327" t="s">
        <v>322</v>
      </c>
      <c r="C66" s="112" t="s">
        <v>334</v>
      </c>
      <c r="D66" s="272">
        <f>'số lượng cầu'!F125</f>
        <v>1</v>
      </c>
    </row>
    <row r="67" spans="1:6" ht="15.9" customHeight="1">
      <c r="A67" s="337">
        <f t="shared" si="2"/>
        <v>26</v>
      </c>
      <c r="B67" s="331" t="s">
        <v>323</v>
      </c>
      <c r="C67" s="332" t="s">
        <v>334</v>
      </c>
      <c r="D67" s="333">
        <f>'số lượng cầu'!F125</f>
        <v>1</v>
      </c>
    </row>
    <row r="68" spans="1:6" ht="20.25" customHeight="1">
      <c r="A68" s="353" t="s">
        <v>320</v>
      </c>
      <c r="B68" s="334" t="s">
        <v>485</v>
      </c>
      <c r="C68" s="334"/>
      <c r="D68" s="335"/>
    </row>
    <row r="69" spans="1:6" ht="20.25" customHeight="1">
      <c r="A69" s="318"/>
      <c r="B69" s="319" t="s">
        <v>379</v>
      </c>
      <c r="C69" s="114"/>
      <c r="D69" s="272"/>
    </row>
    <row r="70" spans="1:6" ht="15.9" customHeight="1">
      <c r="A70" s="114">
        <v>1</v>
      </c>
      <c r="B70" s="113" t="s">
        <v>307</v>
      </c>
      <c r="C70" s="114" t="s">
        <v>309</v>
      </c>
      <c r="D70" s="272">
        <f>THCĐ!H7</f>
        <v>12.736360000000001</v>
      </c>
    </row>
    <row r="71" spans="1:6" ht="15.9" customHeight="1">
      <c r="A71" s="114">
        <f>+A70+1</f>
        <v>2</v>
      </c>
      <c r="B71" s="113" t="s">
        <v>308</v>
      </c>
      <c r="C71" s="114" t="s">
        <v>508</v>
      </c>
      <c r="D71" s="272">
        <v>12</v>
      </c>
    </row>
    <row r="72" spans="1:6" ht="30.75" customHeight="1">
      <c r="A72" s="114">
        <f t="shared" ref="A72:A96" si="3">+A71+1</f>
        <v>3</v>
      </c>
      <c r="B72" s="113" t="s">
        <v>336</v>
      </c>
      <c r="C72" s="114" t="s">
        <v>453</v>
      </c>
      <c r="D72" s="272">
        <f>D70*1</f>
        <v>12.736360000000001</v>
      </c>
      <c r="F72" s="11">
        <v>1</v>
      </c>
    </row>
    <row r="73" spans="1:6" ht="15.9" customHeight="1">
      <c r="A73" s="114">
        <f t="shared" si="3"/>
        <v>4</v>
      </c>
      <c r="B73" s="320" t="s">
        <v>315</v>
      </c>
      <c r="C73" s="114" t="s">
        <v>328</v>
      </c>
      <c r="D73" s="272">
        <f>D70/40</f>
        <v>0.31840900000000005</v>
      </c>
    </row>
    <row r="74" spans="1:6" ht="15.9" customHeight="1">
      <c r="A74" s="114">
        <f t="shared" si="3"/>
        <v>5</v>
      </c>
      <c r="B74" s="321" t="s">
        <v>311</v>
      </c>
      <c r="C74" s="112" t="s">
        <v>309</v>
      </c>
      <c r="D74" s="272">
        <f>D70</f>
        <v>12.736360000000001</v>
      </c>
    </row>
    <row r="75" spans="1:6" ht="15.9" customHeight="1">
      <c r="A75" s="114">
        <f t="shared" si="3"/>
        <v>6</v>
      </c>
      <c r="B75" s="322" t="s">
        <v>310</v>
      </c>
      <c r="C75" s="112" t="s">
        <v>453</v>
      </c>
      <c r="D75" s="272">
        <f>D70</f>
        <v>12.736360000000001</v>
      </c>
      <c r="F75" s="11">
        <v>1</v>
      </c>
    </row>
    <row r="76" spans="1:6" ht="15.9" customHeight="1">
      <c r="A76" s="114">
        <f t="shared" si="3"/>
        <v>7</v>
      </c>
      <c r="B76" s="321" t="s">
        <v>312</v>
      </c>
      <c r="C76" s="112" t="s">
        <v>453</v>
      </c>
      <c r="D76" s="272">
        <f>D70*1</f>
        <v>12.736360000000001</v>
      </c>
      <c r="E76" s="341"/>
      <c r="F76" s="11">
        <v>1</v>
      </c>
    </row>
    <row r="77" spans="1:6" ht="15.9" customHeight="1">
      <c r="A77" s="114">
        <f t="shared" si="3"/>
        <v>8</v>
      </c>
      <c r="B77" s="321" t="s">
        <v>330</v>
      </c>
      <c r="C77" s="112" t="s">
        <v>331</v>
      </c>
      <c r="D77" s="272">
        <f>'coc tiêu,km, biển báo'!C5*5/100</f>
        <v>16.600000000000001</v>
      </c>
    </row>
    <row r="78" spans="1:6" ht="15.9" customHeight="1">
      <c r="A78" s="114">
        <f t="shared" si="3"/>
        <v>9</v>
      </c>
      <c r="B78" s="323" t="s">
        <v>313</v>
      </c>
      <c r="C78" s="112" t="s">
        <v>332</v>
      </c>
      <c r="D78" s="272">
        <f>'coc tiêu,km, biển báo'!D5*2/100</f>
        <v>0.3</v>
      </c>
    </row>
    <row r="79" spans="1:6" ht="15.9" customHeight="1">
      <c r="A79" s="114">
        <f t="shared" si="3"/>
        <v>10</v>
      </c>
      <c r="B79" s="321" t="s">
        <v>314</v>
      </c>
      <c r="C79" s="112" t="s">
        <v>332</v>
      </c>
      <c r="D79" s="272">
        <f>'coc tiêu,km, biển báo'!E5*2/100</f>
        <v>2.2999999999999998</v>
      </c>
    </row>
    <row r="80" spans="1:6" ht="15.9" customHeight="1">
      <c r="A80" s="114">
        <f t="shared" si="3"/>
        <v>11</v>
      </c>
      <c r="B80" s="321" t="s">
        <v>509</v>
      </c>
      <c r="C80" s="112" t="s">
        <v>510</v>
      </c>
      <c r="D80" s="272">
        <f>D70*1000*2/100</f>
        <v>254.72720000000001</v>
      </c>
    </row>
    <row r="81" spans="1:12" ht="15.9" customHeight="1">
      <c r="A81" s="114">
        <f t="shared" si="3"/>
        <v>12</v>
      </c>
      <c r="B81" s="321" t="s">
        <v>512</v>
      </c>
      <c r="C81" s="112" t="s">
        <v>513</v>
      </c>
      <c r="D81" s="272">
        <f>D70*1</f>
        <v>12.736360000000001</v>
      </c>
      <c r="F81" s="11">
        <v>1</v>
      </c>
    </row>
    <row r="82" spans="1:12" ht="15.9" customHeight="1">
      <c r="A82" s="114">
        <f t="shared" si="3"/>
        <v>13</v>
      </c>
      <c r="B82" s="321" t="s">
        <v>515</v>
      </c>
      <c r="C82" s="112" t="s">
        <v>5</v>
      </c>
      <c r="D82" s="272">
        <f>'Mặt biển phàn quang 1'!D7</f>
        <v>59.47</v>
      </c>
      <c r="F82" s="11">
        <v>1</v>
      </c>
    </row>
    <row r="83" spans="1:12" ht="20.25" customHeight="1">
      <c r="A83" s="114"/>
      <c r="B83" s="324" t="s">
        <v>382</v>
      </c>
      <c r="C83" s="325"/>
      <c r="D83" s="272"/>
      <c r="J83" s="312"/>
    </row>
    <row r="84" spans="1:12" ht="15.9" customHeight="1">
      <c r="A84" s="114">
        <v>14</v>
      </c>
      <c r="B84" s="327" t="s">
        <v>316</v>
      </c>
      <c r="C84" s="112" t="s">
        <v>455</v>
      </c>
      <c r="D84" s="272">
        <f>'KLCT MC+KCG'!E48/10</f>
        <v>78.655999999999992</v>
      </c>
      <c r="F84" s="11">
        <v>1</v>
      </c>
    </row>
    <row r="85" spans="1:12" ht="15.9" customHeight="1">
      <c r="A85" s="114">
        <f t="shared" si="3"/>
        <v>15</v>
      </c>
      <c r="B85" s="321" t="s">
        <v>317</v>
      </c>
      <c r="C85" s="112" t="s">
        <v>333</v>
      </c>
      <c r="D85" s="272">
        <f>'KLCT MC+KCG'!H48</f>
        <v>60</v>
      </c>
    </row>
    <row r="86" spans="1:12" ht="15.9" customHeight="1">
      <c r="A86" s="114">
        <f t="shared" si="3"/>
        <v>16</v>
      </c>
      <c r="B86" s="323" t="s">
        <v>318</v>
      </c>
      <c r="C86" s="112" t="s">
        <v>5</v>
      </c>
      <c r="D86" s="272">
        <f>'KLCT VSM +PQCD'!V49*1</f>
        <v>90.5</v>
      </c>
      <c r="F86" s="11">
        <v>1</v>
      </c>
    </row>
    <row r="87" spans="1:12" ht="15.9" customHeight="1">
      <c r="A87" s="114">
        <f t="shared" si="3"/>
        <v>17</v>
      </c>
      <c r="B87" s="323" t="s">
        <v>319</v>
      </c>
      <c r="C87" s="114" t="s">
        <v>34</v>
      </c>
      <c r="D87" s="272">
        <f>'KLCT VSM +PQCD'!I49/100</f>
        <v>1.04</v>
      </c>
      <c r="F87" s="11">
        <v>1</v>
      </c>
    </row>
    <row r="88" spans="1:12" ht="17.25" customHeight="1">
      <c r="A88" s="114"/>
      <c r="B88" s="319" t="s">
        <v>381</v>
      </c>
      <c r="C88" s="328"/>
      <c r="D88" s="272"/>
      <c r="J88" s="329"/>
    </row>
    <row r="89" spans="1:12" ht="19.5" customHeight="1">
      <c r="A89" s="114"/>
      <c r="B89" s="319" t="s">
        <v>337</v>
      </c>
      <c r="C89" s="328"/>
      <c r="D89" s="272"/>
      <c r="J89" s="329"/>
    </row>
    <row r="90" spans="1:12" ht="15.9" customHeight="1">
      <c r="A90" s="114">
        <v>18</v>
      </c>
      <c r="B90" s="330" t="s">
        <v>321</v>
      </c>
      <c r="C90" s="112" t="s">
        <v>334</v>
      </c>
      <c r="D90" s="272">
        <f>'số lượng cầu'!D49</f>
        <v>1</v>
      </c>
      <c r="F90" s="11">
        <v>1</v>
      </c>
    </row>
    <row r="91" spans="1:12" ht="15.9" customHeight="1">
      <c r="A91" s="114">
        <f t="shared" si="3"/>
        <v>19</v>
      </c>
      <c r="B91" s="327" t="s">
        <v>322</v>
      </c>
      <c r="C91" s="112" t="s">
        <v>334</v>
      </c>
      <c r="D91" s="272">
        <f>'số lượng cầu'!D49</f>
        <v>1</v>
      </c>
    </row>
    <row r="92" spans="1:12" ht="15.9" customHeight="1">
      <c r="A92" s="114">
        <f t="shared" si="3"/>
        <v>20</v>
      </c>
      <c r="B92" s="327" t="s">
        <v>323</v>
      </c>
      <c r="C92" s="112" t="s">
        <v>334</v>
      </c>
      <c r="D92" s="272">
        <f>'số lượng cầu'!D49</f>
        <v>1</v>
      </c>
      <c r="E92" s="336"/>
      <c r="I92" s="336"/>
      <c r="K92" s="336"/>
      <c r="L92" s="336"/>
    </row>
    <row r="93" spans="1:12" ht="15.9" customHeight="1">
      <c r="A93" s="114"/>
      <c r="B93" s="319" t="s">
        <v>338</v>
      </c>
      <c r="C93" s="328"/>
      <c r="D93" s="272"/>
    </row>
    <row r="94" spans="1:12" ht="15.9" customHeight="1">
      <c r="A94" s="114">
        <v>21</v>
      </c>
      <c r="B94" s="330" t="s">
        <v>321</v>
      </c>
      <c r="C94" s="112" t="s">
        <v>334</v>
      </c>
      <c r="D94" s="272">
        <f>'số lượng cầu'!E49</f>
        <v>2</v>
      </c>
      <c r="F94" s="11">
        <v>1</v>
      </c>
    </row>
    <row r="95" spans="1:12" ht="15.9" customHeight="1">
      <c r="A95" s="114">
        <f t="shared" si="3"/>
        <v>22</v>
      </c>
      <c r="B95" s="327" t="s">
        <v>322</v>
      </c>
      <c r="C95" s="112" t="s">
        <v>334</v>
      </c>
      <c r="D95" s="272">
        <f>'số lượng cầu'!E49</f>
        <v>2</v>
      </c>
    </row>
    <row r="96" spans="1:12" ht="15.9" customHeight="1">
      <c r="A96" s="337">
        <f t="shared" si="3"/>
        <v>23</v>
      </c>
      <c r="B96" s="331" t="s">
        <v>323</v>
      </c>
      <c r="C96" s="332" t="s">
        <v>334</v>
      </c>
      <c r="D96" s="333">
        <f>'số lượng cầu'!E49</f>
        <v>2</v>
      </c>
    </row>
    <row r="97" spans="1:10" ht="24.75" customHeight="1">
      <c r="A97" s="353" t="s">
        <v>346</v>
      </c>
      <c r="B97" s="334" t="s">
        <v>486</v>
      </c>
      <c r="C97" s="334"/>
      <c r="D97" s="335"/>
    </row>
    <row r="98" spans="1:10" ht="19.5" customHeight="1">
      <c r="A98" s="318"/>
      <c r="B98" s="319" t="s">
        <v>379</v>
      </c>
      <c r="C98" s="114"/>
      <c r="D98" s="272"/>
    </row>
    <row r="99" spans="1:10" ht="15.9" customHeight="1">
      <c r="A99" s="114">
        <v>1</v>
      </c>
      <c r="B99" s="113" t="s">
        <v>307</v>
      </c>
      <c r="C99" s="114" t="s">
        <v>309</v>
      </c>
      <c r="D99" s="272">
        <f>THCĐ!H8</f>
        <v>26.206</v>
      </c>
    </row>
    <row r="100" spans="1:10" ht="15.9" customHeight="1">
      <c r="A100" s="114">
        <f>+A99+1</f>
        <v>2</v>
      </c>
      <c r="B100" s="113" t="s">
        <v>308</v>
      </c>
      <c r="C100" s="114" t="s">
        <v>456</v>
      </c>
      <c r="D100" s="272">
        <v>12</v>
      </c>
    </row>
    <row r="101" spans="1:10" ht="30" customHeight="1">
      <c r="A101" s="114">
        <f t="shared" ref="A101:A129" si="4">+A100+1</f>
        <v>3</v>
      </c>
      <c r="B101" s="113" t="s">
        <v>336</v>
      </c>
      <c r="C101" s="114" t="s">
        <v>453</v>
      </c>
      <c r="D101" s="272">
        <f>D99*1</f>
        <v>26.206</v>
      </c>
      <c r="F101" s="11">
        <v>1</v>
      </c>
    </row>
    <row r="102" spans="1:10" ht="15.9" customHeight="1">
      <c r="A102" s="114">
        <f t="shared" si="4"/>
        <v>4</v>
      </c>
      <c r="B102" s="320" t="s">
        <v>315</v>
      </c>
      <c r="C102" s="114" t="s">
        <v>328</v>
      </c>
      <c r="D102" s="272">
        <f>D99/40</f>
        <v>0.65515000000000001</v>
      </c>
    </row>
    <row r="103" spans="1:10" ht="15.9" customHeight="1">
      <c r="A103" s="114">
        <f t="shared" si="4"/>
        <v>5</v>
      </c>
      <c r="B103" s="321" t="s">
        <v>311</v>
      </c>
      <c r="C103" s="112" t="s">
        <v>309</v>
      </c>
      <c r="D103" s="272">
        <f>D99</f>
        <v>26.206</v>
      </c>
    </row>
    <row r="104" spans="1:10" ht="15.9" customHeight="1">
      <c r="A104" s="114">
        <f t="shared" si="4"/>
        <v>6</v>
      </c>
      <c r="B104" s="322" t="s">
        <v>310</v>
      </c>
      <c r="C104" s="114" t="s">
        <v>453</v>
      </c>
      <c r="D104" s="272">
        <f>D99</f>
        <v>26.206</v>
      </c>
      <c r="F104" s="11">
        <v>1</v>
      </c>
    </row>
    <row r="105" spans="1:10" ht="15.9" customHeight="1">
      <c r="A105" s="114">
        <f t="shared" si="4"/>
        <v>7</v>
      </c>
      <c r="B105" s="321" t="s">
        <v>312</v>
      </c>
      <c r="C105" s="114" t="s">
        <v>453</v>
      </c>
      <c r="D105" s="272">
        <f>D99*1</f>
        <v>26.206</v>
      </c>
      <c r="F105" s="11">
        <v>1</v>
      </c>
    </row>
    <row r="106" spans="1:10" ht="15.9" customHeight="1">
      <c r="A106" s="114">
        <f t="shared" si="4"/>
        <v>8</v>
      </c>
      <c r="B106" s="321" t="s">
        <v>330</v>
      </c>
      <c r="C106" s="112" t="s">
        <v>331</v>
      </c>
      <c r="D106" s="272">
        <f>'coc tiêu,km, biển báo'!C6*5/100</f>
        <v>43.9</v>
      </c>
    </row>
    <row r="107" spans="1:10" ht="15.9" customHeight="1">
      <c r="A107" s="114">
        <f t="shared" si="4"/>
        <v>9</v>
      </c>
      <c r="B107" s="323" t="s">
        <v>313</v>
      </c>
      <c r="C107" s="112" t="s">
        <v>332</v>
      </c>
      <c r="D107" s="272">
        <f>'coc tiêu,km, biển báo'!D6*2/100</f>
        <v>0.52</v>
      </c>
    </row>
    <row r="108" spans="1:10" ht="15.9" customHeight="1">
      <c r="A108" s="114">
        <f t="shared" si="4"/>
        <v>10</v>
      </c>
      <c r="B108" s="321" t="s">
        <v>314</v>
      </c>
      <c r="C108" s="112" t="s">
        <v>332</v>
      </c>
      <c r="D108" s="272">
        <f>'coc tiêu,km, biển báo'!E6*2/100</f>
        <v>4.4800000000000004</v>
      </c>
    </row>
    <row r="109" spans="1:10" ht="15.9" customHeight="1">
      <c r="A109" s="114">
        <f t="shared" si="4"/>
        <v>11</v>
      </c>
      <c r="B109" s="321" t="s">
        <v>509</v>
      </c>
      <c r="C109" s="112" t="s">
        <v>510</v>
      </c>
      <c r="D109" s="272">
        <f>D99*1000*2/100</f>
        <v>524.12</v>
      </c>
    </row>
    <row r="110" spans="1:10" ht="15.9" customHeight="1">
      <c r="A110" s="114">
        <f t="shared" si="4"/>
        <v>12</v>
      </c>
      <c r="B110" s="321" t="s">
        <v>512</v>
      </c>
      <c r="C110" s="112" t="s">
        <v>513</v>
      </c>
      <c r="D110" s="272">
        <f>D99*1</f>
        <v>26.206</v>
      </c>
      <c r="F110" s="11">
        <v>1</v>
      </c>
    </row>
    <row r="111" spans="1:10" ht="15.9" customHeight="1">
      <c r="A111" s="114">
        <f t="shared" si="4"/>
        <v>13</v>
      </c>
      <c r="B111" s="321" t="s">
        <v>515</v>
      </c>
      <c r="C111" s="112" t="s">
        <v>5</v>
      </c>
      <c r="D111" s="272">
        <f>'Mặt biển phàn quang 1'!D8</f>
        <v>108.61</v>
      </c>
      <c r="F111" s="11">
        <v>1</v>
      </c>
    </row>
    <row r="112" spans="1:10" ht="20.25" customHeight="1">
      <c r="A112" s="114"/>
      <c r="B112" s="324" t="s">
        <v>382</v>
      </c>
      <c r="C112" s="325"/>
      <c r="D112" s="272"/>
      <c r="J112" s="312"/>
    </row>
    <row r="113" spans="1:10" ht="15.9" customHeight="1">
      <c r="A113" s="114">
        <v>14</v>
      </c>
      <c r="B113" s="327" t="s">
        <v>316</v>
      </c>
      <c r="C113" s="112" t="s">
        <v>455</v>
      </c>
      <c r="D113" s="272">
        <f>'KLCT MC+KCG'!E52/10</f>
        <v>436.03789999999998</v>
      </c>
      <c r="F113" s="11">
        <v>1</v>
      </c>
    </row>
    <row r="114" spans="1:10" ht="15.9" customHeight="1">
      <c r="A114" s="114">
        <f t="shared" si="4"/>
        <v>15</v>
      </c>
      <c r="B114" s="321" t="s">
        <v>317</v>
      </c>
      <c r="C114" s="112" t="s">
        <v>333</v>
      </c>
      <c r="D114" s="272">
        <f>'KLCT MC+KCG'!H52</f>
        <v>283.54000000000002</v>
      </c>
    </row>
    <row r="115" spans="1:10" ht="15.9" customHeight="1">
      <c r="A115" s="114">
        <f t="shared" si="4"/>
        <v>16</v>
      </c>
      <c r="B115" s="323" t="s">
        <v>318</v>
      </c>
      <c r="C115" s="112" t="s">
        <v>5</v>
      </c>
      <c r="D115" s="272">
        <f>'KLCT VSM +PQCD'!V53*1</f>
        <v>266.60000000000002</v>
      </c>
      <c r="F115" s="11">
        <v>1</v>
      </c>
    </row>
    <row r="116" spans="1:10" ht="15.9" customHeight="1">
      <c r="A116" s="114">
        <f t="shared" si="4"/>
        <v>17</v>
      </c>
      <c r="B116" s="323" t="s">
        <v>319</v>
      </c>
      <c r="C116" s="114" t="s">
        <v>34</v>
      </c>
      <c r="D116" s="272">
        <f>'KLCT VSM +PQCD'!I53/100</f>
        <v>3.9451000000000001</v>
      </c>
      <c r="F116" s="11">
        <v>1</v>
      </c>
    </row>
    <row r="117" spans="1:10" ht="23.25" customHeight="1">
      <c r="A117" s="114"/>
      <c r="B117" s="319" t="s">
        <v>381</v>
      </c>
      <c r="C117" s="328"/>
      <c r="D117" s="272"/>
      <c r="J117" s="329"/>
    </row>
    <row r="118" spans="1:10" ht="19.5" customHeight="1">
      <c r="A118" s="114"/>
      <c r="B118" s="319" t="s">
        <v>337</v>
      </c>
      <c r="C118" s="328"/>
      <c r="D118" s="272"/>
      <c r="J118" s="329"/>
    </row>
    <row r="119" spans="1:10" ht="15.9" customHeight="1">
      <c r="A119" s="114">
        <v>18</v>
      </c>
      <c r="B119" s="330" t="s">
        <v>321</v>
      </c>
      <c r="C119" s="112" t="s">
        <v>334</v>
      </c>
      <c r="D119" s="272">
        <f>'số lượng cầu'!D53</f>
        <v>4</v>
      </c>
      <c r="F119" s="11">
        <v>1</v>
      </c>
    </row>
    <row r="120" spans="1:10" ht="15.9" customHeight="1">
      <c r="A120" s="114">
        <f t="shared" si="4"/>
        <v>19</v>
      </c>
      <c r="B120" s="327" t="s">
        <v>322</v>
      </c>
      <c r="C120" s="112" t="s">
        <v>334</v>
      </c>
      <c r="D120" s="272">
        <f>'số lượng cầu'!D53</f>
        <v>4</v>
      </c>
    </row>
    <row r="121" spans="1:10" ht="15.9" customHeight="1">
      <c r="A121" s="114">
        <f t="shared" si="4"/>
        <v>20</v>
      </c>
      <c r="B121" s="327" t="s">
        <v>323</v>
      </c>
      <c r="C121" s="112" t="s">
        <v>334</v>
      </c>
      <c r="D121" s="272">
        <f>'số lượng cầu'!D53</f>
        <v>4</v>
      </c>
    </row>
    <row r="122" spans="1:10" ht="19.5" customHeight="1">
      <c r="A122" s="114"/>
      <c r="B122" s="319" t="s">
        <v>338</v>
      </c>
      <c r="C122" s="328"/>
      <c r="D122" s="272"/>
    </row>
    <row r="123" spans="1:10" ht="15.9" customHeight="1">
      <c r="A123" s="114">
        <v>21</v>
      </c>
      <c r="B123" s="330" t="s">
        <v>321</v>
      </c>
      <c r="C123" s="112" t="s">
        <v>334</v>
      </c>
      <c r="D123" s="272">
        <f>'số lượng cầu'!E53</f>
        <v>5</v>
      </c>
      <c r="F123" s="11">
        <v>1</v>
      </c>
    </row>
    <row r="124" spans="1:10" ht="15.9" customHeight="1">
      <c r="A124" s="114">
        <f t="shared" si="4"/>
        <v>22</v>
      </c>
      <c r="B124" s="327" t="s">
        <v>322</v>
      </c>
      <c r="C124" s="112" t="s">
        <v>334</v>
      </c>
      <c r="D124" s="272">
        <f>'số lượng cầu'!E53</f>
        <v>5</v>
      </c>
    </row>
    <row r="125" spans="1:10" ht="15.9" customHeight="1">
      <c r="A125" s="114">
        <f t="shared" si="4"/>
        <v>23</v>
      </c>
      <c r="B125" s="327" t="s">
        <v>323</v>
      </c>
      <c r="C125" s="112" t="s">
        <v>334</v>
      </c>
      <c r="D125" s="272">
        <f>'số lượng cầu'!E53</f>
        <v>5</v>
      </c>
    </row>
    <row r="126" spans="1:10" ht="20.25" customHeight="1">
      <c r="A126" s="114"/>
      <c r="B126" s="319" t="s">
        <v>339</v>
      </c>
      <c r="C126" s="328"/>
      <c r="D126" s="272"/>
    </row>
    <row r="127" spans="1:10" ht="15.9" customHeight="1">
      <c r="A127" s="114">
        <v>24</v>
      </c>
      <c r="B127" s="330" t="s">
        <v>321</v>
      </c>
      <c r="C127" s="112" t="s">
        <v>334</v>
      </c>
      <c r="D127" s="272">
        <f>'số lượng cầu'!F53</f>
        <v>1</v>
      </c>
      <c r="F127" s="11">
        <v>1</v>
      </c>
    </row>
    <row r="128" spans="1:10" ht="15.9" customHeight="1">
      <c r="A128" s="114">
        <f t="shared" si="4"/>
        <v>25</v>
      </c>
      <c r="B128" s="327" t="s">
        <v>322</v>
      </c>
      <c r="C128" s="112" t="s">
        <v>334</v>
      </c>
      <c r="D128" s="272">
        <f>'số lượng cầu'!F53</f>
        <v>1</v>
      </c>
    </row>
    <row r="129" spans="1:6" ht="15.9" customHeight="1">
      <c r="A129" s="337">
        <f t="shared" si="4"/>
        <v>26</v>
      </c>
      <c r="B129" s="331" t="s">
        <v>323</v>
      </c>
      <c r="C129" s="332" t="s">
        <v>334</v>
      </c>
      <c r="D129" s="333">
        <f>'số lượng cầu'!F53</f>
        <v>1</v>
      </c>
    </row>
    <row r="130" spans="1:6" ht="26.25" customHeight="1">
      <c r="A130" s="353" t="s">
        <v>347</v>
      </c>
      <c r="B130" s="334" t="s">
        <v>487</v>
      </c>
      <c r="C130" s="334"/>
      <c r="D130" s="335"/>
    </row>
    <row r="131" spans="1:6" ht="23.25" customHeight="1">
      <c r="A131" s="318"/>
      <c r="B131" s="319" t="s">
        <v>379</v>
      </c>
      <c r="C131" s="114"/>
      <c r="D131" s="272"/>
    </row>
    <row r="132" spans="1:6" ht="15.9" customHeight="1">
      <c r="A132" s="114">
        <v>1</v>
      </c>
      <c r="B132" s="113" t="s">
        <v>307</v>
      </c>
      <c r="C132" s="114" t="s">
        <v>309</v>
      </c>
      <c r="D132" s="272">
        <f>THCĐ!H9</f>
        <v>14.744960000000001</v>
      </c>
    </row>
    <row r="133" spans="1:6" ht="15.9" customHeight="1">
      <c r="A133" s="114">
        <f>+A132+1</f>
        <v>2</v>
      </c>
      <c r="B133" s="113" t="s">
        <v>308</v>
      </c>
      <c r="C133" s="114" t="s">
        <v>456</v>
      </c>
      <c r="D133" s="272">
        <v>12</v>
      </c>
    </row>
    <row r="134" spans="1:6" ht="30.75" customHeight="1">
      <c r="A134" s="114">
        <f t="shared" ref="A134:A158" si="5">+A133+1</f>
        <v>3</v>
      </c>
      <c r="B134" s="113" t="s">
        <v>336</v>
      </c>
      <c r="C134" s="114" t="s">
        <v>453</v>
      </c>
      <c r="D134" s="272">
        <f>D132*1</f>
        <v>14.744960000000001</v>
      </c>
      <c r="F134" s="11">
        <v>1</v>
      </c>
    </row>
    <row r="135" spans="1:6" ht="15.9" customHeight="1">
      <c r="A135" s="114">
        <f t="shared" si="5"/>
        <v>4</v>
      </c>
      <c r="B135" s="320" t="s">
        <v>315</v>
      </c>
      <c r="C135" s="114" t="s">
        <v>328</v>
      </c>
      <c r="D135" s="272">
        <f>D132/40</f>
        <v>0.36862400000000001</v>
      </c>
    </row>
    <row r="136" spans="1:6" ht="15.9" customHeight="1">
      <c r="A136" s="114">
        <f t="shared" si="5"/>
        <v>5</v>
      </c>
      <c r="B136" s="321" t="s">
        <v>311</v>
      </c>
      <c r="C136" s="112" t="s">
        <v>309</v>
      </c>
      <c r="D136" s="272">
        <f>D132</f>
        <v>14.744960000000001</v>
      </c>
    </row>
    <row r="137" spans="1:6" ht="15.9" customHeight="1">
      <c r="A137" s="114">
        <f t="shared" si="5"/>
        <v>6</v>
      </c>
      <c r="B137" s="322" t="s">
        <v>310</v>
      </c>
      <c r="C137" s="112" t="s">
        <v>453</v>
      </c>
      <c r="D137" s="272">
        <f>D132</f>
        <v>14.744960000000001</v>
      </c>
      <c r="F137" s="11">
        <v>1</v>
      </c>
    </row>
    <row r="138" spans="1:6" ht="15.9" customHeight="1">
      <c r="A138" s="114">
        <f t="shared" si="5"/>
        <v>7</v>
      </c>
      <c r="B138" s="321" t="s">
        <v>312</v>
      </c>
      <c r="C138" s="112" t="s">
        <v>1010</v>
      </c>
      <c r="D138" s="272">
        <f>D132*1</f>
        <v>14.744960000000001</v>
      </c>
      <c r="E138" s="341"/>
      <c r="F138" s="11">
        <v>1</v>
      </c>
    </row>
    <row r="139" spans="1:6" ht="15.9" customHeight="1">
      <c r="A139" s="114">
        <f t="shared" si="5"/>
        <v>8</v>
      </c>
      <c r="B139" s="321" t="s">
        <v>330</v>
      </c>
      <c r="C139" s="112" t="s">
        <v>331</v>
      </c>
      <c r="D139" s="272">
        <f>'coc tiêu,km, biển báo'!C7*5/100</f>
        <v>37.75</v>
      </c>
    </row>
    <row r="140" spans="1:6" ht="15.9" customHeight="1">
      <c r="A140" s="114">
        <f t="shared" si="5"/>
        <v>9</v>
      </c>
      <c r="B140" s="323" t="s">
        <v>313</v>
      </c>
      <c r="C140" s="112" t="s">
        <v>332</v>
      </c>
      <c r="D140" s="272">
        <f>'coc tiêu,km, biển báo'!D7*2/100</f>
        <v>0.32</v>
      </c>
    </row>
    <row r="141" spans="1:6" ht="15.9" customHeight="1">
      <c r="A141" s="114">
        <f t="shared" si="5"/>
        <v>10</v>
      </c>
      <c r="B141" s="321" t="s">
        <v>314</v>
      </c>
      <c r="C141" s="112" t="s">
        <v>332</v>
      </c>
      <c r="D141" s="272">
        <f>'coc tiêu,km, biển báo'!E7*2/100</f>
        <v>2.92</v>
      </c>
    </row>
    <row r="142" spans="1:6" ht="15.9" customHeight="1">
      <c r="A142" s="114">
        <f t="shared" si="5"/>
        <v>11</v>
      </c>
      <c r="B142" s="321" t="s">
        <v>509</v>
      </c>
      <c r="C142" s="112" t="s">
        <v>510</v>
      </c>
      <c r="D142" s="272">
        <f>D132*1000*2/100</f>
        <v>294.89920000000001</v>
      </c>
    </row>
    <row r="143" spans="1:6" ht="15.9" customHeight="1">
      <c r="A143" s="114">
        <f t="shared" si="5"/>
        <v>12</v>
      </c>
      <c r="B143" s="321" t="s">
        <v>512</v>
      </c>
      <c r="C143" s="112" t="s">
        <v>513</v>
      </c>
      <c r="D143" s="272">
        <f>D132*1</f>
        <v>14.744960000000001</v>
      </c>
      <c r="F143" s="11">
        <v>1</v>
      </c>
    </row>
    <row r="144" spans="1:6" ht="15.9" customHeight="1">
      <c r="A144" s="114">
        <f t="shared" si="5"/>
        <v>13</v>
      </c>
      <c r="B144" s="321" t="s">
        <v>515</v>
      </c>
      <c r="C144" s="112" t="s">
        <v>5</v>
      </c>
      <c r="D144" s="272">
        <f>'Mặt biển phàn quang 1'!D9</f>
        <v>65.75</v>
      </c>
      <c r="F144" s="11">
        <v>1</v>
      </c>
    </row>
    <row r="145" spans="1:10" ht="18" customHeight="1">
      <c r="A145" s="114"/>
      <c r="B145" s="324" t="s">
        <v>382</v>
      </c>
      <c r="C145" s="325"/>
      <c r="D145" s="272"/>
      <c r="J145" s="312"/>
    </row>
    <row r="146" spans="1:10" ht="15.9" customHeight="1">
      <c r="A146" s="114">
        <v>14</v>
      </c>
      <c r="B146" s="327" t="s">
        <v>316</v>
      </c>
      <c r="C146" s="112" t="s">
        <v>455</v>
      </c>
      <c r="D146" s="272">
        <f>'KLCT MC+KCG'!E8/10</f>
        <v>102</v>
      </c>
      <c r="F146" s="11">
        <v>1</v>
      </c>
    </row>
    <row r="147" spans="1:10" ht="15.9" customHeight="1">
      <c r="A147" s="114">
        <f t="shared" si="5"/>
        <v>15</v>
      </c>
      <c r="B147" s="321" t="s">
        <v>317</v>
      </c>
      <c r="C147" s="112" t="s">
        <v>333</v>
      </c>
      <c r="D147" s="272">
        <f>'KLCT MC+KCG'!H8</f>
        <v>88</v>
      </c>
    </row>
    <row r="148" spans="1:10" ht="15.9" customHeight="1">
      <c r="A148" s="114">
        <f t="shared" si="5"/>
        <v>16</v>
      </c>
      <c r="B148" s="323" t="s">
        <v>318</v>
      </c>
      <c r="C148" s="112" t="s">
        <v>5</v>
      </c>
      <c r="D148" s="272">
        <f>'KLCT VSM +PQCD'!V9*1</f>
        <v>129.5</v>
      </c>
      <c r="F148" s="11">
        <v>1</v>
      </c>
    </row>
    <row r="149" spans="1:10" ht="15.9" customHeight="1">
      <c r="A149" s="114">
        <f t="shared" si="5"/>
        <v>17</v>
      </c>
      <c r="B149" s="323" t="s">
        <v>319</v>
      </c>
      <c r="C149" s="114" t="s">
        <v>34</v>
      </c>
      <c r="D149" s="272">
        <f>'KLCT VSM +PQCD'!I9/100</f>
        <v>1.3559999999999999</v>
      </c>
      <c r="F149" s="11">
        <v>1</v>
      </c>
    </row>
    <row r="150" spans="1:10" ht="18" customHeight="1">
      <c r="A150" s="114"/>
      <c r="B150" s="319" t="s">
        <v>381</v>
      </c>
      <c r="C150" s="328"/>
      <c r="D150" s="272"/>
      <c r="J150" s="329"/>
    </row>
    <row r="151" spans="1:10" ht="18" customHeight="1">
      <c r="A151" s="114"/>
      <c r="B151" s="319" t="s">
        <v>337</v>
      </c>
      <c r="C151" s="328"/>
      <c r="D151" s="272"/>
      <c r="J151" s="329"/>
    </row>
    <row r="152" spans="1:10" ht="15.9" customHeight="1">
      <c r="A152" s="114">
        <v>18</v>
      </c>
      <c r="B152" s="330" t="s">
        <v>321</v>
      </c>
      <c r="C152" s="112" t="s">
        <v>334</v>
      </c>
      <c r="D152" s="272">
        <f>'số lượng cầu'!D4</f>
        <v>6</v>
      </c>
      <c r="F152" s="11">
        <v>1</v>
      </c>
    </row>
    <row r="153" spans="1:10" ht="15.9" customHeight="1">
      <c r="A153" s="114">
        <f t="shared" si="5"/>
        <v>19</v>
      </c>
      <c r="B153" s="327" t="s">
        <v>322</v>
      </c>
      <c r="C153" s="112" t="s">
        <v>334</v>
      </c>
      <c r="D153" s="272">
        <f>'số lượng cầu'!D4</f>
        <v>6</v>
      </c>
    </row>
    <row r="154" spans="1:10" ht="15.9" customHeight="1">
      <c r="A154" s="114">
        <f t="shared" si="5"/>
        <v>20</v>
      </c>
      <c r="B154" s="327" t="s">
        <v>323</v>
      </c>
      <c r="C154" s="112" t="s">
        <v>334</v>
      </c>
      <c r="D154" s="272">
        <f>'số lượng cầu'!D4</f>
        <v>6</v>
      </c>
    </row>
    <row r="155" spans="1:10" ht="17.25" customHeight="1">
      <c r="A155" s="114"/>
      <c r="B155" s="319" t="s">
        <v>338</v>
      </c>
      <c r="C155" s="328"/>
      <c r="D155" s="272"/>
    </row>
    <row r="156" spans="1:10" ht="15.9" customHeight="1">
      <c r="A156" s="114">
        <v>21</v>
      </c>
      <c r="B156" s="330" t="s">
        <v>321</v>
      </c>
      <c r="C156" s="112" t="s">
        <v>334</v>
      </c>
      <c r="D156" s="272">
        <f>'số lượng cầu'!E4</f>
        <v>1</v>
      </c>
      <c r="F156" s="11">
        <v>1</v>
      </c>
    </row>
    <row r="157" spans="1:10" ht="15.9" customHeight="1">
      <c r="A157" s="114">
        <f t="shared" si="5"/>
        <v>22</v>
      </c>
      <c r="B157" s="327" t="s">
        <v>322</v>
      </c>
      <c r="C157" s="112" t="s">
        <v>334</v>
      </c>
      <c r="D157" s="272">
        <f>'số lượng cầu'!E4</f>
        <v>1</v>
      </c>
    </row>
    <row r="158" spans="1:10" ht="15.9" customHeight="1">
      <c r="A158" s="337">
        <f t="shared" si="5"/>
        <v>23</v>
      </c>
      <c r="B158" s="331" t="s">
        <v>323</v>
      </c>
      <c r="C158" s="332" t="s">
        <v>334</v>
      </c>
      <c r="D158" s="333">
        <f>'số lượng cầu'!E4</f>
        <v>1</v>
      </c>
    </row>
    <row r="159" spans="1:10" ht="18.75" customHeight="1">
      <c r="A159" s="353" t="s">
        <v>348</v>
      </c>
      <c r="B159" s="334" t="s">
        <v>488</v>
      </c>
      <c r="C159" s="334"/>
      <c r="D159" s="335"/>
    </row>
    <row r="160" spans="1:10" ht="17.25" customHeight="1">
      <c r="A160" s="318"/>
      <c r="B160" s="319" t="s">
        <v>379</v>
      </c>
      <c r="C160" s="114"/>
      <c r="D160" s="272"/>
    </row>
    <row r="161" spans="1:10" ht="15.9" customHeight="1">
      <c r="A161" s="114">
        <v>1</v>
      </c>
      <c r="B161" s="113" t="s">
        <v>307</v>
      </c>
      <c r="C161" s="114" t="s">
        <v>309</v>
      </c>
      <c r="D161" s="272">
        <f>THCĐ!H10</f>
        <v>16.78716</v>
      </c>
    </row>
    <row r="162" spans="1:10" ht="15.9" customHeight="1">
      <c r="A162" s="114">
        <f>+A161+1</f>
        <v>2</v>
      </c>
      <c r="B162" s="113" t="s">
        <v>308</v>
      </c>
      <c r="C162" s="114" t="s">
        <v>456</v>
      </c>
      <c r="D162" s="272">
        <v>12</v>
      </c>
    </row>
    <row r="163" spans="1:10" ht="30" customHeight="1">
      <c r="A163" s="114">
        <f t="shared" ref="A163:A183" si="6">+A162+1</f>
        <v>3</v>
      </c>
      <c r="B163" s="113" t="s">
        <v>336</v>
      </c>
      <c r="C163" s="114" t="s">
        <v>453</v>
      </c>
      <c r="D163" s="272">
        <f>D161*1</f>
        <v>16.78716</v>
      </c>
      <c r="F163" s="11">
        <v>1</v>
      </c>
    </row>
    <row r="164" spans="1:10" ht="15.9" customHeight="1">
      <c r="A164" s="114">
        <f t="shared" si="6"/>
        <v>4</v>
      </c>
      <c r="B164" s="320" t="s">
        <v>315</v>
      </c>
      <c r="C164" s="114" t="s">
        <v>328</v>
      </c>
      <c r="D164" s="272">
        <f>D161/40</f>
        <v>0.41967900000000002</v>
      </c>
    </row>
    <row r="165" spans="1:10" ht="15.9" customHeight="1">
      <c r="A165" s="114">
        <f t="shared" si="6"/>
        <v>5</v>
      </c>
      <c r="B165" s="321" t="s">
        <v>311</v>
      </c>
      <c r="C165" s="112" t="s">
        <v>309</v>
      </c>
      <c r="D165" s="272">
        <f>D161</f>
        <v>16.78716</v>
      </c>
    </row>
    <row r="166" spans="1:10" ht="15.9" customHeight="1">
      <c r="A166" s="114">
        <f t="shared" si="6"/>
        <v>6</v>
      </c>
      <c r="B166" s="322" t="s">
        <v>310</v>
      </c>
      <c r="C166" s="114" t="s">
        <v>453</v>
      </c>
      <c r="D166" s="272">
        <f>D161</f>
        <v>16.78716</v>
      </c>
      <c r="F166" s="11">
        <v>1</v>
      </c>
    </row>
    <row r="167" spans="1:10" ht="15.9" customHeight="1">
      <c r="A167" s="114">
        <f t="shared" si="6"/>
        <v>7</v>
      </c>
      <c r="B167" s="321" t="s">
        <v>312</v>
      </c>
      <c r="C167" s="112" t="s">
        <v>453</v>
      </c>
      <c r="D167" s="272">
        <f>D161*1</f>
        <v>16.78716</v>
      </c>
      <c r="E167" s="341"/>
      <c r="F167" s="11">
        <v>1</v>
      </c>
    </row>
    <row r="168" spans="1:10" ht="15.9" customHeight="1">
      <c r="A168" s="114">
        <f t="shared" si="6"/>
        <v>8</v>
      </c>
      <c r="B168" s="321" t="s">
        <v>330</v>
      </c>
      <c r="C168" s="112" t="s">
        <v>331</v>
      </c>
      <c r="D168" s="272">
        <f>'coc tiêu,km, biển báo'!C8*5/100</f>
        <v>34.5</v>
      </c>
    </row>
    <row r="169" spans="1:10" ht="15.9" customHeight="1">
      <c r="A169" s="114">
        <f t="shared" si="6"/>
        <v>9</v>
      </c>
      <c r="B169" s="323" t="s">
        <v>313</v>
      </c>
      <c r="C169" s="112" t="s">
        <v>332</v>
      </c>
      <c r="D169" s="272">
        <f>'coc tiêu,km, biển báo'!D8*2/100</f>
        <v>0.34</v>
      </c>
    </row>
    <row r="170" spans="1:10" ht="15.9" customHeight="1">
      <c r="A170" s="114">
        <f t="shared" si="6"/>
        <v>10</v>
      </c>
      <c r="B170" s="321" t="s">
        <v>314</v>
      </c>
      <c r="C170" s="112" t="s">
        <v>332</v>
      </c>
      <c r="D170" s="272">
        <f>'coc tiêu,km, biển báo'!E8*2/100</f>
        <v>3.92</v>
      </c>
    </row>
    <row r="171" spans="1:10" ht="15.9" customHeight="1">
      <c r="A171" s="114">
        <f t="shared" si="6"/>
        <v>11</v>
      </c>
      <c r="B171" s="321" t="s">
        <v>509</v>
      </c>
      <c r="C171" s="112" t="s">
        <v>510</v>
      </c>
      <c r="D171" s="272">
        <f>D161*1000*2/100</f>
        <v>335.7432</v>
      </c>
    </row>
    <row r="172" spans="1:10" ht="15.9" customHeight="1">
      <c r="A172" s="114">
        <f t="shared" si="6"/>
        <v>12</v>
      </c>
      <c r="B172" s="321" t="s">
        <v>512</v>
      </c>
      <c r="C172" s="112" t="s">
        <v>513</v>
      </c>
      <c r="D172" s="272">
        <f>D161*1</f>
        <v>16.78716</v>
      </c>
      <c r="F172" s="11">
        <v>1</v>
      </c>
    </row>
    <row r="173" spans="1:10" ht="15.9" customHeight="1">
      <c r="A173" s="114">
        <f t="shared" si="6"/>
        <v>13</v>
      </c>
      <c r="B173" s="321" t="s">
        <v>515</v>
      </c>
      <c r="C173" s="112" t="s">
        <v>5</v>
      </c>
      <c r="D173" s="272">
        <f>'Mặt biển phàn quang 1'!D10</f>
        <v>73.59</v>
      </c>
      <c r="F173" s="11">
        <v>1</v>
      </c>
    </row>
    <row r="174" spans="1:10" ht="18" customHeight="1">
      <c r="A174" s="114"/>
      <c r="B174" s="324" t="s">
        <v>382</v>
      </c>
      <c r="C174" s="325"/>
      <c r="D174" s="272"/>
      <c r="J174" s="312"/>
    </row>
    <row r="175" spans="1:10" ht="15.9" customHeight="1">
      <c r="A175" s="114">
        <v>14</v>
      </c>
      <c r="B175" s="327" t="s">
        <v>316</v>
      </c>
      <c r="C175" s="112" t="s">
        <v>455</v>
      </c>
      <c r="D175" s="272">
        <f>'KLCT MC+KCG'!E87/10</f>
        <v>234.59299999999999</v>
      </c>
      <c r="F175" s="11">
        <v>1</v>
      </c>
    </row>
    <row r="176" spans="1:10" ht="15.9" customHeight="1">
      <c r="A176" s="114">
        <f t="shared" si="6"/>
        <v>15</v>
      </c>
      <c r="B176" s="321" t="s">
        <v>317</v>
      </c>
      <c r="C176" s="112" t="s">
        <v>333</v>
      </c>
      <c r="D176" s="272">
        <f>'KLCT MC+KCG'!H87</f>
        <v>210</v>
      </c>
    </row>
    <row r="177" spans="1:10" ht="15.9" customHeight="1">
      <c r="A177" s="114">
        <f t="shared" si="6"/>
        <v>16</v>
      </c>
      <c r="B177" s="323" t="s">
        <v>318</v>
      </c>
      <c r="C177" s="112" t="s">
        <v>5</v>
      </c>
      <c r="D177" s="272">
        <f>'KLCT VSM +PQCD'!V88*1</f>
        <v>80</v>
      </c>
      <c r="F177" s="11">
        <v>1</v>
      </c>
    </row>
    <row r="178" spans="1:10" ht="15.9" customHeight="1">
      <c r="A178" s="114">
        <f t="shared" si="6"/>
        <v>17</v>
      </c>
      <c r="B178" s="323" t="s">
        <v>319</v>
      </c>
      <c r="C178" s="114" t="s">
        <v>34</v>
      </c>
      <c r="D178" s="272">
        <f>'KLCT VSM +PQCD'!I88/100</f>
        <v>3.8</v>
      </c>
      <c r="F178" s="11">
        <v>1</v>
      </c>
    </row>
    <row r="179" spans="1:10" ht="17.25" customHeight="1">
      <c r="A179" s="114"/>
      <c r="B179" s="319" t="s">
        <v>381</v>
      </c>
      <c r="C179" s="328"/>
      <c r="D179" s="272"/>
      <c r="J179" s="329"/>
    </row>
    <row r="180" spans="1:10" ht="18.75" customHeight="1">
      <c r="A180" s="114"/>
      <c r="B180" s="319" t="s">
        <v>337</v>
      </c>
      <c r="C180" s="328"/>
      <c r="D180" s="272"/>
      <c r="J180" s="329"/>
    </row>
    <row r="181" spans="1:10" ht="15.9" customHeight="1">
      <c r="A181" s="114">
        <v>18</v>
      </c>
      <c r="B181" s="330" t="s">
        <v>321</v>
      </c>
      <c r="C181" s="112" t="s">
        <v>334</v>
      </c>
      <c r="D181" s="272">
        <f>'số lượng cầu'!D88</f>
        <v>9</v>
      </c>
      <c r="F181" s="11">
        <v>1</v>
      </c>
    </row>
    <row r="182" spans="1:10" ht="15.9" customHeight="1">
      <c r="A182" s="114">
        <f t="shared" si="6"/>
        <v>19</v>
      </c>
      <c r="B182" s="327" t="s">
        <v>322</v>
      </c>
      <c r="C182" s="112" t="s">
        <v>334</v>
      </c>
      <c r="D182" s="272">
        <f>'số lượng cầu'!D88</f>
        <v>9</v>
      </c>
    </row>
    <row r="183" spans="1:10" ht="15.9" customHeight="1">
      <c r="A183" s="337">
        <f t="shared" si="6"/>
        <v>20</v>
      </c>
      <c r="B183" s="331" t="s">
        <v>323</v>
      </c>
      <c r="C183" s="332" t="s">
        <v>334</v>
      </c>
      <c r="D183" s="333">
        <f>'số lượng cầu'!D88</f>
        <v>9</v>
      </c>
    </row>
    <row r="184" spans="1:10" ht="18.75" customHeight="1">
      <c r="A184" s="353" t="s">
        <v>349</v>
      </c>
      <c r="B184" s="334" t="s">
        <v>489</v>
      </c>
      <c r="C184" s="334"/>
      <c r="D184" s="335"/>
    </row>
    <row r="185" spans="1:10" ht="16.5" customHeight="1">
      <c r="A185" s="318"/>
      <c r="B185" s="319" t="s">
        <v>379</v>
      </c>
      <c r="C185" s="114"/>
      <c r="D185" s="272"/>
    </row>
    <row r="186" spans="1:10" ht="15.9" customHeight="1">
      <c r="A186" s="114">
        <v>1</v>
      </c>
      <c r="B186" s="113" t="s">
        <v>307</v>
      </c>
      <c r="C186" s="114" t="s">
        <v>309</v>
      </c>
      <c r="D186" s="272">
        <f>THCĐ!H11</f>
        <v>61.559800000000003</v>
      </c>
    </row>
    <row r="187" spans="1:10" ht="15.9" customHeight="1">
      <c r="A187" s="114">
        <f>+A186+1</f>
        <v>2</v>
      </c>
      <c r="B187" s="113" t="s">
        <v>308</v>
      </c>
      <c r="C187" s="114" t="s">
        <v>456</v>
      </c>
      <c r="D187" s="272">
        <v>12</v>
      </c>
    </row>
    <row r="188" spans="1:10" ht="30" customHeight="1">
      <c r="A188" s="114">
        <f t="shared" ref="A188:A212" si="7">+A187+1</f>
        <v>3</v>
      </c>
      <c r="B188" s="113" t="s">
        <v>336</v>
      </c>
      <c r="C188" s="114" t="s">
        <v>453</v>
      </c>
      <c r="D188" s="272">
        <f>D186*1</f>
        <v>61.559800000000003</v>
      </c>
      <c r="F188" s="11">
        <v>1</v>
      </c>
    </row>
    <row r="189" spans="1:10" ht="15.9" customHeight="1">
      <c r="A189" s="114">
        <f t="shared" si="7"/>
        <v>4</v>
      </c>
      <c r="B189" s="320" t="s">
        <v>315</v>
      </c>
      <c r="C189" s="114" t="s">
        <v>328</v>
      </c>
      <c r="D189" s="272">
        <f>D186/40</f>
        <v>1.5389950000000001</v>
      </c>
    </row>
    <row r="190" spans="1:10" ht="15.9" customHeight="1">
      <c r="A190" s="114">
        <f t="shared" si="7"/>
        <v>5</v>
      </c>
      <c r="B190" s="321" t="s">
        <v>311</v>
      </c>
      <c r="C190" s="112" t="s">
        <v>329</v>
      </c>
      <c r="D190" s="272">
        <f>D186*1</f>
        <v>61.559800000000003</v>
      </c>
    </row>
    <row r="191" spans="1:10" ht="15.9" customHeight="1">
      <c r="A191" s="114">
        <f t="shared" si="7"/>
        <v>6</v>
      </c>
      <c r="B191" s="322" t="s">
        <v>310</v>
      </c>
      <c r="C191" s="114" t="s">
        <v>453</v>
      </c>
      <c r="D191" s="272">
        <f>D186</f>
        <v>61.559800000000003</v>
      </c>
      <c r="F191" s="11">
        <v>1</v>
      </c>
    </row>
    <row r="192" spans="1:10" ht="15.9" customHeight="1">
      <c r="A192" s="114">
        <f t="shared" si="7"/>
        <v>7</v>
      </c>
      <c r="B192" s="321" t="s">
        <v>312</v>
      </c>
      <c r="C192" s="112" t="s">
        <v>453</v>
      </c>
      <c r="D192" s="272">
        <f>D186*1</f>
        <v>61.559800000000003</v>
      </c>
      <c r="E192" s="341"/>
      <c r="F192" s="11">
        <v>1</v>
      </c>
    </row>
    <row r="193" spans="1:10" ht="15.9" customHeight="1">
      <c r="A193" s="114">
        <f t="shared" si="7"/>
        <v>8</v>
      </c>
      <c r="B193" s="321" t="s">
        <v>330</v>
      </c>
      <c r="C193" s="112" t="s">
        <v>331</v>
      </c>
      <c r="D193" s="272">
        <f>'coc tiêu,km, biển báo'!C9*5/100</f>
        <v>122.3</v>
      </c>
    </row>
    <row r="194" spans="1:10" ht="15.9" customHeight="1">
      <c r="A194" s="114">
        <f t="shared" si="7"/>
        <v>9</v>
      </c>
      <c r="B194" s="323" t="s">
        <v>313</v>
      </c>
      <c r="C194" s="112" t="s">
        <v>332</v>
      </c>
      <c r="D194" s="272">
        <f>'coc tiêu,km, biển báo'!D9*2/100</f>
        <v>1.32</v>
      </c>
    </row>
    <row r="195" spans="1:10" ht="15.9" customHeight="1">
      <c r="A195" s="114">
        <f t="shared" si="7"/>
        <v>10</v>
      </c>
      <c r="B195" s="321" t="s">
        <v>314</v>
      </c>
      <c r="C195" s="112" t="s">
        <v>332</v>
      </c>
      <c r="D195" s="272">
        <f>'coc tiêu,km, biển báo'!E9*2/100</f>
        <v>6.3</v>
      </c>
    </row>
    <row r="196" spans="1:10" ht="15.9" customHeight="1">
      <c r="A196" s="114">
        <f t="shared" si="7"/>
        <v>11</v>
      </c>
      <c r="B196" s="321" t="s">
        <v>509</v>
      </c>
      <c r="C196" s="112" t="s">
        <v>510</v>
      </c>
      <c r="D196" s="272">
        <f>D186*1000*2/100</f>
        <v>1231.1960000000001</v>
      </c>
    </row>
    <row r="197" spans="1:10" ht="15.9" customHeight="1">
      <c r="A197" s="114">
        <f t="shared" si="7"/>
        <v>12</v>
      </c>
      <c r="B197" s="321" t="s">
        <v>512</v>
      </c>
      <c r="C197" s="112" t="s">
        <v>513</v>
      </c>
      <c r="D197" s="272">
        <f>D186*1</f>
        <v>61.559800000000003</v>
      </c>
      <c r="F197" s="11">
        <v>1</v>
      </c>
    </row>
    <row r="198" spans="1:10" ht="15.9" customHeight="1">
      <c r="A198" s="114">
        <f t="shared" si="7"/>
        <v>13</v>
      </c>
      <c r="B198" s="321" t="s">
        <v>515</v>
      </c>
      <c r="C198" s="112" t="s">
        <v>5</v>
      </c>
      <c r="D198" s="272">
        <f>'Mặt biển phàn quang 1'!D11*1</f>
        <v>84.759</v>
      </c>
      <c r="F198" s="11">
        <v>1</v>
      </c>
    </row>
    <row r="199" spans="1:10" ht="14.25" customHeight="1">
      <c r="A199" s="114"/>
      <c r="B199" s="324" t="s">
        <v>382</v>
      </c>
      <c r="C199" s="325"/>
      <c r="D199" s="272"/>
      <c r="J199" s="312"/>
    </row>
    <row r="200" spans="1:10" ht="15.9" customHeight="1">
      <c r="A200" s="114">
        <v>14</v>
      </c>
      <c r="B200" s="327" t="s">
        <v>316</v>
      </c>
      <c r="C200" s="112" t="s">
        <v>455</v>
      </c>
      <c r="D200" s="272">
        <f>'KLCT MC+KCG'!E97/10*1</f>
        <v>703.53500000000008</v>
      </c>
      <c r="F200" s="11">
        <v>1</v>
      </c>
    </row>
    <row r="201" spans="1:10" ht="15.9" customHeight="1">
      <c r="A201" s="114">
        <f t="shared" si="7"/>
        <v>15</v>
      </c>
      <c r="B201" s="321" t="s">
        <v>317</v>
      </c>
      <c r="C201" s="112" t="s">
        <v>333</v>
      </c>
      <c r="D201" s="272">
        <f>'KLCT MC+KCG'!H97*1</f>
        <v>580</v>
      </c>
    </row>
    <row r="202" spans="1:10" ht="15.9" customHeight="1">
      <c r="A202" s="114">
        <f t="shared" si="7"/>
        <v>16</v>
      </c>
      <c r="B202" s="323" t="s">
        <v>318</v>
      </c>
      <c r="C202" s="112" t="s">
        <v>5</v>
      </c>
      <c r="D202" s="272">
        <f>'KLCT VSM +PQCD'!V98*1</f>
        <v>1038</v>
      </c>
      <c r="F202" s="11">
        <v>1</v>
      </c>
    </row>
    <row r="203" spans="1:10" ht="15.9" customHeight="1">
      <c r="A203" s="114">
        <f t="shared" si="7"/>
        <v>17</v>
      </c>
      <c r="B203" s="323" t="s">
        <v>319</v>
      </c>
      <c r="C203" s="114" t="s">
        <v>34</v>
      </c>
      <c r="D203" s="272">
        <f>'KLCT VSM +PQCD'!I98/100*1</f>
        <v>14.567</v>
      </c>
      <c r="F203" s="11">
        <v>1</v>
      </c>
    </row>
    <row r="204" spans="1:10" ht="19.5" customHeight="1">
      <c r="A204" s="114"/>
      <c r="B204" s="319" t="s">
        <v>381</v>
      </c>
      <c r="C204" s="328"/>
      <c r="D204" s="272"/>
      <c r="J204" s="329"/>
    </row>
    <row r="205" spans="1:10" ht="18" customHeight="1">
      <c r="A205" s="114"/>
      <c r="B205" s="319" t="s">
        <v>337</v>
      </c>
      <c r="C205" s="328"/>
      <c r="D205" s="272"/>
      <c r="J205" s="329"/>
    </row>
    <row r="206" spans="1:10" ht="15.9" customHeight="1">
      <c r="A206" s="114">
        <v>18</v>
      </c>
      <c r="B206" s="330" t="s">
        <v>321</v>
      </c>
      <c r="C206" s="112" t="s">
        <v>334</v>
      </c>
      <c r="D206" s="272">
        <f>'số lượng cầu'!D98*1</f>
        <v>16</v>
      </c>
      <c r="F206" s="11">
        <v>1</v>
      </c>
    </row>
    <row r="207" spans="1:10" ht="15.9" customHeight="1">
      <c r="A207" s="114">
        <f t="shared" si="7"/>
        <v>19</v>
      </c>
      <c r="B207" s="327" t="s">
        <v>322</v>
      </c>
      <c r="C207" s="112" t="s">
        <v>334</v>
      </c>
      <c r="D207" s="272">
        <f>'số lượng cầu'!D98*1</f>
        <v>16</v>
      </c>
    </row>
    <row r="208" spans="1:10" ht="15.9" customHeight="1">
      <c r="A208" s="114">
        <f t="shared" si="7"/>
        <v>20</v>
      </c>
      <c r="B208" s="327" t="s">
        <v>323</v>
      </c>
      <c r="C208" s="112" t="s">
        <v>334</v>
      </c>
      <c r="D208" s="272">
        <f>'số lượng cầu'!D98</f>
        <v>16</v>
      </c>
    </row>
    <row r="209" spans="1:6" ht="21.75" customHeight="1">
      <c r="A209" s="114"/>
      <c r="B209" s="319" t="s">
        <v>338</v>
      </c>
      <c r="C209" s="328"/>
      <c r="D209" s="272"/>
    </row>
    <row r="210" spans="1:6" ht="15.9" customHeight="1">
      <c r="A210" s="114">
        <v>21</v>
      </c>
      <c r="B210" s="330" t="s">
        <v>321</v>
      </c>
      <c r="C210" s="112" t="s">
        <v>334</v>
      </c>
      <c r="D210" s="272">
        <f>'số lượng cầu'!E98*1</f>
        <v>9</v>
      </c>
      <c r="F210" s="11">
        <v>1</v>
      </c>
    </row>
    <row r="211" spans="1:6" ht="15.9" customHeight="1">
      <c r="A211" s="114">
        <f t="shared" si="7"/>
        <v>22</v>
      </c>
      <c r="B211" s="327" t="s">
        <v>322</v>
      </c>
      <c r="C211" s="112" t="s">
        <v>334</v>
      </c>
      <c r="D211" s="272">
        <f>'số lượng cầu'!E98*1</f>
        <v>9</v>
      </c>
    </row>
    <row r="212" spans="1:6" ht="15.9" customHeight="1">
      <c r="A212" s="337">
        <f t="shared" si="7"/>
        <v>23</v>
      </c>
      <c r="B212" s="331" t="s">
        <v>323</v>
      </c>
      <c r="C212" s="332" t="s">
        <v>334</v>
      </c>
      <c r="D212" s="333">
        <f>'số lượng cầu'!E98</f>
        <v>9</v>
      </c>
    </row>
    <row r="213" spans="1:6" ht="23.25" customHeight="1">
      <c r="A213" s="353" t="s">
        <v>350</v>
      </c>
      <c r="B213" s="334" t="s">
        <v>490</v>
      </c>
      <c r="C213" s="334"/>
      <c r="D213" s="335"/>
    </row>
    <row r="214" spans="1:6" ht="19.5" customHeight="1">
      <c r="A214" s="318"/>
      <c r="B214" s="319" t="s">
        <v>379</v>
      </c>
      <c r="C214" s="114"/>
      <c r="D214" s="272"/>
    </row>
    <row r="215" spans="1:6" ht="15.9" customHeight="1">
      <c r="A215" s="114">
        <v>1</v>
      </c>
      <c r="B215" s="113" t="s">
        <v>307</v>
      </c>
      <c r="C215" s="114" t="s">
        <v>309</v>
      </c>
      <c r="D215" s="272">
        <f>THCĐ!H12</f>
        <v>28.139099999999999</v>
      </c>
    </row>
    <row r="216" spans="1:6" ht="15.9" customHeight="1">
      <c r="A216" s="114">
        <f>+A215+1</f>
        <v>2</v>
      </c>
      <c r="B216" s="113" t="s">
        <v>308</v>
      </c>
      <c r="C216" s="114" t="s">
        <v>456</v>
      </c>
      <c r="D216" s="272">
        <v>12</v>
      </c>
    </row>
    <row r="217" spans="1:6" ht="31.5" customHeight="1">
      <c r="A217" s="114">
        <f t="shared" ref="A217:A241" si="8">+A216+1</f>
        <v>3</v>
      </c>
      <c r="B217" s="113" t="s">
        <v>336</v>
      </c>
      <c r="C217" s="114" t="s">
        <v>453</v>
      </c>
      <c r="D217" s="272">
        <f>D215*1</f>
        <v>28.139099999999999</v>
      </c>
      <c r="F217" s="11">
        <v>1</v>
      </c>
    </row>
    <row r="218" spans="1:6" ht="15.9" customHeight="1">
      <c r="A218" s="114">
        <f t="shared" si="8"/>
        <v>4</v>
      </c>
      <c r="B218" s="320" t="s">
        <v>315</v>
      </c>
      <c r="C218" s="114" t="s">
        <v>328</v>
      </c>
      <c r="D218" s="272">
        <f>D215/40</f>
        <v>0.70347749999999998</v>
      </c>
    </row>
    <row r="219" spans="1:6" ht="15.9" customHeight="1">
      <c r="A219" s="114">
        <f t="shared" si="8"/>
        <v>5</v>
      </c>
      <c r="B219" s="321" t="s">
        <v>311</v>
      </c>
      <c r="C219" s="112" t="s">
        <v>309</v>
      </c>
      <c r="D219" s="272">
        <f>D215</f>
        <v>28.139099999999999</v>
      </c>
    </row>
    <row r="220" spans="1:6" ht="15.9" customHeight="1">
      <c r="A220" s="114">
        <f t="shared" si="8"/>
        <v>6</v>
      </c>
      <c r="B220" s="322" t="s">
        <v>310</v>
      </c>
      <c r="C220" s="114" t="s">
        <v>453</v>
      </c>
      <c r="D220" s="272">
        <f>D215*1</f>
        <v>28.139099999999999</v>
      </c>
      <c r="F220" s="11">
        <v>1</v>
      </c>
    </row>
    <row r="221" spans="1:6" ht="15.9" customHeight="1">
      <c r="A221" s="114">
        <f t="shared" si="8"/>
        <v>7</v>
      </c>
      <c r="B221" s="321" t="s">
        <v>312</v>
      </c>
      <c r="C221" s="112" t="s">
        <v>453</v>
      </c>
      <c r="D221" s="272">
        <f>D215*1</f>
        <v>28.139099999999999</v>
      </c>
      <c r="E221" s="341"/>
      <c r="F221" s="11">
        <v>1</v>
      </c>
    </row>
    <row r="222" spans="1:6" ht="15.9" customHeight="1">
      <c r="A222" s="114">
        <f t="shared" si="8"/>
        <v>8</v>
      </c>
      <c r="B222" s="321" t="s">
        <v>330</v>
      </c>
      <c r="C222" s="112" t="s">
        <v>331</v>
      </c>
      <c r="D222" s="272">
        <f>'coc tiêu,km, biển báo'!C10*5/100</f>
        <v>46.25</v>
      </c>
    </row>
    <row r="223" spans="1:6" ht="15.9" customHeight="1">
      <c r="A223" s="114">
        <f t="shared" si="8"/>
        <v>9</v>
      </c>
      <c r="B223" s="323" t="s">
        <v>313</v>
      </c>
      <c r="C223" s="112" t="s">
        <v>332</v>
      </c>
      <c r="D223" s="272">
        <f>'coc tiêu,km, biển báo'!D10*2/100</f>
        <v>0.6</v>
      </c>
    </row>
    <row r="224" spans="1:6" ht="15.9" customHeight="1">
      <c r="A224" s="114">
        <f t="shared" si="8"/>
        <v>10</v>
      </c>
      <c r="B224" s="321" t="s">
        <v>314</v>
      </c>
      <c r="C224" s="112" t="s">
        <v>332</v>
      </c>
      <c r="D224" s="272">
        <f>'coc tiêu,km, biển báo'!E10*2/100</f>
        <v>3.76</v>
      </c>
    </row>
    <row r="225" spans="1:10" ht="15.9" customHeight="1">
      <c r="A225" s="114">
        <f t="shared" si="8"/>
        <v>11</v>
      </c>
      <c r="B225" s="321" t="s">
        <v>509</v>
      </c>
      <c r="C225" s="112" t="s">
        <v>510</v>
      </c>
      <c r="D225" s="272">
        <f>D215*1000*2/100</f>
        <v>562.78199999999993</v>
      </c>
    </row>
    <row r="226" spans="1:10" ht="15.9" customHeight="1">
      <c r="A226" s="114">
        <f t="shared" si="8"/>
        <v>12</v>
      </c>
      <c r="B226" s="321" t="s">
        <v>512</v>
      </c>
      <c r="C226" s="112" t="s">
        <v>513</v>
      </c>
      <c r="D226" s="272">
        <f>D215*1</f>
        <v>28.139099999999999</v>
      </c>
      <c r="F226" s="11">
        <v>1</v>
      </c>
    </row>
    <row r="227" spans="1:10" ht="15.9" customHeight="1">
      <c r="A227" s="114">
        <f t="shared" si="8"/>
        <v>13</v>
      </c>
      <c r="B227" s="321" t="s">
        <v>515</v>
      </c>
      <c r="C227" s="112" t="s">
        <v>5</v>
      </c>
      <c r="D227" s="272">
        <f>'Mặt biển phàn quang 1'!D12*1</f>
        <v>77.349999999999994</v>
      </c>
      <c r="F227" s="11">
        <v>1</v>
      </c>
    </row>
    <row r="228" spans="1:10" ht="19.5" customHeight="1">
      <c r="A228" s="114"/>
      <c r="B228" s="324" t="s">
        <v>382</v>
      </c>
      <c r="C228" s="325"/>
      <c r="D228" s="272"/>
      <c r="J228" s="312"/>
    </row>
    <row r="229" spans="1:10" ht="15.9" customHeight="1">
      <c r="A229" s="114">
        <v>14</v>
      </c>
      <c r="B229" s="327" t="s">
        <v>316</v>
      </c>
      <c r="C229" s="112" t="s">
        <v>455</v>
      </c>
      <c r="D229" s="272">
        <f>'KLCT MC+KCG'!E16/10*1</f>
        <v>445.85</v>
      </c>
      <c r="E229" s="338"/>
      <c r="F229" s="11">
        <v>1</v>
      </c>
    </row>
    <row r="230" spans="1:10" ht="15.9" customHeight="1">
      <c r="A230" s="114">
        <f t="shared" si="8"/>
        <v>15</v>
      </c>
      <c r="B230" s="321" t="s">
        <v>317</v>
      </c>
      <c r="C230" s="112" t="s">
        <v>333</v>
      </c>
      <c r="D230" s="272">
        <f>'KLCT MC+KCG'!H16*1</f>
        <v>450</v>
      </c>
    </row>
    <row r="231" spans="1:10" ht="15.9" customHeight="1">
      <c r="A231" s="114">
        <f t="shared" si="8"/>
        <v>16</v>
      </c>
      <c r="B231" s="323" t="s">
        <v>318</v>
      </c>
      <c r="C231" s="112" t="s">
        <v>5</v>
      </c>
      <c r="D231" s="272">
        <f>'KLCT VSM +PQCD'!V17*1</f>
        <v>1252.5999999999999</v>
      </c>
      <c r="F231" s="11">
        <v>1</v>
      </c>
    </row>
    <row r="232" spans="1:10" ht="15.9" customHeight="1">
      <c r="A232" s="114">
        <f t="shared" si="8"/>
        <v>17</v>
      </c>
      <c r="B232" s="323" t="s">
        <v>319</v>
      </c>
      <c r="C232" s="114" t="s">
        <v>34</v>
      </c>
      <c r="D232" s="272">
        <f>'KLCT VSM +PQCD'!I17/100*1</f>
        <v>18.715</v>
      </c>
      <c r="F232" s="11">
        <v>1</v>
      </c>
    </row>
    <row r="233" spans="1:10" ht="20.25" customHeight="1">
      <c r="A233" s="114"/>
      <c r="B233" s="319" t="s">
        <v>381</v>
      </c>
      <c r="C233" s="328"/>
      <c r="D233" s="272"/>
      <c r="J233" s="329"/>
    </row>
    <row r="234" spans="1:10" ht="19.5" customHeight="1">
      <c r="A234" s="114"/>
      <c r="B234" s="319" t="s">
        <v>337</v>
      </c>
      <c r="C234" s="328"/>
      <c r="D234" s="272"/>
      <c r="J234" s="329"/>
    </row>
    <row r="235" spans="1:10" ht="15.9" customHeight="1">
      <c r="A235" s="114">
        <v>18</v>
      </c>
      <c r="B235" s="330" t="s">
        <v>321</v>
      </c>
      <c r="C235" s="112" t="s">
        <v>334</v>
      </c>
      <c r="D235" s="272">
        <f>'số lượng cầu'!D12*1</f>
        <v>16</v>
      </c>
      <c r="F235" s="11">
        <v>1</v>
      </c>
    </row>
    <row r="236" spans="1:10" ht="15.9" customHeight="1">
      <c r="A236" s="114">
        <f t="shared" si="8"/>
        <v>19</v>
      </c>
      <c r="B236" s="327" t="s">
        <v>322</v>
      </c>
      <c r="C236" s="112" t="s">
        <v>334</v>
      </c>
      <c r="D236" s="272">
        <f>'số lượng cầu'!D12*1</f>
        <v>16</v>
      </c>
    </row>
    <row r="237" spans="1:10" ht="15.9" customHeight="1">
      <c r="A237" s="114">
        <f t="shared" si="8"/>
        <v>20</v>
      </c>
      <c r="B237" s="327" t="s">
        <v>323</v>
      </c>
      <c r="C237" s="112" t="s">
        <v>334</v>
      </c>
      <c r="D237" s="272">
        <f>'số lượng cầu'!D12</f>
        <v>16</v>
      </c>
    </row>
    <row r="238" spans="1:10" ht="18" customHeight="1">
      <c r="A238" s="114"/>
      <c r="B238" s="319" t="s">
        <v>338</v>
      </c>
      <c r="C238" s="328"/>
      <c r="D238" s="272"/>
    </row>
    <row r="239" spans="1:10" ht="15.9" customHeight="1">
      <c r="A239" s="114">
        <v>21</v>
      </c>
      <c r="B239" s="330" t="s">
        <v>321</v>
      </c>
      <c r="C239" s="112" t="s">
        <v>334</v>
      </c>
      <c r="D239" s="272">
        <f>'số lượng cầu'!E12*1</f>
        <v>7</v>
      </c>
      <c r="F239" s="11">
        <v>1</v>
      </c>
    </row>
    <row r="240" spans="1:10" ht="15.9" customHeight="1">
      <c r="A240" s="114">
        <f t="shared" si="8"/>
        <v>22</v>
      </c>
      <c r="B240" s="327" t="s">
        <v>322</v>
      </c>
      <c r="C240" s="112" t="s">
        <v>334</v>
      </c>
      <c r="D240" s="272">
        <f>'số lượng cầu'!E12*1</f>
        <v>7</v>
      </c>
    </row>
    <row r="241" spans="1:6" ht="15.9" customHeight="1">
      <c r="A241" s="337">
        <f t="shared" si="8"/>
        <v>23</v>
      </c>
      <c r="B241" s="331" t="s">
        <v>323</v>
      </c>
      <c r="C241" s="332" t="s">
        <v>334</v>
      </c>
      <c r="D241" s="333">
        <f>'số lượng cầu'!E12</f>
        <v>7</v>
      </c>
    </row>
    <row r="242" spans="1:6" ht="18" customHeight="1">
      <c r="A242" s="353" t="s">
        <v>351</v>
      </c>
      <c r="B242" s="334" t="s">
        <v>491</v>
      </c>
      <c r="C242" s="334"/>
      <c r="D242" s="335"/>
    </row>
    <row r="243" spans="1:6" ht="16.5" customHeight="1">
      <c r="A243" s="318"/>
      <c r="B243" s="319" t="s">
        <v>379</v>
      </c>
      <c r="C243" s="114"/>
      <c r="D243" s="272"/>
    </row>
    <row r="244" spans="1:6" ht="15.9" customHeight="1">
      <c r="A244" s="114">
        <v>1</v>
      </c>
      <c r="B244" s="113" t="s">
        <v>307</v>
      </c>
      <c r="C244" s="114" t="s">
        <v>309</v>
      </c>
      <c r="D244" s="272">
        <f>THCĐ!H13</f>
        <v>37.859750000000005</v>
      </c>
    </row>
    <row r="245" spans="1:6" ht="15.9" customHeight="1">
      <c r="A245" s="114">
        <f>+A244+1</f>
        <v>2</v>
      </c>
      <c r="B245" s="113" t="s">
        <v>308</v>
      </c>
      <c r="C245" s="114" t="s">
        <v>456</v>
      </c>
      <c r="D245" s="272">
        <v>12</v>
      </c>
    </row>
    <row r="246" spans="1:6" ht="30.75" customHeight="1">
      <c r="A246" s="114">
        <f t="shared" ref="A246:A274" si="9">+A245+1</f>
        <v>3</v>
      </c>
      <c r="B246" s="113" t="s">
        <v>336</v>
      </c>
      <c r="C246" s="114" t="s">
        <v>453</v>
      </c>
      <c r="D246" s="272">
        <f>D244*1</f>
        <v>37.859750000000005</v>
      </c>
      <c r="F246" s="11">
        <v>1</v>
      </c>
    </row>
    <row r="247" spans="1:6" ht="15.9" customHeight="1">
      <c r="A247" s="114">
        <f t="shared" si="9"/>
        <v>4</v>
      </c>
      <c r="B247" s="320" t="s">
        <v>315</v>
      </c>
      <c r="C247" s="114" t="s">
        <v>328</v>
      </c>
      <c r="D247" s="272">
        <f>D244/40</f>
        <v>0.94649375000000013</v>
      </c>
    </row>
    <row r="248" spans="1:6" ht="15.9" customHeight="1">
      <c r="A248" s="114">
        <f t="shared" si="9"/>
        <v>5</v>
      </c>
      <c r="B248" s="321" t="s">
        <v>311</v>
      </c>
      <c r="C248" s="114" t="s">
        <v>309</v>
      </c>
      <c r="D248" s="272">
        <f>D244</f>
        <v>37.859750000000005</v>
      </c>
    </row>
    <row r="249" spans="1:6" ht="15.9" customHeight="1">
      <c r="A249" s="114">
        <f t="shared" si="9"/>
        <v>6</v>
      </c>
      <c r="B249" s="322" t="s">
        <v>310</v>
      </c>
      <c r="C249" s="114" t="s">
        <v>453</v>
      </c>
      <c r="D249" s="272">
        <f>D244*1</f>
        <v>37.859750000000005</v>
      </c>
      <c r="F249" s="11">
        <v>1</v>
      </c>
    </row>
    <row r="250" spans="1:6" ht="15.9" customHeight="1">
      <c r="A250" s="114">
        <f t="shared" si="9"/>
        <v>7</v>
      </c>
      <c r="B250" s="321" t="s">
        <v>312</v>
      </c>
      <c r="C250" s="112" t="s">
        <v>453</v>
      </c>
      <c r="D250" s="272">
        <f>D244*1</f>
        <v>37.859750000000005</v>
      </c>
      <c r="E250" s="341"/>
      <c r="F250" s="11">
        <v>1</v>
      </c>
    </row>
    <row r="251" spans="1:6" ht="15.9" customHeight="1">
      <c r="A251" s="114">
        <f t="shared" si="9"/>
        <v>8</v>
      </c>
      <c r="B251" s="321" t="s">
        <v>330</v>
      </c>
      <c r="C251" s="112" t="s">
        <v>331</v>
      </c>
      <c r="D251" s="272">
        <f>'coc tiêu,km, biển báo'!C11*5/100</f>
        <v>99.5</v>
      </c>
    </row>
    <row r="252" spans="1:6" ht="15.9" customHeight="1">
      <c r="A252" s="114">
        <f t="shared" si="9"/>
        <v>9</v>
      </c>
      <c r="B252" s="323" t="s">
        <v>313</v>
      </c>
      <c r="C252" s="112" t="s">
        <v>332</v>
      </c>
      <c r="D252" s="272">
        <f>'coc tiêu,km, biển báo'!D11*2/100</f>
        <v>0.7</v>
      </c>
    </row>
    <row r="253" spans="1:6" ht="15.9" customHeight="1">
      <c r="A253" s="114">
        <f t="shared" si="9"/>
        <v>10</v>
      </c>
      <c r="B253" s="321" t="s">
        <v>314</v>
      </c>
      <c r="C253" s="112" t="s">
        <v>332</v>
      </c>
      <c r="D253" s="272">
        <f>'coc tiêu,km, biển báo'!E11*2/100</f>
        <v>7.18</v>
      </c>
    </row>
    <row r="254" spans="1:6" ht="15.9" customHeight="1">
      <c r="A254" s="114">
        <f t="shared" si="9"/>
        <v>11</v>
      </c>
      <c r="B254" s="321" t="s">
        <v>509</v>
      </c>
      <c r="C254" s="112" t="s">
        <v>510</v>
      </c>
      <c r="D254" s="272">
        <f>D244*1000*2/100</f>
        <v>757.19500000000016</v>
      </c>
    </row>
    <row r="255" spans="1:6" ht="15.9" customHeight="1">
      <c r="A255" s="114">
        <f t="shared" si="9"/>
        <v>12</v>
      </c>
      <c r="B255" s="321" t="s">
        <v>512</v>
      </c>
      <c r="C255" s="112" t="s">
        <v>513</v>
      </c>
      <c r="D255" s="272">
        <f>D244*1</f>
        <v>37.859750000000005</v>
      </c>
      <c r="F255" s="11">
        <v>1</v>
      </c>
    </row>
    <row r="256" spans="1:6" ht="15.9" customHeight="1">
      <c r="A256" s="114">
        <f t="shared" si="9"/>
        <v>13</v>
      </c>
      <c r="B256" s="321" t="s">
        <v>515</v>
      </c>
      <c r="C256" s="112" t="s">
        <v>5</v>
      </c>
      <c r="D256" s="272">
        <f>'Mặt biển phàn quang 1'!D13*1</f>
        <v>156.97900000000001</v>
      </c>
      <c r="F256" s="11">
        <v>1</v>
      </c>
    </row>
    <row r="257" spans="1:10" ht="17.25" customHeight="1">
      <c r="A257" s="114"/>
      <c r="B257" s="324" t="s">
        <v>382</v>
      </c>
      <c r="C257" s="325"/>
      <c r="D257" s="272"/>
      <c r="J257" s="312"/>
    </row>
    <row r="258" spans="1:10" ht="15.9" customHeight="1">
      <c r="A258" s="114">
        <v>14</v>
      </c>
      <c r="B258" s="327" t="s">
        <v>316</v>
      </c>
      <c r="C258" s="112" t="s">
        <v>455</v>
      </c>
      <c r="D258" s="272">
        <f>'KLCT MC+KCG'!E63/10*1</f>
        <v>634.35199999999998</v>
      </c>
      <c r="F258" s="11">
        <v>1</v>
      </c>
    </row>
    <row r="259" spans="1:10" ht="15.9" customHeight="1">
      <c r="A259" s="114">
        <f t="shared" si="9"/>
        <v>15</v>
      </c>
      <c r="B259" s="321" t="s">
        <v>317</v>
      </c>
      <c r="C259" s="112" t="s">
        <v>333</v>
      </c>
      <c r="D259" s="272">
        <f>'KLCT MC+KCG'!H63*1</f>
        <v>554</v>
      </c>
    </row>
    <row r="260" spans="1:10" ht="15.9" customHeight="1">
      <c r="A260" s="114">
        <f t="shared" si="9"/>
        <v>16</v>
      </c>
      <c r="B260" s="323" t="s">
        <v>318</v>
      </c>
      <c r="C260" s="112" t="s">
        <v>5</v>
      </c>
      <c r="D260" s="272">
        <f>'KLCT VSM +PQCD'!V64*1</f>
        <v>816</v>
      </c>
      <c r="F260" s="11">
        <v>1</v>
      </c>
    </row>
    <row r="261" spans="1:10" ht="15.9" customHeight="1">
      <c r="A261" s="114">
        <f t="shared" si="9"/>
        <v>17</v>
      </c>
      <c r="B261" s="323" t="s">
        <v>319</v>
      </c>
      <c r="C261" s="114" t="s">
        <v>34</v>
      </c>
      <c r="D261" s="272">
        <f>'KLCT VSM +PQCD'!I64/100*1</f>
        <v>14.4175</v>
      </c>
      <c r="F261" s="11">
        <v>1</v>
      </c>
    </row>
    <row r="262" spans="1:10" ht="15.75" customHeight="1">
      <c r="A262" s="114"/>
      <c r="B262" s="319" t="s">
        <v>380</v>
      </c>
      <c r="C262" s="328"/>
      <c r="D262" s="272"/>
      <c r="J262" s="329"/>
    </row>
    <row r="263" spans="1:10" ht="20.25" customHeight="1">
      <c r="A263" s="114"/>
      <c r="B263" s="319" t="s">
        <v>337</v>
      </c>
      <c r="C263" s="328"/>
      <c r="D263" s="272"/>
      <c r="J263" s="329"/>
    </row>
    <row r="264" spans="1:10" ht="15.9" customHeight="1">
      <c r="A264" s="114">
        <v>18</v>
      </c>
      <c r="B264" s="330" t="s">
        <v>321</v>
      </c>
      <c r="C264" s="112" t="s">
        <v>334</v>
      </c>
      <c r="D264" s="272">
        <f>'số lượng cầu'!D64*1</f>
        <v>19</v>
      </c>
      <c r="F264" s="11">
        <v>1</v>
      </c>
    </row>
    <row r="265" spans="1:10" ht="15.9" customHeight="1">
      <c r="A265" s="114">
        <f t="shared" si="9"/>
        <v>19</v>
      </c>
      <c r="B265" s="327" t="s">
        <v>322</v>
      </c>
      <c r="C265" s="112" t="s">
        <v>334</v>
      </c>
      <c r="D265" s="272">
        <f>'số lượng cầu'!D64*1</f>
        <v>19</v>
      </c>
    </row>
    <row r="266" spans="1:10" ht="15.9" customHeight="1">
      <c r="A266" s="114">
        <f t="shared" si="9"/>
        <v>20</v>
      </c>
      <c r="B266" s="327" t="s">
        <v>323</v>
      </c>
      <c r="C266" s="112" t="s">
        <v>334</v>
      </c>
      <c r="D266" s="272">
        <f>'số lượng cầu'!D64</f>
        <v>19</v>
      </c>
    </row>
    <row r="267" spans="1:10" ht="19.5" customHeight="1">
      <c r="A267" s="114"/>
      <c r="B267" s="319" t="s">
        <v>338</v>
      </c>
      <c r="C267" s="328"/>
      <c r="D267" s="272"/>
    </row>
    <row r="268" spans="1:10" ht="15.9" customHeight="1">
      <c r="A268" s="114">
        <v>21</v>
      </c>
      <c r="B268" s="330" t="s">
        <v>321</v>
      </c>
      <c r="C268" s="112" t="s">
        <v>334</v>
      </c>
      <c r="D268" s="272">
        <f>'số lượng cầu'!E64*1</f>
        <v>2</v>
      </c>
      <c r="F268" s="11">
        <v>1</v>
      </c>
    </row>
    <row r="269" spans="1:10" ht="15.9" customHeight="1">
      <c r="A269" s="114">
        <f t="shared" si="9"/>
        <v>22</v>
      </c>
      <c r="B269" s="327" t="s">
        <v>322</v>
      </c>
      <c r="C269" s="112" t="s">
        <v>334</v>
      </c>
      <c r="D269" s="272">
        <f>'số lượng cầu'!E64*1</f>
        <v>2</v>
      </c>
    </row>
    <row r="270" spans="1:10" ht="15.9" customHeight="1">
      <c r="A270" s="114">
        <f t="shared" si="9"/>
        <v>23</v>
      </c>
      <c r="B270" s="327" t="s">
        <v>323</v>
      </c>
      <c r="C270" s="112" t="s">
        <v>334</v>
      </c>
      <c r="D270" s="272">
        <f>'số lượng cầu'!E64</f>
        <v>2</v>
      </c>
    </row>
    <row r="271" spans="1:10" ht="19.5" customHeight="1">
      <c r="A271" s="114"/>
      <c r="B271" s="319" t="s">
        <v>339</v>
      </c>
      <c r="C271" s="328"/>
      <c r="D271" s="272"/>
    </row>
    <row r="272" spans="1:10" ht="15.9" customHeight="1">
      <c r="A272" s="114">
        <v>24</v>
      </c>
      <c r="B272" s="330" t="s">
        <v>321</v>
      </c>
      <c r="C272" s="112" t="s">
        <v>334</v>
      </c>
      <c r="D272" s="272">
        <f>'số lượng cầu'!F64*1</f>
        <v>1</v>
      </c>
      <c r="F272" s="11">
        <v>1</v>
      </c>
    </row>
    <row r="273" spans="1:6" ht="15.9" customHeight="1">
      <c r="A273" s="114">
        <f t="shared" si="9"/>
        <v>25</v>
      </c>
      <c r="B273" s="327" t="s">
        <v>322</v>
      </c>
      <c r="C273" s="112" t="s">
        <v>334</v>
      </c>
      <c r="D273" s="272">
        <f>'số lượng cầu'!F64*1</f>
        <v>1</v>
      </c>
    </row>
    <row r="274" spans="1:6" ht="15.9" customHeight="1">
      <c r="A274" s="114">
        <f t="shared" si="9"/>
        <v>26</v>
      </c>
      <c r="B274" s="327" t="s">
        <v>323</v>
      </c>
      <c r="C274" s="112" t="s">
        <v>334</v>
      </c>
      <c r="D274" s="272">
        <f>'số lượng cầu'!F64</f>
        <v>1</v>
      </c>
    </row>
    <row r="275" spans="1:6" ht="21" customHeight="1">
      <c r="A275" s="347" t="s">
        <v>352</v>
      </c>
      <c r="B275" s="241" t="s">
        <v>492</v>
      </c>
      <c r="C275" s="241"/>
      <c r="D275" s="272"/>
    </row>
    <row r="276" spans="1:6" ht="20.25" customHeight="1">
      <c r="A276" s="318"/>
      <c r="B276" s="319" t="s">
        <v>379</v>
      </c>
      <c r="C276" s="114"/>
      <c r="D276" s="272"/>
    </row>
    <row r="277" spans="1:6" ht="15.9" customHeight="1">
      <c r="A277" s="114">
        <v>1</v>
      </c>
      <c r="B277" s="113" t="s">
        <v>307</v>
      </c>
      <c r="C277" s="114" t="s">
        <v>309</v>
      </c>
      <c r="D277" s="272">
        <f>THCĐ!H14</f>
        <v>9.4359999999999999</v>
      </c>
    </row>
    <row r="278" spans="1:6" ht="15.9" customHeight="1">
      <c r="A278" s="114">
        <f>+A277+1</f>
        <v>2</v>
      </c>
      <c r="B278" s="113" t="s">
        <v>308</v>
      </c>
      <c r="C278" s="114" t="s">
        <v>456</v>
      </c>
      <c r="D278" s="272">
        <v>12</v>
      </c>
    </row>
    <row r="279" spans="1:6" ht="31.5" customHeight="1">
      <c r="A279" s="114">
        <f t="shared" ref="A279:A298" si="10">+A278+1</f>
        <v>3</v>
      </c>
      <c r="B279" s="113" t="s">
        <v>336</v>
      </c>
      <c r="C279" s="114" t="s">
        <v>453</v>
      </c>
      <c r="D279" s="272">
        <f>D277*1</f>
        <v>9.4359999999999999</v>
      </c>
      <c r="F279" s="11">
        <v>1</v>
      </c>
    </row>
    <row r="280" spans="1:6" ht="15.9" customHeight="1">
      <c r="A280" s="114">
        <f t="shared" si="10"/>
        <v>4</v>
      </c>
      <c r="B280" s="320" t="s">
        <v>315</v>
      </c>
      <c r="C280" s="114" t="s">
        <v>328</v>
      </c>
      <c r="D280" s="272">
        <f>D277/40</f>
        <v>0.2359</v>
      </c>
    </row>
    <row r="281" spans="1:6" ht="15.9" customHeight="1">
      <c r="A281" s="114">
        <f t="shared" si="10"/>
        <v>5</v>
      </c>
      <c r="B281" s="321" t="s">
        <v>311</v>
      </c>
      <c r="C281" s="112" t="s">
        <v>329</v>
      </c>
      <c r="D281" s="272">
        <f>D277</f>
        <v>9.4359999999999999</v>
      </c>
    </row>
    <row r="282" spans="1:6" ht="15.9" customHeight="1">
      <c r="A282" s="114">
        <f t="shared" si="10"/>
        <v>6</v>
      </c>
      <c r="B282" s="322" t="s">
        <v>310</v>
      </c>
      <c r="C282" s="112" t="s">
        <v>453</v>
      </c>
      <c r="D282" s="272">
        <f>D277*1</f>
        <v>9.4359999999999999</v>
      </c>
      <c r="F282" s="11">
        <v>1</v>
      </c>
    </row>
    <row r="283" spans="1:6" ht="15.9" customHeight="1">
      <c r="A283" s="114">
        <f t="shared" si="10"/>
        <v>7</v>
      </c>
      <c r="B283" s="321" t="s">
        <v>312</v>
      </c>
      <c r="C283" s="112" t="s">
        <v>453</v>
      </c>
      <c r="D283" s="272">
        <f>D277*1</f>
        <v>9.4359999999999999</v>
      </c>
      <c r="E283" s="341"/>
      <c r="F283" s="11">
        <v>1</v>
      </c>
    </row>
    <row r="284" spans="1:6" ht="15.9" customHeight="1">
      <c r="A284" s="114">
        <f t="shared" si="10"/>
        <v>8</v>
      </c>
      <c r="B284" s="321" t="s">
        <v>330</v>
      </c>
      <c r="C284" s="112" t="s">
        <v>331</v>
      </c>
      <c r="D284" s="272">
        <f>'coc tiêu,km, biển báo'!C12*5/100</f>
        <v>0.2</v>
      </c>
    </row>
    <row r="285" spans="1:6" ht="15.9" customHeight="1">
      <c r="A285" s="114">
        <f t="shared" si="10"/>
        <v>9</v>
      </c>
      <c r="B285" s="321" t="s">
        <v>314</v>
      </c>
      <c r="C285" s="112" t="s">
        <v>332</v>
      </c>
      <c r="D285" s="272">
        <f>'coc tiêu,km, biển báo'!D12*2/100</f>
        <v>0</v>
      </c>
    </row>
    <row r="286" spans="1:6" ht="15.9" customHeight="1">
      <c r="A286" s="114">
        <f t="shared" si="10"/>
        <v>10</v>
      </c>
      <c r="B286" s="321" t="s">
        <v>509</v>
      </c>
      <c r="C286" s="112" t="s">
        <v>510</v>
      </c>
      <c r="D286" s="272">
        <f>D277*1000*2/100</f>
        <v>188.72</v>
      </c>
    </row>
    <row r="287" spans="1:6" ht="15.9" customHeight="1">
      <c r="A287" s="114">
        <f t="shared" si="10"/>
        <v>11</v>
      </c>
      <c r="B287" s="321" t="s">
        <v>512</v>
      </c>
      <c r="C287" s="112" t="s">
        <v>513</v>
      </c>
      <c r="D287" s="272">
        <f>D277*1</f>
        <v>9.4359999999999999</v>
      </c>
      <c r="F287" s="11">
        <v>1</v>
      </c>
    </row>
    <row r="288" spans="1:6" ht="15.9" customHeight="1">
      <c r="A288" s="114">
        <f t="shared" si="10"/>
        <v>12</v>
      </c>
      <c r="B288" s="321" t="s">
        <v>515</v>
      </c>
      <c r="C288" s="112" t="s">
        <v>5</v>
      </c>
      <c r="D288" s="272">
        <f>'Mặt biển phàn quang 1'!D14*1</f>
        <v>68.328999999999994</v>
      </c>
      <c r="F288" s="11">
        <v>1</v>
      </c>
    </row>
    <row r="289" spans="1:10" ht="22.5" customHeight="1">
      <c r="A289" s="114"/>
      <c r="B289" s="324" t="s">
        <v>382</v>
      </c>
      <c r="C289" s="325"/>
      <c r="D289" s="272"/>
      <c r="G289" s="312"/>
      <c r="H289" s="326"/>
    </row>
    <row r="290" spans="1:10" ht="15.9" customHeight="1">
      <c r="A290" s="114">
        <v>13</v>
      </c>
      <c r="B290" s="327" t="s">
        <v>316</v>
      </c>
      <c r="C290" s="112" t="s">
        <v>455</v>
      </c>
      <c r="D290" s="272">
        <f>'KLCT MC+KCG'!E40/10*1</f>
        <v>27.25</v>
      </c>
      <c r="F290" s="11">
        <v>1</v>
      </c>
      <c r="J290" s="312"/>
    </row>
    <row r="291" spans="1:10" ht="15.9" customHeight="1">
      <c r="A291" s="114">
        <f t="shared" si="10"/>
        <v>14</v>
      </c>
      <c r="B291" s="321" t="s">
        <v>317</v>
      </c>
      <c r="C291" s="112" t="s">
        <v>333</v>
      </c>
      <c r="D291" s="272">
        <f>'KLCT MC+KCG'!H40*1</f>
        <v>45</v>
      </c>
    </row>
    <row r="292" spans="1:10" ht="15.9" customHeight="1">
      <c r="A292" s="114">
        <f t="shared" si="10"/>
        <v>15</v>
      </c>
      <c r="B292" s="323" t="s">
        <v>318</v>
      </c>
      <c r="C292" s="112" t="s">
        <v>5</v>
      </c>
      <c r="D292" s="272">
        <f>'KLCT VSM +PQCD'!V41*1</f>
        <v>4</v>
      </c>
      <c r="F292" s="11">
        <v>1</v>
      </c>
    </row>
    <row r="293" spans="1:10" ht="15.9" customHeight="1">
      <c r="A293" s="114">
        <f t="shared" si="10"/>
        <v>16</v>
      </c>
      <c r="B293" s="323" t="s">
        <v>319</v>
      </c>
      <c r="C293" s="114" t="s">
        <v>34</v>
      </c>
      <c r="D293" s="272">
        <f>'KLCT VSM +PQCD'!I41/100*1</f>
        <v>0.1</v>
      </c>
      <c r="F293" s="11">
        <v>1</v>
      </c>
    </row>
    <row r="294" spans="1:10" ht="20.25" customHeight="1">
      <c r="A294" s="114"/>
      <c r="B294" s="319" t="s">
        <v>380</v>
      </c>
      <c r="C294" s="328"/>
      <c r="D294" s="272"/>
    </row>
    <row r="295" spans="1:10" ht="18.75" customHeight="1">
      <c r="A295" s="114"/>
      <c r="B295" s="319" t="s">
        <v>337</v>
      </c>
      <c r="C295" s="328"/>
      <c r="D295" s="272"/>
      <c r="J295" s="329"/>
    </row>
    <row r="296" spans="1:10" ht="15.9" customHeight="1">
      <c r="A296" s="114">
        <v>17</v>
      </c>
      <c r="B296" s="330" t="s">
        <v>321</v>
      </c>
      <c r="C296" s="112" t="s">
        <v>334</v>
      </c>
      <c r="D296" s="272">
        <f>'số lượng cầu'!D36*1</f>
        <v>9</v>
      </c>
      <c r="F296" s="11">
        <v>1</v>
      </c>
      <c r="J296" s="329"/>
    </row>
    <row r="297" spans="1:10" ht="15.9" customHeight="1">
      <c r="A297" s="114">
        <f t="shared" si="10"/>
        <v>18</v>
      </c>
      <c r="B297" s="327" t="s">
        <v>322</v>
      </c>
      <c r="C297" s="112" t="s">
        <v>334</v>
      </c>
      <c r="D297" s="272">
        <f>'số lượng cầu'!D36*1</f>
        <v>9</v>
      </c>
    </row>
    <row r="298" spans="1:10" ht="15.9" customHeight="1">
      <c r="A298" s="337">
        <f t="shared" si="10"/>
        <v>19</v>
      </c>
      <c r="B298" s="331" t="s">
        <v>323</v>
      </c>
      <c r="C298" s="332" t="s">
        <v>334</v>
      </c>
      <c r="D298" s="333">
        <f>'số lượng cầu'!D36</f>
        <v>9</v>
      </c>
      <c r="G298" s="350"/>
    </row>
    <row r="299" spans="1:10" ht="48.75" customHeight="1">
      <c r="A299" s="353" t="s">
        <v>353</v>
      </c>
      <c r="B299" s="334" t="s">
        <v>518</v>
      </c>
      <c r="C299" s="334"/>
      <c r="D299" s="335"/>
    </row>
    <row r="300" spans="1:10" ht="21.75" customHeight="1">
      <c r="A300" s="318"/>
      <c r="B300" s="319" t="s">
        <v>379</v>
      </c>
      <c r="C300" s="114"/>
      <c r="D300" s="272"/>
    </row>
    <row r="301" spans="1:10" ht="15.9" customHeight="1">
      <c r="A301" s="114">
        <v>1</v>
      </c>
      <c r="B301" s="113" t="s">
        <v>307</v>
      </c>
      <c r="C301" s="114" t="s">
        <v>309</v>
      </c>
      <c r="D301" s="272">
        <f>(THCĐ!H20+THCĐ!H19+THCĐ!H16+THCĐ!H15)</f>
        <v>42.968100000000007</v>
      </c>
    </row>
    <row r="302" spans="1:10" ht="15.9" customHeight="1">
      <c r="A302" s="114">
        <f>+A301+1</f>
        <v>2</v>
      </c>
      <c r="B302" s="113" t="s">
        <v>308</v>
      </c>
      <c r="C302" s="114" t="s">
        <v>456</v>
      </c>
      <c r="D302" s="272">
        <v>12</v>
      </c>
    </row>
    <row r="303" spans="1:10" ht="32.25" customHeight="1">
      <c r="A303" s="114">
        <f t="shared" ref="A303:A330" si="11">+A302+1</f>
        <v>3</v>
      </c>
      <c r="B303" s="113" t="s">
        <v>336</v>
      </c>
      <c r="C303" s="114" t="s">
        <v>453</v>
      </c>
      <c r="D303" s="272">
        <f>D301*1</f>
        <v>42.968100000000007</v>
      </c>
      <c r="F303" s="11">
        <v>1</v>
      </c>
    </row>
    <row r="304" spans="1:10" ht="15.9" customHeight="1">
      <c r="A304" s="114">
        <f t="shared" si="11"/>
        <v>4</v>
      </c>
      <c r="B304" s="320" t="s">
        <v>315</v>
      </c>
      <c r="C304" s="114" t="s">
        <v>328</v>
      </c>
      <c r="D304" s="272">
        <f>D301/40</f>
        <v>1.0742025000000002</v>
      </c>
    </row>
    <row r="305" spans="1:10" ht="15.9" customHeight="1">
      <c r="A305" s="114">
        <f t="shared" si="11"/>
        <v>5</v>
      </c>
      <c r="B305" s="321" t="s">
        <v>311</v>
      </c>
      <c r="C305" s="112" t="s">
        <v>309</v>
      </c>
      <c r="D305" s="272">
        <f>D301</f>
        <v>42.968100000000007</v>
      </c>
    </row>
    <row r="306" spans="1:10" ht="15.9" customHeight="1">
      <c r="A306" s="114">
        <f t="shared" si="11"/>
        <v>6</v>
      </c>
      <c r="B306" s="322" t="s">
        <v>310</v>
      </c>
      <c r="C306" s="112" t="s">
        <v>453</v>
      </c>
      <c r="D306" s="272">
        <f>D301*1</f>
        <v>42.968100000000007</v>
      </c>
      <c r="E306" s="1131"/>
      <c r="F306" s="11">
        <v>1</v>
      </c>
    </row>
    <row r="307" spans="1:10" ht="15.9" customHeight="1">
      <c r="A307" s="114">
        <f t="shared" si="11"/>
        <v>7</v>
      </c>
      <c r="B307" s="321" t="s">
        <v>312</v>
      </c>
      <c r="C307" s="112" t="s">
        <v>453</v>
      </c>
      <c r="D307" s="272">
        <f>D301*1</f>
        <v>42.968100000000007</v>
      </c>
      <c r="E307" s="341"/>
      <c r="F307" s="11">
        <v>1</v>
      </c>
    </row>
    <row r="308" spans="1:10" ht="15.9" customHeight="1">
      <c r="A308" s="114">
        <f t="shared" si="11"/>
        <v>8</v>
      </c>
      <c r="B308" s="321" t="s">
        <v>383</v>
      </c>
      <c r="C308" s="112" t="s">
        <v>384</v>
      </c>
      <c r="D308" s="272">
        <f>'TH rãnh kín'!C23/10</f>
        <v>246.05</v>
      </c>
      <c r="F308" s="341"/>
    </row>
    <row r="309" spans="1:10" ht="15.9" customHeight="1">
      <c r="A309" s="114">
        <f t="shared" si="11"/>
        <v>9</v>
      </c>
      <c r="B309" s="321" t="s">
        <v>330</v>
      </c>
      <c r="C309" s="112" t="s">
        <v>331</v>
      </c>
      <c r="D309" s="272">
        <f>('coc tiêu,km, biển báo'!C13+'coc tiêu,km, biển báo'!C14+'coc tiêu,km, biển báo'!C15)*5/100</f>
        <v>11.55</v>
      </c>
      <c r="F309" s="349"/>
    </row>
    <row r="310" spans="1:10" ht="15.9" customHeight="1">
      <c r="A310" s="114">
        <f t="shared" si="11"/>
        <v>10</v>
      </c>
      <c r="B310" s="323" t="s">
        <v>313</v>
      </c>
      <c r="C310" s="112" t="s">
        <v>332</v>
      </c>
      <c r="D310" s="272">
        <f>('coc tiêu,km, biển báo'!D13+'coc tiêu,km, biển báo'!D14+'coc tiêu,km, biển báo'!D15)*2/100</f>
        <v>0.16</v>
      </c>
      <c r="F310" s="349"/>
    </row>
    <row r="311" spans="1:10" ht="15.9" customHeight="1">
      <c r="A311" s="114">
        <f t="shared" si="11"/>
        <v>11</v>
      </c>
      <c r="B311" s="321" t="s">
        <v>314</v>
      </c>
      <c r="C311" s="112" t="s">
        <v>332</v>
      </c>
      <c r="D311" s="272">
        <f>('coc tiêu,km, biển báo'!E13+'coc tiêu,km, biển báo'!E14+'coc tiêu,km, biển báo'!E15)*2/100</f>
        <v>13.78</v>
      </c>
      <c r="F311" s="349"/>
    </row>
    <row r="312" spans="1:10" ht="15.9" customHeight="1">
      <c r="A312" s="114">
        <v>12</v>
      </c>
      <c r="B312" s="321" t="s">
        <v>515</v>
      </c>
      <c r="C312" s="112" t="s">
        <v>5</v>
      </c>
      <c r="D312" s="272">
        <f>'Mặt biển phàn quang 1'!D15*1</f>
        <v>300.28399999999999</v>
      </c>
      <c r="F312" s="11">
        <v>1</v>
      </c>
      <c r="J312" s="312"/>
    </row>
    <row r="313" spans="1:10" ht="24" customHeight="1">
      <c r="A313" s="114"/>
      <c r="B313" s="324" t="s">
        <v>382</v>
      </c>
      <c r="C313" s="325"/>
      <c r="D313" s="272"/>
      <c r="F313" s="312"/>
      <c r="G313" s="312"/>
      <c r="H313" s="326"/>
    </row>
    <row r="314" spans="1:10" ht="15.9" customHeight="1">
      <c r="A314" s="114">
        <v>13</v>
      </c>
      <c r="B314" s="327" t="s">
        <v>316</v>
      </c>
      <c r="C314" s="112" t="s">
        <v>455</v>
      </c>
      <c r="D314" s="272">
        <f>('KLCT MC+KCG'!E45+'KLCT MC+KCG'!E46+'KLCT MC+KCG'!E144+'KLCT MC+KCG'!E156)/10*1</f>
        <v>796.74529999999993</v>
      </c>
      <c r="E314" s="989"/>
      <c r="F314" s="1129">
        <v>1</v>
      </c>
    </row>
    <row r="315" spans="1:10" ht="15.9" customHeight="1">
      <c r="A315" s="114">
        <v>14</v>
      </c>
      <c r="B315" s="321" t="s">
        <v>317</v>
      </c>
      <c r="C315" s="112" t="s">
        <v>333</v>
      </c>
      <c r="D315" s="272">
        <f>('KLCT MC+KCG'!H45+'KLCT MC+KCG'!H46+'KLCT MC+KCG'!H144+'KLCT MC+KCG'!H156)*1</f>
        <v>457.08000000000004</v>
      </c>
      <c r="E315" s="989"/>
    </row>
    <row r="316" spans="1:10" ht="15.9" customHeight="1">
      <c r="A316" s="114">
        <v>15</v>
      </c>
      <c r="B316" s="323" t="s">
        <v>318</v>
      </c>
      <c r="C316" s="112" t="s">
        <v>5</v>
      </c>
      <c r="D316" s="272">
        <f>('KLCT VSM +PQCD'!V46+'KLCT VSM +PQCD'!V47+'KLCT VSM +PQCD'!V145+'KLCT VSM +PQCD'!V157)*1</f>
        <v>405.5</v>
      </c>
      <c r="F316" s="11">
        <v>1</v>
      </c>
    </row>
    <row r="317" spans="1:10" ht="15.9" customHeight="1">
      <c r="A317" s="114">
        <v>16</v>
      </c>
      <c r="B317" s="323" t="s">
        <v>319</v>
      </c>
      <c r="C317" s="114" t="s">
        <v>34</v>
      </c>
      <c r="D317" s="272">
        <f>('KLCT VSM +PQCD'!I46+'KLCT VSM +PQCD'!I47+'KLCT VSM +PQCD'!I145+'KLCT VSM +PQCD'!I157)/100*1</f>
        <v>7.5910000000000002</v>
      </c>
      <c r="F317" s="1129">
        <v>1</v>
      </c>
      <c r="J317" s="329"/>
    </row>
    <row r="318" spans="1:10" ht="21.75" customHeight="1">
      <c r="A318" s="114"/>
      <c r="B318" s="319" t="s">
        <v>380</v>
      </c>
      <c r="C318" s="328"/>
      <c r="D318" s="272"/>
      <c r="J318" s="329"/>
    </row>
    <row r="319" spans="1:10" ht="21" customHeight="1">
      <c r="A319" s="114"/>
      <c r="B319" s="319" t="s">
        <v>337</v>
      </c>
      <c r="C319" s="328"/>
      <c r="D319" s="272"/>
    </row>
    <row r="320" spans="1:10" ht="15.9" customHeight="1">
      <c r="A320" s="114">
        <v>17</v>
      </c>
      <c r="B320" s="330" t="s">
        <v>321</v>
      </c>
      <c r="C320" s="112" t="s">
        <v>334</v>
      </c>
      <c r="D320" s="272">
        <f>('số lượng cầu'!D145+'số lượng cầu'!D157+'số lượng cầu'!D46+'số lượng cầu'!D47)*1</f>
        <v>14</v>
      </c>
      <c r="F320" s="11">
        <v>1</v>
      </c>
    </row>
    <row r="321" spans="1:8" ht="15.9" customHeight="1">
      <c r="A321" s="114">
        <f t="shared" si="11"/>
        <v>18</v>
      </c>
      <c r="B321" s="327" t="s">
        <v>322</v>
      </c>
      <c r="C321" s="112" t="s">
        <v>334</v>
      </c>
      <c r="D321" s="272">
        <f>('số lượng cầu'!D145+'số lượng cầu'!D157+'số lượng cầu'!D46+'số lượng cầu'!D47)*1</f>
        <v>14</v>
      </c>
    </row>
    <row r="322" spans="1:8" ht="15.9" customHeight="1">
      <c r="A322" s="114">
        <f t="shared" si="11"/>
        <v>19</v>
      </c>
      <c r="B322" s="327" t="s">
        <v>323</v>
      </c>
      <c r="C322" s="112" t="s">
        <v>334</v>
      </c>
      <c r="D322" s="272">
        <f>'số lượng cầu'!D145+'số lượng cầu'!D157+'số lượng cầu'!D46+'số lượng cầu'!D47</f>
        <v>14</v>
      </c>
      <c r="G322" s="350"/>
    </row>
    <row r="323" spans="1:8" ht="21.75" customHeight="1">
      <c r="A323" s="114"/>
      <c r="B323" s="319" t="s">
        <v>338</v>
      </c>
      <c r="C323" s="328"/>
      <c r="D323" s="272"/>
    </row>
    <row r="324" spans="1:8" ht="15.9" customHeight="1">
      <c r="A324" s="114">
        <v>20</v>
      </c>
      <c r="B324" s="330" t="s">
        <v>321</v>
      </c>
      <c r="C324" s="112" t="s">
        <v>334</v>
      </c>
      <c r="D324" s="272">
        <f>('số lượng cầu'!E145+'số lượng cầu'!E157+'số lượng cầu'!E46+'số lượng cầu'!E47)*1</f>
        <v>4</v>
      </c>
      <c r="F324" s="11">
        <v>1</v>
      </c>
    </row>
    <row r="325" spans="1:8" ht="15.9" customHeight="1">
      <c r="A325" s="114">
        <f t="shared" si="11"/>
        <v>21</v>
      </c>
      <c r="B325" s="327" t="s">
        <v>322</v>
      </c>
      <c r="C325" s="112" t="s">
        <v>334</v>
      </c>
      <c r="D325" s="272">
        <f>('số lượng cầu'!E145+'số lượng cầu'!E157+'số lượng cầu'!E46+'số lượng cầu'!E47)*1</f>
        <v>4</v>
      </c>
    </row>
    <row r="326" spans="1:8" ht="15.9" customHeight="1">
      <c r="A326" s="114">
        <f t="shared" si="11"/>
        <v>22</v>
      </c>
      <c r="B326" s="327" t="s">
        <v>323</v>
      </c>
      <c r="C326" s="112" t="s">
        <v>334</v>
      </c>
      <c r="D326" s="272">
        <f>('số lượng cầu'!E145+'số lượng cầu'!E157+'số lượng cầu'!E46+'số lượng cầu'!E47)</f>
        <v>4</v>
      </c>
    </row>
    <row r="327" spans="1:8" ht="17.25" customHeight="1">
      <c r="A327" s="114"/>
      <c r="B327" s="319" t="s">
        <v>339</v>
      </c>
      <c r="C327" s="328"/>
      <c r="D327" s="272"/>
    </row>
    <row r="328" spans="1:8" ht="15.9" customHeight="1">
      <c r="A328" s="114">
        <v>23</v>
      </c>
      <c r="B328" s="330" t="s">
        <v>321</v>
      </c>
      <c r="C328" s="112" t="s">
        <v>334</v>
      </c>
      <c r="D328" s="272">
        <f>('số lượng cầu'!F145+'số lượng cầu'!F157+'số lượng cầu'!F46+'số lượng cầu'!F47)*1</f>
        <v>2</v>
      </c>
      <c r="F328" s="11">
        <v>1</v>
      </c>
    </row>
    <row r="329" spans="1:8" ht="15.9" customHeight="1">
      <c r="A329" s="114">
        <f t="shared" si="11"/>
        <v>24</v>
      </c>
      <c r="B329" s="327" t="s">
        <v>322</v>
      </c>
      <c r="C329" s="112" t="s">
        <v>334</v>
      </c>
      <c r="D329" s="272">
        <f>('số lượng cầu'!F145+'số lượng cầu'!F157+'số lượng cầu'!F46+'số lượng cầu'!F47)*1</f>
        <v>2</v>
      </c>
    </row>
    <row r="330" spans="1:8" ht="15.9" customHeight="1">
      <c r="A330" s="337">
        <f t="shared" si="11"/>
        <v>25</v>
      </c>
      <c r="B330" s="331" t="s">
        <v>323</v>
      </c>
      <c r="C330" s="332" t="s">
        <v>334</v>
      </c>
      <c r="D330" s="333">
        <f>('số lượng cầu'!F145+'số lượng cầu'!F157+'số lượng cầu'!F46+'số lượng cầu'!F47)</f>
        <v>2</v>
      </c>
    </row>
    <row r="331" spans="1:8" ht="32.25" customHeight="1">
      <c r="A331" s="353" t="s">
        <v>342</v>
      </c>
      <c r="B331" s="354" t="s">
        <v>343</v>
      </c>
      <c r="C331" s="339"/>
      <c r="D331" s="335"/>
      <c r="H331" s="1128">
        <f>THKP!I53</f>
        <v>7139083979.3707371</v>
      </c>
    </row>
    <row r="332" spans="1:8" ht="15.9" customHeight="1">
      <c r="A332" s="112">
        <v>1</v>
      </c>
      <c r="B332" s="340" t="s">
        <v>344</v>
      </c>
      <c r="C332" s="112" t="s">
        <v>1011</v>
      </c>
      <c r="D332" s="272">
        <f>'TH phao,'!F38*4</f>
        <v>88</v>
      </c>
      <c r="F332" s="341">
        <v>4</v>
      </c>
      <c r="G332" s="342"/>
    </row>
    <row r="333" spans="1:8" ht="15.9" customHeight="1">
      <c r="A333" s="112">
        <v>2</v>
      </c>
      <c r="B333" s="340" t="s">
        <v>345</v>
      </c>
      <c r="C333" s="112" t="s">
        <v>1011</v>
      </c>
      <c r="D333" s="272">
        <f>'TH phao,'!G38*4</f>
        <v>48</v>
      </c>
      <c r="E333" s="338"/>
      <c r="F333" s="341">
        <v>4</v>
      </c>
      <c r="G333" s="342"/>
    </row>
    <row r="334" spans="1:8" ht="15.9" customHeight="1">
      <c r="A334" s="112">
        <v>3</v>
      </c>
      <c r="B334" s="340" t="s">
        <v>324</v>
      </c>
      <c r="C334" s="112" t="s">
        <v>1011</v>
      </c>
      <c r="D334" s="272">
        <f>D332*6</f>
        <v>528</v>
      </c>
      <c r="F334" s="341">
        <v>4</v>
      </c>
      <c r="G334" s="342"/>
    </row>
    <row r="335" spans="1:8" ht="15.9" customHeight="1">
      <c r="A335" s="112">
        <v>4</v>
      </c>
      <c r="B335" s="340" t="s">
        <v>325</v>
      </c>
      <c r="C335" s="112" t="s">
        <v>1011</v>
      </c>
      <c r="D335" s="272">
        <f>D333*6</f>
        <v>288</v>
      </c>
      <c r="F335" s="341">
        <v>4</v>
      </c>
      <c r="G335" s="342"/>
    </row>
    <row r="336" spans="1:8" ht="15.9" customHeight="1">
      <c r="A336" s="112">
        <v>5</v>
      </c>
      <c r="B336" s="340" t="s">
        <v>1039</v>
      </c>
      <c r="C336" s="112" t="s">
        <v>1012</v>
      </c>
      <c r="D336" s="272">
        <f>1*18</f>
        <v>18</v>
      </c>
      <c r="F336" s="341">
        <v>12</v>
      </c>
      <c r="G336" s="341"/>
    </row>
    <row r="337" spans="1:7" ht="15.9" customHeight="1">
      <c r="A337" s="112">
        <v>6</v>
      </c>
      <c r="B337" s="340" t="s">
        <v>327</v>
      </c>
      <c r="C337" s="139" t="s">
        <v>1040</v>
      </c>
      <c r="D337" s="272">
        <v>1</v>
      </c>
      <c r="F337" s="341">
        <v>1</v>
      </c>
      <c r="G337" s="341"/>
    </row>
    <row r="338" spans="1:7" ht="15.9" customHeight="1">
      <c r="A338" s="332">
        <v>7</v>
      </c>
      <c r="B338" s="343" t="s">
        <v>326</v>
      </c>
      <c r="C338" s="332" t="s">
        <v>1013</v>
      </c>
      <c r="D338" s="333">
        <f>('TH BH'!F139-'TH BH'!H139-'TH BH'!I139)*2</f>
        <v>180</v>
      </c>
      <c r="F338" s="341">
        <v>2</v>
      </c>
      <c r="G338" s="341"/>
    </row>
    <row r="340" spans="1:7" ht="16.8">
      <c r="A340" s="11"/>
      <c r="B340" s="1312" t="s">
        <v>1032</v>
      </c>
      <c r="C340" s="1312"/>
      <c r="D340" s="1312"/>
    </row>
    <row r="341" spans="1:7" ht="16.8">
      <c r="B341" s="1311" t="s">
        <v>1016</v>
      </c>
      <c r="C341" s="1311"/>
      <c r="D341" s="1311"/>
      <c r="E341" s="781"/>
    </row>
    <row r="342" spans="1:7" ht="16.8">
      <c r="B342" s="1130"/>
      <c r="C342" s="1130"/>
      <c r="D342" s="1130"/>
      <c r="E342" s="1130"/>
    </row>
    <row r="343" spans="1:7" ht="16.8">
      <c r="B343" s="1130"/>
      <c r="C343" s="1130"/>
      <c r="D343" s="1130"/>
      <c r="E343" s="1130"/>
    </row>
    <row r="344" spans="1:7" ht="16.8">
      <c r="B344" s="1130"/>
      <c r="C344" s="1130"/>
      <c r="D344" s="1130"/>
      <c r="E344" s="1130"/>
    </row>
    <row r="345" spans="1:7" ht="16.8">
      <c r="B345" s="1130"/>
      <c r="C345" s="1130"/>
      <c r="D345" s="1130"/>
      <c r="E345" s="1130"/>
    </row>
    <row r="346" spans="1:7" ht="16.8">
      <c r="B346" s="1130"/>
      <c r="C346" s="1130"/>
      <c r="D346" s="1130"/>
      <c r="E346" s="1130"/>
    </row>
    <row r="347" spans="1:7" ht="16.8">
      <c r="B347" s="1311" t="s">
        <v>1015</v>
      </c>
      <c r="C347" s="1311"/>
      <c r="D347" s="1311"/>
    </row>
    <row r="357" spans="7:9">
      <c r="G357" s="1081" t="s">
        <v>307</v>
      </c>
      <c r="H357" s="1072">
        <v>365</v>
      </c>
      <c r="I357" s="392" t="s">
        <v>1019</v>
      </c>
    </row>
    <row r="358" spans="7:9" ht="26.4">
      <c r="G358" s="1081" t="s">
        <v>308</v>
      </c>
      <c r="H358" s="1072">
        <v>1</v>
      </c>
      <c r="I358" s="392" t="s">
        <v>1020</v>
      </c>
    </row>
    <row r="359" spans="7:9" ht="66">
      <c r="G359" s="1081" t="s">
        <v>336</v>
      </c>
      <c r="H359" s="1072">
        <v>14</v>
      </c>
      <c r="I359" s="392" t="s">
        <v>1021</v>
      </c>
    </row>
    <row r="360" spans="7:9">
      <c r="G360" s="1082" t="s">
        <v>315</v>
      </c>
      <c r="H360" s="1073">
        <v>40</v>
      </c>
      <c r="I360" s="392" t="s">
        <v>1022</v>
      </c>
    </row>
    <row r="361" spans="7:9" ht="52.8">
      <c r="G361" s="1083" t="s">
        <v>311</v>
      </c>
      <c r="H361" s="1073">
        <v>1</v>
      </c>
      <c r="I361" s="392" t="s">
        <v>1022</v>
      </c>
    </row>
    <row r="362" spans="7:9">
      <c r="G362" s="1084" t="s">
        <v>310</v>
      </c>
      <c r="H362" s="1073">
        <v>6</v>
      </c>
      <c r="I362" s="392" t="s">
        <v>1021</v>
      </c>
    </row>
    <row r="363" spans="7:9" ht="52.8">
      <c r="G363" s="1083" t="s">
        <v>1031</v>
      </c>
      <c r="H363" s="1072">
        <v>2</v>
      </c>
      <c r="I363" s="392" t="s">
        <v>1021</v>
      </c>
    </row>
    <row r="364" spans="7:9" ht="26.4">
      <c r="G364" s="1083" t="s">
        <v>330</v>
      </c>
      <c r="H364" s="1074">
        <v>0.05</v>
      </c>
      <c r="I364" s="392" t="s">
        <v>1023</v>
      </c>
    </row>
    <row r="365" spans="7:9">
      <c r="G365" s="1085" t="s">
        <v>313</v>
      </c>
      <c r="H365" s="1074">
        <v>0.02</v>
      </c>
      <c r="I365" s="392" t="s">
        <v>1024</v>
      </c>
    </row>
    <row r="366" spans="7:9" ht="26.4">
      <c r="G366" s="1083" t="s">
        <v>314</v>
      </c>
      <c r="H366" s="1074">
        <v>0.02</v>
      </c>
      <c r="I366" s="392" t="s">
        <v>1025</v>
      </c>
    </row>
    <row r="367" spans="7:9" ht="26.4">
      <c r="G367" s="1083" t="s">
        <v>509</v>
      </c>
      <c r="H367" s="1072">
        <v>1</v>
      </c>
      <c r="I367" s="392" t="s">
        <v>1021</v>
      </c>
    </row>
    <row r="368" spans="7:9" ht="39.6">
      <c r="G368" s="1083" t="s">
        <v>512</v>
      </c>
      <c r="H368" s="1075" t="s">
        <v>1026</v>
      </c>
      <c r="I368" s="392" t="s">
        <v>1027</v>
      </c>
    </row>
    <row r="369" spans="7:9" ht="26.4">
      <c r="G369" s="1083" t="s">
        <v>515</v>
      </c>
      <c r="H369" s="1072">
        <v>2</v>
      </c>
      <c r="I369" s="392" t="s">
        <v>1021</v>
      </c>
    </row>
    <row r="370" spans="7:9" ht="26.4">
      <c r="G370" s="1083" t="s">
        <v>383</v>
      </c>
      <c r="H370" s="1072">
        <v>1</v>
      </c>
      <c r="I370" s="392" t="s">
        <v>1021</v>
      </c>
    </row>
    <row r="371" spans="7:9" ht="52.8">
      <c r="G371" s="1086" t="s">
        <v>382</v>
      </c>
      <c r="H371" s="1076"/>
      <c r="I371" s="1077"/>
    </row>
    <row r="372" spans="7:9" ht="39.6">
      <c r="G372" s="1087" t="s">
        <v>316</v>
      </c>
      <c r="H372" s="1073">
        <v>6</v>
      </c>
      <c r="I372" s="392" t="s">
        <v>1021</v>
      </c>
    </row>
    <row r="373" spans="7:9" ht="26.4">
      <c r="G373" s="1083" t="s">
        <v>317</v>
      </c>
      <c r="H373" s="1072">
        <v>4</v>
      </c>
      <c r="I373" s="392" t="s">
        <v>1021</v>
      </c>
    </row>
    <row r="374" spans="7:9">
      <c r="G374" s="1085" t="s">
        <v>318</v>
      </c>
      <c r="H374" s="1072">
        <v>4</v>
      </c>
      <c r="I374" s="392" t="s">
        <v>1021</v>
      </c>
    </row>
    <row r="375" spans="7:9">
      <c r="G375" s="1085" t="s">
        <v>319</v>
      </c>
      <c r="H375" s="1073">
        <v>4</v>
      </c>
      <c r="I375" s="392" t="s">
        <v>1021</v>
      </c>
    </row>
    <row r="376" spans="7:9" ht="52.8">
      <c r="G376" s="1088" t="s">
        <v>380</v>
      </c>
      <c r="H376" s="1078"/>
      <c r="I376" s="1079"/>
    </row>
    <row r="377" spans="7:9">
      <c r="G377" s="1088" t="s">
        <v>337</v>
      </c>
      <c r="H377" s="1078"/>
      <c r="I377" s="1079"/>
    </row>
    <row r="378" spans="7:9">
      <c r="G378" s="1089" t="s">
        <v>321</v>
      </c>
      <c r="H378" s="1072">
        <v>1</v>
      </c>
      <c r="I378" s="392" t="s">
        <v>1028</v>
      </c>
    </row>
    <row r="379" spans="7:9" ht="39.6">
      <c r="G379" s="1087" t="s">
        <v>322</v>
      </c>
      <c r="H379" s="1072">
        <v>2</v>
      </c>
      <c r="I379" s="392" t="s">
        <v>1029</v>
      </c>
    </row>
    <row r="380" spans="7:9" ht="26.4">
      <c r="G380" s="1087" t="s">
        <v>323</v>
      </c>
      <c r="H380" s="1072"/>
      <c r="I380" s="392" t="s">
        <v>1030</v>
      </c>
    </row>
    <row r="381" spans="7:9" ht="26.4">
      <c r="G381" s="1088" t="s">
        <v>338</v>
      </c>
      <c r="H381" s="1078"/>
      <c r="I381" s="1080"/>
    </row>
    <row r="382" spans="7:9">
      <c r="G382" s="1089" t="s">
        <v>321</v>
      </c>
      <c r="H382" s="1072">
        <v>1</v>
      </c>
      <c r="I382" s="392" t="s">
        <v>1028</v>
      </c>
    </row>
    <row r="383" spans="7:9" ht="39.6">
      <c r="G383" s="1087" t="s">
        <v>322</v>
      </c>
      <c r="H383" s="1072">
        <v>2</v>
      </c>
      <c r="I383" s="392" t="s">
        <v>1029</v>
      </c>
    </row>
    <row r="384" spans="7:9" ht="26.4">
      <c r="G384" s="1087" t="s">
        <v>323</v>
      </c>
      <c r="H384" s="1072"/>
      <c r="I384" s="392" t="s">
        <v>1030</v>
      </c>
    </row>
    <row r="385" spans="7:9" ht="26.4">
      <c r="G385" s="1088" t="s">
        <v>339</v>
      </c>
      <c r="H385" s="1078"/>
      <c r="I385" s="1080"/>
    </row>
    <row r="386" spans="7:9">
      <c r="G386" s="1089" t="s">
        <v>321</v>
      </c>
      <c r="H386" s="1072">
        <v>1</v>
      </c>
      <c r="I386" s="392" t="s">
        <v>1028</v>
      </c>
    </row>
    <row r="387" spans="7:9" ht="39.6">
      <c r="G387" s="1087" t="s">
        <v>322</v>
      </c>
      <c r="H387" s="1072">
        <v>2</v>
      </c>
      <c r="I387" s="392" t="s">
        <v>1029</v>
      </c>
    </row>
    <row r="388" spans="7:9" ht="26.4">
      <c r="G388" s="1087" t="s">
        <v>323</v>
      </c>
      <c r="H388" s="1072"/>
      <c r="I388" s="392" t="s">
        <v>1030</v>
      </c>
    </row>
  </sheetData>
  <mergeCells count="5">
    <mergeCell ref="B347:D347"/>
    <mergeCell ref="B340:D340"/>
    <mergeCell ref="A2:D2"/>
    <mergeCell ref="A1:D1"/>
    <mergeCell ref="B341:D341"/>
  </mergeCells>
  <phoneticPr fontId="0" type="noConversion"/>
  <printOptions horizontalCentered="1"/>
  <pageMargins left="0.88" right="0.28999999999999998" top="0.65" bottom="0.68" header="0.23" footer="0.3"/>
  <pageSetup paperSize="9" orientation="portrait" horizontalDpi="180" verticalDpi="180" r:id="rId1"/>
  <headerFooter alignWithMargins="0">
    <oddFooter>&amp;C&amp;11&amp;A&amp;R&amp;11Trang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topLeftCell="A6" zoomScaleNormal="100" workbookViewId="0">
      <selection activeCell="F18" sqref="F18"/>
    </sheetView>
  </sheetViews>
  <sheetFormatPr defaultColWidth="8.90625" defaultRowHeight="13.8"/>
  <cols>
    <col min="1" max="1" width="5.81640625" style="6" customWidth="1"/>
    <col min="2" max="2" width="42.81640625" style="1" customWidth="1"/>
    <col min="3" max="3" width="10.81640625" style="6" customWidth="1"/>
    <col min="4" max="4" width="12.81640625" style="10" customWidth="1"/>
    <col min="5" max="5" width="11.453125" style="1" customWidth="1"/>
    <col min="6" max="6" width="8.81640625" style="1" customWidth="1"/>
    <col min="7" max="16384" width="8.90625" style="1"/>
  </cols>
  <sheetData>
    <row r="1" spans="1:7" ht="24" customHeight="1">
      <c r="A1" s="1315" t="s">
        <v>305</v>
      </c>
      <c r="B1" s="1315"/>
      <c r="C1" s="1315"/>
      <c r="D1" s="1315"/>
      <c r="E1" s="2"/>
      <c r="F1" s="2"/>
      <c r="G1" s="6"/>
    </row>
    <row r="2" spans="1:7" ht="20.100000000000001" customHeight="1">
      <c r="A2" s="1316" t="s">
        <v>285</v>
      </c>
      <c r="B2" s="1316"/>
      <c r="C2" s="1316"/>
      <c r="D2" s="1316"/>
      <c r="E2" s="2"/>
      <c r="F2" s="2"/>
      <c r="G2" s="6"/>
    </row>
    <row r="3" spans="1:7" ht="20.100000000000001" customHeight="1">
      <c r="A3" s="1316" t="s">
        <v>286</v>
      </c>
      <c r="B3" s="1316"/>
      <c r="C3" s="1316"/>
      <c r="D3" s="1316"/>
      <c r="E3" s="2"/>
      <c r="F3" s="2"/>
      <c r="G3" s="6"/>
    </row>
    <row r="4" spans="1:7" ht="13.5" customHeight="1">
      <c r="A4" s="15"/>
      <c r="B4" s="8"/>
      <c r="C4" s="15"/>
      <c r="D4" s="16"/>
    </row>
    <row r="5" spans="1:7" ht="36.75" customHeight="1">
      <c r="A5" s="179" t="s">
        <v>2</v>
      </c>
      <c r="B5" s="179" t="s">
        <v>7</v>
      </c>
      <c r="C5" s="179" t="s">
        <v>306</v>
      </c>
      <c r="D5" s="180" t="s">
        <v>13</v>
      </c>
    </row>
    <row r="6" spans="1:7" s="14" customFormat="1" ht="20.100000000000001" customHeight="1">
      <c r="A6" s="214"/>
      <c r="B6" s="192" t="s">
        <v>289</v>
      </c>
      <c r="C6" s="214"/>
      <c r="D6" s="215"/>
      <c r="E6" s="204"/>
    </row>
    <row r="7" spans="1:7" s="14" customFormat="1" ht="18" customHeight="1">
      <c r="A7" s="107"/>
      <c r="B7" s="183" t="s">
        <v>265</v>
      </c>
      <c r="C7" s="107"/>
      <c r="D7" s="182"/>
    </row>
    <row r="8" spans="1:7" s="14" customFormat="1" ht="18" customHeight="1">
      <c r="A8" s="107">
        <v>1</v>
      </c>
      <c r="B8" s="181" t="s">
        <v>266</v>
      </c>
      <c r="C8" s="107" t="s">
        <v>267</v>
      </c>
      <c r="D8" s="182">
        <v>6</v>
      </c>
    </row>
    <row r="9" spans="1:7" s="14" customFormat="1" ht="18" customHeight="1">
      <c r="A9" s="196"/>
      <c r="B9" s="183" t="s">
        <v>268</v>
      </c>
      <c r="C9" s="107"/>
      <c r="D9" s="182"/>
    </row>
    <row r="10" spans="1:7" s="14" customFormat="1" ht="18" customHeight="1">
      <c r="A10" s="196">
        <v>2</v>
      </c>
      <c r="B10" s="181" t="s">
        <v>269</v>
      </c>
      <c r="C10" s="107" t="s">
        <v>43</v>
      </c>
      <c r="D10" s="182">
        <v>1</v>
      </c>
    </row>
    <row r="11" spans="1:7" s="14" customFormat="1" ht="20.100000000000001" customHeight="1">
      <c r="A11" s="196"/>
      <c r="B11" s="218" t="s">
        <v>288</v>
      </c>
      <c r="C11" s="107"/>
      <c r="D11" s="193"/>
    </row>
    <row r="12" spans="1:7" s="14" customFormat="1" ht="18" customHeight="1">
      <c r="A12" s="197"/>
      <c r="B12" s="183" t="s">
        <v>270</v>
      </c>
      <c r="C12" s="107"/>
      <c r="D12" s="182"/>
    </row>
    <row r="13" spans="1:7" s="14" customFormat="1" ht="18" customHeight="1">
      <c r="A13" s="107">
        <v>3</v>
      </c>
      <c r="B13" s="181" t="s">
        <v>271</v>
      </c>
      <c r="C13" s="107" t="s">
        <v>43</v>
      </c>
      <c r="D13" s="182">
        <v>2</v>
      </c>
    </row>
    <row r="14" spans="1:7" s="14" customFormat="1" ht="18" customHeight="1">
      <c r="A14" s="196"/>
      <c r="B14" s="183" t="s">
        <v>272</v>
      </c>
      <c r="C14" s="107"/>
      <c r="D14" s="182"/>
    </row>
    <row r="15" spans="1:7" s="14" customFormat="1" ht="18" customHeight="1">
      <c r="A15" s="196">
        <v>4</v>
      </c>
      <c r="B15" s="181" t="s">
        <v>273</v>
      </c>
      <c r="C15" s="107" t="s">
        <v>43</v>
      </c>
      <c r="D15" s="182">
        <v>1</v>
      </c>
    </row>
    <row r="16" spans="1:7" ht="18" customHeight="1">
      <c r="A16" s="196">
        <v>5</v>
      </c>
      <c r="B16" s="181" t="s">
        <v>274</v>
      </c>
      <c r="C16" s="107" t="s">
        <v>275</v>
      </c>
      <c r="D16" s="182">
        <v>1</v>
      </c>
    </row>
    <row r="17" spans="1:5" ht="18" customHeight="1">
      <c r="A17" s="197"/>
      <c r="B17" s="183" t="s">
        <v>293</v>
      </c>
      <c r="C17" s="107"/>
      <c r="D17" s="182"/>
    </row>
    <row r="18" spans="1:5" ht="18" customHeight="1">
      <c r="A18" s="101">
        <v>6</v>
      </c>
      <c r="B18" s="181" t="s">
        <v>276</v>
      </c>
      <c r="C18" s="107" t="s">
        <v>17</v>
      </c>
      <c r="D18" s="182">
        <v>1</v>
      </c>
    </row>
    <row r="19" spans="1:5" ht="18" customHeight="1">
      <c r="A19" s="101">
        <v>7</v>
      </c>
      <c r="B19" s="181" t="s">
        <v>277</v>
      </c>
      <c r="C19" s="107" t="s">
        <v>43</v>
      </c>
      <c r="D19" s="182">
        <v>1</v>
      </c>
    </row>
    <row r="20" spans="1:5" ht="33.9" customHeight="1">
      <c r="A20" s="101"/>
      <c r="B20" s="183" t="s">
        <v>278</v>
      </c>
      <c r="C20" s="107"/>
      <c r="D20" s="182"/>
    </row>
    <row r="21" spans="1:5" ht="17.100000000000001" customHeight="1">
      <c r="A21" s="101">
        <v>8</v>
      </c>
      <c r="B21" s="181" t="s">
        <v>277</v>
      </c>
      <c r="C21" s="107" t="s">
        <v>43</v>
      </c>
      <c r="D21" s="182">
        <v>1</v>
      </c>
    </row>
    <row r="22" spans="1:5" ht="17.100000000000001" customHeight="1">
      <c r="A22" s="101"/>
      <c r="B22" s="183" t="s">
        <v>279</v>
      </c>
      <c r="C22" s="107"/>
      <c r="D22" s="182"/>
    </row>
    <row r="23" spans="1:5" ht="17.100000000000001" customHeight="1">
      <c r="A23" s="101">
        <v>9</v>
      </c>
      <c r="B23" s="181" t="s">
        <v>277</v>
      </c>
      <c r="C23" s="107" t="s">
        <v>43</v>
      </c>
      <c r="D23" s="182">
        <v>1</v>
      </c>
    </row>
    <row r="24" spans="1:5" ht="17.100000000000001" customHeight="1">
      <c r="A24" s="101"/>
      <c r="B24" s="183" t="s">
        <v>280</v>
      </c>
      <c r="C24" s="107"/>
      <c r="D24" s="182"/>
    </row>
    <row r="25" spans="1:5" ht="17.100000000000001" customHeight="1">
      <c r="A25" s="101">
        <v>10</v>
      </c>
      <c r="B25" s="181" t="s">
        <v>277</v>
      </c>
      <c r="C25" s="107" t="s">
        <v>43</v>
      </c>
      <c r="D25" s="182">
        <v>1</v>
      </c>
    </row>
    <row r="26" spans="1:5" ht="17.100000000000001" customHeight="1">
      <c r="A26" s="101"/>
      <c r="B26" s="183" t="s">
        <v>281</v>
      </c>
      <c r="C26" s="107"/>
      <c r="D26" s="182"/>
    </row>
    <row r="27" spans="1:5" ht="17.100000000000001" customHeight="1">
      <c r="A27" s="101">
        <v>11</v>
      </c>
      <c r="B27" s="181" t="s">
        <v>266</v>
      </c>
      <c r="C27" s="107" t="s">
        <v>267</v>
      </c>
      <c r="D27" s="182">
        <v>2</v>
      </c>
    </row>
    <row r="28" spans="1:5" ht="20.100000000000001" customHeight="1">
      <c r="A28" s="101"/>
      <c r="B28" s="218" t="s">
        <v>290</v>
      </c>
      <c r="C28" s="107"/>
      <c r="D28" s="193"/>
      <c r="E28" s="205"/>
    </row>
    <row r="29" spans="1:5" ht="32.1" customHeight="1">
      <c r="A29" s="101"/>
      <c r="B29" s="183" t="s">
        <v>282</v>
      </c>
      <c r="C29" s="107"/>
      <c r="D29" s="182"/>
    </row>
    <row r="30" spans="1:5" ht="17.100000000000001" customHeight="1">
      <c r="A30" s="101">
        <v>12</v>
      </c>
      <c r="B30" s="181" t="s">
        <v>269</v>
      </c>
      <c r="C30" s="107" t="s">
        <v>43</v>
      </c>
      <c r="D30" s="182">
        <v>1</v>
      </c>
    </row>
    <row r="31" spans="1:5" ht="17.100000000000001" customHeight="1">
      <c r="A31" s="101"/>
      <c r="B31" s="183" t="s">
        <v>283</v>
      </c>
      <c r="C31" s="107"/>
      <c r="D31" s="182"/>
    </row>
    <row r="32" spans="1:5" ht="17.100000000000001" customHeight="1">
      <c r="A32" s="101">
        <v>13</v>
      </c>
      <c r="B32" s="181" t="s">
        <v>269</v>
      </c>
      <c r="C32" s="107" t="s">
        <v>43</v>
      </c>
      <c r="D32" s="182">
        <v>1</v>
      </c>
    </row>
    <row r="33" spans="1:4" ht="17.100000000000001" customHeight="1">
      <c r="A33" s="101">
        <v>14</v>
      </c>
      <c r="B33" s="181" t="s">
        <v>266</v>
      </c>
      <c r="C33" s="107" t="s">
        <v>267</v>
      </c>
      <c r="D33" s="182">
        <v>5</v>
      </c>
    </row>
    <row r="34" spans="1:4" ht="36.75" customHeight="1">
      <c r="A34" s="101"/>
      <c r="B34" s="183" t="s">
        <v>284</v>
      </c>
      <c r="C34" s="107"/>
      <c r="D34" s="182"/>
    </row>
    <row r="35" spans="1:4" ht="21.9" customHeight="1">
      <c r="A35" s="101">
        <v>15</v>
      </c>
      <c r="B35" s="181" t="s">
        <v>269</v>
      </c>
      <c r="C35" s="107" t="s">
        <v>43</v>
      </c>
      <c r="D35" s="182">
        <v>1</v>
      </c>
    </row>
    <row r="36" spans="1:4" ht="21.9" customHeight="1">
      <c r="A36" s="211">
        <v>16</v>
      </c>
      <c r="B36" s="219" t="s">
        <v>266</v>
      </c>
      <c r="C36" s="220" t="s">
        <v>267</v>
      </c>
      <c r="D36" s="221">
        <v>4</v>
      </c>
    </row>
    <row r="37" spans="1:4" ht="21" customHeight="1"/>
  </sheetData>
  <mergeCells count="3">
    <mergeCell ref="A1:D1"/>
    <mergeCell ref="A2:D2"/>
    <mergeCell ref="A3:D3"/>
  </mergeCells>
  <phoneticPr fontId="49" type="noConversion"/>
  <pageMargins left="0.87" right="0.63" top="0.87" bottom="0.65" header="0.3" footer="0.38"/>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zoomScaleNormal="100" workbookViewId="0">
      <selection activeCell="B22" sqref="B22"/>
    </sheetView>
  </sheetViews>
  <sheetFormatPr defaultColWidth="8.90625" defaultRowHeight="13.8"/>
  <cols>
    <col min="1" max="1" width="3.6328125" style="6" customWidth="1"/>
    <col min="2" max="2" width="34.81640625" style="1" customWidth="1"/>
    <col min="3" max="3" width="6.81640625" style="6" customWidth="1"/>
    <col min="4" max="4" width="8.36328125" style="10" customWidth="1"/>
    <col min="5" max="5" width="10.81640625" style="10" customWidth="1"/>
    <col min="6" max="6" width="11.81640625" style="1" customWidth="1"/>
    <col min="7" max="7" width="11.453125" style="1" customWidth="1"/>
    <col min="8" max="8" width="8.81640625" style="1" customWidth="1"/>
    <col min="9" max="16384" width="8.90625" style="1"/>
  </cols>
  <sheetData>
    <row r="1" spans="1:9" ht="24" customHeight="1">
      <c r="A1" s="1315" t="s">
        <v>287</v>
      </c>
      <c r="B1" s="1315"/>
      <c r="C1" s="1315"/>
      <c r="D1" s="1315"/>
      <c r="E1" s="1315"/>
      <c r="F1" s="1315"/>
      <c r="G1" s="2"/>
      <c r="H1" s="2"/>
      <c r="I1" s="6"/>
    </row>
    <row r="2" spans="1:9" ht="18" customHeight="1">
      <c r="A2" s="1316" t="s">
        <v>285</v>
      </c>
      <c r="B2" s="1316"/>
      <c r="C2" s="1316"/>
      <c r="D2" s="1316"/>
      <c r="E2" s="1316"/>
      <c r="F2" s="1316"/>
      <c r="G2" s="2"/>
      <c r="H2" s="2"/>
      <c r="I2" s="6"/>
    </row>
    <row r="3" spans="1:9" ht="18" customHeight="1">
      <c r="A3" s="1316" t="s">
        <v>286</v>
      </c>
      <c r="B3" s="1316"/>
      <c r="C3" s="1316"/>
      <c r="D3" s="1316"/>
      <c r="E3" s="1316"/>
      <c r="F3" s="1316"/>
      <c r="G3" s="2"/>
      <c r="H3" s="2"/>
      <c r="I3" s="6"/>
    </row>
    <row r="4" spans="1:9" ht="13.5" customHeight="1">
      <c r="A4" s="15"/>
      <c r="B4" s="8"/>
      <c r="C4" s="15"/>
      <c r="D4" s="16"/>
      <c r="E4" s="16"/>
      <c r="F4" s="8"/>
    </row>
    <row r="5" spans="1:9" ht="36.75" customHeight="1">
      <c r="A5" s="179" t="s">
        <v>2</v>
      </c>
      <c r="B5" s="179" t="s">
        <v>7</v>
      </c>
      <c r="C5" s="179" t="s">
        <v>12</v>
      </c>
      <c r="D5" s="180" t="s">
        <v>13</v>
      </c>
      <c r="E5" s="212" t="s">
        <v>8</v>
      </c>
      <c r="F5" s="213" t="s">
        <v>9</v>
      </c>
    </row>
    <row r="6" spans="1:9" s="14" customFormat="1" ht="33.9" customHeight="1">
      <c r="A6" s="214"/>
      <c r="B6" s="192" t="s">
        <v>289</v>
      </c>
      <c r="C6" s="214"/>
      <c r="D6" s="215"/>
      <c r="E6" s="216"/>
      <c r="F6" s="217"/>
      <c r="G6" s="204"/>
    </row>
    <row r="7" spans="1:9" s="14" customFormat="1" ht="20.100000000000001" customHeight="1">
      <c r="A7" s="107"/>
      <c r="B7" s="183" t="s">
        <v>265</v>
      </c>
      <c r="C7" s="107"/>
      <c r="D7" s="182"/>
      <c r="E7" s="194"/>
      <c r="F7" s="195"/>
    </row>
    <row r="8" spans="1:9" s="14" customFormat="1" ht="18" customHeight="1">
      <c r="A8" s="107">
        <v>1</v>
      </c>
      <c r="B8" s="181" t="s">
        <v>266</v>
      </c>
      <c r="C8" s="107" t="s">
        <v>267</v>
      </c>
      <c r="D8" s="182">
        <v>6</v>
      </c>
      <c r="E8" s="194">
        <v>1660000</v>
      </c>
      <c r="F8" s="195">
        <f>D8*E8</f>
        <v>9960000</v>
      </c>
    </row>
    <row r="9" spans="1:9" s="14" customFormat="1" ht="20.100000000000001" customHeight="1">
      <c r="A9" s="196"/>
      <c r="B9" s="183" t="s">
        <v>268</v>
      </c>
      <c r="C9" s="107"/>
      <c r="D9" s="182"/>
      <c r="E9" s="194"/>
      <c r="F9" s="195"/>
    </row>
    <row r="10" spans="1:9" s="14" customFormat="1" ht="18" customHeight="1">
      <c r="A10" s="196">
        <v>2</v>
      </c>
      <c r="B10" s="181" t="s">
        <v>269</v>
      </c>
      <c r="C10" s="107" t="s">
        <v>43</v>
      </c>
      <c r="D10" s="182">
        <v>1</v>
      </c>
      <c r="E10" s="194">
        <v>3820000</v>
      </c>
      <c r="F10" s="195">
        <f t="shared" ref="F10:F36" si="0">D10*E10</f>
        <v>3820000</v>
      </c>
    </row>
    <row r="11" spans="1:9" s="14" customFormat="1" ht="36" customHeight="1">
      <c r="A11" s="196"/>
      <c r="B11" s="218" t="s">
        <v>288</v>
      </c>
      <c r="C11" s="107"/>
      <c r="D11" s="193"/>
      <c r="E11" s="194"/>
      <c r="F11" s="195"/>
    </row>
    <row r="12" spans="1:9" s="14" customFormat="1" ht="20.100000000000001" customHeight="1">
      <c r="A12" s="197"/>
      <c r="B12" s="183" t="s">
        <v>270</v>
      </c>
      <c r="C12" s="107"/>
      <c r="D12" s="182"/>
      <c r="E12" s="194"/>
      <c r="F12" s="195"/>
    </row>
    <row r="13" spans="1:9" s="14" customFormat="1" ht="18" customHeight="1">
      <c r="A13" s="107">
        <v>3</v>
      </c>
      <c r="B13" s="181" t="s">
        <v>271</v>
      </c>
      <c r="C13" s="107" t="s">
        <v>43</v>
      </c>
      <c r="D13" s="182">
        <v>2</v>
      </c>
      <c r="E13" s="194">
        <v>9000000</v>
      </c>
      <c r="F13" s="195">
        <f t="shared" si="0"/>
        <v>18000000</v>
      </c>
    </row>
    <row r="14" spans="1:9" s="14" customFormat="1" ht="18" customHeight="1">
      <c r="A14" s="196"/>
      <c r="B14" s="183" t="s">
        <v>272</v>
      </c>
      <c r="C14" s="107"/>
      <c r="D14" s="182"/>
      <c r="E14" s="194"/>
      <c r="F14" s="195"/>
    </row>
    <row r="15" spans="1:9" s="14" customFormat="1" ht="18" customHeight="1">
      <c r="A15" s="196">
        <v>4</v>
      </c>
      <c r="B15" s="181" t="s">
        <v>273</v>
      </c>
      <c r="C15" s="107" t="s">
        <v>43</v>
      </c>
      <c r="D15" s="182">
        <v>1</v>
      </c>
      <c r="E15" s="194">
        <v>9800000</v>
      </c>
      <c r="F15" s="195">
        <f t="shared" si="0"/>
        <v>9800000</v>
      </c>
    </row>
    <row r="16" spans="1:9" ht="18" customHeight="1">
      <c r="A16" s="196">
        <v>5</v>
      </c>
      <c r="B16" s="181" t="s">
        <v>274</v>
      </c>
      <c r="C16" s="107" t="s">
        <v>275</v>
      </c>
      <c r="D16" s="182">
        <v>1</v>
      </c>
      <c r="E16" s="194">
        <v>2850000</v>
      </c>
      <c r="F16" s="195">
        <f t="shared" si="0"/>
        <v>2850000</v>
      </c>
    </row>
    <row r="17" spans="1:7" ht="18" customHeight="1">
      <c r="A17" s="197"/>
      <c r="B17" s="183" t="s">
        <v>293</v>
      </c>
      <c r="C17" s="107"/>
      <c r="D17" s="182"/>
      <c r="E17" s="198"/>
      <c r="F17" s="195"/>
    </row>
    <row r="18" spans="1:7" ht="18" customHeight="1">
      <c r="A18" s="101">
        <v>6</v>
      </c>
      <c r="B18" s="181" t="s">
        <v>276</v>
      </c>
      <c r="C18" s="107" t="s">
        <v>17</v>
      </c>
      <c r="D18" s="182">
        <v>1</v>
      </c>
      <c r="E18" s="198">
        <v>700000</v>
      </c>
      <c r="F18" s="195">
        <f t="shared" si="0"/>
        <v>700000</v>
      </c>
    </row>
    <row r="19" spans="1:7" ht="18" customHeight="1">
      <c r="A19" s="101">
        <v>7</v>
      </c>
      <c r="B19" s="181" t="s">
        <v>277</v>
      </c>
      <c r="C19" s="107" t="s">
        <v>43</v>
      </c>
      <c r="D19" s="182">
        <v>1</v>
      </c>
      <c r="E19" s="198">
        <v>200000</v>
      </c>
      <c r="F19" s="195">
        <f t="shared" si="0"/>
        <v>200000</v>
      </c>
    </row>
    <row r="20" spans="1:7" ht="33.9" customHeight="1">
      <c r="A20" s="101"/>
      <c r="B20" s="183" t="s">
        <v>278</v>
      </c>
      <c r="C20" s="107"/>
      <c r="D20" s="182"/>
      <c r="E20" s="198"/>
      <c r="F20" s="195"/>
    </row>
    <row r="21" spans="1:7" ht="18" customHeight="1">
      <c r="A21" s="101">
        <v>8</v>
      </c>
      <c r="B21" s="181" t="s">
        <v>277</v>
      </c>
      <c r="C21" s="107" t="s">
        <v>43</v>
      </c>
      <c r="D21" s="182">
        <v>1</v>
      </c>
      <c r="E21" s="198">
        <v>200000</v>
      </c>
      <c r="F21" s="195">
        <f t="shared" si="0"/>
        <v>200000</v>
      </c>
    </row>
    <row r="22" spans="1:7" ht="20.100000000000001" customHeight="1">
      <c r="A22" s="101"/>
      <c r="B22" s="183" t="s">
        <v>279</v>
      </c>
      <c r="C22" s="107"/>
      <c r="D22" s="182"/>
      <c r="E22" s="198"/>
      <c r="F22" s="195"/>
    </row>
    <row r="23" spans="1:7" ht="18" customHeight="1">
      <c r="A23" s="101">
        <v>9</v>
      </c>
      <c r="B23" s="181" t="s">
        <v>277</v>
      </c>
      <c r="C23" s="107" t="s">
        <v>43</v>
      </c>
      <c r="D23" s="182">
        <v>1</v>
      </c>
      <c r="E23" s="198">
        <v>200000</v>
      </c>
      <c r="F23" s="195">
        <f t="shared" si="0"/>
        <v>200000</v>
      </c>
    </row>
    <row r="24" spans="1:7" ht="18" customHeight="1">
      <c r="A24" s="101"/>
      <c r="B24" s="183" t="s">
        <v>280</v>
      </c>
      <c r="C24" s="107"/>
      <c r="D24" s="182"/>
      <c r="E24" s="198"/>
      <c r="F24" s="195"/>
    </row>
    <row r="25" spans="1:7" ht="18" customHeight="1">
      <c r="A25" s="101">
        <v>10</v>
      </c>
      <c r="B25" s="181" t="s">
        <v>277</v>
      </c>
      <c r="C25" s="107" t="s">
        <v>43</v>
      </c>
      <c r="D25" s="182">
        <v>1</v>
      </c>
      <c r="E25" s="198">
        <v>200000</v>
      </c>
      <c r="F25" s="195">
        <f t="shared" si="0"/>
        <v>200000</v>
      </c>
    </row>
    <row r="26" spans="1:7" ht="18" customHeight="1">
      <c r="A26" s="101"/>
      <c r="B26" s="183" t="s">
        <v>281</v>
      </c>
      <c r="C26" s="107"/>
      <c r="D26" s="182"/>
      <c r="E26" s="198"/>
      <c r="F26" s="195"/>
    </row>
    <row r="27" spans="1:7" ht="18" customHeight="1">
      <c r="A27" s="101">
        <v>11</v>
      </c>
      <c r="B27" s="181" t="s">
        <v>266</v>
      </c>
      <c r="C27" s="107" t="s">
        <v>267</v>
      </c>
      <c r="D27" s="182">
        <v>2</v>
      </c>
      <c r="E27" s="198">
        <v>1660000</v>
      </c>
      <c r="F27" s="195">
        <f t="shared" si="0"/>
        <v>3320000</v>
      </c>
    </row>
    <row r="28" spans="1:7" ht="38.25" customHeight="1">
      <c r="A28" s="101"/>
      <c r="B28" s="218" t="s">
        <v>290</v>
      </c>
      <c r="C28" s="107"/>
      <c r="D28" s="193"/>
      <c r="E28" s="198"/>
      <c r="F28" s="195"/>
      <c r="G28" s="205">
        <f>SUM(F30:F36)</f>
        <v>26400000</v>
      </c>
    </row>
    <row r="29" spans="1:7" ht="32.1" customHeight="1">
      <c r="A29" s="101"/>
      <c r="B29" s="183" t="s">
        <v>282</v>
      </c>
      <c r="C29" s="107"/>
      <c r="D29" s="182"/>
      <c r="E29" s="198"/>
      <c r="F29" s="195"/>
    </row>
    <row r="30" spans="1:7" ht="21.9" customHeight="1">
      <c r="A30" s="101">
        <v>12</v>
      </c>
      <c r="B30" s="181" t="s">
        <v>269</v>
      </c>
      <c r="C30" s="107" t="s">
        <v>43</v>
      </c>
      <c r="D30" s="182">
        <v>1</v>
      </c>
      <c r="E30" s="194">
        <v>3820000</v>
      </c>
      <c r="F30" s="195">
        <f t="shared" si="0"/>
        <v>3820000</v>
      </c>
    </row>
    <row r="31" spans="1:7" ht="20.100000000000001" customHeight="1">
      <c r="A31" s="101"/>
      <c r="B31" s="183" t="s">
        <v>283</v>
      </c>
      <c r="C31" s="107"/>
      <c r="D31" s="182"/>
      <c r="E31" s="198"/>
      <c r="F31" s="195"/>
    </row>
    <row r="32" spans="1:7" ht="21.9" customHeight="1">
      <c r="A32" s="101">
        <v>13</v>
      </c>
      <c r="B32" s="181" t="s">
        <v>269</v>
      </c>
      <c r="C32" s="107" t="s">
        <v>43</v>
      </c>
      <c r="D32" s="182">
        <v>1</v>
      </c>
      <c r="E32" s="194">
        <v>3820000</v>
      </c>
      <c r="F32" s="195">
        <f t="shared" si="0"/>
        <v>3820000</v>
      </c>
    </row>
    <row r="33" spans="1:6" ht="21.9" customHeight="1">
      <c r="A33" s="101">
        <v>14</v>
      </c>
      <c r="B33" s="181" t="s">
        <v>266</v>
      </c>
      <c r="C33" s="107" t="s">
        <v>267</v>
      </c>
      <c r="D33" s="182">
        <v>5</v>
      </c>
      <c r="E33" s="198">
        <v>1660000</v>
      </c>
      <c r="F33" s="195">
        <f t="shared" si="0"/>
        <v>8300000</v>
      </c>
    </row>
    <row r="34" spans="1:6" ht="36.75" customHeight="1">
      <c r="A34" s="101"/>
      <c r="B34" s="183" t="s">
        <v>284</v>
      </c>
      <c r="C34" s="107"/>
      <c r="D34" s="182"/>
      <c r="E34" s="198"/>
      <c r="F34" s="195"/>
    </row>
    <row r="35" spans="1:6" ht="21.9" customHeight="1">
      <c r="A35" s="101">
        <v>15</v>
      </c>
      <c r="B35" s="181" t="s">
        <v>269</v>
      </c>
      <c r="C35" s="107" t="s">
        <v>43</v>
      </c>
      <c r="D35" s="182">
        <v>1</v>
      </c>
      <c r="E35" s="194">
        <v>3820000</v>
      </c>
      <c r="F35" s="195">
        <f t="shared" si="0"/>
        <v>3820000</v>
      </c>
    </row>
    <row r="36" spans="1:6" ht="21.9" customHeight="1">
      <c r="A36" s="211">
        <v>16</v>
      </c>
      <c r="B36" s="219" t="s">
        <v>266</v>
      </c>
      <c r="C36" s="220" t="s">
        <v>267</v>
      </c>
      <c r="D36" s="221">
        <v>4</v>
      </c>
      <c r="E36" s="222">
        <v>1660000</v>
      </c>
      <c r="F36" s="223">
        <f t="shared" si="0"/>
        <v>6640000</v>
      </c>
    </row>
    <row r="37" spans="1:6" ht="21.9" customHeight="1">
      <c r="A37" s="199"/>
      <c r="B37" s="200" t="s">
        <v>11</v>
      </c>
      <c r="C37" s="199"/>
      <c r="D37" s="201"/>
      <c r="E37" s="201"/>
      <c r="F37" s="202">
        <f>SUM(F8:F36)</f>
        <v>75650000</v>
      </c>
    </row>
    <row r="38" spans="1:6" ht="21" customHeight="1">
      <c r="F38" s="203"/>
    </row>
  </sheetData>
  <mergeCells count="3">
    <mergeCell ref="A1:F1"/>
    <mergeCell ref="A2:F2"/>
    <mergeCell ref="A3:F3"/>
  </mergeCells>
  <phoneticPr fontId="49" type="noConversion"/>
  <pageMargins left="0.7" right="0.41" top="0.85" bottom="0.75" header="0.3" footer="0.35"/>
  <pageSetup paperSize="9" orientation="portrait" verticalDpi="0" r:id="rId1"/>
  <headerFooter>
    <oddFooter>&amp;R&amp;11Trang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9"/>
  <sheetViews>
    <sheetView zoomScaleNormal="100" workbookViewId="0">
      <pane xSplit="11" ySplit="5" topLeftCell="L69" activePane="bottomRight" state="frozen"/>
      <selection activeCell="F358" sqref="F358"/>
      <selection pane="topRight" activeCell="F358" sqref="F358"/>
      <selection pane="bottomLeft" activeCell="F358" sqref="F358"/>
      <selection pane="bottomRight" activeCell="F358" sqref="F358"/>
    </sheetView>
  </sheetViews>
  <sheetFormatPr defaultColWidth="8.90625" defaultRowHeight="13.8"/>
  <cols>
    <col min="1" max="1" width="3.6328125" style="344" customWidth="1"/>
    <col min="2" max="2" width="8.90625" style="344"/>
    <col min="3" max="3" width="26.08984375" style="11" customWidth="1"/>
    <col min="4" max="4" width="8.1796875" style="344" customWidth="1"/>
    <col min="5" max="5" width="8.90625" style="369"/>
    <col min="6" max="6" width="7.81640625" style="369" customWidth="1"/>
    <col min="7" max="7" width="9.6328125" style="11" customWidth="1"/>
    <col min="8" max="8" width="8.81640625" style="11" customWidth="1"/>
    <col min="9" max="9" width="10.6328125" style="11" customWidth="1"/>
    <col min="10" max="10" width="11.6328125" style="11" customWidth="1"/>
    <col min="11" max="11" width="9.90625" style="11" customWidth="1"/>
    <col min="12" max="13" width="8.81640625" style="11" customWidth="1"/>
    <col min="14" max="16384" width="8.90625" style="11"/>
  </cols>
  <sheetData>
    <row r="1" spans="1:14" ht="24" customHeight="1">
      <c r="A1" s="1314" t="s">
        <v>18</v>
      </c>
      <c r="B1" s="1314"/>
      <c r="C1" s="1314"/>
      <c r="D1" s="1314"/>
      <c r="E1" s="1314"/>
      <c r="F1" s="1314"/>
      <c r="G1" s="1314"/>
      <c r="H1" s="1314"/>
      <c r="I1" s="1314"/>
      <c r="J1" s="1314"/>
      <c r="K1" s="1314"/>
      <c r="L1" s="355"/>
      <c r="M1" s="355"/>
      <c r="N1" s="344"/>
    </row>
    <row r="2" spans="1:14" ht="18" customHeight="1">
      <c r="A2" s="1318" t="str">
        <f>THKL!A2:D2</f>
        <v>Công trình: Bảo dưỡng thường xuyên cầu, đường bộ, đường thủy nội địa</v>
      </c>
      <c r="B2" s="1318"/>
      <c r="C2" s="1318"/>
      <c r="D2" s="1318"/>
      <c r="E2" s="1318"/>
      <c r="F2" s="1318"/>
      <c r="G2" s="1318"/>
      <c r="H2" s="1318"/>
      <c r="I2" s="1318"/>
      <c r="J2" s="1318"/>
      <c r="K2" s="1318"/>
      <c r="L2" s="355"/>
      <c r="M2" s="355"/>
      <c r="N2" s="344"/>
    </row>
    <row r="3" spans="1:14" ht="13.5" customHeight="1">
      <c r="A3" s="356"/>
      <c r="B3" s="356"/>
      <c r="C3" s="313"/>
      <c r="D3" s="356"/>
      <c r="E3" s="357"/>
      <c r="F3" s="357"/>
      <c r="G3" s="313"/>
      <c r="H3" s="313"/>
      <c r="I3" s="313"/>
      <c r="J3" s="313"/>
      <c r="K3" s="313"/>
    </row>
    <row r="4" spans="1:14" ht="20.25" customHeight="1">
      <c r="A4" s="1319" t="s">
        <v>2</v>
      </c>
      <c r="B4" s="1321" t="s">
        <v>354</v>
      </c>
      <c r="C4" s="1321" t="s">
        <v>7</v>
      </c>
      <c r="D4" s="1321" t="s">
        <v>12</v>
      </c>
      <c r="E4" s="1323" t="s">
        <v>13</v>
      </c>
      <c r="F4" s="1325" t="s">
        <v>8</v>
      </c>
      <c r="G4" s="1326"/>
      <c r="H4" s="1327"/>
      <c r="I4" s="1328" t="s">
        <v>9</v>
      </c>
      <c r="J4" s="1329"/>
      <c r="K4" s="1330"/>
    </row>
    <row r="5" spans="1:14" s="33" customFormat="1" ht="22.5" customHeight="1">
      <c r="A5" s="1320"/>
      <c r="B5" s="1322"/>
      <c r="C5" s="1322"/>
      <c r="D5" s="1322"/>
      <c r="E5" s="1324"/>
      <c r="F5" s="358" t="s">
        <v>16</v>
      </c>
      <c r="G5" s="359" t="s">
        <v>38</v>
      </c>
      <c r="H5" s="359" t="s">
        <v>10</v>
      </c>
      <c r="I5" s="358" t="s">
        <v>16</v>
      </c>
      <c r="J5" s="359" t="s">
        <v>38</v>
      </c>
      <c r="K5" s="359" t="s">
        <v>10</v>
      </c>
    </row>
    <row r="6" spans="1:14" ht="44.25" customHeight="1">
      <c r="A6" s="12" t="str">
        <f>THKL!A5</f>
        <v>A</v>
      </c>
      <c r="B6" s="370"/>
      <c r="C6" s="184" t="str">
        <f>THKL!B5</f>
        <v>CÔNG TÁC QUẢN LÝ BẢO DƯỠNG THƯỜNG XUYÊN CẦU ĐƯỜNG BỘ</v>
      </c>
      <c r="D6" s="304"/>
      <c r="E6" s="360"/>
      <c r="F6" s="371"/>
      <c r="G6" s="372"/>
      <c r="H6" s="372"/>
      <c r="I6" s="373"/>
      <c r="J6" s="373"/>
      <c r="K6" s="373"/>
    </row>
    <row r="7" spans="1:14" ht="30.75" customHeight="1">
      <c r="A7" s="96" t="s">
        <v>378</v>
      </c>
      <c r="B7" s="252"/>
      <c r="C7" s="34" t="str">
        <f>THKL!B6</f>
        <v>ĐƯỜNG TỈNH 901 - HUYỆN TRÀ ÔN</v>
      </c>
      <c r="D7" s="13"/>
      <c r="E7" s="271"/>
      <c r="F7" s="374"/>
      <c r="G7" s="245"/>
      <c r="H7" s="245"/>
      <c r="I7" s="375">
        <f>SUM(I9:I35)</f>
        <v>9349117.8962494992</v>
      </c>
      <c r="J7" s="375">
        <f>SUM(J9:J35)</f>
        <v>373570323.54236466</v>
      </c>
      <c r="K7" s="375">
        <f>SUM(K9:K35)</f>
        <v>20745344.1315482</v>
      </c>
    </row>
    <row r="8" spans="1:14" ht="30.75" customHeight="1">
      <c r="A8" s="13"/>
      <c r="B8" s="252"/>
      <c r="C8" s="34" t="str">
        <f>THKL!B7</f>
        <v>CÔNG TÁC QUẢN LÝ BDTX ĐƯỜNG BỘ</v>
      </c>
      <c r="D8" s="13"/>
      <c r="E8" s="271"/>
      <c r="F8" s="374"/>
      <c r="G8" s="245"/>
      <c r="H8" s="245"/>
      <c r="I8" s="245"/>
      <c r="J8" s="245"/>
      <c r="K8" s="245"/>
    </row>
    <row r="9" spans="1:14" ht="18" customHeight="1">
      <c r="A9" s="13">
        <f>THKL!A8</f>
        <v>1</v>
      </c>
      <c r="B9" s="252" t="s">
        <v>355</v>
      </c>
      <c r="C9" s="244" t="str">
        <f>THKL!B8</f>
        <v>Tuần đường</v>
      </c>
      <c r="D9" s="13" t="str">
        <f>THKL!C8</f>
        <v>1km/năm</v>
      </c>
      <c r="E9" s="271">
        <f>THKL!D8</f>
        <v>48.532389999999999</v>
      </c>
      <c r="F9" s="374">
        <f>PTDG!G10</f>
        <v>162671.375</v>
      </c>
      <c r="G9" s="245">
        <f>PTDG!G12</f>
        <v>2038164.2759999998</v>
      </c>
      <c r="H9" s="245"/>
      <c r="I9" s="245">
        <f>F9*E9</f>
        <v>7894830.6133362502</v>
      </c>
      <c r="J9" s="245">
        <f>G9*E9</f>
        <v>98916983.526899636</v>
      </c>
      <c r="K9" s="245">
        <f>H9*E9</f>
        <v>0</v>
      </c>
    </row>
    <row r="10" spans="1:14" ht="26.25" customHeight="1">
      <c r="A10" s="13">
        <f>THKL!A9</f>
        <v>2</v>
      </c>
      <c r="B10" s="252" t="s">
        <v>356</v>
      </c>
      <c r="C10" s="244" t="str">
        <f>THKL!B9</f>
        <v>Đếm xe bằng thủ công</v>
      </c>
      <c r="D10" s="13" t="str">
        <f>THKL!C9</f>
        <v>1lần/trạm đếm</v>
      </c>
      <c r="E10" s="271">
        <f>THKL!D9</f>
        <v>12</v>
      </c>
      <c r="F10" s="374">
        <f>PTDG!G15</f>
        <v>15300</v>
      </c>
      <c r="G10" s="245">
        <f>PTDG!G18</f>
        <v>2384312</v>
      </c>
      <c r="H10" s="245"/>
      <c r="I10" s="245">
        <f t="shared" ref="I10:I79" si="0">F10*E10</f>
        <v>183600</v>
      </c>
      <c r="J10" s="245">
        <f t="shared" ref="J10:J79" si="1">G10*E10</f>
        <v>28611744</v>
      </c>
      <c r="K10" s="245">
        <f t="shared" ref="K10:K79" si="2">H10*E10</f>
        <v>0</v>
      </c>
    </row>
    <row r="11" spans="1:14" ht="30" customHeight="1">
      <c r="A11" s="13">
        <f>THKL!A10</f>
        <v>3</v>
      </c>
      <c r="B11" s="252" t="s">
        <v>357</v>
      </c>
      <c r="C11" s="244" t="str">
        <f>THKL!B10</f>
        <v>Kiểm tra định kỳ, khẩn cấp, cập nhật số liệu cầu đường và tình hình bão lũ</v>
      </c>
      <c r="D11" s="13" t="str">
        <f>THKL!C10</f>
        <v>1km/1lần</v>
      </c>
      <c r="E11" s="271">
        <f>THKL!D10</f>
        <v>48.532389999999999</v>
      </c>
      <c r="F11" s="374">
        <f>PTDG!G21</f>
        <v>445.67500000000001</v>
      </c>
      <c r="G11" s="245">
        <f>PTDG!G23</f>
        <v>7439.1459999999997</v>
      </c>
      <c r="H11" s="245"/>
      <c r="I11" s="245">
        <f t="shared" si="0"/>
        <v>21629.67291325</v>
      </c>
      <c r="J11" s="245">
        <f t="shared" si="1"/>
        <v>361039.53493893996</v>
      </c>
      <c r="K11" s="245">
        <f t="shared" si="2"/>
        <v>0</v>
      </c>
    </row>
    <row r="12" spans="1:14" ht="18" customHeight="1">
      <c r="A12" s="13">
        <f>THKL!A11</f>
        <v>4</v>
      </c>
      <c r="B12" s="252" t="s">
        <v>358</v>
      </c>
      <c r="C12" s="244" t="str">
        <f>THKL!B11</f>
        <v>Trực bão lũ</v>
      </c>
      <c r="D12" s="13" t="str">
        <f>THKL!C11</f>
        <v>40km/năm</v>
      </c>
      <c r="E12" s="271">
        <f>THKL!D11</f>
        <v>1.2133097500000001</v>
      </c>
      <c r="F12" s="374"/>
      <c r="G12" s="245">
        <f>PTDG!G26</f>
        <v>30655360</v>
      </c>
      <c r="H12" s="245"/>
      <c r="I12" s="245">
        <f t="shared" si="0"/>
        <v>0</v>
      </c>
      <c r="J12" s="245">
        <f t="shared" si="1"/>
        <v>37194447.177760005</v>
      </c>
      <c r="K12" s="245">
        <f t="shared" si="2"/>
        <v>0</v>
      </c>
    </row>
    <row r="13" spans="1:14" ht="31.5" customHeight="1">
      <c r="A13" s="13">
        <f>THKL!A12</f>
        <v>5</v>
      </c>
      <c r="B13" s="252" t="s">
        <v>359</v>
      </c>
      <c r="C13" s="244" t="str">
        <f>THKL!B12</f>
        <v>Quản lý hành lang an toàn đường bộ và đấu nối</v>
      </c>
      <c r="D13" s="13" t="str">
        <f>THKL!C12</f>
        <v>1km/năm</v>
      </c>
      <c r="E13" s="271">
        <f>THKL!D12</f>
        <v>48.532389999999999</v>
      </c>
      <c r="F13" s="374"/>
      <c r="G13" s="245">
        <f>PTDG!G29</f>
        <v>402116</v>
      </c>
      <c r="H13" s="245"/>
      <c r="I13" s="245">
        <f t="shared" si="0"/>
        <v>0</v>
      </c>
      <c r="J13" s="245">
        <f t="shared" si="1"/>
        <v>19515650.537239999</v>
      </c>
      <c r="K13" s="245">
        <f t="shared" si="2"/>
        <v>0</v>
      </c>
    </row>
    <row r="14" spans="1:14" ht="18" customHeight="1">
      <c r="A14" s="13">
        <f>THKL!A13</f>
        <v>6</v>
      </c>
      <c r="B14" s="252" t="s">
        <v>360</v>
      </c>
      <c r="C14" s="244" t="str">
        <f>THKL!B13</f>
        <v>Cắt cỏ bằng máy</v>
      </c>
      <c r="D14" s="13" t="str">
        <f>THKL!C13</f>
        <v>1km/1lần</v>
      </c>
      <c r="E14" s="271">
        <f>THKL!D13</f>
        <v>48.532389999999999</v>
      </c>
      <c r="F14" s="374">
        <f>PTDG!G32</f>
        <v>8000</v>
      </c>
      <c r="G14" s="245"/>
      <c r="H14" s="245">
        <f>PTDG!G34</f>
        <v>195657.30000000002</v>
      </c>
      <c r="I14" s="245">
        <f t="shared" si="0"/>
        <v>388259.12</v>
      </c>
      <c r="J14" s="245">
        <f t="shared" si="1"/>
        <v>0</v>
      </c>
      <c r="K14" s="245">
        <f t="shared" si="2"/>
        <v>9495716.3899470009</v>
      </c>
    </row>
    <row r="15" spans="1:14" ht="18" customHeight="1">
      <c r="A15" s="13">
        <f>THKL!A14</f>
        <v>7</v>
      </c>
      <c r="B15" s="252" t="s">
        <v>361</v>
      </c>
      <c r="C15" s="244" t="str">
        <f>THKL!B14</f>
        <v>Phát quang cây cỏ bằng thủ công</v>
      </c>
      <c r="D15" s="13" t="str">
        <f>THKL!C14</f>
        <v>1km/1lần</v>
      </c>
      <c r="E15" s="271">
        <f>THKL!D14</f>
        <v>48.532389999999999</v>
      </c>
      <c r="F15" s="374"/>
      <c r="G15" s="245">
        <f>PTDG!G37</f>
        <v>899226.24</v>
      </c>
      <c r="H15" s="245"/>
      <c r="I15" s="245">
        <f t="shared" si="0"/>
        <v>0</v>
      </c>
      <c r="J15" s="245">
        <f t="shared" si="1"/>
        <v>43641598.577913597</v>
      </c>
      <c r="K15" s="245">
        <f t="shared" si="2"/>
        <v>0</v>
      </c>
    </row>
    <row r="16" spans="1:14" ht="18" customHeight="1">
      <c r="A16" s="13">
        <f>THKL!A15</f>
        <v>8</v>
      </c>
      <c r="B16" s="252" t="s">
        <v>362</v>
      </c>
      <c r="C16" s="244" t="str">
        <f>THKL!B15</f>
        <v>Nắn sửa cọc tiêu, cọc MLG</v>
      </c>
      <c r="D16" s="13" t="str">
        <f>THKL!C15</f>
        <v>1 cọc</v>
      </c>
      <c r="E16" s="271">
        <f>THKL!D15</f>
        <v>123.95</v>
      </c>
      <c r="F16" s="374"/>
      <c r="G16" s="245">
        <f>PTDG!G40</f>
        <v>10218.48</v>
      </c>
      <c r="H16" s="245"/>
      <c r="I16" s="245">
        <f t="shared" si="0"/>
        <v>0</v>
      </c>
      <c r="J16" s="245">
        <f t="shared" si="1"/>
        <v>1266580.5959999999</v>
      </c>
      <c r="K16" s="245">
        <f t="shared" si="2"/>
        <v>0</v>
      </c>
    </row>
    <row r="17" spans="1:11" ht="18" customHeight="1">
      <c r="A17" s="13">
        <f>THKL!A16</f>
        <v>9</v>
      </c>
      <c r="B17" s="252" t="s">
        <v>363</v>
      </c>
      <c r="C17" s="244" t="str">
        <f>THKL!B16</f>
        <v>Nắn sửa cột Km</v>
      </c>
      <c r="D17" s="13" t="str">
        <f>THKL!C16</f>
        <v>1 cột</v>
      </c>
      <c r="E17" s="271">
        <f>THKL!D16</f>
        <v>0.98</v>
      </c>
      <c r="F17" s="374"/>
      <c r="G17" s="245">
        <f>PTDG!G43</f>
        <v>20436.96</v>
      </c>
      <c r="H17" s="245"/>
      <c r="I17" s="245">
        <f t="shared" si="0"/>
        <v>0</v>
      </c>
      <c r="J17" s="245">
        <f t="shared" si="1"/>
        <v>20028.220799999999</v>
      </c>
      <c r="K17" s="245">
        <f t="shared" si="2"/>
        <v>0</v>
      </c>
    </row>
    <row r="18" spans="1:11" ht="18" customHeight="1">
      <c r="A18" s="13">
        <f>THKL!A17</f>
        <v>10</v>
      </c>
      <c r="B18" s="252" t="s">
        <v>364</v>
      </c>
      <c r="C18" s="244" t="str">
        <f>THKL!B17</f>
        <v>Nắn chỉnh, tu sửa biển báo</v>
      </c>
      <c r="D18" s="13" t="str">
        <f>THKL!C17</f>
        <v>1 cột</v>
      </c>
      <c r="E18" s="271">
        <f>THKL!D17</f>
        <v>7.94</v>
      </c>
      <c r="F18" s="374"/>
      <c r="G18" s="245">
        <f>PTDG!G46</f>
        <v>38319.300000000003</v>
      </c>
      <c r="H18" s="245"/>
      <c r="I18" s="245">
        <f t="shared" si="0"/>
        <v>0</v>
      </c>
      <c r="J18" s="245">
        <f t="shared" si="1"/>
        <v>304255.24200000003</v>
      </c>
      <c r="K18" s="245">
        <f t="shared" si="2"/>
        <v>0</v>
      </c>
    </row>
    <row r="19" spans="1:11" ht="26.25" customHeight="1">
      <c r="A19" s="13">
        <f>+THKL!A18</f>
        <v>11</v>
      </c>
      <c r="B19" s="252" t="s">
        <v>511</v>
      </c>
      <c r="C19" s="252" t="str">
        <f>+THKL!B18</f>
        <v>Bạt lề đường bằng máy</v>
      </c>
      <c r="D19" s="13" t="str">
        <f>+THKL!C18</f>
        <v>100md</v>
      </c>
      <c r="E19" s="271">
        <f>+THKL!D18</f>
        <v>970.64779999999996</v>
      </c>
      <c r="F19" s="374"/>
      <c r="G19" s="245"/>
      <c r="H19" s="245">
        <f>+PTDG!G49</f>
        <v>6162.9539999999997</v>
      </c>
      <c r="I19" s="245"/>
      <c r="J19" s="245"/>
      <c r="K19" s="245">
        <f>+E19*H19</f>
        <v>5982057.7416011998</v>
      </c>
    </row>
    <row r="20" spans="1:11" ht="18" customHeight="1">
      <c r="A20" s="13">
        <f>+THKL!A19</f>
        <v>12</v>
      </c>
      <c r="B20" s="252" t="s">
        <v>514</v>
      </c>
      <c r="C20" s="252" t="str">
        <f>+THKL!B19</f>
        <v>Vệ sinh mặt đường bằng thủ công</v>
      </c>
      <c r="D20" s="13" t="str">
        <f>+THKL!C19</f>
        <v>lần/km</v>
      </c>
      <c r="E20" s="271">
        <f>+THKL!D19</f>
        <v>48.532389999999999</v>
      </c>
      <c r="F20" s="374">
        <f>+PTDG!G52</f>
        <v>2000</v>
      </c>
      <c r="G20" s="245">
        <f>+PTDG!G54</f>
        <v>697788.75</v>
      </c>
      <c r="H20" s="245"/>
      <c r="I20" s="245">
        <f>+E20*F20</f>
        <v>97064.78</v>
      </c>
      <c r="J20" s="245">
        <f>+E20*G20</f>
        <v>33865355.752612501</v>
      </c>
      <c r="K20" s="245"/>
    </row>
    <row r="21" spans="1:11" ht="18" customHeight="1">
      <c r="A21" s="13">
        <f>+THKL!A20</f>
        <v>13</v>
      </c>
      <c r="B21" s="252" t="s">
        <v>516</v>
      </c>
      <c r="C21" s="252" t="str">
        <f>+THKL!B20</f>
        <v>Vệ sinh mặt biển phản quang</v>
      </c>
      <c r="D21" s="13" t="str">
        <f>+THKL!C20</f>
        <v>m2</v>
      </c>
      <c r="E21" s="271">
        <f>+THKL!D20</f>
        <v>174.815</v>
      </c>
      <c r="F21" s="374"/>
      <c r="G21" s="245">
        <f>+PTDG!G57</f>
        <v>9579.8000000000011</v>
      </c>
      <c r="H21" s="245"/>
      <c r="I21" s="245"/>
      <c r="J21" s="245">
        <f>+E21*G21</f>
        <v>1674692.7370000002</v>
      </c>
      <c r="K21" s="245"/>
    </row>
    <row r="22" spans="1:11" ht="36" customHeight="1">
      <c r="A22" s="13"/>
      <c r="B22" s="252"/>
      <c r="C22" s="34" t="str">
        <f>THKL!B21</f>
        <v>CÔNG TÁC BẢO DƯỠNG CẦU L &lt;= 300M</v>
      </c>
      <c r="D22" s="13"/>
      <c r="E22" s="271"/>
      <c r="F22" s="374"/>
      <c r="G22" s="245"/>
      <c r="H22" s="245"/>
      <c r="I22" s="245"/>
      <c r="J22" s="245"/>
      <c r="K22" s="245"/>
    </row>
    <row r="23" spans="1:11" ht="18" customHeight="1">
      <c r="A23" s="13">
        <f>THKL!A22</f>
        <v>14</v>
      </c>
      <c r="B23" s="252" t="s">
        <v>365</v>
      </c>
      <c r="C23" s="244" t="str">
        <f>THKL!B22</f>
        <v>Vệ sinh mặt cầu, ống thoát nước</v>
      </c>
      <c r="D23" s="13" t="str">
        <f>THKL!C22</f>
        <v>10m2</v>
      </c>
      <c r="E23" s="271">
        <f>THKL!D22</f>
        <v>361.35500000000002</v>
      </c>
      <c r="F23" s="374">
        <f>PTDG!G61</f>
        <v>2</v>
      </c>
      <c r="G23" s="245">
        <f>PTDG!G63</f>
        <v>8931.6959999999999</v>
      </c>
      <c r="H23" s="245"/>
      <c r="I23" s="245">
        <f t="shared" si="0"/>
        <v>722.71</v>
      </c>
      <c r="J23" s="245">
        <f t="shared" si="1"/>
        <v>3227513.0080800001</v>
      </c>
      <c r="K23" s="245">
        <f t="shared" si="2"/>
        <v>0</v>
      </c>
    </row>
    <row r="24" spans="1:11" ht="18" customHeight="1">
      <c r="A24" s="13">
        <f>THKL!A23</f>
        <v>15</v>
      </c>
      <c r="B24" s="252" t="s">
        <v>366</v>
      </c>
      <c r="C24" s="244" t="str">
        <f>THKL!B23</f>
        <v>Vệ sinh khe co dãn cao su</v>
      </c>
      <c r="D24" s="13" t="str">
        <f>THKL!C23</f>
        <v>1md</v>
      </c>
      <c r="E24" s="271">
        <f>THKL!D23</f>
        <v>320</v>
      </c>
      <c r="F24" s="374"/>
      <c r="G24" s="245">
        <f>PTDG!G66</f>
        <v>11580.944000000001</v>
      </c>
      <c r="H24" s="245"/>
      <c r="I24" s="245">
        <f t="shared" si="0"/>
        <v>0</v>
      </c>
      <c r="J24" s="245">
        <f t="shared" si="1"/>
        <v>3705902.0800000005</v>
      </c>
      <c r="K24" s="245">
        <f t="shared" si="2"/>
        <v>0</v>
      </c>
    </row>
    <row r="25" spans="1:11" ht="18" customHeight="1">
      <c r="A25" s="13">
        <f>THKL!A24</f>
        <v>16</v>
      </c>
      <c r="B25" s="252" t="s">
        <v>367</v>
      </c>
      <c r="C25" s="244" t="str">
        <f>THKL!B24</f>
        <v>Vệ sinh mố cầu</v>
      </c>
      <c r="D25" s="13" t="str">
        <f>THKL!C24</f>
        <v>m2</v>
      </c>
      <c r="E25" s="271">
        <f>THKL!D24</f>
        <v>741.7</v>
      </c>
      <c r="F25" s="374"/>
      <c r="G25" s="245">
        <f>PTDG!G69</f>
        <v>86218.2</v>
      </c>
      <c r="H25" s="245"/>
      <c r="I25" s="245">
        <f t="shared" si="0"/>
        <v>0</v>
      </c>
      <c r="J25" s="245">
        <f t="shared" si="1"/>
        <v>63948038.940000005</v>
      </c>
      <c r="K25" s="245">
        <f t="shared" si="2"/>
        <v>0</v>
      </c>
    </row>
    <row r="26" spans="1:11" ht="18" customHeight="1">
      <c r="A26" s="13">
        <f>THKL!A25</f>
        <v>17</v>
      </c>
      <c r="B26" s="252" t="s">
        <v>368</v>
      </c>
      <c r="C26" s="244" t="str">
        <f>THKL!B25</f>
        <v>Phát quang cây dại</v>
      </c>
      <c r="D26" s="13" t="str">
        <f>THKL!C25</f>
        <v>100m2</v>
      </c>
      <c r="E26" s="271">
        <f>THKL!D25</f>
        <v>11.49</v>
      </c>
      <c r="F26" s="374"/>
      <c r="G26" s="245">
        <f>PTDG!G72</f>
        <v>729940.08799999987</v>
      </c>
      <c r="H26" s="245"/>
      <c r="I26" s="245">
        <f t="shared" si="0"/>
        <v>0</v>
      </c>
      <c r="J26" s="245">
        <f t="shared" si="1"/>
        <v>8387011.6111199986</v>
      </c>
      <c r="K26" s="245">
        <f t="shared" si="2"/>
        <v>0</v>
      </c>
    </row>
    <row r="27" spans="1:11" ht="33" customHeight="1">
      <c r="A27" s="13"/>
      <c r="B27" s="252"/>
      <c r="C27" s="34" t="str">
        <f>THKL!B26</f>
        <v>CÔNG TÁC QUẢN LÝ CẦU L &lt;= 300M</v>
      </c>
      <c r="D27" s="13"/>
      <c r="E27" s="271"/>
      <c r="F27" s="374"/>
      <c r="G27" s="245"/>
      <c r="H27" s="245"/>
      <c r="I27" s="245"/>
      <c r="J27" s="245"/>
      <c r="K27" s="245"/>
    </row>
    <row r="28" spans="1:11" ht="18" customHeight="1">
      <c r="A28" s="13"/>
      <c r="B28" s="252"/>
      <c r="C28" s="34" t="str">
        <f>THKL!B27</f>
        <v>Cầu &lt; 50m</v>
      </c>
      <c r="D28" s="13"/>
      <c r="E28" s="271"/>
      <c r="F28" s="374"/>
      <c r="G28" s="245"/>
      <c r="H28" s="245"/>
      <c r="I28" s="245"/>
      <c r="J28" s="245"/>
      <c r="K28" s="245"/>
    </row>
    <row r="29" spans="1:11" ht="18" customHeight="1">
      <c r="A29" s="13">
        <f>THKL!A28</f>
        <v>18</v>
      </c>
      <c r="B29" s="252" t="s">
        <v>369</v>
      </c>
      <c r="C29" s="244" t="str">
        <f>THKL!B28</f>
        <v>Kiểm tra cầu</v>
      </c>
      <c r="D29" s="13" t="str">
        <f>THKL!C28</f>
        <v>cầu/năm</v>
      </c>
      <c r="E29" s="271">
        <f>THKL!D28</f>
        <v>11</v>
      </c>
      <c r="F29" s="374">
        <f>PTDG!G77</f>
        <v>39000</v>
      </c>
      <c r="G29" s="245">
        <f>PTDG!G80</f>
        <v>804232</v>
      </c>
      <c r="H29" s="245"/>
      <c r="I29" s="245">
        <f t="shared" si="0"/>
        <v>429000</v>
      </c>
      <c r="J29" s="245">
        <f t="shared" si="1"/>
        <v>8846552</v>
      </c>
      <c r="K29" s="245">
        <f t="shared" si="2"/>
        <v>0</v>
      </c>
    </row>
    <row r="30" spans="1:11" ht="18" customHeight="1">
      <c r="A30" s="13">
        <f>THKL!A29</f>
        <v>19</v>
      </c>
      <c r="B30" s="252" t="s">
        <v>370</v>
      </c>
      <c r="C30" s="244" t="str">
        <f>THKL!B29</f>
        <v>Kiểm tra trước và sau mùa mưa bão</v>
      </c>
      <c r="D30" s="13" t="str">
        <f>THKL!C29</f>
        <v>cầu/năm</v>
      </c>
      <c r="E30" s="271">
        <f>THKL!D29</f>
        <v>11</v>
      </c>
      <c r="F30" s="374">
        <f>PTDG!G83</f>
        <v>6501</v>
      </c>
      <c r="G30" s="245">
        <f>PTDG!G86</f>
        <v>201058</v>
      </c>
      <c r="H30" s="245"/>
      <c r="I30" s="245">
        <f t="shared" si="0"/>
        <v>71511</v>
      </c>
      <c r="J30" s="245">
        <f t="shared" si="1"/>
        <v>2211638</v>
      </c>
      <c r="K30" s="245">
        <f t="shared" si="2"/>
        <v>0</v>
      </c>
    </row>
    <row r="31" spans="1:11" ht="18" customHeight="1">
      <c r="A31" s="13">
        <f>THKL!A30</f>
        <v>20</v>
      </c>
      <c r="B31" s="252" t="s">
        <v>371</v>
      </c>
      <c r="C31" s="244" t="str">
        <f>THKL!B30</f>
        <v>Quản lý hồ sơ trên vi tính</v>
      </c>
      <c r="D31" s="13" t="str">
        <f>THKL!C30</f>
        <v>cầu/năm</v>
      </c>
      <c r="E31" s="271">
        <f>THKL!D30</f>
        <v>11</v>
      </c>
      <c r="F31" s="374"/>
      <c r="G31" s="245">
        <f>PTDG!G89</f>
        <v>237327</v>
      </c>
      <c r="H31" s="245"/>
      <c r="I31" s="245">
        <f t="shared" si="0"/>
        <v>0</v>
      </c>
      <c r="J31" s="245">
        <f t="shared" si="1"/>
        <v>2610597</v>
      </c>
      <c r="K31" s="245">
        <f t="shared" si="2"/>
        <v>0</v>
      </c>
    </row>
    <row r="32" spans="1:11" ht="18" customHeight="1">
      <c r="A32" s="13"/>
      <c r="B32" s="252"/>
      <c r="C32" s="34" t="str">
        <f>THKL!B31</f>
        <v>Cầu 50m - 100m</v>
      </c>
      <c r="D32" s="13"/>
      <c r="E32" s="271"/>
      <c r="F32" s="374"/>
      <c r="G32" s="245"/>
      <c r="H32" s="245"/>
      <c r="I32" s="245"/>
      <c r="J32" s="245"/>
      <c r="K32" s="245"/>
    </row>
    <row r="33" spans="1:11" ht="18" customHeight="1">
      <c r="A33" s="13">
        <f>THKL!A32</f>
        <v>21</v>
      </c>
      <c r="B33" s="252" t="s">
        <v>372</v>
      </c>
      <c r="C33" s="244" t="str">
        <f>THKL!B32</f>
        <v>Kiểm tra cầu</v>
      </c>
      <c r="D33" s="13" t="str">
        <f>THKL!C32</f>
        <v>cầu/năm</v>
      </c>
      <c r="E33" s="271">
        <f>THKL!D32</f>
        <v>5</v>
      </c>
      <c r="F33" s="374">
        <f>PTDG!G93</f>
        <v>45000</v>
      </c>
      <c r="G33" s="245">
        <f>PTDG!G96</f>
        <v>2412696</v>
      </c>
      <c r="H33" s="245"/>
      <c r="I33" s="245">
        <f t="shared" si="0"/>
        <v>225000</v>
      </c>
      <c r="J33" s="245">
        <f t="shared" si="1"/>
        <v>12063480</v>
      </c>
      <c r="K33" s="245">
        <f t="shared" si="2"/>
        <v>0</v>
      </c>
    </row>
    <row r="34" spans="1:11" ht="18" customHeight="1">
      <c r="A34" s="13">
        <f>THKL!A33</f>
        <v>22</v>
      </c>
      <c r="B34" s="252" t="s">
        <v>373</v>
      </c>
      <c r="C34" s="244" t="str">
        <f>THKL!B33</f>
        <v>Kiểm tra trước và sau mùa mưa bão</v>
      </c>
      <c r="D34" s="13" t="str">
        <f>THKL!C33</f>
        <v>cầu/năm</v>
      </c>
      <c r="E34" s="271">
        <f>THKL!D33</f>
        <v>5</v>
      </c>
      <c r="F34" s="374">
        <f>PTDG!G99</f>
        <v>7500</v>
      </c>
      <c r="G34" s="245">
        <f>PTDG!G102</f>
        <v>402116</v>
      </c>
      <c r="H34" s="245">
        <f>PTDG!G104</f>
        <v>1053514</v>
      </c>
      <c r="I34" s="245">
        <f t="shared" si="0"/>
        <v>37500</v>
      </c>
      <c r="J34" s="245">
        <f t="shared" si="1"/>
        <v>2010580</v>
      </c>
      <c r="K34" s="245">
        <f t="shared" si="2"/>
        <v>5267570</v>
      </c>
    </row>
    <row r="35" spans="1:11" ht="18" customHeight="1">
      <c r="A35" s="290">
        <f>THKL!A34</f>
        <v>23</v>
      </c>
      <c r="B35" s="361" t="s">
        <v>374</v>
      </c>
      <c r="C35" s="362" t="str">
        <f>THKL!B34</f>
        <v>Quản lý hồ sơ trên vi tính</v>
      </c>
      <c r="D35" s="290" t="str">
        <f>THKL!C34</f>
        <v>cầu/năm</v>
      </c>
      <c r="E35" s="363">
        <f>THKL!D34</f>
        <v>5</v>
      </c>
      <c r="F35" s="376"/>
      <c r="G35" s="364">
        <f>PTDG!G107</f>
        <v>237327</v>
      </c>
      <c r="H35" s="364"/>
      <c r="I35" s="364">
        <f t="shared" si="0"/>
        <v>0</v>
      </c>
      <c r="J35" s="364">
        <f t="shared" si="1"/>
        <v>1186635</v>
      </c>
      <c r="K35" s="364">
        <f t="shared" si="2"/>
        <v>0</v>
      </c>
    </row>
    <row r="36" spans="1:11" ht="28.5" customHeight="1">
      <c r="A36" s="297" t="str">
        <f>THKL!A35</f>
        <v>II</v>
      </c>
      <c r="B36" s="377"/>
      <c r="C36" s="378" t="str">
        <f>THKL!B35</f>
        <v>ĐƯỜNG TỈNH 902 - HUYỆN MANG THÍT</v>
      </c>
      <c r="D36" s="297"/>
      <c r="E36" s="298"/>
      <c r="F36" s="379"/>
      <c r="G36" s="380"/>
      <c r="H36" s="380"/>
      <c r="I36" s="381">
        <f>SUM(I37:I68)</f>
        <v>6613311.6052790005</v>
      </c>
      <c r="J36" s="381">
        <f>SUM(J37:J68)</f>
        <v>282498759.3166045</v>
      </c>
      <c r="K36" s="381">
        <f>SUM(K37:K68)</f>
        <v>8706425.192220401</v>
      </c>
    </row>
    <row r="37" spans="1:11" ht="28.5" customHeight="1">
      <c r="A37" s="96"/>
      <c r="B37" s="249"/>
      <c r="C37" s="34" t="str">
        <f>THKL!B36</f>
        <v>CÔNG TÁC QUẢN LÝ BDTX ĐƯỜNG BỘ</v>
      </c>
      <c r="D37" s="96"/>
      <c r="E37" s="365"/>
      <c r="F37" s="374"/>
      <c r="G37" s="245"/>
      <c r="H37" s="245"/>
      <c r="I37" s="245"/>
      <c r="J37" s="245"/>
      <c r="K37" s="245"/>
    </row>
    <row r="38" spans="1:11" ht="18" customHeight="1">
      <c r="A38" s="13">
        <f>THKL!A37</f>
        <v>1</v>
      </c>
      <c r="B38" s="252" t="s">
        <v>355</v>
      </c>
      <c r="C38" s="244" t="str">
        <f>THKL!B37</f>
        <v>Tuần đường</v>
      </c>
      <c r="D38" s="13" t="str">
        <f>THKL!C37</f>
        <v>1km/năm</v>
      </c>
      <c r="E38" s="271">
        <f>THKL!D37</f>
        <v>31.73638</v>
      </c>
      <c r="F38" s="374">
        <f>PTDG!G112</f>
        <v>162671.375</v>
      </c>
      <c r="G38" s="245">
        <f>PTDG!G114</f>
        <v>2038164.2759999998</v>
      </c>
      <c r="H38" s="245"/>
      <c r="I38" s="245">
        <f t="shared" si="0"/>
        <v>5162600.5721225003</v>
      </c>
      <c r="J38" s="245">
        <f t="shared" si="1"/>
        <v>64683955.965560876</v>
      </c>
      <c r="K38" s="245">
        <f t="shared" si="2"/>
        <v>0</v>
      </c>
    </row>
    <row r="39" spans="1:11" ht="24.75" customHeight="1">
      <c r="A39" s="13">
        <f>THKL!A38</f>
        <v>2</v>
      </c>
      <c r="B39" s="252" t="s">
        <v>356</v>
      </c>
      <c r="C39" s="244" t="str">
        <f>THKL!B38</f>
        <v>Đếm xe bằng thủ công</v>
      </c>
      <c r="D39" s="13" t="str">
        <f>THKL!C38</f>
        <v>1lần/trạm đếm</v>
      </c>
      <c r="E39" s="271">
        <f>THKL!D38</f>
        <v>12</v>
      </c>
      <c r="F39" s="374">
        <f>PTDG!G117</f>
        <v>15300</v>
      </c>
      <c r="G39" s="245">
        <f>PTDG!G120</f>
        <v>2384312</v>
      </c>
      <c r="H39" s="245"/>
      <c r="I39" s="245">
        <f t="shared" si="0"/>
        <v>183600</v>
      </c>
      <c r="J39" s="245">
        <f t="shared" si="1"/>
        <v>28611744</v>
      </c>
      <c r="K39" s="245">
        <f t="shared" si="2"/>
        <v>0</v>
      </c>
    </row>
    <row r="40" spans="1:11" ht="29.25" customHeight="1">
      <c r="A40" s="13">
        <f>THKL!A39</f>
        <v>3</v>
      </c>
      <c r="B40" s="252" t="s">
        <v>357</v>
      </c>
      <c r="C40" s="244" t="str">
        <f>THKL!B39</f>
        <v>Kiểm tra định kỳ, khẩn cấp, cập nhật số liệu cầu đường và tình hình bão lũ</v>
      </c>
      <c r="D40" s="13" t="str">
        <f>THKL!C39</f>
        <v>1km/1lần</v>
      </c>
      <c r="E40" s="271">
        <f>THKL!D39</f>
        <v>31.73638</v>
      </c>
      <c r="F40" s="374">
        <f>PTDG!G123</f>
        <v>445.67500000000001</v>
      </c>
      <c r="G40" s="245">
        <f>PTDG!G125</f>
        <v>7439.1459999999997</v>
      </c>
      <c r="H40" s="245"/>
      <c r="I40" s="245">
        <f t="shared" si="0"/>
        <v>14144.111156500001</v>
      </c>
      <c r="J40" s="245">
        <f t="shared" si="1"/>
        <v>236091.56433147998</v>
      </c>
      <c r="K40" s="245">
        <f t="shared" si="2"/>
        <v>0</v>
      </c>
    </row>
    <row r="41" spans="1:11" ht="18" customHeight="1">
      <c r="A41" s="13">
        <f>THKL!A40</f>
        <v>4</v>
      </c>
      <c r="B41" s="252" t="s">
        <v>358</v>
      </c>
      <c r="C41" s="244" t="str">
        <f>THKL!B40</f>
        <v>Trực bão lũ</v>
      </c>
      <c r="D41" s="13" t="str">
        <f>THKL!C40</f>
        <v>40km/năm</v>
      </c>
      <c r="E41" s="271">
        <f>THKL!D40</f>
        <v>0.79340949999999999</v>
      </c>
      <c r="F41" s="374"/>
      <c r="G41" s="245">
        <f>PTDG!G128</f>
        <v>30655360</v>
      </c>
      <c r="H41" s="245"/>
      <c r="I41" s="245">
        <f t="shared" si="0"/>
        <v>0</v>
      </c>
      <c r="J41" s="245">
        <f t="shared" si="1"/>
        <v>24322253.849920001</v>
      </c>
      <c r="K41" s="245">
        <f t="shared" si="2"/>
        <v>0</v>
      </c>
    </row>
    <row r="42" spans="1:11" ht="27" customHeight="1">
      <c r="A42" s="13">
        <f>THKL!A41</f>
        <v>5</v>
      </c>
      <c r="B42" s="252" t="s">
        <v>359</v>
      </c>
      <c r="C42" s="244" t="str">
        <f>THKL!B41</f>
        <v>Quản lý hành lang an toàn đường bộ và đấu nối</v>
      </c>
      <c r="D42" s="13" t="str">
        <f>THKL!C41</f>
        <v>1km/năm</v>
      </c>
      <c r="E42" s="271">
        <f>THKL!D41</f>
        <v>31.73638</v>
      </c>
      <c r="F42" s="374"/>
      <c r="G42" s="245">
        <f>PTDG!G131</f>
        <v>402116</v>
      </c>
      <c r="H42" s="245"/>
      <c r="I42" s="245">
        <f t="shared" si="0"/>
        <v>0</v>
      </c>
      <c r="J42" s="245">
        <f t="shared" si="1"/>
        <v>12761706.18008</v>
      </c>
      <c r="K42" s="245">
        <f t="shared" si="2"/>
        <v>0</v>
      </c>
    </row>
    <row r="43" spans="1:11" ht="18" customHeight="1">
      <c r="A43" s="13">
        <f>THKL!A42</f>
        <v>6</v>
      </c>
      <c r="B43" s="252" t="s">
        <v>360</v>
      </c>
      <c r="C43" s="244" t="str">
        <f>THKL!B42</f>
        <v>Cắt cỏ bằng máy</v>
      </c>
      <c r="D43" s="13" t="str">
        <f>THKL!C42</f>
        <v>1km/1lần</v>
      </c>
      <c r="E43" s="271">
        <f>THKL!D42</f>
        <v>31.73638</v>
      </c>
      <c r="F43" s="374">
        <f>PTDG!G134</f>
        <v>8000</v>
      </c>
      <c r="G43" s="245"/>
      <c r="H43" s="245">
        <f>PTDG!G136</f>
        <v>49341.599999999999</v>
      </c>
      <c r="I43" s="245">
        <f t="shared" si="0"/>
        <v>253891.04</v>
      </c>
      <c r="J43" s="245">
        <f t="shared" si="1"/>
        <v>0</v>
      </c>
      <c r="K43" s="245">
        <f t="shared" si="2"/>
        <v>1565923.7674080001</v>
      </c>
    </row>
    <row r="44" spans="1:11" ht="18" customHeight="1">
      <c r="A44" s="13">
        <f>THKL!A43</f>
        <v>7</v>
      </c>
      <c r="B44" s="252" t="s">
        <v>361</v>
      </c>
      <c r="C44" s="244" t="str">
        <f>THKL!B43</f>
        <v>Phát quang cây cỏ bằng thủ công</v>
      </c>
      <c r="D44" s="13" t="str">
        <f>THKL!C43</f>
        <v>1km/1lần</v>
      </c>
      <c r="E44" s="271">
        <f>THKL!D43</f>
        <v>31.73638</v>
      </c>
      <c r="F44" s="374"/>
      <c r="G44" s="245">
        <f>PTDG!G139</f>
        <v>899226.24</v>
      </c>
      <c r="H44" s="245"/>
      <c r="I44" s="245">
        <f t="shared" si="0"/>
        <v>0</v>
      </c>
      <c r="J44" s="245">
        <f t="shared" si="1"/>
        <v>28538185.658611201</v>
      </c>
      <c r="K44" s="245">
        <f t="shared" si="2"/>
        <v>0</v>
      </c>
    </row>
    <row r="45" spans="1:11" ht="18" customHeight="1">
      <c r="A45" s="13">
        <f>THKL!A44</f>
        <v>8</v>
      </c>
      <c r="B45" s="252" t="s">
        <v>362</v>
      </c>
      <c r="C45" s="244" t="str">
        <f>THKL!B44</f>
        <v>Nắn sửa cọc tiêu, cọc MLG</v>
      </c>
      <c r="D45" s="13" t="str">
        <f>THKL!C44</f>
        <v>1 cọc</v>
      </c>
      <c r="E45" s="271">
        <f>THKL!D44</f>
        <v>58.1</v>
      </c>
      <c r="F45" s="374"/>
      <c r="G45" s="245">
        <f>PTDG!G142</f>
        <v>10218.48</v>
      </c>
      <c r="H45" s="245"/>
      <c r="I45" s="245">
        <f t="shared" si="0"/>
        <v>0</v>
      </c>
      <c r="J45" s="245">
        <f t="shared" si="1"/>
        <v>593693.68799999997</v>
      </c>
      <c r="K45" s="245">
        <f t="shared" si="2"/>
        <v>0</v>
      </c>
    </row>
    <row r="46" spans="1:11" ht="18" customHeight="1">
      <c r="A46" s="13">
        <f>THKL!A45</f>
        <v>9</v>
      </c>
      <c r="B46" s="252" t="s">
        <v>363</v>
      </c>
      <c r="C46" s="244" t="str">
        <f>THKL!B45</f>
        <v>Nắn sửa cột Km</v>
      </c>
      <c r="D46" s="13" t="str">
        <f>THKL!C45</f>
        <v>1 cột</v>
      </c>
      <c r="E46" s="271">
        <f>THKL!D45</f>
        <v>0.64</v>
      </c>
      <c r="F46" s="374"/>
      <c r="G46" s="245">
        <f>PTDG!G145</f>
        <v>20436.96</v>
      </c>
      <c r="H46" s="245"/>
      <c r="I46" s="245">
        <f t="shared" si="0"/>
        <v>0</v>
      </c>
      <c r="J46" s="245">
        <f t="shared" si="1"/>
        <v>13079.654399999999</v>
      </c>
      <c r="K46" s="245">
        <f t="shared" si="2"/>
        <v>0</v>
      </c>
    </row>
    <row r="47" spans="1:11" ht="18" customHeight="1">
      <c r="A47" s="13">
        <f>THKL!A46</f>
        <v>10</v>
      </c>
      <c r="B47" s="252" t="s">
        <v>364</v>
      </c>
      <c r="C47" s="244" t="str">
        <f>THKL!B46</f>
        <v>Nắn chỉnh, tu sửa biển báo</v>
      </c>
      <c r="D47" s="13" t="str">
        <f>THKL!C46</f>
        <v>1 cột</v>
      </c>
      <c r="E47" s="271">
        <f>THKL!D46</f>
        <v>5.94</v>
      </c>
      <c r="F47" s="374"/>
      <c r="G47" s="245">
        <f>PTDG!G148</f>
        <v>38319.300000000003</v>
      </c>
      <c r="H47" s="245"/>
      <c r="I47" s="245">
        <f t="shared" si="0"/>
        <v>0</v>
      </c>
      <c r="J47" s="245">
        <f t="shared" si="1"/>
        <v>227616.64200000002</v>
      </c>
      <c r="K47" s="245">
        <f t="shared" si="2"/>
        <v>0</v>
      </c>
    </row>
    <row r="48" spans="1:11" ht="18" customHeight="1">
      <c r="A48" s="13">
        <f>+THKL!A47</f>
        <v>11</v>
      </c>
      <c r="B48" s="252" t="s">
        <v>511</v>
      </c>
      <c r="C48" s="252" t="str">
        <f>+THKL!B47</f>
        <v>Bạt lề đường bằng máy</v>
      </c>
      <c r="D48" s="382" t="str">
        <f>+THKL!C47</f>
        <v>100md</v>
      </c>
      <c r="E48" s="271">
        <f>+THKL!D47</f>
        <v>634.72760000000005</v>
      </c>
      <c r="F48" s="374"/>
      <c r="G48" s="245"/>
      <c r="H48" s="245">
        <f>PTDG!G151</f>
        <v>3154.1489999999999</v>
      </c>
      <c r="I48" s="245"/>
      <c r="J48" s="245"/>
      <c r="K48" s="245">
        <f>+E48*H48</f>
        <v>2002025.4248124</v>
      </c>
    </row>
    <row r="49" spans="1:11" ht="18" customHeight="1">
      <c r="A49" s="13">
        <f>+THKL!A48</f>
        <v>12</v>
      </c>
      <c r="B49" s="252" t="s">
        <v>514</v>
      </c>
      <c r="C49" s="252" t="str">
        <f>+THKL!B48</f>
        <v>Vệ sinh mặt đường bằng thủ công</v>
      </c>
      <c r="D49" s="382" t="str">
        <f>+THKL!C48</f>
        <v>lần/km</v>
      </c>
      <c r="E49" s="271">
        <f>+THKL!D48</f>
        <v>31.73638</v>
      </c>
      <c r="F49" s="374">
        <f>PTDG!G154</f>
        <v>2000</v>
      </c>
      <c r="G49" s="245">
        <f>PTDG!G156</f>
        <v>697788.75</v>
      </c>
      <c r="H49" s="245"/>
      <c r="I49" s="245">
        <f>+E49*F49</f>
        <v>63472.76</v>
      </c>
      <c r="J49" s="245">
        <f>+E49*G49</f>
        <v>22145288.929724999</v>
      </c>
      <c r="K49" s="245"/>
    </row>
    <row r="50" spans="1:11" ht="18" customHeight="1">
      <c r="A50" s="13">
        <f>+THKL!A49</f>
        <v>13</v>
      </c>
      <c r="B50" s="252" t="s">
        <v>516</v>
      </c>
      <c r="C50" s="252" t="str">
        <f>+THKL!B49</f>
        <v>Vệ sinh mặt biển phản quang</v>
      </c>
      <c r="D50" s="382" t="str">
        <f>+THKL!C49</f>
        <v>m2</v>
      </c>
      <c r="E50" s="271">
        <f>+THKL!D49</f>
        <v>120.38500000000001</v>
      </c>
      <c r="F50" s="374"/>
      <c r="G50" s="245">
        <f>PTDG!G159</f>
        <v>9579.8000000000011</v>
      </c>
      <c r="H50" s="245"/>
      <c r="I50" s="245"/>
      <c r="J50" s="245">
        <f>+E50*G50</f>
        <v>1153264.2230000002</v>
      </c>
      <c r="K50" s="245"/>
    </row>
    <row r="51" spans="1:11" ht="34.5" customHeight="1">
      <c r="A51" s="13"/>
      <c r="B51" s="252"/>
      <c r="C51" s="34" t="str">
        <f>THKL!B50</f>
        <v>CÔNG TÁC BẢO DƯỠNG CẦU L &lt;= 300M</v>
      </c>
      <c r="D51" s="13"/>
      <c r="E51" s="271"/>
      <c r="F51" s="374"/>
      <c r="G51" s="245"/>
      <c r="H51" s="245"/>
      <c r="I51" s="245"/>
      <c r="J51" s="245"/>
      <c r="K51" s="245"/>
    </row>
    <row r="52" spans="1:11" ht="18" customHeight="1">
      <c r="A52" s="13">
        <f>THKL!A51</f>
        <v>14</v>
      </c>
      <c r="B52" s="252" t="s">
        <v>365</v>
      </c>
      <c r="C52" s="244" t="str">
        <f>THKL!B51</f>
        <v>Vệ sinh mặt cầu, ống thoát nước</v>
      </c>
      <c r="D52" s="13" t="str">
        <f>THKL!C51</f>
        <v>10m2</v>
      </c>
      <c r="E52" s="271">
        <f>THKL!D51</f>
        <v>547.06099999999992</v>
      </c>
      <c r="F52" s="374">
        <f>PTDG!G163</f>
        <v>2</v>
      </c>
      <c r="G52" s="245">
        <f>PTDG!G165</f>
        <v>8931.6959999999999</v>
      </c>
      <c r="H52" s="245"/>
      <c r="I52" s="245">
        <f t="shared" si="0"/>
        <v>1094.1219999999998</v>
      </c>
      <c r="J52" s="245">
        <f t="shared" si="1"/>
        <v>4886182.5454559997</v>
      </c>
      <c r="K52" s="245">
        <f t="shared" si="2"/>
        <v>0</v>
      </c>
    </row>
    <row r="53" spans="1:11" ht="18" customHeight="1">
      <c r="A53" s="13">
        <f>THKL!A52</f>
        <v>15</v>
      </c>
      <c r="B53" s="252" t="s">
        <v>366</v>
      </c>
      <c r="C53" s="244" t="str">
        <f>THKL!B52</f>
        <v>Vệ sinh khe co dãn cao su</v>
      </c>
      <c r="D53" s="13" t="str">
        <f>THKL!C52</f>
        <v>1md</v>
      </c>
      <c r="E53" s="271">
        <f>THKL!D52</f>
        <v>428</v>
      </c>
      <c r="F53" s="374"/>
      <c r="G53" s="245">
        <f>PTDG!G168</f>
        <v>11580.944000000001</v>
      </c>
      <c r="H53" s="245"/>
      <c r="I53" s="245">
        <f t="shared" si="0"/>
        <v>0</v>
      </c>
      <c r="J53" s="245">
        <f t="shared" si="1"/>
        <v>4956644.0320000006</v>
      </c>
      <c r="K53" s="245">
        <f t="shared" si="2"/>
        <v>0</v>
      </c>
    </row>
    <row r="54" spans="1:11" ht="18" customHeight="1">
      <c r="A54" s="13">
        <f>THKL!A53</f>
        <v>16</v>
      </c>
      <c r="B54" s="252" t="s">
        <v>367</v>
      </c>
      <c r="C54" s="244" t="str">
        <f>THKL!B53</f>
        <v>Vệ sinh mố cầu</v>
      </c>
      <c r="D54" s="13" t="str">
        <f>THKL!C53</f>
        <v>m2</v>
      </c>
      <c r="E54" s="271">
        <f>THKL!D53</f>
        <v>446.6</v>
      </c>
      <c r="F54" s="374"/>
      <c r="G54" s="245">
        <f>PTDG!G171</f>
        <v>86218.2</v>
      </c>
      <c r="H54" s="245"/>
      <c r="I54" s="245">
        <f t="shared" si="0"/>
        <v>0</v>
      </c>
      <c r="J54" s="245">
        <f t="shared" si="1"/>
        <v>38505048.119999997</v>
      </c>
      <c r="K54" s="245">
        <f t="shared" si="2"/>
        <v>0</v>
      </c>
    </row>
    <row r="55" spans="1:11" ht="18" customHeight="1">
      <c r="A55" s="13">
        <f>THKL!A54</f>
        <v>17</v>
      </c>
      <c r="B55" s="252" t="s">
        <v>368</v>
      </c>
      <c r="C55" s="244" t="str">
        <f>THKL!B54</f>
        <v>Phát quang cây dại</v>
      </c>
      <c r="D55" s="13" t="str">
        <f>THKL!C54</f>
        <v>100m2</v>
      </c>
      <c r="E55" s="271">
        <f>THKL!D54</f>
        <v>7.54</v>
      </c>
      <c r="F55" s="374"/>
      <c r="G55" s="245">
        <f>PTDG!G174</f>
        <v>729940.08799999987</v>
      </c>
      <c r="H55" s="245"/>
      <c r="I55" s="245">
        <f t="shared" si="0"/>
        <v>0</v>
      </c>
      <c r="J55" s="245">
        <f t="shared" si="1"/>
        <v>5503748.2635199986</v>
      </c>
      <c r="K55" s="245">
        <f t="shared" si="2"/>
        <v>0</v>
      </c>
    </row>
    <row r="56" spans="1:11" ht="27" customHeight="1">
      <c r="A56" s="13"/>
      <c r="B56" s="252"/>
      <c r="C56" s="34" t="str">
        <f>THKL!B55</f>
        <v>CÔNG TÁC QUẢN LÝ CẦU CẦU L &lt;= 300M</v>
      </c>
      <c r="D56" s="96"/>
      <c r="E56" s="365"/>
      <c r="F56" s="374"/>
      <c r="G56" s="245"/>
      <c r="H56" s="245"/>
      <c r="I56" s="245"/>
      <c r="J56" s="245"/>
      <c r="K56" s="245"/>
    </row>
    <row r="57" spans="1:11" ht="18" customHeight="1">
      <c r="A57" s="13"/>
      <c r="B57" s="252"/>
      <c r="C57" s="34" t="str">
        <f>THKL!B56</f>
        <v>Cầu &lt; 50m</v>
      </c>
      <c r="D57" s="96"/>
      <c r="E57" s="365"/>
      <c r="F57" s="374"/>
      <c r="G57" s="245"/>
      <c r="H57" s="245"/>
      <c r="I57" s="245"/>
      <c r="J57" s="245"/>
      <c r="K57" s="245"/>
    </row>
    <row r="58" spans="1:11" ht="18" customHeight="1">
      <c r="A58" s="13">
        <f>THKL!A57</f>
        <v>18</v>
      </c>
      <c r="B58" s="252" t="s">
        <v>369</v>
      </c>
      <c r="C58" s="244" t="str">
        <f>THKL!B57</f>
        <v>Kiểm tra cầu</v>
      </c>
      <c r="D58" s="13" t="str">
        <f>THKL!C57</f>
        <v>cầu/năm</v>
      </c>
      <c r="E58" s="271">
        <f>THKL!D57</f>
        <v>10</v>
      </c>
      <c r="F58" s="374">
        <f>PTDG!G179</f>
        <v>39000</v>
      </c>
      <c r="G58" s="245">
        <f>PTDG!G182</f>
        <v>804232</v>
      </c>
      <c r="H58" s="245"/>
      <c r="I58" s="245">
        <f t="shared" si="0"/>
        <v>390000</v>
      </c>
      <c r="J58" s="245">
        <f t="shared" si="1"/>
        <v>8042320</v>
      </c>
      <c r="K58" s="245">
        <f t="shared" si="2"/>
        <v>0</v>
      </c>
    </row>
    <row r="59" spans="1:11" ht="18" customHeight="1">
      <c r="A59" s="13">
        <f>THKL!A58</f>
        <v>19</v>
      </c>
      <c r="B59" s="252" t="s">
        <v>370</v>
      </c>
      <c r="C59" s="244" t="str">
        <f>THKL!B58</f>
        <v>Kiểm tra trước và sau mùa mưa bão</v>
      </c>
      <c r="D59" s="13" t="str">
        <f>THKL!C58</f>
        <v>cầu/năm</v>
      </c>
      <c r="E59" s="271">
        <f>THKL!D58</f>
        <v>10</v>
      </c>
      <c r="F59" s="374">
        <f>PTDG!G185</f>
        <v>6501</v>
      </c>
      <c r="G59" s="245">
        <f>PTDG!G188</f>
        <v>201058</v>
      </c>
      <c r="H59" s="245"/>
      <c r="I59" s="245">
        <f t="shared" si="0"/>
        <v>65010</v>
      </c>
      <c r="J59" s="245">
        <f t="shared" si="1"/>
        <v>2010580</v>
      </c>
      <c r="K59" s="245">
        <f t="shared" si="2"/>
        <v>0</v>
      </c>
    </row>
    <row r="60" spans="1:11" ht="18" customHeight="1">
      <c r="A60" s="13">
        <f>THKL!A59</f>
        <v>20</v>
      </c>
      <c r="B60" s="252" t="s">
        <v>371</v>
      </c>
      <c r="C60" s="244" t="str">
        <f>THKL!B59</f>
        <v>Quản lý hồ sơ trên vi tính</v>
      </c>
      <c r="D60" s="13" t="str">
        <f>THKL!C59</f>
        <v>cầu/năm</v>
      </c>
      <c r="E60" s="271">
        <f>THKL!D59</f>
        <v>10</v>
      </c>
      <c r="F60" s="374"/>
      <c r="G60" s="245">
        <f>PTDG!G191</f>
        <v>237327</v>
      </c>
      <c r="H60" s="245"/>
      <c r="I60" s="245">
        <f t="shared" si="0"/>
        <v>0</v>
      </c>
      <c r="J60" s="245">
        <f t="shared" si="1"/>
        <v>2373270</v>
      </c>
      <c r="K60" s="245">
        <f t="shared" si="2"/>
        <v>0</v>
      </c>
    </row>
    <row r="61" spans="1:11" ht="18" customHeight="1">
      <c r="A61" s="13"/>
      <c r="B61" s="252"/>
      <c r="C61" s="34" t="str">
        <f>THKL!B60</f>
        <v>Cầu 50m - 100m</v>
      </c>
      <c r="D61" s="13"/>
      <c r="E61" s="271"/>
      <c r="F61" s="374"/>
      <c r="G61" s="245"/>
      <c r="H61" s="245"/>
      <c r="I61" s="245"/>
      <c r="J61" s="245"/>
      <c r="K61" s="245"/>
    </row>
    <row r="62" spans="1:11" ht="18" customHeight="1">
      <c r="A62" s="13">
        <f>THKL!A61</f>
        <v>21</v>
      </c>
      <c r="B62" s="252" t="s">
        <v>372</v>
      </c>
      <c r="C62" s="244" t="str">
        <f>THKL!B61</f>
        <v>Kiểm tra cầu</v>
      </c>
      <c r="D62" s="13" t="str">
        <f>THKL!C61</f>
        <v>cầu/năm</v>
      </c>
      <c r="E62" s="271">
        <f>THKL!D61</f>
        <v>8</v>
      </c>
      <c r="F62" s="374">
        <f>PTDG!G195</f>
        <v>45000</v>
      </c>
      <c r="G62" s="245">
        <f>PTDG!G198</f>
        <v>2412696</v>
      </c>
      <c r="H62" s="245"/>
      <c r="I62" s="245">
        <f t="shared" si="0"/>
        <v>360000</v>
      </c>
      <c r="J62" s="245">
        <f t="shared" si="1"/>
        <v>19301568</v>
      </c>
      <c r="K62" s="245">
        <f t="shared" si="2"/>
        <v>0</v>
      </c>
    </row>
    <row r="63" spans="1:11" ht="18" customHeight="1">
      <c r="A63" s="13">
        <f>THKL!A62</f>
        <v>22</v>
      </c>
      <c r="B63" s="252" t="s">
        <v>373</v>
      </c>
      <c r="C63" s="244" t="str">
        <f>THKL!B62</f>
        <v>Kiểm tra trước và sau mùa mưa bão</v>
      </c>
      <c r="D63" s="13" t="str">
        <f>THKL!C62</f>
        <v>cầu/năm</v>
      </c>
      <c r="E63" s="271">
        <f>THKL!D62</f>
        <v>8</v>
      </c>
      <c r="F63" s="374">
        <f>PTDG!G201</f>
        <v>7500</v>
      </c>
      <c r="G63" s="245">
        <f>PTDG!G204</f>
        <v>402116</v>
      </c>
      <c r="H63" s="245">
        <f>PTDG!G206</f>
        <v>378931</v>
      </c>
      <c r="I63" s="245">
        <f t="shared" si="0"/>
        <v>60000</v>
      </c>
      <c r="J63" s="245">
        <f t="shared" si="1"/>
        <v>3216928</v>
      </c>
      <c r="K63" s="245">
        <f t="shared" si="2"/>
        <v>3031448</v>
      </c>
    </row>
    <row r="64" spans="1:11" ht="18" customHeight="1">
      <c r="A64" s="13">
        <f>THKL!A63</f>
        <v>23</v>
      </c>
      <c r="B64" s="252" t="s">
        <v>374</v>
      </c>
      <c r="C64" s="244" t="str">
        <f>THKL!B63</f>
        <v>Quản lý hồ sơ trên vi tính</v>
      </c>
      <c r="D64" s="13" t="str">
        <f>THKL!C63</f>
        <v>cầu/năm</v>
      </c>
      <c r="E64" s="271">
        <f>THKL!D63</f>
        <v>8</v>
      </c>
      <c r="F64" s="374"/>
      <c r="G64" s="245">
        <f>PTDG!G209</f>
        <v>237327</v>
      </c>
      <c r="H64" s="245"/>
      <c r="I64" s="245">
        <f t="shared" si="0"/>
        <v>0</v>
      </c>
      <c r="J64" s="245">
        <f t="shared" si="1"/>
        <v>1898616</v>
      </c>
      <c r="K64" s="245">
        <f t="shared" si="2"/>
        <v>0</v>
      </c>
    </row>
    <row r="65" spans="1:11" ht="18" customHeight="1">
      <c r="A65" s="13"/>
      <c r="B65" s="252"/>
      <c r="C65" s="34" t="str">
        <f>THKL!B64</f>
        <v>Cầu 100m - 200m</v>
      </c>
      <c r="D65" s="13"/>
      <c r="E65" s="271"/>
      <c r="F65" s="374"/>
      <c r="G65" s="245"/>
      <c r="H65" s="245"/>
      <c r="I65" s="245"/>
      <c r="J65" s="245"/>
      <c r="K65" s="245"/>
    </row>
    <row r="66" spans="1:11" ht="18" customHeight="1">
      <c r="A66" s="13">
        <f>THKL!A65</f>
        <v>24</v>
      </c>
      <c r="B66" s="252" t="s">
        <v>375</v>
      </c>
      <c r="C66" s="244" t="str">
        <f>THKL!B65</f>
        <v>Kiểm tra cầu</v>
      </c>
      <c r="D66" s="13" t="str">
        <f>THKL!C65</f>
        <v>cầu/năm</v>
      </c>
      <c r="E66" s="271">
        <f>THKL!D65</f>
        <v>1</v>
      </c>
      <c r="F66" s="374">
        <f>PTDG!G213</f>
        <v>51000</v>
      </c>
      <c r="G66" s="245">
        <f>PTDG!G216</f>
        <v>7238088</v>
      </c>
      <c r="H66" s="245"/>
      <c r="I66" s="245">
        <f t="shared" si="0"/>
        <v>51000</v>
      </c>
      <c r="J66" s="245">
        <f t="shared" si="1"/>
        <v>7238088</v>
      </c>
      <c r="K66" s="245">
        <f t="shared" si="2"/>
        <v>0</v>
      </c>
    </row>
    <row r="67" spans="1:11" ht="18" customHeight="1">
      <c r="A67" s="13">
        <f>THKL!A66</f>
        <v>25</v>
      </c>
      <c r="B67" s="252" t="s">
        <v>376</v>
      </c>
      <c r="C67" s="244" t="str">
        <f>THKL!B66</f>
        <v>Kiểm tra trước và sau mùa mưa bão</v>
      </c>
      <c r="D67" s="13" t="str">
        <f>THKL!C66</f>
        <v>cầu/năm</v>
      </c>
      <c r="E67" s="271">
        <f>THKL!D66</f>
        <v>1</v>
      </c>
      <c r="F67" s="374">
        <f>PTDG!G219</f>
        <v>8499</v>
      </c>
      <c r="G67" s="245">
        <f>PTDG!G222</f>
        <v>804232</v>
      </c>
      <c r="H67" s="245">
        <f>PTDG!G224</f>
        <v>2107028</v>
      </c>
      <c r="I67" s="245">
        <f t="shared" si="0"/>
        <v>8499</v>
      </c>
      <c r="J67" s="245">
        <f t="shared" si="1"/>
        <v>804232</v>
      </c>
      <c r="K67" s="245">
        <f t="shared" si="2"/>
        <v>2107028</v>
      </c>
    </row>
    <row r="68" spans="1:11" ht="18" customHeight="1">
      <c r="A68" s="290">
        <f>THKL!A67</f>
        <v>26</v>
      </c>
      <c r="B68" s="361" t="s">
        <v>377</v>
      </c>
      <c r="C68" s="362" t="str">
        <f>THKL!B67</f>
        <v>Quản lý hồ sơ trên vi tính</v>
      </c>
      <c r="D68" s="290" t="str">
        <f>THKL!C67</f>
        <v>cầu/năm</v>
      </c>
      <c r="E68" s="363">
        <f>THKL!D67</f>
        <v>1</v>
      </c>
      <c r="F68" s="376"/>
      <c r="G68" s="364">
        <f>PTDG!G227</f>
        <v>474654</v>
      </c>
      <c r="H68" s="364"/>
      <c r="I68" s="364">
        <f t="shared" si="0"/>
        <v>0</v>
      </c>
      <c r="J68" s="364">
        <f t="shared" si="1"/>
        <v>474654</v>
      </c>
      <c r="K68" s="364">
        <f t="shared" si="2"/>
        <v>0</v>
      </c>
    </row>
    <row r="69" spans="1:11" ht="32.25" customHeight="1">
      <c r="A69" s="297" t="str">
        <f>THKL!A68</f>
        <v>III</v>
      </c>
      <c r="B69" s="377"/>
      <c r="C69" s="378" t="str">
        <f>THKL!B68</f>
        <v>ĐƯỜNG TỈNH 903 - HUYỆN MANG THÍT</v>
      </c>
      <c r="D69" s="299"/>
      <c r="E69" s="303"/>
      <c r="F69" s="379"/>
      <c r="G69" s="380"/>
      <c r="H69" s="380"/>
      <c r="I69" s="381">
        <f>SUM(I70:I97)</f>
        <v>2539139.3829380004</v>
      </c>
      <c r="J69" s="381">
        <f>SUM(J70:J97)</f>
        <v>108027650.96195632</v>
      </c>
      <c r="K69" s="381">
        <f>SUM(K70:K97)</f>
        <v>2189741.9237287999</v>
      </c>
    </row>
    <row r="70" spans="1:11" ht="31.5" customHeight="1">
      <c r="A70" s="96"/>
      <c r="B70" s="249"/>
      <c r="C70" s="34" t="str">
        <f>THKL!B69</f>
        <v>CÔNG TÁC QUẢN LÝ BDTX ĐƯỜNG BỘ</v>
      </c>
      <c r="D70" s="13"/>
      <c r="E70" s="271"/>
      <c r="F70" s="374"/>
      <c r="G70" s="245"/>
      <c r="H70" s="245"/>
      <c r="I70" s="245"/>
      <c r="J70" s="245"/>
      <c r="K70" s="245"/>
    </row>
    <row r="71" spans="1:11" ht="18" customHeight="1">
      <c r="A71" s="13">
        <f>THKL!A70</f>
        <v>1</v>
      </c>
      <c r="B71" s="252" t="s">
        <v>355</v>
      </c>
      <c r="C71" s="244" t="str">
        <f>THKL!B70</f>
        <v>Tuần đường</v>
      </c>
      <c r="D71" s="13" t="str">
        <f>THKL!C70</f>
        <v>1km/năm</v>
      </c>
      <c r="E71" s="271">
        <f>THKL!D70</f>
        <v>12.736360000000001</v>
      </c>
      <c r="F71" s="374">
        <f>PTDG!G232</f>
        <v>162671.375</v>
      </c>
      <c r="G71" s="245">
        <f>PTDG!G234</f>
        <v>2038164.2759999998</v>
      </c>
      <c r="H71" s="245"/>
      <c r="I71" s="245">
        <f t="shared" si="0"/>
        <v>2071841.1936950001</v>
      </c>
      <c r="J71" s="245">
        <f t="shared" si="1"/>
        <v>25958793.958275359</v>
      </c>
      <c r="K71" s="245">
        <f t="shared" si="2"/>
        <v>0</v>
      </c>
    </row>
    <row r="72" spans="1:11" ht="27" customHeight="1">
      <c r="A72" s="13">
        <f>THKL!A71</f>
        <v>2</v>
      </c>
      <c r="B72" s="252" t="s">
        <v>356</v>
      </c>
      <c r="C72" s="244" t="str">
        <f>THKL!B71</f>
        <v>Đếm xe bằng thủ công</v>
      </c>
      <c r="D72" s="13" t="str">
        <f>THKL!C71</f>
        <v>1 lần/trạm đếm</v>
      </c>
      <c r="E72" s="271">
        <f>THKL!D71</f>
        <v>12</v>
      </c>
      <c r="F72" s="374">
        <f>PTDG!G237</f>
        <v>15300</v>
      </c>
      <c r="G72" s="245">
        <f>PTDG!G240</f>
        <v>2384312</v>
      </c>
      <c r="H72" s="245"/>
      <c r="I72" s="245">
        <f t="shared" si="0"/>
        <v>183600</v>
      </c>
      <c r="J72" s="245">
        <f t="shared" si="1"/>
        <v>28611744</v>
      </c>
      <c r="K72" s="245">
        <f t="shared" si="2"/>
        <v>0</v>
      </c>
    </row>
    <row r="73" spans="1:11" ht="30.75" customHeight="1">
      <c r="A73" s="13">
        <f>THKL!A72</f>
        <v>3</v>
      </c>
      <c r="B73" s="252" t="s">
        <v>357</v>
      </c>
      <c r="C73" s="244" t="str">
        <f>THKL!B72</f>
        <v>Kiểm tra định kỳ, khẩn cấp, cập nhật số liệu cầu đường và tình hình bão lũ</v>
      </c>
      <c r="D73" s="13" t="str">
        <f>THKL!C72</f>
        <v>1km/1lần</v>
      </c>
      <c r="E73" s="271">
        <f>THKL!D72</f>
        <v>12.736360000000001</v>
      </c>
      <c r="F73" s="374">
        <f>PTDG!G243</f>
        <v>445.67500000000001</v>
      </c>
      <c r="G73" s="245">
        <f>PTDG!G245</f>
        <v>7439.1459999999997</v>
      </c>
      <c r="H73" s="245"/>
      <c r="I73" s="245">
        <f t="shared" si="0"/>
        <v>5676.2772430000005</v>
      </c>
      <c r="J73" s="245">
        <f t="shared" si="1"/>
        <v>94747.641548560001</v>
      </c>
      <c r="K73" s="245">
        <f t="shared" si="2"/>
        <v>0</v>
      </c>
    </row>
    <row r="74" spans="1:11" ht="18" customHeight="1">
      <c r="A74" s="13">
        <f>THKL!A73</f>
        <v>4</v>
      </c>
      <c r="B74" s="252" t="s">
        <v>358</v>
      </c>
      <c r="C74" s="244" t="str">
        <f>THKL!B73</f>
        <v>Trực bão lũ</v>
      </c>
      <c r="D74" s="13" t="str">
        <f>THKL!C73</f>
        <v>40km/năm</v>
      </c>
      <c r="E74" s="271">
        <f>THKL!D73</f>
        <v>0.31840900000000005</v>
      </c>
      <c r="F74" s="374"/>
      <c r="G74" s="245">
        <f>PTDG!G248</f>
        <v>30655360</v>
      </c>
      <c r="H74" s="245"/>
      <c r="I74" s="245">
        <f t="shared" si="0"/>
        <v>0</v>
      </c>
      <c r="J74" s="245">
        <f t="shared" si="1"/>
        <v>9760942.5222400017</v>
      </c>
      <c r="K74" s="245">
        <f t="shared" si="2"/>
        <v>0</v>
      </c>
    </row>
    <row r="75" spans="1:11" ht="27.75" customHeight="1">
      <c r="A75" s="13">
        <f>THKL!A74</f>
        <v>5</v>
      </c>
      <c r="B75" s="252" t="s">
        <v>359</v>
      </c>
      <c r="C75" s="244" t="str">
        <f>THKL!B74</f>
        <v>Quản lý hành lang an toàn đường bộ và đấu nối</v>
      </c>
      <c r="D75" s="13" t="str">
        <f>THKL!C74</f>
        <v>1km/năm</v>
      </c>
      <c r="E75" s="398">
        <f>THKL!D74</f>
        <v>12.736360000000001</v>
      </c>
      <c r="F75" s="374"/>
      <c r="G75" s="245">
        <f>PTDG!G251</f>
        <v>402116</v>
      </c>
      <c r="H75" s="245"/>
      <c r="I75" s="245">
        <f t="shared" si="0"/>
        <v>0</v>
      </c>
      <c r="J75" s="245">
        <f t="shared" si="1"/>
        <v>5121494.1377600003</v>
      </c>
      <c r="K75" s="245">
        <f t="shared" si="2"/>
        <v>0</v>
      </c>
    </row>
    <row r="76" spans="1:11" ht="18" customHeight="1">
      <c r="A76" s="13">
        <f>THKL!A75</f>
        <v>6</v>
      </c>
      <c r="B76" s="252" t="s">
        <v>360</v>
      </c>
      <c r="C76" s="244" t="str">
        <f>THKL!B75</f>
        <v>Cắt cỏ bằng máy</v>
      </c>
      <c r="D76" s="13" t="str">
        <f>THKL!C75</f>
        <v>1km/1lần</v>
      </c>
      <c r="E76" s="271">
        <f>THKL!D75</f>
        <v>12.736360000000001</v>
      </c>
      <c r="F76" s="374">
        <f>PTDG!G254</f>
        <v>8000</v>
      </c>
      <c r="G76" s="245"/>
      <c r="H76" s="245">
        <f>PTDG!G256</f>
        <v>49341.599999999999</v>
      </c>
      <c r="I76" s="245">
        <f t="shared" si="0"/>
        <v>101890.88</v>
      </c>
      <c r="J76" s="245">
        <f t="shared" si="1"/>
        <v>0</v>
      </c>
      <c r="K76" s="245">
        <f t="shared" si="2"/>
        <v>628432.38057600008</v>
      </c>
    </row>
    <row r="77" spans="1:11" ht="18" customHeight="1">
      <c r="A77" s="13">
        <f>THKL!A76</f>
        <v>7</v>
      </c>
      <c r="B77" s="252" t="s">
        <v>361</v>
      </c>
      <c r="C77" s="244" t="str">
        <f>THKL!B76</f>
        <v>Phát quang cây cỏ bằng thủ công</v>
      </c>
      <c r="D77" s="13" t="str">
        <f>THKL!C76</f>
        <v>1km/1lần</v>
      </c>
      <c r="E77" s="271">
        <f>THKL!D76</f>
        <v>12.736360000000001</v>
      </c>
      <c r="F77" s="374"/>
      <c r="G77" s="245">
        <f>PTDG!G259</f>
        <v>899226.24</v>
      </c>
      <c r="H77" s="245"/>
      <c r="I77" s="245">
        <f t="shared" si="0"/>
        <v>0</v>
      </c>
      <c r="J77" s="245">
        <f t="shared" si="1"/>
        <v>11452869.114086401</v>
      </c>
      <c r="K77" s="245">
        <f t="shared" si="2"/>
        <v>0</v>
      </c>
    </row>
    <row r="78" spans="1:11" ht="18" customHeight="1">
      <c r="A78" s="13">
        <f>THKL!A77</f>
        <v>8</v>
      </c>
      <c r="B78" s="252" t="s">
        <v>362</v>
      </c>
      <c r="C78" s="244" t="str">
        <f>THKL!B77</f>
        <v>Nắn sửa cọc tiêu, cọc MLG</v>
      </c>
      <c r="D78" s="13" t="str">
        <f>THKL!C77</f>
        <v>1 cọc</v>
      </c>
      <c r="E78" s="271">
        <f>THKL!D77</f>
        <v>16.600000000000001</v>
      </c>
      <c r="F78" s="374"/>
      <c r="G78" s="245">
        <f>PTDG!G262</f>
        <v>10218.48</v>
      </c>
      <c r="H78" s="245"/>
      <c r="I78" s="245">
        <f t="shared" si="0"/>
        <v>0</v>
      </c>
      <c r="J78" s="245">
        <f t="shared" si="1"/>
        <v>169626.76800000001</v>
      </c>
      <c r="K78" s="245">
        <f t="shared" si="2"/>
        <v>0</v>
      </c>
    </row>
    <row r="79" spans="1:11" ht="18" customHeight="1">
      <c r="A79" s="13">
        <f>THKL!A78</f>
        <v>9</v>
      </c>
      <c r="B79" s="252" t="s">
        <v>363</v>
      </c>
      <c r="C79" s="244" t="str">
        <f>THKL!B78</f>
        <v>Nắn sửa cột Km</v>
      </c>
      <c r="D79" s="13" t="str">
        <f>THKL!C78</f>
        <v>1 cột</v>
      </c>
      <c r="E79" s="271">
        <f>THKL!D78</f>
        <v>0.3</v>
      </c>
      <c r="F79" s="374"/>
      <c r="G79" s="245">
        <f>PTDG!G265</f>
        <v>20436.96</v>
      </c>
      <c r="H79" s="245"/>
      <c r="I79" s="245">
        <f t="shared" si="0"/>
        <v>0</v>
      </c>
      <c r="J79" s="245">
        <f t="shared" si="1"/>
        <v>6131.0879999999997</v>
      </c>
      <c r="K79" s="245">
        <f t="shared" si="2"/>
        <v>0</v>
      </c>
    </row>
    <row r="80" spans="1:11" ht="18" customHeight="1">
      <c r="A80" s="13">
        <f>THKL!A79</f>
        <v>10</v>
      </c>
      <c r="B80" s="252" t="s">
        <v>364</v>
      </c>
      <c r="C80" s="244" t="str">
        <f>THKL!B79</f>
        <v>Nắn chỉnh, tu sửa biển báo</v>
      </c>
      <c r="D80" s="13" t="str">
        <f>THKL!C79</f>
        <v>1 cột</v>
      </c>
      <c r="E80" s="271">
        <f>THKL!D79</f>
        <v>2.2999999999999998</v>
      </c>
      <c r="F80" s="374"/>
      <c r="G80" s="245">
        <f>PTDG!G268</f>
        <v>38319.300000000003</v>
      </c>
      <c r="H80" s="245"/>
      <c r="I80" s="245">
        <f t="shared" ref="I80:I150" si="3">F80*E80</f>
        <v>0</v>
      </c>
      <c r="J80" s="245">
        <f t="shared" ref="J80:J150" si="4">G80*E80</f>
        <v>88134.39</v>
      </c>
      <c r="K80" s="245">
        <f t="shared" ref="K80:K150" si="5">H80*E80</f>
        <v>0</v>
      </c>
    </row>
    <row r="81" spans="1:11" ht="18" customHeight="1">
      <c r="A81" s="13">
        <f>+THKL!A80</f>
        <v>11</v>
      </c>
      <c r="B81" s="252" t="s">
        <v>511</v>
      </c>
      <c r="C81" s="252" t="str">
        <f>+THKL!B80</f>
        <v>Bạt lề đường bằng máy</v>
      </c>
      <c r="D81" s="13" t="str">
        <f>+THKL!C80</f>
        <v>100md</v>
      </c>
      <c r="E81" s="271">
        <f>+THKL!D80</f>
        <v>254.72720000000001</v>
      </c>
      <c r="F81" s="374"/>
      <c r="G81" s="245"/>
      <c r="H81" s="245">
        <f>+PTDG!G271</f>
        <v>3154.1489999999999</v>
      </c>
      <c r="I81" s="245"/>
      <c r="J81" s="245"/>
      <c r="K81" s="245">
        <f>+E81*H81</f>
        <v>803447.54315279995</v>
      </c>
    </row>
    <row r="82" spans="1:11" ht="18" customHeight="1">
      <c r="A82" s="13">
        <f>+THKL!A81</f>
        <v>12</v>
      </c>
      <c r="B82" s="252" t="s">
        <v>514</v>
      </c>
      <c r="C82" s="252" t="str">
        <f>+THKL!B81</f>
        <v>Vệ sinh mặt đường bằng thủ công</v>
      </c>
      <c r="D82" s="382" t="str">
        <f>+THKL!C81</f>
        <v>lần/km</v>
      </c>
      <c r="E82" s="271">
        <f>+THKL!D81</f>
        <v>12.736360000000001</v>
      </c>
      <c r="F82" s="374">
        <f>+PTDG!G274</f>
        <v>2000</v>
      </c>
      <c r="G82" s="245">
        <f>+PTDG!G276</f>
        <v>697788.75</v>
      </c>
      <c r="H82" s="245"/>
      <c r="I82" s="245">
        <f>+E82*F82</f>
        <v>25472.720000000001</v>
      </c>
      <c r="J82" s="245">
        <f>+E82*G82</f>
        <v>8887288.7239500005</v>
      </c>
      <c r="K82" s="245"/>
    </row>
    <row r="83" spans="1:11" ht="18" customHeight="1">
      <c r="A83" s="13">
        <f>+THKL!A82</f>
        <v>13</v>
      </c>
      <c r="B83" s="252" t="s">
        <v>516</v>
      </c>
      <c r="C83" s="252" t="str">
        <f>+THKL!B82</f>
        <v>Vệ sinh mặt biển phản quang</v>
      </c>
      <c r="D83" s="382" t="str">
        <f>+THKL!C82</f>
        <v>m2</v>
      </c>
      <c r="E83" s="271">
        <f>+THKL!D82</f>
        <v>59.47</v>
      </c>
      <c r="F83" s="374"/>
      <c r="G83" s="245">
        <f>+PTDG!G279</f>
        <v>9579.8000000000011</v>
      </c>
      <c r="H83" s="245"/>
      <c r="I83" s="245"/>
      <c r="J83" s="245">
        <f>+E83*G83</f>
        <v>569710.70600000001</v>
      </c>
      <c r="K83" s="245"/>
    </row>
    <row r="84" spans="1:11" ht="33.75" customHeight="1">
      <c r="A84" s="13"/>
      <c r="B84" s="252"/>
      <c r="C84" s="34" t="str">
        <f>THKL!B83</f>
        <v>CÔNG TÁC BẢO DƯỠNG CẦU L &lt;= 300M</v>
      </c>
      <c r="D84" s="13"/>
      <c r="E84" s="271"/>
      <c r="F84" s="374"/>
      <c r="G84" s="245"/>
      <c r="H84" s="245"/>
      <c r="I84" s="245"/>
      <c r="J84" s="245"/>
      <c r="K84" s="245"/>
    </row>
    <row r="85" spans="1:11" ht="18" customHeight="1">
      <c r="A85" s="13">
        <f>THKL!A84</f>
        <v>14</v>
      </c>
      <c r="B85" s="252" t="s">
        <v>365</v>
      </c>
      <c r="C85" s="244" t="str">
        <f>THKL!B84</f>
        <v>Vệ sinh mặt cầu, ống thoát nước</v>
      </c>
      <c r="D85" s="13" t="str">
        <f>THKL!C84</f>
        <v>10m2</v>
      </c>
      <c r="E85" s="271">
        <f>THKL!D84</f>
        <v>78.655999999999992</v>
      </c>
      <c r="F85" s="374">
        <f>PTDG!G283</f>
        <v>2</v>
      </c>
      <c r="G85" s="245">
        <f>PTDG!G285</f>
        <v>8931.6959999999999</v>
      </c>
      <c r="H85" s="245"/>
      <c r="I85" s="245">
        <f t="shared" si="3"/>
        <v>157.31199999999998</v>
      </c>
      <c r="J85" s="245">
        <f t="shared" si="4"/>
        <v>702531.48057599994</v>
      </c>
      <c r="K85" s="245">
        <f t="shared" si="5"/>
        <v>0</v>
      </c>
    </row>
    <row r="86" spans="1:11" ht="18" customHeight="1">
      <c r="A86" s="13">
        <f>THKL!A85</f>
        <v>15</v>
      </c>
      <c r="B86" s="252" t="s">
        <v>366</v>
      </c>
      <c r="C86" s="244" t="str">
        <f>THKL!B85</f>
        <v>Vệ sinh khe co dãn cao su</v>
      </c>
      <c r="D86" s="13" t="str">
        <f>THKL!C85</f>
        <v>1md</v>
      </c>
      <c r="E86" s="271">
        <f>THKL!D85</f>
        <v>60</v>
      </c>
      <c r="F86" s="374"/>
      <c r="G86" s="245">
        <f>PTDG!G288</f>
        <v>11580.944000000001</v>
      </c>
      <c r="H86" s="245"/>
      <c r="I86" s="245">
        <f t="shared" si="3"/>
        <v>0</v>
      </c>
      <c r="J86" s="245">
        <f t="shared" si="4"/>
        <v>694856.64000000013</v>
      </c>
      <c r="K86" s="245">
        <f t="shared" si="5"/>
        <v>0</v>
      </c>
    </row>
    <row r="87" spans="1:11" ht="18" customHeight="1">
      <c r="A87" s="13">
        <f>THKL!A86</f>
        <v>16</v>
      </c>
      <c r="B87" s="252" t="s">
        <v>367</v>
      </c>
      <c r="C87" s="244" t="str">
        <f>THKL!B86</f>
        <v>Vệ sinh mố cầu</v>
      </c>
      <c r="D87" s="13" t="str">
        <f>THKL!C86</f>
        <v>m2</v>
      </c>
      <c r="E87" s="271">
        <f>THKL!D86</f>
        <v>90.5</v>
      </c>
      <c r="F87" s="374"/>
      <c r="G87" s="245">
        <f>PTDG!G291</f>
        <v>86218.2</v>
      </c>
      <c r="H87" s="245"/>
      <c r="I87" s="245">
        <f t="shared" si="3"/>
        <v>0</v>
      </c>
      <c r="J87" s="245">
        <f t="shared" si="4"/>
        <v>7802747.0999999996</v>
      </c>
      <c r="K87" s="245">
        <f t="shared" si="5"/>
        <v>0</v>
      </c>
    </row>
    <row r="88" spans="1:11" ht="18" customHeight="1">
      <c r="A88" s="13">
        <f>THKL!A87</f>
        <v>17</v>
      </c>
      <c r="B88" s="252" t="s">
        <v>368</v>
      </c>
      <c r="C88" s="244" t="str">
        <f>THKL!B87</f>
        <v>Phát quang cây dại</v>
      </c>
      <c r="D88" s="13" t="str">
        <f>THKL!C87</f>
        <v>100m2</v>
      </c>
      <c r="E88" s="271">
        <f>THKL!D87</f>
        <v>1.04</v>
      </c>
      <c r="F88" s="374"/>
      <c r="G88" s="245">
        <f>PTDG!G294</f>
        <v>729940.08799999987</v>
      </c>
      <c r="H88" s="245"/>
      <c r="I88" s="245">
        <f t="shared" si="3"/>
        <v>0</v>
      </c>
      <c r="J88" s="245">
        <f t="shared" si="4"/>
        <v>759137.69151999988</v>
      </c>
      <c r="K88" s="245">
        <f t="shared" si="5"/>
        <v>0</v>
      </c>
    </row>
    <row r="89" spans="1:11" ht="33.75" customHeight="1">
      <c r="A89" s="13"/>
      <c r="B89" s="252"/>
      <c r="C89" s="34" t="str">
        <f>THKL!B88</f>
        <v>CÔNG TÁC QUẢN LÝ CẦU CẦU L &lt;= 300M</v>
      </c>
      <c r="D89" s="13"/>
      <c r="E89" s="271"/>
      <c r="F89" s="374"/>
      <c r="G89" s="245"/>
      <c r="H89" s="245"/>
      <c r="I89" s="245"/>
      <c r="J89" s="245"/>
      <c r="K89" s="245"/>
    </row>
    <row r="90" spans="1:11" ht="18" customHeight="1">
      <c r="A90" s="13"/>
      <c r="B90" s="252"/>
      <c r="C90" s="34" t="str">
        <f>THKL!B89</f>
        <v>Cầu &lt; 50m</v>
      </c>
      <c r="D90" s="13"/>
      <c r="E90" s="271"/>
      <c r="F90" s="374"/>
      <c r="G90" s="245"/>
      <c r="H90" s="245"/>
      <c r="I90" s="245"/>
      <c r="J90" s="245"/>
      <c r="K90" s="245"/>
    </row>
    <row r="91" spans="1:11" ht="18" customHeight="1">
      <c r="A91" s="13">
        <f>THKL!A90</f>
        <v>18</v>
      </c>
      <c r="B91" s="252" t="s">
        <v>369</v>
      </c>
      <c r="C91" s="244" t="str">
        <f>THKL!B90</f>
        <v>Kiểm tra cầu</v>
      </c>
      <c r="D91" s="13" t="str">
        <f>THKL!C90</f>
        <v>cầu/năm</v>
      </c>
      <c r="E91" s="271">
        <f>THKL!D90</f>
        <v>1</v>
      </c>
      <c r="F91" s="374">
        <f>PTDG!G299</f>
        <v>39000</v>
      </c>
      <c r="G91" s="245">
        <f>PTDG!G302</f>
        <v>804232</v>
      </c>
      <c r="H91" s="245"/>
      <c r="I91" s="245">
        <f t="shared" si="3"/>
        <v>39000</v>
      </c>
      <c r="J91" s="245">
        <f t="shared" si="4"/>
        <v>804232</v>
      </c>
      <c r="K91" s="245">
        <f t="shared" si="5"/>
        <v>0</v>
      </c>
    </row>
    <row r="92" spans="1:11" ht="18" customHeight="1">
      <c r="A92" s="13">
        <f>THKL!A91</f>
        <v>19</v>
      </c>
      <c r="B92" s="252" t="s">
        <v>370</v>
      </c>
      <c r="C92" s="244" t="str">
        <f>THKL!B91</f>
        <v>Kiểm tra trước và sau mùa mưa bão</v>
      </c>
      <c r="D92" s="13" t="str">
        <f>THKL!C91</f>
        <v>cầu/năm</v>
      </c>
      <c r="E92" s="271">
        <f>THKL!D91</f>
        <v>1</v>
      </c>
      <c r="F92" s="374">
        <f>PTDG!G305</f>
        <v>6501</v>
      </c>
      <c r="G92" s="245">
        <f>PTDG!G308</f>
        <v>201058</v>
      </c>
      <c r="H92" s="245"/>
      <c r="I92" s="245">
        <f t="shared" si="3"/>
        <v>6501</v>
      </c>
      <c r="J92" s="245">
        <f t="shared" si="4"/>
        <v>201058</v>
      </c>
      <c r="K92" s="245">
        <f t="shared" si="5"/>
        <v>0</v>
      </c>
    </row>
    <row r="93" spans="1:11" ht="18" customHeight="1">
      <c r="A93" s="13">
        <f>THKL!A92</f>
        <v>20</v>
      </c>
      <c r="B93" s="252" t="s">
        <v>371</v>
      </c>
      <c r="C93" s="244" t="str">
        <f>THKL!B92</f>
        <v>Quản lý hồ sơ trên vi tính</v>
      </c>
      <c r="D93" s="13" t="str">
        <f>THKL!C92</f>
        <v>cầu/năm</v>
      </c>
      <c r="E93" s="271">
        <f>THKL!D92</f>
        <v>1</v>
      </c>
      <c r="F93" s="374"/>
      <c r="G93" s="245">
        <f>PTDG!G311</f>
        <v>237327</v>
      </c>
      <c r="H93" s="245"/>
      <c r="I93" s="245">
        <f t="shared" si="3"/>
        <v>0</v>
      </c>
      <c r="J93" s="245">
        <f t="shared" si="4"/>
        <v>237327</v>
      </c>
      <c r="K93" s="245">
        <f t="shared" si="5"/>
        <v>0</v>
      </c>
    </row>
    <row r="94" spans="1:11" ht="18" customHeight="1">
      <c r="A94" s="13"/>
      <c r="B94" s="252"/>
      <c r="C94" s="34" t="str">
        <f>THKL!B93</f>
        <v>Cầu 50m - 100m</v>
      </c>
      <c r="D94" s="13"/>
      <c r="E94" s="271"/>
      <c r="F94" s="374"/>
      <c r="G94" s="245"/>
      <c r="H94" s="245"/>
      <c r="I94" s="245">
        <f t="shared" si="3"/>
        <v>0</v>
      </c>
      <c r="J94" s="245">
        <f t="shared" si="4"/>
        <v>0</v>
      </c>
      <c r="K94" s="245">
        <f t="shared" si="5"/>
        <v>0</v>
      </c>
    </row>
    <row r="95" spans="1:11" ht="18" customHeight="1">
      <c r="A95" s="13">
        <f>THKL!A94</f>
        <v>21</v>
      </c>
      <c r="B95" s="252" t="s">
        <v>372</v>
      </c>
      <c r="C95" s="244" t="str">
        <f>THKL!B94</f>
        <v>Kiểm tra cầu</v>
      </c>
      <c r="D95" s="13" t="str">
        <f>THKL!C94</f>
        <v>cầu/năm</v>
      </c>
      <c r="E95" s="271">
        <f>THKL!D94</f>
        <v>2</v>
      </c>
      <c r="F95" s="374">
        <f>PTDG!G315</f>
        <v>45000</v>
      </c>
      <c r="G95" s="245">
        <f>PTDG!G318</f>
        <v>2412696</v>
      </c>
      <c r="H95" s="245"/>
      <c r="I95" s="245">
        <f t="shared" si="3"/>
        <v>90000</v>
      </c>
      <c r="J95" s="245">
        <f t="shared" si="4"/>
        <v>4825392</v>
      </c>
      <c r="K95" s="245">
        <f t="shared" si="5"/>
        <v>0</v>
      </c>
    </row>
    <row r="96" spans="1:11" ht="18" customHeight="1">
      <c r="A96" s="13">
        <f>THKL!A95</f>
        <v>22</v>
      </c>
      <c r="B96" s="252" t="s">
        <v>373</v>
      </c>
      <c r="C96" s="244" t="str">
        <f>THKL!B95</f>
        <v>Kiểm tra trước và sau mùa mưa bão</v>
      </c>
      <c r="D96" s="13" t="str">
        <f>THKL!C95</f>
        <v>cầu/năm</v>
      </c>
      <c r="E96" s="271">
        <f>THKL!D95</f>
        <v>2</v>
      </c>
      <c r="F96" s="374">
        <f>PTDG!G321</f>
        <v>7500</v>
      </c>
      <c r="G96" s="245">
        <f>PTDG!G324</f>
        <v>402116</v>
      </c>
      <c r="H96" s="245">
        <f>PTDG!G326</f>
        <v>378931</v>
      </c>
      <c r="I96" s="245">
        <f t="shared" si="3"/>
        <v>15000</v>
      </c>
      <c r="J96" s="245">
        <f t="shared" si="4"/>
        <v>804232</v>
      </c>
      <c r="K96" s="245">
        <f t="shared" si="5"/>
        <v>757862</v>
      </c>
    </row>
    <row r="97" spans="1:11" ht="18" customHeight="1">
      <c r="A97" s="290">
        <f>THKL!A96</f>
        <v>23</v>
      </c>
      <c r="B97" s="361" t="s">
        <v>374</v>
      </c>
      <c r="C97" s="362" t="str">
        <f>THKL!B96</f>
        <v>Quản lý hồ sơ trên vi tính</v>
      </c>
      <c r="D97" s="290" t="str">
        <f>THKL!C96</f>
        <v>cầu/năm</v>
      </c>
      <c r="E97" s="363">
        <f>THKL!D96</f>
        <v>2</v>
      </c>
      <c r="F97" s="376"/>
      <c r="G97" s="364">
        <f>PTDG!G329</f>
        <v>237327</v>
      </c>
      <c r="H97" s="364"/>
      <c r="I97" s="364">
        <f t="shared" si="3"/>
        <v>0</v>
      </c>
      <c r="J97" s="364">
        <f t="shared" si="4"/>
        <v>474654</v>
      </c>
      <c r="K97" s="364">
        <f t="shared" si="5"/>
        <v>0</v>
      </c>
    </row>
    <row r="98" spans="1:11" ht="30" customHeight="1">
      <c r="A98" s="297" t="str">
        <f>THKL!A97</f>
        <v>IV</v>
      </c>
      <c r="B98" s="377"/>
      <c r="C98" s="378" t="str">
        <f>THKL!B97</f>
        <v>ĐƯỜNG TỈNH 904 -  HUYỆN TAM BÌNH</v>
      </c>
      <c r="D98" s="297"/>
      <c r="E98" s="303"/>
      <c r="F98" s="379"/>
      <c r="G98" s="380"/>
      <c r="H98" s="380"/>
      <c r="I98" s="381">
        <f>SUM(I99:I130)</f>
        <v>5225180.4880999997</v>
      </c>
      <c r="J98" s="381">
        <f>SUM(J99:J130)</f>
        <v>218155078.72827914</v>
      </c>
      <c r="K98" s="381">
        <f>SUM(K99:K130)</f>
        <v>6947881.5434799995</v>
      </c>
    </row>
    <row r="99" spans="1:11" ht="29.25" customHeight="1">
      <c r="A99" s="96"/>
      <c r="B99" s="249"/>
      <c r="C99" s="34" t="str">
        <f>THKL!B98</f>
        <v>CÔNG TÁC QUẢN LÝ BDTX ĐƯỜNG BỘ</v>
      </c>
      <c r="D99" s="96"/>
      <c r="E99" s="271"/>
      <c r="F99" s="374"/>
      <c r="G99" s="245"/>
      <c r="H99" s="245"/>
      <c r="I99" s="245"/>
      <c r="J99" s="245"/>
      <c r="K99" s="245"/>
    </row>
    <row r="100" spans="1:11" ht="18" customHeight="1">
      <c r="A100" s="13">
        <f>THKL!A99</f>
        <v>1</v>
      </c>
      <c r="B100" s="252" t="s">
        <v>355</v>
      </c>
      <c r="C100" s="244" t="str">
        <f>THKL!B99</f>
        <v>Tuần đường</v>
      </c>
      <c r="D100" s="13" t="str">
        <f>THKL!C99</f>
        <v>1km/năm</v>
      </c>
      <c r="E100" s="271">
        <f>THKL!D99</f>
        <v>26.206</v>
      </c>
      <c r="F100" s="374">
        <f>PTDG!G334</f>
        <v>162671.375</v>
      </c>
      <c r="G100" s="245">
        <f>PTDG!G336</f>
        <v>2038164.2759999998</v>
      </c>
      <c r="H100" s="245"/>
      <c r="I100" s="245">
        <f t="shared" si="3"/>
        <v>4262966.0532499999</v>
      </c>
      <c r="J100" s="245">
        <f t="shared" si="4"/>
        <v>53412133.016855992</v>
      </c>
      <c r="K100" s="245">
        <f t="shared" si="5"/>
        <v>0</v>
      </c>
    </row>
    <row r="101" spans="1:11" ht="27.75" customHeight="1">
      <c r="A101" s="13">
        <f>THKL!A100</f>
        <v>2</v>
      </c>
      <c r="B101" s="252" t="s">
        <v>356</v>
      </c>
      <c r="C101" s="244" t="str">
        <f>THKL!B100</f>
        <v>Đếm xe bằng thủ công</v>
      </c>
      <c r="D101" s="13" t="str">
        <f>THKL!C100</f>
        <v>1lần/trạmđếm</v>
      </c>
      <c r="E101" s="271">
        <f>THKL!D100</f>
        <v>12</v>
      </c>
      <c r="F101" s="374">
        <f>PTDG!G339</f>
        <v>15300</v>
      </c>
      <c r="G101" s="245">
        <f>PTDG!G342</f>
        <v>2384312</v>
      </c>
      <c r="H101" s="245"/>
      <c r="I101" s="245">
        <f t="shared" si="3"/>
        <v>183600</v>
      </c>
      <c r="J101" s="245">
        <f t="shared" si="4"/>
        <v>28611744</v>
      </c>
      <c r="K101" s="245">
        <f t="shared" si="5"/>
        <v>0</v>
      </c>
    </row>
    <row r="102" spans="1:11" ht="33" customHeight="1">
      <c r="A102" s="13">
        <f>THKL!A101</f>
        <v>3</v>
      </c>
      <c r="B102" s="252" t="s">
        <v>357</v>
      </c>
      <c r="C102" s="244" t="str">
        <f>THKL!B101</f>
        <v>Kiểm tra định kỳ, khẩn cấp, cập nhật số liệu cầu đường và tình hình bão lũ</v>
      </c>
      <c r="D102" s="13" t="str">
        <f>THKL!C101</f>
        <v>1km/1lần</v>
      </c>
      <c r="E102" s="271">
        <f>THKL!D101</f>
        <v>26.206</v>
      </c>
      <c r="F102" s="374">
        <f>PTDG!G345</f>
        <v>445.67500000000001</v>
      </c>
      <c r="G102" s="245">
        <f>PTDG!G347</f>
        <v>7439.1459999999997</v>
      </c>
      <c r="H102" s="245"/>
      <c r="I102" s="245">
        <f t="shared" si="3"/>
        <v>11679.359050000001</v>
      </c>
      <c r="J102" s="245">
        <f t="shared" si="4"/>
        <v>194950.26007599998</v>
      </c>
      <c r="K102" s="245">
        <f t="shared" si="5"/>
        <v>0</v>
      </c>
    </row>
    <row r="103" spans="1:11" ht="18" customHeight="1">
      <c r="A103" s="13">
        <f>THKL!A102</f>
        <v>4</v>
      </c>
      <c r="B103" s="252" t="s">
        <v>358</v>
      </c>
      <c r="C103" s="244" t="str">
        <f>THKL!B102</f>
        <v>Trực bão lũ</v>
      </c>
      <c r="D103" s="13" t="str">
        <f>THKL!C102</f>
        <v>40km/năm</v>
      </c>
      <c r="E103" s="271">
        <f>THKL!D102</f>
        <v>0.65515000000000001</v>
      </c>
      <c r="F103" s="374"/>
      <c r="G103" s="245">
        <f>PTDG!G350</f>
        <v>30655360</v>
      </c>
      <c r="H103" s="245"/>
      <c r="I103" s="245">
        <f t="shared" si="3"/>
        <v>0</v>
      </c>
      <c r="J103" s="245">
        <f t="shared" si="4"/>
        <v>20083859.104000002</v>
      </c>
      <c r="K103" s="245">
        <f t="shared" si="5"/>
        <v>0</v>
      </c>
    </row>
    <row r="104" spans="1:11" ht="27.75" customHeight="1">
      <c r="A104" s="13">
        <f>THKL!A103</f>
        <v>5</v>
      </c>
      <c r="B104" s="252" t="s">
        <v>359</v>
      </c>
      <c r="C104" s="244" t="str">
        <f>THKL!B103</f>
        <v>Quản lý hành lang an toàn đường bộ và đấu nối</v>
      </c>
      <c r="D104" s="13" t="str">
        <f>THKL!C103</f>
        <v>1km/năm</v>
      </c>
      <c r="E104" s="271">
        <f>THKL!D103</f>
        <v>26.206</v>
      </c>
      <c r="F104" s="374"/>
      <c r="G104" s="245">
        <f>PTDG!G353</f>
        <v>402116</v>
      </c>
      <c r="H104" s="245"/>
      <c r="I104" s="245">
        <f t="shared" si="3"/>
        <v>0</v>
      </c>
      <c r="J104" s="245">
        <f t="shared" si="4"/>
        <v>10537851.896</v>
      </c>
      <c r="K104" s="245">
        <f t="shared" si="5"/>
        <v>0</v>
      </c>
    </row>
    <row r="105" spans="1:11" ht="18" customHeight="1">
      <c r="A105" s="13">
        <f>THKL!A104</f>
        <v>6</v>
      </c>
      <c r="B105" s="252" t="s">
        <v>360</v>
      </c>
      <c r="C105" s="244" t="str">
        <f>THKL!B104</f>
        <v>Cắt cỏ bằng máy</v>
      </c>
      <c r="D105" s="13" t="str">
        <f>THKL!C104</f>
        <v>1km/1lần</v>
      </c>
      <c r="E105" s="271">
        <f>THKL!D104</f>
        <v>26.206</v>
      </c>
      <c r="F105" s="374">
        <f>PTDG!G356</f>
        <v>8000</v>
      </c>
      <c r="G105" s="245"/>
      <c r="H105" s="245">
        <f>PTDG!G358</f>
        <v>49341.599999999999</v>
      </c>
      <c r="I105" s="245">
        <f t="shared" si="3"/>
        <v>209648</v>
      </c>
      <c r="J105" s="245">
        <f t="shared" si="4"/>
        <v>0</v>
      </c>
      <c r="K105" s="245">
        <f t="shared" si="5"/>
        <v>1293045.9696</v>
      </c>
    </row>
    <row r="106" spans="1:11" ht="18" customHeight="1">
      <c r="A106" s="13">
        <f>THKL!A105</f>
        <v>7</v>
      </c>
      <c r="B106" s="252" t="s">
        <v>361</v>
      </c>
      <c r="C106" s="244" t="str">
        <f>THKL!B105</f>
        <v>Phát quang cây cỏ bằng thủ công</v>
      </c>
      <c r="D106" s="13" t="str">
        <f>THKL!C105</f>
        <v>1km/1lần</v>
      </c>
      <c r="E106" s="271">
        <f>THKL!D105</f>
        <v>26.206</v>
      </c>
      <c r="F106" s="374"/>
      <c r="G106" s="245">
        <f>PTDG!G361</f>
        <v>899226.24</v>
      </c>
      <c r="H106" s="245"/>
      <c r="I106" s="245">
        <f t="shared" si="3"/>
        <v>0</v>
      </c>
      <c r="J106" s="245">
        <f t="shared" si="4"/>
        <v>23565122.84544</v>
      </c>
      <c r="K106" s="245">
        <f t="shared" si="5"/>
        <v>0</v>
      </c>
    </row>
    <row r="107" spans="1:11" ht="18" customHeight="1">
      <c r="A107" s="13">
        <f>THKL!A106</f>
        <v>8</v>
      </c>
      <c r="B107" s="252" t="s">
        <v>362</v>
      </c>
      <c r="C107" s="244" t="str">
        <f>THKL!B106</f>
        <v>Nắn sửa cọc tiêu, cọc MLG</v>
      </c>
      <c r="D107" s="13" t="str">
        <f>THKL!C106</f>
        <v>1 cọc</v>
      </c>
      <c r="E107" s="271">
        <f>THKL!D106</f>
        <v>43.9</v>
      </c>
      <c r="F107" s="374"/>
      <c r="G107" s="245">
        <f>PTDG!G364</f>
        <v>10218.48</v>
      </c>
      <c r="H107" s="245"/>
      <c r="I107" s="245">
        <f t="shared" si="3"/>
        <v>0</v>
      </c>
      <c r="J107" s="245">
        <f t="shared" si="4"/>
        <v>448591.27199999994</v>
      </c>
      <c r="K107" s="245">
        <f t="shared" si="5"/>
        <v>0</v>
      </c>
    </row>
    <row r="108" spans="1:11" ht="18" customHeight="1">
      <c r="A108" s="13">
        <f>THKL!A107</f>
        <v>9</v>
      </c>
      <c r="B108" s="252" t="s">
        <v>363</v>
      </c>
      <c r="C108" s="244" t="str">
        <f>THKL!B107</f>
        <v>Nắn sửa cột Km</v>
      </c>
      <c r="D108" s="13" t="str">
        <f>THKL!C107</f>
        <v>1 cột</v>
      </c>
      <c r="E108" s="271">
        <f>THKL!D107</f>
        <v>0.52</v>
      </c>
      <c r="F108" s="374"/>
      <c r="G108" s="245">
        <f>PTDG!G367</f>
        <v>20436.96</v>
      </c>
      <c r="H108" s="245"/>
      <c r="I108" s="245">
        <f t="shared" si="3"/>
        <v>0</v>
      </c>
      <c r="J108" s="245">
        <f t="shared" si="4"/>
        <v>10627.2192</v>
      </c>
      <c r="K108" s="245">
        <f t="shared" si="5"/>
        <v>0</v>
      </c>
    </row>
    <row r="109" spans="1:11" ht="18" customHeight="1">
      <c r="A109" s="13">
        <f>THKL!A108</f>
        <v>10</v>
      </c>
      <c r="B109" s="252" t="s">
        <v>364</v>
      </c>
      <c r="C109" s="244" t="str">
        <f>THKL!B108</f>
        <v>Nắn chỉnh, tu sửa biển báo</v>
      </c>
      <c r="D109" s="13" t="str">
        <f>THKL!C108</f>
        <v>1 cột</v>
      </c>
      <c r="E109" s="271">
        <f>THKL!D108</f>
        <v>4.4800000000000004</v>
      </c>
      <c r="F109" s="374"/>
      <c r="G109" s="245">
        <f>PTDG!G370</f>
        <v>38319.300000000003</v>
      </c>
      <c r="H109" s="245"/>
      <c r="I109" s="245">
        <f t="shared" si="3"/>
        <v>0</v>
      </c>
      <c r="J109" s="245">
        <f t="shared" si="4"/>
        <v>171670.46400000004</v>
      </c>
      <c r="K109" s="245">
        <f t="shared" si="5"/>
        <v>0</v>
      </c>
    </row>
    <row r="110" spans="1:11" ht="18" customHeight="1">
      <c r="A110" s="13">
        <f>+THKL!A109</f>
        <v>11</v>
      </c>
      <c r="B110" s="252" t="s">
        <v>511</v>
      </c>
      <c r="C110" s="252" t="str">
        <f>+THKL!B109</f>
        <v>Bạt lề đường bằng máy</v>
      </c>
      <c r="D110" s="13" t="str">
        <f>+THKL!C109</f>
        <v>100md</v>
      </c>
      <c r="E110" s="271">
        <f>+THKL!D109</f>
        <v>524.12</v>
      </c>
      <c r="F110" s="374"/>
      <c r="G110" s="245"/>
      <c r="H110" s="245">
        <f>+PTDG!G373</f>
        <v>3154.1489999999999</v>
      </c>
      <c r="I110" s="245"/>
      <c r="J110" s="245"/>
      <c r="K110" s="245">
        <f>+E110*H110</f>
        <v>1653152.57388</v>
      </c>
    </row>
    <row r="111" spans="1:11" ht="18" customHeight="1">
      <c r="A111" s="13">
        <f>+THKL!A110</f>
        <v>12</v>
      </c>
      <c r="B111" s="252" t="s">
        <v>514</v>
      </c>
      <c r="C111" s="252" t="str">
        <f>+THKL!B110</f>
        <v>Vệ sinh mặt đường bằng thủ công</v>
      </c>
      <c r="D111" s="382" t="str">
        <f>+THKL!C110</f>
        <v>lần/km</v>
      </c>
      <c r="E111" s="271">
        <f>+THKL!D110</f>
        <v>26.206</v>
      </c>
      <c r="F111" s="374">
        <f>+PTDG!G376</f>
        <v>2000</v>
      </c>
      <c r="G111" s="245">
        <f>+PTDG!G378</f>
        <v>697788.75</v>
      </c>
      <c r="H111" s="245"/>
      <c r="I111" s="245">
        <f>+E111*F111</f>
        <v>52412</v>
      </c>
      <c r="J111" s="245">
        <f>+E111*G111</f>
        <v>18286251.982499998</v>
      </c>
      <c r="K111" s="245"/>
    </row>
    <row r="112" spans="1:11" ht="18" customHeight="1">
      <c r="A112" s="13">
        <f>+THKL!A111</f>
        <v>13</v>
      </c>
      <c r="B112" s="252" t="s">
        <v>516</v>
      </c>
      <c r="C112" s="252" t="str">
        <f>+THKL!B111</f>
        <v>Vệ sinh mặt biển phản quang</v>
      </c>
      <c r="D112" s="382" t="str">
        <f>+THKL!C111</f>
        <v>m2</v>
      </c>
      <c r="E112" s="271">
        <f>+THKL!D111</f>
        <v>108.61</v>
      </c>
      <c r="F112" s="374"/>
      <c r="G112" s="245">
        <f>+PTDG!G381</f>
        <v>9579.8000000000011</v>
      </c>
      <c r="H112" s="245"/>
      <c r="I112" s="245"/>
      <c r="J112" s="245">
        <f>+E112*G112</f>
        <v>1040462.0780000001</v>
      </c>
      <c r="K112" s="245"/>
    </row>
    <row r="113" spans="1:11" ht="33" customHeight="1">
      <c r="A113" s="13"/>
      <c r="B113" s="252"/>
      <c r="C113" s="34" t="str">
        <f>THKL!B112</f>
        <v>CÔNG TÁC BẢO DƯỠNG CẦU L &lt;= 300M</v>
      </c>
      <c r="D113" s="13"/>
      <c r="E113" s="271"/>
      <c r="F113" s="374"/>
      <c r="G113" s="245"/>
      <c r="H113" s="245"/>
      <c r="I113" s="245"/>
      <c r="J113" s="245"/>
      <c r="K113" s="245"/>
    </row>
    <row r="114" spans="1:11" ht="18" customHeight="1">
      <c r="A114" s="13">
        <f>THKL!A113</f>
        <v>14</v>
      </c>
      <c r="B114" s="252" t="s">
        <v>365</v>
      </c>
      <c r="C114" s="244" t="str">
        <f>THKL!B113</f>
        <v>Vệ sinh mặt cầu, ống thoát nước</v>
      </c>
      <c r="D114" s="13" t="str">
        <f>THKL!C113</f>
        <v>10m2</v>
      </c>
      <c r="E114" s="271">
        <f>THKL!D113</f>
        <v>436.03789999999998</v>
      </c>
      <c r="F114" s="374">
        <f>PTDG!G385</f>
        <v>2</v>
      </c>
      <c r="G114" s="245">
        <f>PTDG!G387</f>
        <v>8931.6959999999999</v>
      </c>
      <c r="H114" s="245"/>
      <c r="I114" s="245">
        <f t="shared" si="3"/>
        <v>872.07579999999996</v>
      </c>
      <c r="J114" s="245">
        <f t="shared" si="4"/>
        <v>3894557.9672784</v>
      </c>
      <c r="K114" s="245">
        <f t="shared" si="5"/>
        <v>0</v>
      </c>
    </row>
    <row r="115" spans="1:11" ht="18" customHeight="1">
      <c r="A115" s="13">
        <f>THKL!A114</f>
        <v>15</v>
      </c>
      <c r="B115" s="252" t="s">
        <v>366</v>
      </c>
      <c r="C115" s="244" t="str">
        <f>THKL!B114</f>
        <v>Vệ sinh khe co dãn cao su</v>
      </c>
      <c r="D115" s="13" t="str">
        <f>THKL!C114</f>
        <v>1md</v>
      </c>
      <c r="E115" s="271">
        <f>THKL!D114</f>
        <v>283.54000000000002</v>
      </c>
      <c r="F115" s="374"/>
      <c r="G115" s="245">
        <f>PTDG!G390</f>
        <v>11580.944000000001</v>
      </c>
      <c r="H115" s="245"/>
      <c r="I115" s="245">
        <f t="shared" si="3"/>
        <v>0</v>
      </c>
      <c r="J115" s="245">
        <f t="shared" si="4"/>
        <v>3283660.8617600007</v>
      </c>
      <c r="K115" s="245">
        <f t="shared" si="5"/>
        <v>0</v>
      </c>
    </row>
    <row r="116" spans="1:11" ht="18" customHeight="1">
      <c r="A116" s="13">
        <f>THKL!A115</f>
        <v>16</v>
      </c>
      <c r="B116" s="252" t="s">
        <v>367</v>
      </c>
      <c r="C116" s="244" t="str">
        <f>THKL!B115</f>
        <v>Vệ sinh mố cầu</v>
      </c>
      <c r="D116" s="13" t="str">
        <f>THKL!C115</f>
        <v>m2</v>
      </c>
      <c r="E116" s="271">
        <f>THKL!D115</f>
        <v>266.60000000000002</v>
      </c>
      <c r="F116" s="374"/>
      <c r="G116" s="245">
        <f>PTDG!G393</f>
        <v>86218.2</v>
      </c>
      <c r="H116" s="245"/>
      <c r="I116" s="245">
        <f t="shared" si="3"/>
        <v>0</v>
      </c>
      <c r="J116" s="245">
        <f t="shared" si="4"/>
        <v>22985772.120000001</v>
      </c>
      <c r="K116" s="245">
        <f t="shared" si="5"/>
        <v>0</v>
      </c>
    </row>
    <row r="117" spans="1:11" ht="18" customHeight="1">
      <c r="A117" s="13">
        <f>THKL!A116</f>
        <v>17</v>
      </c>
      <c r="B117" s="252" t="s">
        <v>368</v>
      </c>
      <c r="C117" s="244" t="str">
        <f>THKL!B116</f>
        <v>Phát quang cây dại</v>
      </c>
      <c r="D117" s="13" t="str">
        <f>THKL!C116</f>
        <v>100m2</v>
      </c>
      <c r="E117" s="271">
        <f>THKL!D116</f>
        <v>3.9451000000000001</v>
      </c>
      <c r="F117" s="374"/>
      <c r="G117" s="245">
        <f>PTDG!G396</f>
        <v>729940.08799999987</v>
      </c>
      <c r="H117" s="245"/>
      <c r="I117" s="245">
        <f t="shared" si="3"/>
        <v>0</v>
      </c>
      <c r="J117" s="245">
        <f t="shared" si="4"/>
        <v>2879686.6411687997</v>
      </c>
      <c r="K117" s="245">
        <f t="shared" si="5"/>
        <v>0</v>
      </c>
    </row>
    <row r="118" spans="1:11" ht="35.25" customHeight="1">
      <c r="A118" s="13"/>
      <c r="B118" s="252"/>
      <c r="C118" s="34" t="str">
        <f>THKL!B117</f>
        <v>CÔNG TÁC QUẢN LÝ CẦU CẦU L &lt;= 300M</v>
      </c>
      <c r="D118" s="13"/>
      <c r="E118" s="271"/>
      <c r="F118" s="374"/>
      <c r="G118" s="245"/>
      <c r="H118" s="245"/>
      <c r="I118" s="245"/>
      <c r="J118" s="245"/>
      <c r="K118" s="245"/>
    </row>
    <row r="119" spans="1:11" ht="18" customHeight="1">
      <c r="A119" s="13"/>
      <c r="B119" s="252"/>
      <c r="C119" s="34" t="str">
        <f>THKL!B118</f>
        <v>Cầu &lt; 50m</v>
      </c>
      <c r="D119" s="13"/>
      <c r="E119" s="271"/>
      <c r="F119" s="374"/>
      <c r="G119" s="245"/>
      <c r="H119" s="245"/>
      <c r="I119" s="245"/>
      <c r="J119" s="245"/>
      <c r="K119" s="245"/>
    </row>
    <row r="120" spans="1:11" ht="18" customHeight="1">
      <c r="A120" s="13">
        <f>THKL!A119</f>
        <v>18</v>
      </c>
      <c r="B120" s="252" t="s">
        <v>369</v>
      </c>
      <c r="C120" s="244" t="str">
        <f>THKL!B119</f>
        <v>Kiểm tra cầu</v>
      </c>
      <c r="D120" s="13" t="str">
        <f>THKL!C119</f>
        <v>cầu/năm</v>
      </c>
      <c r="E120" s="271">
        <f>THKL!D119</f>
        <v>4</v>
      </c>
      <c r="F120" s="374">
        <f>PTDG!G401</f>
        <v>39000</v>
      </c>
      <c r="G120" s="245">
        <f>PTDG!G404</f>
        <v>804232</v>
      </c>
      <c r="H120" s="245"/>
      <c r="I120" s="245">
        <f t="shared" si="3"/>
        <v>156000</v>
      </c>
      <c r="J120" s="245">
        <f t="shared" si="4"/>
        <v>3216928</v>
      </c>
      <c r="K120" s="245">
        <f t="shared" si="5"/>
        <v>0</v>
      </c>
    </row>
    <row r="121" spans="1:11" ht="18" customHeight="1">
      <c r="A121" s="13">
        <f>THKL!A120</f>
        <v>19</v>
      </c>
      <c r="B121" s="252" t="s">
        <v>370</v>
      </c>
      <c r="C121" s="244" t="str">
        <f>THKL!B120</f>
        <v>Kiểm tra trước và sau mùa mưa bão</v>
      </c>
      <c r="D121" s="13" t="str">
        <f>THKL!C120</f>
        <v>cầu/năm</v>
      </c>
      <c r="E121" s="271">
        <f>THKL!D120</f>
        <v>4</v>
      </c>
      <c r="F121" s="374">
        <f>PTDG!G407</f>
        <v>6501</v>
      </c>
      <c r="G121" s="245">
        <f>PTDG!G410</f>
        <v>201058</v>
      </c>
      <c r="H121" s="245"/>
      <c r="I121" s="245">
        <f t="shared" si="3"/>
        <v>26004</v>
      </c>
      <c r="J121" s="245">
        <f t="shared" si="4"/>
        <v>804232</v>
      </c>
      <c r="K121" s="245">
        <f t="shared" si="5"/>
        <v>0</v>
      </c>
    </row>
    <row r="122" spans="1:11" ht="18" customHeight="1">
      <c r="A122" s="13">
        <f>THKL!A121</f>
        <v>20</v>
      </c>
      <c r="B122" s="252" t="s">
        <v>371</v>
      </c>
      <c r="C122" s="244" t="str">
        <f>THKL!B121</f>
        <v>Quản lý hồ sơ trên vi tính</v>
      </c>
      <c r="D122" s="13" t="str">
        <f>THKL!C121</f>
        <v>cầu/năm</v>
      </c>
      <c r="E122" s="271">
        <f>THKL!D121</f>
        <v>4</v>
      </c>
      <c r="F122" s="374"/>
      <c r="G122" s="245">
        <f>PTDG!G413</f>
        <v>237327</v>
      </c>
      <c r="H122" s="245"/>
      <c r="I122" s="245">
        <f t="shared" si="3"/>
        <v>0</v>
      </c>
      <c r="J122" s="245">
        <f t="shared" si="4"/>
        <v>949308</v>
      </c>
      <c r="K122" s="245">
        <f t="shared" si="5"/>
        <v>0</v>
      </c>
    </row>
    <row r="123" spans="1:11" ht="18" customHeight="1">
      <c r="A123" s="13"/>
      <c r="B123" s="252"/>
      <c r="C123" s="34" t="str">
        <f>THKL!B122</f>
        <v>Cầu 50m - 100m</v>
      </c>
      <c r="D123" s="13"/>
      <c r="E123" s="271"/>
      <c r="F123" s="374"/>
      <c r="G123" s="245"/>
      <c r="H123" s="245"/>
      <c r="I123" s="245"/>
      <c r="J123" s="245"/>
      <c r="K123" s="245"/>
    </row>
    <row r="124" spans="1:11" ht="18" customHeight="1">
      <c r="A124" s="13">
        <f>THKL!A123</f>
        <v>21</v>
      </c>
      <c r="B124" s="252" t="s">
        <v>372</v>
      </c>
      <c r="C124" s="244" t="str">
        <f>THKL!B123</f>
        <v>Kiểm tra cầu</v>
      </c>
      <c r="D124" s="13" t="str">
        <f>THKL!C123</f>
        <v>cầu/năm</v>
      </c>
      <c r="E124" s="271">
        <f>THKL!D123</f>
        <v>5</v>
      </c>
      <c r="F124" s="374">
        <f>PTDG!G417</f>
        <v>45000</v>
      </c>
      <c r="G124" s="245">
        <f>PTDG!G420</f>
        <v>2412696</v>
      </c>
      <c r="H124" s="245"/>
      <c r="I124" s="245">
        <f t="shared" si="3"/>
        <v>225000</v>
      </c>
      <c r="J124" s="245">
        <f t="shared" si="4"/>
        <v>12063480</v>
      </c>
      <c r="K124" s="245">
        <f t="shared" si="5"/>
        <v>0</v>
      </c>
    </row>
    <row r="125" spans="1:11" ht="18" customHeight="1">
      <c r="A125" s="13">
        <f>THKL!A124</f>
        <v>22</v>
      </c>
      <c r="B125" s="252" t="s">
        <v>373</v>
      </c>
      <c r="C125" s="244" t="str">
        <f>THKL!B124</f>
        <v>Kiểm tra trước và sau mùa mưa bão</v>
      </c>
      <c r="D125" s="13" t="str">
        <f>THKL!C124</f>
        <v>cầu/năm</v>
      </c>
      <c r="E125" s="271">
        <f>THKL!D124</f>
        <v>5</v>
      </c>
      <c r="F125" s="374">
        <f>PTDG!G423</f>
        <v>7500</v>
      </c>
      <c r="G125" s="245">
        <f>PTDG!G426</f>
        <v>402116</v>
      </c>
      <c r="H125" s="245">
        <f>PTDG!G428</f>
        <v>378931</v>
      </c>
      <c r="I125" s="245">
        <f t="shared" si="3"/>
        <v>37500</v>
      </c>
      <c r="J125" s="245">
        <f t="shared" si="4"/>
        <v>2010580</v>
      </c>
      <c r="K125" s="245">
        <f t="shared" si="5"/>
        <v>1894655</v>
      </c>
    </row>
    <row r="126" spans="1:11" ht="18" customHeight="1">
      <c r="A126" s="13">
        <f>THKL!A125</f>
        <v>23</v>
      </c>
      <c r="B126" s="252" t="s">
        <v>374</v>
      </c>
      <c r="C126" s="244" t="str">
        <f>THKL!B125</f>
        <v>Quản lý hồ sơ trên vi tính</v>
      </c>
      <c r="D126" s="13" t="str">
        <f>THKL!C125</f>
        <v>cầu/năm</v>
      </c>
      <c r="E126" s="271">
        <f>THKL!D125</f>
        <v>5</v>
      </c>
      <c r="F126" s="374"/>
      <c r="G126" s="245">
        <f>PTDG!G431</f>
        <v>237327</v>
      </c>
      <c r="H126" s="245"/>
      <c r="I126" s="245">
        <f t="shared" si="3"/>
        <v>0</v>
      </c>
      <c r="J126" s="245">
        <f t="shared" si="4"/>
        <v>1186635</v>
      </c>
      <c r="K126" s="245">
        <f t="shared" si="5"/>
        <v>0</v>
      </c>
    </row>
    <row r="127" spans="1:11" ht="18" customHeight="1">
      <c r="A127" s="13"/>
      <c r="B127" s="252"/>
      <c r="C127" s="34" t="str">
        <f>THKL!B126</f>
        <v>Cầu 100m - 200m</v>
      </c>
      <c r="D127" s="13"/>
      <c r="E127" s="271"/>
      <c r="F127" s="374"/>
      <c r="G127" s="245"/>
      <c r="H127" s="245"/>
      <c r="I127" s="245"/>
      <c r="J127" s="245"/>
      <c r="K127" s="245"/>
    </row>
    <row r="128" spans="1:11" ht="18" customHeight="1">
      <c r="A128" s="13">
        <f>THKL!A127</f>
        <v>24</v>
      </c>
      <c r="B128" s="252" t="s">
        <v>375</v>
      </c>
      <c r="C128" s="244" t="str">
        <f>THKL!B127</f>
        <v>Kiểm tra cầu</v>
      </c>
      <c r="D128" s="13" t="str">
        <f>THKL!C127</f>
        <v>cầu/năm</v>
      </c>
      <c r="E128" s="271">
        <f>THKL!D127</f>
        <v>1</v>
      </c>
      <c r="F128" s="374">
        <f>PTDG!G435</f>
        <v>51000</v>
      </c>
      <c r="G128" s="245">
        <f>PTDG!G438</f>
        <v>7238088</v>
      </c>
      <c r="H128" s="245"/>
      <c r="I128" s="245">
        <f t="shared" si="3"/>
        <v>51000</v>
      </c>
      <c r="J128" s="245">
        <f t="shared" si="4"/>
        <v>7238088</v>
      </c>
      <c r="K128" s="245">
        <f t="shared" si="5"/>
        <v>0</v>
      </c>
    </row>
    <row r="129" spans="1:11" ht="18" customHeight="1">
      <c r="A129" s="13">
        <f>THKL!A128</f>
        <v>25</v>
      </c>
      <c r="B129" s="252" t="s">
        <v>376</v>
      </c>
      <c r="C129" s="244" t="str">
        <f>THKL!B128</f>
        <v>Kiểm tra trước và sau mùa mưa bão</v>
      </c>
      <c r="D129" s="13" t="str">
        <f>THKL!C128</f>
        <v>cầu/năm</v>
      </c>
      <c r="E129" s="271">
        <f>THKL!D128</f>
        <v>1</v>
      </c>
      <c r="F129" s="374">
        <f>PTDG!G441</f>
        <v>8499</v>
      </c>
      <c r="G129" s="245">
        <f>PTDG!G444</f>
        <v>804232</v>
      </c>
      <c r="H129" s="245">
        <f>PTDG!G446</f>
        <v>2107028</v>
      </c>
      <c r="I129" s="245">
        <f t="shared" si="3"/>
        <v>8499</v>
      </c>
      <c r="J129" s="245">
        <f t="shared" si="4"/>
        <v>804232</v>
      </c>
      <c r="K129" s="245">
        <f t="shared" si="5"/>
        <v>2107028</v>
      </c>
    </row>
    <row r="130" spans="1:11" ht="18" customHeight="1">
      <c r="A130" s="290">
        <f>THKL!A129</f>
        <v>26</v>
      </c>
      <c r="B130" s="361" t="s">
        <v>377</v>
      </c>
      <c r="C130" s="362" t="str">
        <f>THKL!B129</f>
        <v>Quản lý hồ sơ trên vi tính</v>
      </c>
      <c r="D130" s="290" t="str">
        <f>THKL!C129</f>
        <v>cầu/năm</v>
      </c>
      <c r="E130" s="363">
        <f>THKL!D129</f>
        <v>1</v>
      </c>
      <c r="F130" s="376"/>
      <c r="G130" s="364">
        <f>PTDG!G449</f>
        <v>474654</v>
      </c>
      <c r="H130" s="364"/>
      <c r="I130" s="364">
        <f t="shared" si="3"/>
        <v>0</v>
      </c>
      <c r="J130" s="364">
        <f t="shared" si="4"/>
        <v>474654</v>
      </c>
      <c r="K130" s="364">
        <f t="shared" si="5"/>
        <v>0</v>
      </c>
    </row>
    <row r="131" spans="1:11" ht="29.25" customHeight="1">
      <c r="A131" s="297" t="str">
        <f>THKL!A130</f>
        <v>V</v>
      </c>
      <c r="B131" s="377"/>
      <c r="C131" s="378" t="str">
        <f>THKL!B130</f>
        <v>ĐƯỜNG TỈNH 905 - HUYỆN TAM BÌNH</v>
      </c>
      <c r="D131" s="299"/>
      <c r="E131" s="303"/>
      <c r="F131" s="379"/>
      <c r="G131" s="380"/>
      <c r="H131" s="380"/>
      <c r="I131" s="381">
        <f>SUM(I132:I159)</f>
        <v>3061913.9775680001</v>
      </c>
      <c r="J131" s="381">
        <f>SUM(J132:J159)</f>
        <v>125278596.91673152</v>
      </c>
      <c r="K131" s="381">
        <f>SUM(K132:K159)</f>
        <v>2036626.9351168</v>
      </c>
    </row>
    <row r="132" spans="1:11" ht="27.75" customHeight="1">
      <c r="A132" s="96"/>
      <c r="B132" s="249"/>
      <c r="C132" s="34" t="str">
        <f>THKL!B131</f>
        <v>CÔNG TÁC QUẢN LÝ BDTX ĐƯỜNG BỘ</v>
      </c>
      <c r="D132" s="13"/>
      <c r="E132" s="271"/>
      <c r="F132" s="374"/>
      <c r="G132" s="245"/>
      <c r="H132" s="245"/>
      <c r="I132" s="245"/>
      <c r="J132" s="245"/>
      <c r="K132" s="245"/>
    </row>
    <row r="133" spans="1:11" ht="18" customHeight="1">
      <c r="A133" s="13">
        <f>THKL!A132</f>
        <v>1</v>
      </c>
      <c r="B133" s="252" t="s">
        <v>355</v>
      </c>
      <c r="C133" s="244" t="str">
        <f>THKL!B132</f>
        <v>Tuần đường</v>
      </c>
      <c r="D133" s="13" t="str">
        <f>THKL!C132</f>
        <v>1km/năm</v>
      </c>
      <c r="E133" s="271">
        <f>THKL!D132</f>
        <v>14.744960000000001</v>
      </c>
      <c r="F133" s="374">
        <f>PTDG!G454</f>
        <v>162671.375</v>
      </c>
      <c r="G133" s="245">
        <f>PTDG!G456</f>
        <v>2038164.2759999998</v>
      </c>
      <c r="H133" s="245"/>
      <c r="I133" s="245">
        <f t="shared" si="3"/>
        <v>2398582.9175200001</v>
      </c>
      <c r="J133" s="245">
        <f t="shared" si="4"/>
        <v>30052650.723048959</v>
      </c>
      <c r="K133" s="245">
        <f t="shared" si="5"/>
        <v>0</v>
      </c>
    </row>
    <row r="134" spans="1:11" ht="27.75" customHeight="1">
      <c r="A134" s="13">
        <f>THKL!A133</f>
        <v>2</v>
      </c>
      <c r="B134" s="252" t="s">
        <v>356</v>
      </c>
      <c r="C134" s="244" t="str">
        <f>THKL!B133</f>
        <v>Đếm xe bằng thủ công</v>
      </c>
      <c r="D134" s="13" t="str">
        <f>THKL!C133</f>
        <v>1lần/trạmđếm</v>
      </c>
      <c r="E134" s="271">
        <f>THKL!D133</f>
        <v>12</v>
      </c>
      <c r="F134" s="374">
        <f>PTDG!G459</f>
        <v>15300</v>
      </c>
      <c r="G134" s="245">
        <f>PTDG!G462</f>
        <v>2384312</v>
      </c>
      <c r="H134" s="245"/>
      <c r="I134" s="245">
        <f t="shared" si="3"/>
        <v>183600</v>
      </c>
      <c r="J134" s="245">
        <f t="shared" si="4"/>
        <v>28611744</v>
      </c>
      <c r="K134" s="245">
        <f t="shared" si="5"/>
        <v>0</v>
      </c>
    </row>
    <row r="135" spans="1:11" ht="27" customHeight="1">
      <c r="A135" s="13">
        <f>THKL!A134</f>
        <v>3</v>
      </c>
      <c r="B135" s="252" t="s">
        <v>357</v>
      </c>
      <c r="C135" s="244" t="str">
        <f>THKL!B134</f>
        <v>Kiểm tra định kỳ, khẩn cấp, cập nhật số liệu cầu đường và tình hình bão lũ</v>
      </c>
      <c r="D135" s="13" t="str">
        <f>THKL!C134</f>
        <v>1km/1lần</v>
      </c>
      <c r="E135" s="271">
        <f>THKL!D134</f>
        <v>14.744960000000001</v>
      </c>
      <c r="F135" s="374">
        <f>PTDG!G465</f>
        <v>445.67500000000001</v>
      </c>
      <c r="G135" s="245">
        <f>PTDG!G467</f>
        <v>7439.1459999999997</v>
      </c>
      <c r="H135" s="245"/>
      <c r="I135" s="245">
        <f t="shared" si="3"/>
        <v>6571.4600480000008</v>
      </c>
      <c r="J135" s="245">
        <f t="shared" si="4"/>
        <v>109689.91020416</v>
      </c>
      <c r="K135" s="245">
        <f t="shared" si="5"/>
        <v>0</v>
      </c>
    </row>
    <row r="136" spans="1:11" ht="18" customHeight="1">
      <c r="A136" s="13">
        <f>THKL!A135</f>
        <v>4</v>
      </c>
      <c r="B136" s="252" t="s">
        <v>358</v>
      </c>
      <c r="C136" s="244" t="str">
        <f>THKL!B135</f>
        <v>Trực bão lũ</v>
      </c>
      <c r="D136" s="13" t="str">
        <f>THKL!C135</f>
        <v>40km/năm</v>
      </c>
      <c r="E136" s="271">
        <f>THKL!D135</f>
        <v>0.36862400000000001</v>
      </c>
      <c r="F136" s="374"/>
      <c r="G136" s="245">
        <f>PTDG!G470</f>
        <v>30655360</v>
      </c>
      <c r="H136" s="245"/>
      <c r="I136" s="245">
        <f t="shared" si="3"/>
        <v>0</v>
      </c>
      <c r="J136" s="245">
        <f t="shared" si="4"/>
        <v>11300301.42464</v>
      </c>
      <c r="K136" s="245">
        <f t="shared" si="5"/>
        <v>0</v>
      </c>
    </row>
    <row r="137" spans="1:11" ht="27.75" customHeight="1">
      <c r="A137" s="13">
        <f>THKL!A136</f>
        <v>5</v>
      </c>
      <c r="B137" s="252" t="s">
        <v>359</v>
      </c>
      <c r="C137" s="244" t="str">
        <f>THKL!B136</f>
        <v>Quản lý hành lang an toàn đường bộ và đấu nối</v>
      </c>
      <c r="D137" s="13" t="str">
        <f>THKL!C136</f>
        <v>1km/năm</v>
      </c>
      <c r="E137" s="271">
        <f>THKL!D136</f>
        <v>14.744960000000001</v>
      </c>
      <c r="F137" s="374"/>
      <c r="G137" s="245">
        <f>PTDG!G473</f>
        <v>402116</v>
      </c>
      <c r="H137" s="245"/>
      <c r="I137" s="245">
        <f t="shared" si="3"/>
        <v>0</v>
      </c>
      <c r="J137" s="245">
        <f t="shared" si="4"/>
        <v>5929184.3353599999</v>
      </c>
      <c r="K137" s="245">
        <f t="shared" si="5"/>
        <v>0</v>
      </c>
    </row>
    <row r="138" spans="1:11" ht="18" customHeight="1">
      <c r="A138" s="13">
        <f>THKL!A137</f>
        <v>6</v>
      </c>
      <c r="B138" s="252" t="s">
        <v>360</v>
      </c>
      <c r="C138" s="244" t="str">
        <f>THKL!B137</f>
        <v>Cắt cỏ bằng máy</v>
      </c>
      <c r="D138" s="13" t="str">
        <f>THKL!C137</f>
        <v>1km/1lần</v>
      </c>
      <c r="E138" s="271">
        <f>THKL!D137</f>
        <v>14.744960000000001</v>
      </c>
      <c r="F138" s="374">
        <f>PTDG!G476</f>
        <v>8000</v>
      </c>
      <c r="G138" s="245"/>
      <c r="H138" s="245">
        <f>PTDG!G478</f>
        <v>49341.599999999999</v>
      </c>
      <c r="I138" s="245">
        <f t="shared" si="3"/>
        <v>117959.68000000001</v>
      </c>
      <c r="J138" s="245">
        <f t="shared" si="4"/>
        <v>0</v>
      </c>
      <c r="K138" s="245">
        <f t="shared" si="5"/>
        <v>727539.91833600006</v>
      </c>
    </row>
    <row r="139" spans="1:11" ht="18" customHeight="1">
      <c r="A139" s="13">
        <f>THKL!A138</f>
        <v>7</v>
      </c>
      <c r="B139" s="252" t="s">
        <v>361</v>
      </c>
      <c r="C139" s="244" t="str">
        <f>THKL!B138</f>
        <v>Phát quang cây cỏ bằng thủ công</v>
      </c>
      <c r="D139" s="13" t="str">
        <f>THKL!C138</f>
        <v>1km/lần</v>
      </c>
      <c r="E139" s="271">
        <f>THKL!D138</f>
        <v>14.744960000000001</v>
      </c>
      <c r="F139" s="374"/>
      <c r="G139" s="245">
        <f>PTDG!G481</f>
        <v>899226.24</v>
      </c>
      <c r="H139" s="245"/>
      <c r="I139" s="245">
        <f t="shared" si="3"/>
        <v>0</v>
      </c>
      <c r="J139" s="245">
        <f t="shared" si="4"/>
        <v>13259054.939750401</v>
      </c>
      <c r="K139" s="245">
        <f t="shared" si="5"/>
        <v>0</v>
      </c>
    </row>
    <row r="140" spans="1:11" ht="18" customHeight="1">
      <c r="A140" s="13">
        <f>THKL!A139</f>
        <v>8</v>
      </c>
      <c r="B140" s="252" t="s">
        <v>362</v>
      </c>
      <c r="C140" s="244" t="str">
        <f>THKL!B139</f>
        <v>Nắn sửa cọc tiêu, cọc MLG</v>
      </c>
      <c r="D140" s="13" t="str">
        <f>THKL!C139</f>
        <v>1 cọc</v>
      </c>
      <c r="E140" s="271">
        <f>THKL!D139</f>
        <v>37.75</v>
      </c>
      <c r="F140" s="374"/>
      <c r="G140" s="245">
        <f>PTDG!G484</f>
        <v>10218.48</v>
      </c>
      <c r="H140" s="245"/>
      <c r="I140" s="245">
        <f t="shared" si="3"/>
        <v>0</v>
      </c>
      <c r="J140" s="245">
        <f t="shared" si="4"/>
        <v>385747.62</v>
      </c>
      <c r="K140" s="245">
        <f t="shared" si="5"/>
        <v>0</v>
      </c>
    </row>
    <row r="141" spans="1:11" ht="18" customHeight="1">
      <c r="A141" s="13">
        <f>THKL!A140</f>
        <v>9</v>
      </c>
      <c r="B141" s="252" t="s">
        <v>363</v>
      </c>
      <c r="C141" s="244" t="str">
        <f>THKL!B140</f>
        <v>Nắn sửa cột Km</v>
      </c>
      <c r="D141" s="13" t="str">
        <f>THKL!C140</f>
        <v>1 cột</v>
      </c>
      <c r="E141" s="271">
        <f>THKL!D140</f>
        <v>0.32</v>
      </c>
      <c r="F141" s="374"/>
      <c r="G141" s="245">
        <f>PTDG!G487</f>
        <v>20436.96</v>
      </c>
      <c r="H141" s="245"/>
      <c r="I141" s="245">
        <f t="shared" si="3"/>
        <v>0</v>
      </c>
      <c r="J141" s="245">
        <f t="shared" si="4"/>
        <v>6539.8271999999997</v>
      </c>
      <c r="K141" s="245">
        <f t="shared" si="5"/>
        <v>0</v>
      </c>
    </row>
    <row r="142" spans="1:11" ht="18" customHeight="1">
      <c r="A142" s="13">
        <f>THKL!A141</f>
        <v>10</v>
      </c>
      <c r="B142" s="252" t="s">
        <v>364</v>
      </c>
      <c r="C142" s="244" t="str">
        <f>THKL!B141</f>
        <v>Nắn chỉnh, tu sửa biển báo</v>
      </c>
      <c r="D142" s="13" t="str">
        <f>THKL!C141</f>
        <v>1 cột</v>
      </c>
      <c r="E142" s="271">
        <f>THKL!D141</f>
        <v>2.92</v>
      </c>
      <c r="F142" s="374"/>
      <c r="G142" s="245">
        <f>PTDG!G490</f>
        <v>38319.300000000003</v>
      </c>
      <c r="H142" s="245"/>
      <c r="I142" s="245">
        <f t="shared" si="3"/>
        <v>0</v>
      </c>
      <c r="J142" s="245">
        <f t="shared" si="4"/>
        <v>111892.356</v>
      </c>
      <c r="K142" s="245">
        <f t="shared" si="5"/>
        <v>0</v>
      </c>
    </row>
    <row r="143" spans="1:11" ht="18" customHeight="1">
      <c r="A143" s="13">
        <f>+THKL!A142</f>
        <v>11</v>
      </c>
      <c r="B143" s="252" t="s">
        <v>511</v>
      </c>
      <c r="C143" s="252" t="str">
        <f>+THKL!B142</f>
        <v>Bạt lề đường bằng máy</v>
      </c>
      <c r="D143" s="13" t="str">
        <f>+THKL!C142</f>
        <v>100md</v>
      </c>
      <c r="E143" s="271">
        <f>+THKL!D142</f>
        <v>294.89920000000001</v>
      </c>
      <c r="F143" s="374"/>
      <c r="G143" s="245"/>
      <c r="H143" s="245">
        <f>+PTDG!G493</f>
        <v>3154.1489999999999</v>
      </c>
      <c r="I143" s="245"/>
      <c r="J143" s="245"/>
      <c r="K143" s="245">
        <f>+E143*H143</f>
        <v>930156.01678079995</v>
      </c>
    </row>
    <row r="144" spans="1:11" ht="18" customHeight="1">
      <c r="A144" s="13">
        <f>+THKL!A143</f>
        <v>12</v>
      </c>
      <c r="B144" s="252" t="s">
        <v>514</v>
      </c>
      <c r="C144" s="252" t="str">
        <f>+THKL!B143</f>
        <v>Vệ sinh mặt đường bằng thủ công</v>
      </c>
      <c r="D144" s="382" t="str">
        <f>+THKL!C143</f>
        <v>lần/km</v>
      </c>
      <c r="E144" s="271">
        <f>+THKL!D143</f>
        <v>14.744960000000001</v>
      </c>
      <c r="F144" s="374">
        <f>+PTDG!G496</f>
        <v>2000</v>
      </c>
      <c r="G144" s="245">
        <f>+PTDG!G498</f>
        <v>697788.75</v>
      </c>
      <c r="H144" s="245"/>
      <c r="I144" s="245">
        <f>+E144*F144</f>
        <v>29489.920000000002</v>
      </c>
      <c r="J144" s="245">
        <f>+E144*G144</f>
        <v>10288867.2072</v>
      </c>
      <c r="K144" s="245"/>
    </row>
    <row r="145" spans="1:11" ht="18" customHeight="1">
      <c r="A145" s="13">
        <f>+THKL!A144</f>
        <v>13</v>
      </c>
      <c r="B145" s="252" t="s">
        <v>516</v>
      </c>
      <c r="C145" s="252" t="str">
        <f>+THKL!B144</f>
        <v>Vệ sinh mặt biển phản quang</v>
      </c>
      <c r="D145" s="382" t="str">
        <f>+THKL!C144</f>
        <v>m2</v>
      </c>
      <c r="E145" s="271">
        <f>+THKL!D144</f>
        <v>65.75</v>
      </c>
      <c r="F145" s="374"/>
      <c r="G145" s="245">
        <f>+PTDG!G501</f>
        <v>9579.8000000000011</v>
      </c>
      <c r="H145" s="245"/>
      <c r="I145" s="245"/>
      <c r="J145" s="245">
        <f>+E145*G145</f>
        <v>629871.85000000009</v>
      </c>
      <c r="K145" s="245"/>
    </row>
    <row r="146" spans="1:11" ht="35.25" customHeight="1">
      <c r="A146" s="13"/>
      <c r="B146" s="252"/>
      <c r="C146" s="34" t="str">
        <f>THKL!B145</f>
        <v>CÔNG TÁC BẢO DƯỠNG CẦU L &lt;= 300M</v>
      </c>
      <c r="D146" s="13"/>
      <c r="E146" s="271"/>
      <c r="F146" s="374"/>
      <c r="G146" s="245"/>
      <c r="H146" s="245"/>
      <c r="I146" s="245"/>
      <c r="J146" s="245"/>
      <c r="K146" s="245"/>
    </row>
    <row r="147" spans="1:11" ht="18" customHeight="1">
      <c r="A147" s="13">
        <f>THKL!A146</f>
        <v>14</v>
      </c>
      <c r="B147" s="252" t="s">
        <v>365</v>
      </c>
      <c r="C147" s="244" t="str">
        <f>THKL!B146</f>
        <v>Vệ sinh mặt cầu, ống thoát nước</v>
      </c>
      <c r="D147" s="13" t="str">
        <f>THKL!C146</f>
        <v>10m2</v>
      </c>
      <c r="E147" s="271">
        <f>THKL!D146</f>
        <v>102</v>
      </c>
      <c r="F147" s="374">
        <f>PTDG!G505</f>
        <v>2</v>
      </c>
      <c r="G147" s="245">
        <f>PTDG!G507</f>
        <v>8931.6959999999999</v>
      </c>
      <c r="H147" s="245"/>
      <c r="I147" s="245">
        <f t="shared" si="3"/>
        <v>204</v>
      </c>
      <c r="J147" s="245">
        <f t="shared" si="4"/>
        <v>911032.99199999997</v>
      </c>
      <c r="K147" s="245">
        <f t="shared" si="5"/>
        <v>0</v>
      </c>
    </row>
    <row r="148" spans="1:11" ht="18" customHeight="1">
      <c r="A148" s="13">
        <f>THKL!A147</f>
        <v>15</v>
      </c>
      <c r="B148" s="252" t="s">
        <v>366</v>
      </c>
      <c r="C148" s="244" t="str">
        <f>THKL!B147</f>
        <v>Vệ sinh khe co dãn cao su</v>
      </c>
      <c r="D148" s="13" t="str">
        <f>THKL!C147</f>
        <v>1md</v>
      </c>
      <c r="E148" s="271">
        <f>THKL!D147</f>
        <v>88</v>
      </c>
      <c r="F148" s="374"/>
      <c r="G148" s="245">
        <f>PTDG!G510</f>
        <v>11580.944000000001</v>
      </c>
      <c r="H148" s="245"/>
      <c r="I148" s="245">
        <f t="shared" si="3"/>
        <v>0</v>
      </c>
      <c r="J148" s="245">
        <f t="shared" si="4"/>
        <v>1019123.0720000002</v>
      </c>
      <c r="K148" s="245">
        <f t="shared" si="5"/>
        <v>0</v>
      </c>
    </row>
    <row r="149" spans="1:11" ht="18" customHeight="1">
      <c r="A149" s="13">
        <f>THKL!A148</f>
        <v>16</v>
      </c>
      <c r="B149" s="252" t="s">
        <v>367</v>
      </c>
      <c r="C149" s="244" t="str">
        <f>THKL!B148</f>
        <v>Vệ sinh mố cầu</v>
      </c>
      <c r="D149" s="13" t="str">
        <f>THKL!C148</f>
        <v>m2</v>
      </c>
      <c r="E149" s="271">
        <f>THKL!D148</f>
        <v>129.5</v>
      </c>
      <c r="F149" s="374"/>
      <c r="G149" s="383">
        <f>PTDG!G513</f>
        <v>86218.2</v>
      </c>
      <c r="H149" s="245"/>
      <c r="I149" s="245">
        <f t="shared" si="3"/>
        <v>0</v>
      </c>
      <c r="J149" s="245">
        <f t="shared" si="4"/>
        <v>11165256.9</v>
      </c>
      <c r="K149" s="245">
        <f t="shared" si="5"/>
        <v>0</v>
      </c>
    </row>
    <row r="150" spans="1:11" ht="18" customHeight="1">
      <c r="A150" s="13">
        <f>THKL!A149</f>
        <v>17</v>
      </c>
      <c r="B150" s="252" t="s">
        <v>368</v>
      </c>
      <c r="C150" s="244" t="str">
        <f>THKL!B149</f>
        <v>Phát quang cây dại</v>
      </c>
      <c r="D150" s="13" t="str">
        <f>THKL!C149</f>
        <v>100m2</v>
      </c>
      <c r="E150" s="271">
        <f>THKL!D149</f>
        <v>1.3559999999999999</v>
      </c>
      <c r="F150" s="374"/>
      <c r="G150" s="245">
        <f>PTDG!G516</f>
        <v>729940.08799999987</v>
      </c>
      <c r="H150" s="245"/>
      <c r="I150" s="245">
        <f t="shared" si="3"/>
        <v>0</v>
      </c>
      <c r="J150" s="245">
        <f t="shared" si="4"/>
        <v>989798.75932799978</v>
      </c>
      <c r="K150" s="245">
        <f t="shared" si="5"/>
        <v>0</v>
      </c>
    </row>
    <row r="151" spans="1:11" ht="32.25" customHeight="1">
      <c r="A151" s="13"/>
      <c r="B151" s="252"/>
      <c r="C151" s="34" t="str">
        <f>THKL!B150</f>
        <v>CÔNG TÁC QUẢN LÝ CẦU CẦU L &lt;= 300M</v>
      </c>
      <c r="D151" s="13"/>
      <c r="E151" s="271"/>
      <c r="F151" s="384"/>
      <c r="G151" s="245"/>
      <c r="H151" s="245"/>
      <c r="I151" s="245"/>
      <c r="J151" s="245"/>
      <c r="K151" s="245"/>
    </row>
    <row r="152" spans="1:11" ht="18" customHeight="1">
      <c r="A152" s="13"/>
      <c r="B152" s="252"/>
      <c r="C152" s="34" t="str">
        <f>THKL!B151</f>
        <v>Cầu &lt; 50m</v>
      </c>
      <c r="D152" s="13"/>
      <c r="E152" s="271"/>
      <c r="F152" s="384"/>
      <c r="G152" s="245"/>
      <c r="H152" s="245"/>
      <c r="I152" s="245"/>
      <c r="J152" s="245"/>
      <c r="K152" s="245"/>
    </row>
    <row r="153" spans="1:11" ht="18" customHeight="1">
      <c r="A153" s="13">
        <f>THKL!A152</f>
        <v>18</v>
      </c>
      <c r="B153" s="252" t="s">
        <v>369</v>
      </c>
      <c r="C153" s="244" t="str">
        <f>THKL!B152</f>
        <v>Kiểm tra cầu</v>
      </c>
      <c r="D153" s="13" t="str">
        <f>THKL!C152</f>
        <v>cầu/năm</v>
      </c>
      <c r="E153" s="271">
        <f>THKL!D152</f>
        <v>6</v>
      </c>
      <c r="F153" s="245">
        <f>PTDG!G521</f>
        <v>39000</v>
      </c>
      <c r="G153" s="245">
        <f>PTDG!G524</f>
        <v>804232</v>
      </c>
      <c r="H153" s="245"/>
      <c r="I153" s="245">
        <f t="shared" ref="I153:I222" si="6">F153*E153</f>
        <v>234000</v>
      </c>
      <c r="J153" s="245">
        <f t="shared" ref="J153:J222" si="7">G153*E153</f>
        <v>4825392</v>
      </c>
      <c r="K153" s="245">
        <f t="shared" ref="K153:K222" si="8">H153*E153</f>
        <v>0</v>
      </c>
    </row>
    <row r="154" spans="1:11" ht="18" customHeight="1">
      <c r="A154" s="13">
        <f>THKL!A153</f>
        <v>19</v>
      </c>
      <c r="B154" s="252" t="s">
        <v>370</v>
      </c>
      <c r="C154" s="244" t="str">
        <f>THKL!B153</f>
        <v>Kiểm tra trước và sau mùa mưa bão</v>
      </c>
      <c r="D154" s="13" t="str">
        <f>THKL!C153</f>
        <v>cầu/năm</v>
      </c>
      <c r="E154" s="271">
        <f>THKL!D153</f>
        <v>6</v>
      </c>
      <c r="F154" s="245">
        <f>PTDG!G527</f>
        <v>6501</v>
      </c>
      <c r="G154" s="245">
        <f>PTDG!G530</f>
        <v>201058</v>
      </c>
      <c r="H154" s="245"/>
      <c r="I154" s="245">
        <f t="shared" si="6"/>
        <v>39006</v>
      </c>
      <c r="J154" s="245">
        <f t="shared" si="7"/>
        <v>1206348</v>
      </c>
      <c r="K154" s="245">
        <f t="shared" si="8"/>
        <v>0</v>
      </c>
    </row>
    <row r="155" spans="1:11" ht="18" customHeight="1">
      <c r="A155" s="13">
        <f>THKL!A154</f>
        <v>20</v>
      </c>
      <c r="B155" s="252" t="s">
        <v>371</v>
      </c>
      <c r="C155" s="244" t="str">
        <f>THKL!B154</f>
        <v>Quản lý hồ sơ trên vi tính</v>
      </c>
      <c r="D155" s="13" t="str">
        <f>THKL!C154</f>
        <v>cầu/năm</v>
      </c>
      <c r="E155" s="271">
        <f>THKL!D154</f>
        <v>6</v>
      </c>
      <c r="F155" s="245"/>
      <c r="G155" s="245">
        <f>PTDG!G533</f>
        <v>237327</v>
      </c>
      <c r="H155" s="245"/>
      <c r="I155" s="245">
        <f t="shared" si="6"/>
        <v>0</v>
      </c>
      <c r="J155" s="245">
        <f t="shared" si="7"/>
        <v>1423962</v>
      </c>
      <c r="K155" s="245">
        <f t="shared" si="8"/>
        <v>0</v>
      </c>
    </row>
    <row r="156" spans="1:11" ht="18" customHeight="1">
      <c r="A156" s="13"/>
      <c r="B156" s="252"/>
      <c r="C156" s="34" t="str">
        <f>THKL!B155</f>
        <v>Cầu 50m - 100m</v>
      </c>
      <c r="D156" s="13"/>
      <c r="E156" s="271"/>
      <c r="F156" s="245"/>
      <c r="G156" s="245"/>
      <c r="H156" s="245"/>
      <c r="I156" s="245"/>
      <c r="J156" s="245"/>
      <c r="K156" s="245"/>
    </row>
    <row r="157" spans="1:11" ht="18" customHeight="1">
      <c r="A157" s="13">
        <f>THKL!A156</f>
        <v>21</v>
      </c>
      <c r="B157" s="252" t="s">
        <v>372</v>
      </c>
      <c r="C157" s="244" t="str">
        <f>THKL!B156</f>
        <v>Kiểm tra cầu</v>
      </c>
      <c r="D157" s="13" t="str">
        <f>THKL!C156</f>
        <v>cầu/năm</v>
      </c>
      <c r="E157" s="271">
        <f>THKL!D156</f>
        <v>1</v>
      </c>
      <c r="F157" s="245">
        <f>PTDG!G537</f>
        <v>45000</v>
      </c>
      <c r="G157" s="245">
        <f>PTDG!G540</f>
        <v>2412696</v>
      </c>
      <c r="H157" s="245"/>
      <c r="I157" s="245">
        <f t="shared" si="6"/>
        <v>45000</v>
      </c>
      <c r="J157" s="245">
        <f t="shared" si="7"/>
        <v>2412696</v>
      </c>
      <c r="K157" s="245">
        <f t="shared" si="8"/>
        <v>0</v>
      </c>
    </row>
    <row r="158" spans="1:11" ht="18" customHeight="1">
      <c r="A158" s="13">
        <f>THKL!A157</f>
        <v>22</v>
      </c>
      <c r="B158" s="252" t="s">
        <v>373</v>
      </c>
      <c r="C158" s="244" t="str">
        <f>THKL!B157</f>
        <v>Kiểm tra trước và sau mùa mưa bão</v>
      </c>
      <c r="D158" s="13" t="str">
        <f>THKL!C157</f>
        <v>cầu/năm</v>
      </c>
      <c r="E158" s="271">
        <f>THKL!D157</f>
        <v>1</v>
      </c>
      <c r="F158" s="245">
        <f>PTDG!G543</f>
        <v>7500</v>
      </c>
      <c r="G158" s="245">
        <f>PTDG!G546</f>
        <v>402116</v>
      </c>
      <c r="H158" s="245">
        <f>PTDG!G548</f>
        <v>378931</v>
      </c>
      <c r="I158" s="245">
        <f t="shared" si="6"/>
        <v>7500</v>
      </c>
      <c r="J158" s="245">
        <f t="shared" si="7"/>
        <v>402116</v>
      </c>
      <c r="K158" s="245">
        <f t="shared" si="8"/>
        <v>378931</v>
      </c>
    </row>
    <row r="159" spans="1:11" ht="18" customHeight="1">
      <c r="A159" s="290">
        <f>THKL!A158</f>
        <v>23</v>
      </c>
      <c r="B159" s="361" t="s">
        <v>374</v>
      </c>
      <c r="C159" s="362" t="str">
        <f>THKL!B158</f>
        <v>Quản lý hồ sơ trên vi tính</v>
      </c>
      <c r="D159" s="290" t="str">
        <f>THKL!C158</f>
        <v>cầu/năm</v>
      </c>
      <c r="E159" s="363">
        <f>THKL!D158</f>
        <v>1</v>
      </c>
      <c r="F159" s="364"/>
      <c r="G159" s="364">
        <f>PTDG!G551</f>
        <v>237327</v>
      </c>
      <c r="H159" s="364"/>
      <c r="I159" s="364">
        <f t="shared" si="6"/>
        <v>0</v>
      </c>
      <c r="J159" s="364">
        <f t="shared" si="7"/>
        <v>237327</v>
      </c>
      <c r="K159" s="364">
        <f t="shared" si="8"/>
        <v>0</v>
      </c>
    </row>
    <row r="160" spans="1:11" ht="31.5" customHeight="1">
      <c r="A160" s="297" t="str">
        <f>THKL!A159</f>
        <v>VI</v>
      </c>
      <c r="B160" s="377"/>
      <c r="C160" s="378" t="str">
        <f>THKL!B159</f>
        <v>ĐƯỜNG TỈNH 906 - HUYỆN VŨNG LIÊM</v>
      </c>
      <c r="D160" s="299"/>
      <c r="E160" s="303"/>
      <c r="F160" s="380"/>
      <c r="G160" s="380"/>
      <c r="H160" s="380"/>
      <c r="I160" s="381">
        <f>SUM(I161:I184)</f>
        <v>3499721.803078</v>
      </c>
      <c r="J160" s="381">
        <f>SUM(J161:J184)</f>
        <v>135973526.75971791</v>
      </c>
      <c r="K160" s="381">
        <f>SUM(K161:K184)</f>
        <v>1887289.4123927997</v>
      </c>
    </row>
    <row r="161" spans="1:11" ht="28.5" customHeight="1">
      <c r="A161" s="13"/>
      <c r="B161" s="252"/>
      <c r="C161" s="34" t="str">
        <f>THKL!B160</f>
        <v>CÔNG TÁC QUẢN LÝ BDTX ĐƯỜNG BỘ</v>
      </c>
      <c r="D161" s="13"/>
      <c r="E161" s="271"/>
      <c r="F161" s="245"/>
      <c r="G161" s="245"/>
      <c r="H161" s="245"/>
      <c r="I161" s="245"/>
      <c r="J161" s="245"/>
      <c r="K161" s="245"/>
    </row>
    <row r="162" spans="1:11" ht="18" customHeight="1">
      <c r="A162" s="13">
        <f>THKL!A161</f>
        <v>1</v>
      </c>
      <c r="B162" s="252" t="s">
        <v>355</v>
      </c>
      <c r="C162" s="244" t="str">
        <f>THKL!B161</f>
        <v>Tuần đường</v>
      </c>
      <c r="D162" s="13" t="str">
        <f>THKL!C161</f>
        <v>1km/năm</v>
      </c>
      <c r="E162" s="271">
        <f>THKL!D161</f>
        <v>16.78716</v>
      </c>
      <c r="F162" s="245">
        <f>PTDG!G556</f>
        <v>162671.375</v>
      </c>
      <c r="G162" s="245">
        <f>PTDG!G558</f>
        <v>2038164.2759999998</v>
      </c>
      <c r="H162" s="245"/>
      <c r="I162" s="245">
        <f t="shared" si="6"/>
        <v>2730790.3995449999</v>
      </c>
      <c r="J162" s="245">
        <f t="shared" si="7"/>
        <v>34214989.80749616</v>
      </c>
      <c r="K162" s="245">
        <f t="shared" si="8"/>
        <v>0</v>
      </c>
    </row>
    <row r="163" spans="1:11" ht="27" customHeight="1">
      <c r="A163" s="13">
        <f>THKL!A162</f>
        <v>2</v>
      </c>
      <c r="B163" s="252" t="s">
        <v>356</v>
      </c>
      <c r="C163" s="244" t="str">
        <f>THKL!B162</f>
        <v>Đếm xe bằng thủ công</v>
      </c>
      <c r="D163" s="13" t="str">
        <f>THKL!C162</f>
        <v>1lần/trạmđếm</v>
      </c>
      <c r="E163" s="271">
        <f>THKL!D162</f>
        <v>12</v>
      </c>
      <c r="F163" s="245">
        <f>PTDG!G561</f>
        <v>15300</v>
      </c>
      <c r="G163" s="245">
        <f>PTDG!G564</f>
        <v>2384312</v>
      </c>
      <c r="H163" s="245"/>
      <c r="I163" s="245">
        <f t="shared" si="6"/>
        <v>183600</v>
      </c>
      <c r="J163" s="245">
        <f t="shared" si="7"/>
        <v>28611744</v>
      </c>
      <c r="K163" s="245">
        <f t="shared" si="8"/>
        <v>0</v>
      </c>
    </row>
    <row r="164" spans="1:11" ht="33.75" customHeight="1">
      <c r="A164" s="13">
        <f>THKL!A163</f>
        <v>3</v>
      </c>
      <c r="B164" s="252" t="s">
        <v>357</v>
      </c>
      <c r="C164" s="244" t="str">
        <f>THKL!B163</f>
        <v>Kiểm tra định kỳ, khẩn cấp, cập nhật số liệu cầu đường và tình hình bão lũ</v>
      </c>
      <c r="D164" s="13" t="str">
        <f>THKL!C163</f>
        <v>1km/1lần</v>
      </c>
      <c r="E164" s="271">
        <f>THKL!D163</f>
        <v>16.78716</v>
      </c>
      <c r="F164" s="245">
        <f>PTDG!G567</f>
        <v>445.67500000000001</v>
      </c>
      <c r="G164" s="245">
        <f>PTDG!G569</f>
        <v>7439.1459999999997</v>
      </c>
      <c r="H164" s="245"/>
      <c r="I164" s="245">
        <f t="shared" si="6"/>
        <v>7481.6175330000005</v>
      </c>
      <c r="J164" s="245">
        <f t="shared" si="7"/>
        <v>124882.13416536</v>
      </c>
      <c r="K164" s="245">
        <f t="shared" si="8"/>
        <v>0</v>
      </c>
    </row>
    <row r="165" spans="1:11" ht="18" customHeight="1">
      <c r="A165" s="13">
        <f>THKL!A164</f>
        <v>4</v>
      </c>
      <c r="B165" s="252" t="s">
        <v>358</v>
      </c>
      <c r="C165" s="244" t="str">
        <f>THKL!B164</f>
        <v>Trực bão lũ</v>
      </c>
      <c r="D165" s="13" t="str">
        <f>THKL!C164</f>
        <v>40km/năm</v>
      </c>
      <c r="E165" s="271">
        <f>THKL!D164</f>
        <v>0.41967900000000002</v>
      </c>
      <c r="F165" s="245"/>
      <c r="G165" s="245">
        <f>PTDG!G572</f>
        <v>30655360</v>
      </c>
      <c r="H165" s="245"/>
      <c r="I165" s="245">
        <f t="shared" si="6"/>
        <v>0</v>
      </c>
      <c r="J165" s="245">
        <f t="shared" si="7"/>
        <v>12865410.829440001</v>
      </c>
      <c r="K165" s="245">
        <f t="shared" si="8"/>
        <v>0</v>
      </c>
    </row>
    <row r="166" spans="1:11" ht="29.25" customHeight="1">
      <c r="A166" s="13">
        <f>THKL!A165</f>
        <v>5</v>
      </c>
      <c r="B166" s="252" t="s">
        <v>359</v>
      </c>
      <c r="C166" s="244" t="str">
        <f>THKL!B165</f>
        <v>Quản lý hành lang an toàn đường bộ và đấu nối</v>
      </c>
      <c r="D166" s="13" t="str">
        <f>THKL!C165</f>
        <v>1km/năm</v>
      </c>
      <c r="E166" s="271">
        <f>THKL!D165</f>
        <v>16.78716</v>
      </c>
      <c r="F166" s="245"/>
      <c r="G166" s="245">
        <f>PTDG!G575</f>
        <v>402116</v>
      </c>
      <c r="H166" s="245"/>
      <c r="I166" s="245">
        <f t="shared" si="6"/>
        <v>0</v>
      </c>
      <c r="J166" s="245">
        <f t="shared" si="7"/>
        <v>6750385.6305600004</v>
      </c>
      <c r="K166" s="245">
        <f t="shared" si="8"/>
        <v>0</v>
      </c>
    </row>
    <row r="167" spans="1:11" ht="18" customHeight="1">
      <c r="A167" s="13">
        <f>THKL!A166</f>
        <v>6</v>
      </c>
      <c r="B167" s="252" t="s">
        <v>360</v>
      </c>
      <c r="C167" s="244" t="str">
        <f>THKL!B166</f>
        <v>Cắt cỏ bằng máy</v>
      </c>
      <c r="D167" s="13" t="str">
        <f>THKL!C166</f>
        <v>1km/1lần</v>
      </c>
      <c r="E167" s="271">
        <f>THKL!D166</f>
        <v>16.78716</v>
      </c>
      <c r="F167" s="245">
        <f>PTDG!G578</f>
        <v>8000</v>
      </c>
      <c r="G167" s="245"/>
      <c r="H167" s="245">
        <f>PTDG!G580</f>
        <v>49341.599999999999</v>
      </c>
      <c r="I167" s="245">
        <f t="shared" si="6"/>
        <v>134297.28</v>
      </c>
      <c r="J167" s="245">
        <f t="shared" si="7"/>
        <v>0</v>
      </c>
      <c r="K167" s="245">
        <f t="shared" si="8"/>
        <v>828305.33385599998</v>
      </c>
    </row>
    <row r="168" spans="1:11" ht="18" customHeight="1">
      <c r="A168" s="13">
        <f>THKL!A167</f>
        <v>7</v>
      </c>
      <c r="B168" s="252" t="s">
        <v>361</v>
      </c>
      <c r="C168" s="244" t="str">
        <f>THKL!B167</f>
        <v>Phát quang cây cỏ bằng thủ công</v>
      </c>
      <c r="D168" s="13" t="str">
        <f>THKL!C167</f>
        <v>1km/1lần</v>
      </c>
      <c r="E168" s="271">
        <f>THKL!D167</f>
        <v>16.78716</v>
      </c>
      <c r="F168" s="245"/>
      <c r="G168" s="245">
        <f>PTDG!G583</f>
        <v>899226.24</v>
      </c>
      <c r="H168" s="245"/>
      <c r="I168" s="245">
        <f t="shared" si="6"/>
        <v>0</v>
      </c>
      <c r="J168" s="245">
        <f t="shared" si="7"/>
        <v>15095454.7670784</v>
      </c>
      <c r="K168" s="245">
        <f t="shared" si="8"/>
        <v>0</v>
      </c>
    </row>
    <row r="169" spans="1:11" ht="18" customHeight="1">
      <c r="A169" s="13">
        <f>THKL!A168</f>
        <v>8</v>
      </c>
      <c r="B169" s="252" t="s">
        <v>362</v>
      </c>
      <c r="C169" s="244" t="str">
        <f>THKL!B168</f>
        <v>Nắn sửa cọc tiêu, cọc MLG</v>
      </c>
      <c r="D169" s="13" t="str">
        <f>THKL!C168</f>
        <v>1 cọc</v>
      </c>
      <c r="E169" s="271">
        <f>THKL!D168</f>
        <v>34.5</v>
      </c>
      <c r="F169" s="245"/>
      <c r="G169" s="245">
        <f>PTDG!G586</f>
        <v>10218.48</v>
      </c>
      <c r="H169" s="245"/>
      <c r="I169" s="245">
        <f t="shared" si="6"/>
        <v>0</v>
      </c>
      <c r="J169" s="245">
        <f t="shared" si="7"/>
        <v>352537.56</v>
      </c>
      <c r="K169" s="245">
        <f t="shared" si="8"/>
        <v>0</v>
      </c>
    </row>
    <row r="170" spans="1:11" ht="18" customHeight="1">
      <c r="A170" s="13">
        <f>THKL!A169</f>
        <v>9</v>
      </c>
      <c r="B170" s="252" t="s">
        <v>363</v>
      </c>
      <c r="C170" s="244" t="str">
        <f>THKL!B169</f>
        <v>Nắn sửa cột Km</v>
      </c>
      <c r="D170" s="13" t="str">
        <f>THKL!C169</f>
        <v>1 cột</v>
      </c>
      <c r="E170" s="271">
        <f>THKL!D169</f>
        <v>0.34</v>
      </c>
      <c r="F170" s="245"/>
      <c r="G170" s="245">
        <f>PTDG!G589</f>
        <v>20436.96</v>
      </c>
      <c r="H170" s="245"/>
      <c r="I170" s="245">
        <f t="shared" si="6"/>
        <v>0</v>
      </c>
      <c r="J170" s="245">
        <f t="shared" si="7"/>
        <v>6948.5664000000006</v>
      </c>
      <c r="K170" s="245">
        <f t="shared" si="8"/>
        <v>0</v>
      </c>
    </row>
    <row r="171" spans="1:11" ht="18" customHeight="1">
      <c r="A171" s="13">
        <f>THKL!A170</f>
        <v>10</v>
      </c>
      <c r="B171" s="252" t="s">
        <v>364</v>
      </c>
      <c r="C171" s="244" t="str">
        <f>THKL!B170</f>
        <v>Nắn chỉnh, tu sửa biển báo</v>
      </c>
      <c r="D171" s="13" t="str">
        <f>THKL!C170</f>
        <v>1 cột</v>
      </c>
      <c r="E171" s="271">
        <f>THKL!D170</f>
        <v>3.92</v>
      </c>
      <c r="F171" s="245"/>
      <c r="G171" s="245">
        <f>PTDG!G592</f>
        <v>38319.300000000003</v>
      </c>
      <c r="H171" s="245"/>
      <c r="I171" s="245">
        <f t="shared" si="6"/>
        <v>0</v>
      </c>
      <c r="J171" s="245">
        <f t="shared" si="7"/>
        <v>150211.65600000002</v>
      </c>
      <c r="K171" s="245">
        <f t="shared" si="8"/>
        <v>0</v>
      </c>
    </row>
    <row r="172" spans="1:11" ht="18" customHeight="1">
      <c r="A172" s="13">
        <f>+THKL!A171</f>
        <v>11</v>
      </c>
      <c r="B172" s="252" t="s">
        <v>511</v>
      </c>
      <c r="C172" s="252" t="str">
        <f>+THKL!B171</f>
        <v>Bạt lề đường bằng máy</v>
      </c>
      <c r="D172" s="13" t="str">
        <f>+THKL!C171</f>
        <v>100md</v>
      </c>
      <c r="E172" s="271">
        <f>+THKL!D171</f>
        <v>335.7432</v>
      </c>
      <c r="F172" s="245"/>
      <c r="G172" s="245"/>
      <c r="H172" s="245">
        <f>+PTDG!G595</f>
        <v>3154.1489999999999</v>
      </c>
      <c r="I172" s="245"/>
      <c r="J172" s="245"/>
      <c r="K172" s="245">
        <f>+E172*H172</f>
        <v>1058984.0785367999</v>
      </c>
    </row>
    <row r="173" spans="1:11" ht="18" customHeight="1">
      <c r="A173" s="13">
        <f>+THKL!A172</f>
        <v>12</v>
      </c>
      <c r="B173" s="252" t="s">
        <v>514</v>
      </c>
      <c r="C173" s="252" t="str">
        <f>+THKL!B172</f>
        <v>Vệ sinh mặt đường bằng thủ công</v>
      </c>
      <c r="D173" s="382" t="str">
        <f>+THKL!C172</f>
        <v>lần/km</v>
      </c>
      <c r="E173" s="271">
        <f>+THKL!D172</f>
        <v>16.78716</v>
      </c>
      <c r="F173" s="245">
        <f>+PTDG!G598</f>
        <v>2000</v>
      </c>
      <c r="G173" s="245">
        <f>+PTDG!G600</f>
        <v>697788.75</v>
      </c>
      <c r="H173" s="245"/>
      <c r="I173" s="245">
        <f>+E173*F173</f>
        <v>33574.32</v>
      </c>
      <c r="J173" s="245">
        <f>+E173*G173</f>
        <v>11713891.392449999</v>
      </c>
      <c r="K173" s="245"/>
    </row>
    <row r="174" spans="1:11" ht="18" customHeight="1">
      <c r="A174" s="13">
        <f>+THKL!A173</f>
        <v>13</v>
      </c>
      <c r="B174" s="252" t="s">
        <v>516</v>
      </c>
      <c r="C174" s="252" t="str">
        <f>+THKL!B173</f>
        <v>Vệ sinh mặt biển phản quang</v>
      </c>
      <c r="D174" s="382" t="str">
        <f>+THKL!C173</f>
        <v>m2</v>
      </c>
      <c r="E174" s="271">
        <f>THKL!D173</f>
        <v>73.59</v>
      </c>
      <c r="F174" s="245"/>
      <c r="G174" s="245">
        <f>+PTDG!G603</f>
        <v>9579.8000000000011</v>
      </c>
      <c r="H174" s="245"/>
      <c r="I174" s="245"/>
      <c r="J174" s="245">
        <f>+E174*G174</f>
        <v>704977.48200000008</v>
      </c>
      <c r="K174" s="245"/>
    </row>
    <row r="175" spans="1:11" ht="38.25" customHeight="1">
      <c r="A175" s="13"/>
      <c r="B175" s="252"/>
      <c r="C175" s="34" t="str">
        <f>THKL!B174</f>
        <v>CÔNG TÁC BẢO DƯỠNG CẦU L &lt;= 300M</v>
      </c>
      <c r="D175" s="13"/>
      <c r="E175" s="271"/>
      <c r="F175" s="245"/>
      <c r="G175" s="245"/>
      <c r="H175" s="245"/>
      <c r="I175" s="245"/>
      <c r="J175" s="245"/>
      <c r="K175" s="245"/>
    </row>
    <row r="176" spans="1:11" ht="18" customHeight="1">
      <c r="A176" s="13">
        <f>THKL!A175</f>
        <v>14</v>
      </c>
      <c r="B176" s="252" t="s">
        <v>365</v>
      </c>
      <c r="C176" s="244" t="str">
        <f>THKL!B175</f>
        <v>Vệ sinh mặt cầu, ống thoát nước</v>
      </c>
      <c r="D176" s="13" t="str">
        <f>THKL!C175</f>
        <v>10m2</v>
      </c>
      <c r="E176" s="271">
        <f>THKL!D175</f>
        <v>234.59299999999999</v>
      </c>
      <c r="F176" s="245">
        <f>PTDG!G607</f>
        <v>2</v>
      </c>
      <c r="G176" s="245">
        <f>PTDG!G609</f>
        <v>8931.6959999999999</v>
      </c>
      <c r="H176" s="245"/>
      <c r="I176" s="245">
        <f t="shared" si="6"/>
        <v>469.18599999999998</v>
      </c>
      <c r="J176" s="245">
        <f t="shared" si="7"/>
        <v>2095313.3597279999</v>
      </c>
      <c r="K176" s="245">
        <f t="shared" si="8"/>
        <v>0</v>
      </c>
    </row>
    <row r="177" spans="1:11" ht="18" customHeight="1">
      <c r="A177" s="13">
        <f>THKL!A176</f>
        <v>15</v>
      </c>
      <c r="B177" s="252" t="s">
        <v>366</v>
      </c>
      <c r="C177" s="244" t="str">
        <f>THKL!B176</f>
        <v>Vệ sinh khe co dãn cao su</v>
      </c>
      <c r="D177" s="13" t="str">
        <f>THKL!C176</f>
        <v>1md</v>
      </c>
      <c r="E177" s="271">
        <f>THKL!D176</f>
        <v>210</v>
      </c>
      <c r="F177" s="245"/>
      <c r="G177" s="245">
        <f>PTDG!G612</f>
        <v>11580.944000000001</v>
      </c>
      <c r="H177" s="245"/>
      <c r="I177" s="245">
        <f t="shared" si="6"/>
        <v>0</v>
      </c>
      <c r="J177" s="245">
        <f t="shared" si="7"/>
        <v>2431998.2400000002</v>
      </c>
      <c r="K177" s="245">
        <f t="shared" si="8"/>
        <v>0</v>
      </c>
    </row>
    <row r="178" spans="1:11" ht="18" customHeight="1">
      <c r="A178" s="13">
        <f>THKL!A177</f>
        <v>16</v>
      </c>
      <c r="B178" s="252" t="s">
        <v>367</v>
      </c>
      <c r="C178" s="244" t="str">
        <f>THKL!B177</f>
        <v>Vệ sinh mố cầu</v>
      </c>
      <c r="D178" s="13" t="str">
        <f>THKL!C177</f>
        <v>m2</v>
      </c>
      <c r="E178" s="271">
        <f>THKL!D177</f>
        <v>80</v>
      </c>
      <c r="F178" s="245"/>
      <c r="G178" s="245">
        <f>PTDG!G615</f>
        <v>86218.2</v>
      </c>
      <c r="H178" s="245"/>
      <c r="I178" s="245">
        <f t="shared" si="6"/>
        <v>0</v>
      </c>
      <c r="J178" s="245">
        <f t="shared" si="7"/>
        <v>6897456</v>
      </c>
      <c r="K178" s="245">
        <f t="shared" si="8"/>
        <v>0</v>
      </c>
    </row>
    <row r="179" spans="1:11" ht="18" customHeight="1">
      <c r="A179" s="13">
        <f>THKL!A178</f>
        <v>17</v>
      </c>
      <c r="B179" s="252" t="s">
        <v>368</v>
      </c>
      <c r="C179" s="244" t="str">
        <f>THKL!B178</f>
        <v>Phát quang cây dại</v>
      </c>
      <c r="D179" s="13" t="str">
        <f>THKL!C178</f>
        <v>100m2</v>
      </c>
      <c r="E179" s="271">
        <f>THKL!D178</f>
        <v>3.8</v>
      </c>
      <c r="F179" s="245"/>
      <c r="G179" s="245">
        <f>PTDG!G618</f>
        <v>729940.08799999987</v>
      </c>
      <c r="H179" s="245"/>
      <c r="I179" s="245">
        <f t="shared" si="6"/>
        <v>0</v>
      </c>
      <c r="J179" s="245">
        <f t="shared" si="7"/>
        <v>2773772.3343999996</v>
      </c>
      <c r="K179" s="245">
        <f t="shared" si="8"/>
        <v>0</v>
      </c>
    </row>
    <row r="180" spans="1:11" ht="30" customHeight="1">
      <c r="A180" s="13"/>
      <c r="B180" s="252"/>
      <c r="C180" s="34" t="str">
        <f>THKL!B179</f>
        <v>CÔNG TÁC QUẢN LÝ CẦU CẦU L &lt;= 300M</v>
      </c>
      <c r="D180" s="13"/>
      <c r="E180" s="271"/>
      <c r="F180" s="245"/>
      <c r="G180" s="245"/>
      <c r="H180" s="245"/>
      <c r="I180" s="245"/>
      <c r="J180" s="245"/>
      <c r="K180" s="245"/>
    </row>
    <row r="181" spans="1:11" ht="18" customHeight="1">
      <c r="A181" s="13"/>
      <c r="B181" s="252"/>
      <c r="C181" s="34" t="str">
        <f>THKL!B180</f>
        <v>Cầu &lt; 50m</v>
      </c>
      <c r="D181" s="13"/>
      <c r="E181" s="271"/>
      <c r="F181" s="245"/>
      <c r="G181" s="245"/>
      <c r="H181" s="245"/>
      <c r="I181" s="245"/>
      <c r="J181" s="245"/>
      <c r="K181" s="245"/>
    </row>
    <row r="182" spans="1:11" ht="18" customHeight="1">
      <c r="A182" s="13">
        <f>THKL!A181</f>
        <v>18</v>
      </c>
      <c r="B182" s="252" t="s">
        <v>369</v>
      </c>
      <c r="C182" s="244" t="str">
        <f>THKL!B181</f>
        <v>Kiểm tra cầu</v>
      </c>
      <c r="D182" s="13" t="str">
        <f>THKL!C181</f>
        <v>cầu/năm</v>
      </c>
      <c r="E182" s="271">
        <f>THKL!D181</f>
        <v>9</v>
      </c>
      <c r="F182" s="245">
        <f>PTDG!G623</f>
        <v>39000</v>
      </c>
      <c r="G182" s="245">
        <f>PTDG!G626</f>
        <v>804232</v>
      </c>
      <c r="H182" s="245"/>
      <c r="I182" s="245">
        <f t="shared" si="6"/>
        <v>351000</v>
      </c>
      <c r="J182" s="245">
        <f t="shared" si="7"/>
        <v>7238088</v>
      </c>
      <c r="K182" s="245">
        <f t="shared" si="8"/>
        <v>0</v>
      </c>
    </row>
    <row r="183" spans="1:11" ht="18" customHeight="1">
      <c r="A183" s="13">
        <f>THKL!A182</f>
        <v>19</v>
      </c>
      <c r="B183" s="252" t="s">
        <v>370</v>
      </c>
      <c r="C183" s="244" t="str">
        <f>THKL!B182</f>
        <v>Kiểm tra trước và sau mùa mưa bão</v>
      </c>
      <c r="D183" s="13" t="str">
        <f>THKL!C182</f>
        <v>cầu/năm</v>
      </c>
      <c r="E183" s="271">
        <f>THKL!D182</f>
        <v>9</v>
      </c>
      <c r="F183" s="245">
        <f>PTDG!G629</f>
        <v>6501</v>
      </c>
      <c r="G183" s="245">
        <f>PTDG!G632</f>
        <v>201058</v>
      </c>
      <c r="H183" s="245"/>
      <c r="I183" s="245">
        <f t="shared" si="6"/>
        <v>58509</v>
      </c>
      <c r="J183" s="245">
        <f t="shared" si="7"/>
        <v>1809522</v>
      </c>
      <c r="K183" s="245">
        <f t="shared" si="8"/>
        <v>0</v>
      </c>
    </row>
    <row r="184" spans="1:11" ht="18" customHeight="1">
      <c r="A184" s="290">
        <f>THKL!A183</f>
        <v>20</v>
      </c>
      <c r="B184" s="361" t="s">
        <v>371</v>
      </c>
      <c r="C184" s="362" t="str">
        <f>THKL!B183</f>
        <v>Quản lý hồ sơ trên vi tính</v>
      </c>
      <c r="D184" s="290" t="str">
        <f>THKL!C183</f>
        <v>cầu/năm</v>
      </c>
      <c r="E184" s="363">
        <f>THKL!D183</f>
        <v>9</v>
      </c>
      <c r="F184" s="364"/>
      <c r="G184" s="364">
        <f>PTDG!G635</f>
        <v>237327</v>
      </c>
      <c r="H184" s="364"/>
      <c r="I184" s="364">
        <f t="shared" si="6"/>
        <v>0</v>
      </c>
      <c r="J184" s="364">
        <f t="shared" si="7"/>
        <v>2135943</v>
      </c>
      <c r="K184" s="364">
        <f t="shared" si="8"/>
        <v>0</v>
      </c>
    </row>
    <row r="185" spans="1:11" ht="30" customHeight="1">
      <c r="A185" s="297" t="str">
        <f>THKL!A184</f>
        <v>VII</v>
      </c>
      <c r="B185" s="377"/>
      <c r="C185" s="378" t="str">
        <f>THKL!B184</f>
        <v>ĐƯỜNG TỈNH 907 - HUYỆN VŨNG LIÊM</v>
      </c>
      <c r="D185" s="299"/>
      <c r="E185" s="303"/>
      <c r="F185" s="380"/>
      <c r="G185" s="380"/>
      <c r="H185" s="380"/>
      <c r="I185" s="381">
        <f>SUM(I186:I213)</f>
        <v>12042574.04459</v>
      </c>
      <c r="J185" s="381">
        <f>SUM(J186:J213)</f>
        <v>487592674.09569347</v>
      </c>
      <c r="K185" s="381">
        <f>SUM(K186:K213)</f>
        <v>10331213.659884</v>
      </c>
    </row>
    <row r="186" spans="1:11" ht="29.25" customHeight="1">
      <c r="A186" s="13"/>
      <c r="B186" s="252"/>
      <c r="C186" s="34" t="str">
        <f>THKL!B185</f>
        <v>CÔNG TÁC QUẢN LÝ BDTX ĐƯỜNG BỘ</v>
      </c>
      <c r="D186" s="13"/>
      <c r="E186" s="271"/>
      <c r="F186" s="245"/>
      <c r="G186" s="245"/>
      <c r="H186" s="245"/>
      <c r="I186" s="245"/>
      <c r="J186" s="245"/>
      <c r="K186" s="245"/>
    </row>
    <row r="187" spans="1:11" ht="18" customHeight="1">
      <c r="A187" s="13">
        <f>THKL!A186</f>
        <v>1</v>
      </c>
      <c r="B187" s="252" t="s">
        <v>355</v>
      </c>
      <c r="C187" s="244" t="str">
        <f>THKL!B186</f>
        <v>Tuần đường</v>
      </c>
      <c r="D187" s="13" t="str">
        <f>THKL!C186</f>
        <v>1km/năm</v>
      </c>
      <c r="E187" s="271">
        <f>THKL!D186</f>
        <v>61.559800000000003</v>
      </c>
      <c r="F187" s="245">
        <f>PTDG!G640</f>
        <v>162671.375</v>
      </c>
      <c r="G187" s="245">
        <f>PTDG!G642</f>
        <v>2038164.2759999998</v>
      </c>
      <c r="H187" s="245"/>
      <c r="I187" s="245">
        <f t="shared" si="6"/>
        <v>10014017.310725</v>
      </c>
      <c r="J187" s="245">
        <f t="shared" si="7"/>
        <v>125468985.19770479</v>
      </c>
      <c r="K187" s="245">
        <f t="shared" si="8"/>
        <v>0</v>
      </c>
    </row>
    <row r="188" spans="1:11" ht="29.25" customHeight="1">
      <c r="A188" s="13">
        <f>THKL!A187</f>
        <v>2</v>
      </c>
      <c r="B188" s="252" t="s">
        <v>356</v>
      </c>
      <c r="C188" s="244" t="str">
        <f>THKL!B187</f>
        <v>Đếm xe bằng thủ công</v>
      </c>
      <c r="D188" s="13" t="str">
        <f>THKL!C187</f>
        <v>1lần/trạmđếm</v>
      </c>
      <c r="E188" s="271">
        <f>THKL!D187</f>
        <v>12</v>
      </c>
      <c r="F188" s="245">
        <f>PTDG!G645</f>
        <v>15300</v>
      </c>
      <c r="G188" s="245">
        <f>PTDG!G648</f>
        <v>2384312</v>
      </c>
      <c r="H188" s="245"/>
      <c r="I188" s="245">
        <f t="shared" si="6"/>
        <v>183600</v>
      </c>
      <c r="J188" s="245">
        <f t="shared" si="7"/>
        <v>28611744</v>
      </c>
      <c r="K188" s="245">
        <f t="shared" si="8"/>
        <v>0</v>
      </c>
    </row>
    <row r="189" spans="1:11" ht="33.75" customHeight="1">
      <c r="A189" s="13">
        <f>THKL!A188</f>
        <v>3</v>
      </c>
      <c r="B189" s="252" t="s">
        <v>357</v>
      </c>
      <c r="C189" s="244" t="str">
        <f>THKL!B188</f>
        <v>Kiểm tra định kỳ, khẩn cấp, cập nhật số liệu cầu đường và tình hình bão lũ</v>
      </c>
      <c r="D189" s="13" t="str">
        <f>THKL!C188</f>
        <v>1km/1lần</v>
      </c>
      <c r="E189" s="271">
        <f>THKL!D188</f>
        <v>61.559800000000003</v>
      </c>
      <c r="F189" s="245">
        <f>PTDG!G651</f>
        <v>445.67500000000001</v>
      </c>
      <c r="G189" s="245">
        <f>PTDG!G653</f>
        <v>7439.1459999999997</v>
      </c>
      <c r="H189" s="245"/>
      <c r="I189" s="245">
        <f t="shared" si="6"/>
        <v>27435.663865000002</v>
      </c>
      <c r="J189" s="245">
        <f t="shared" si="7"/>
        <v>457952.33993080002</v>
      </c>
      <c r="K189" s="245">
        <f t="shared" si="8"/>
        <v>0</v>
      </c>
    </row>
    <row r="190" spans="1:11" ht="18" customHeight="1">
      <c r="A190" s="13">
        <f>THKL!A189</f>
        <v>4</v>
      </c>
      <c r="B190" s="252" t="s">
        <v>358</v>
      </c>
      <c r="C190" s="244" t="str">
        <f>THKL!B189</f>
        <v>Trực bão lũ</v>
      </c>
      <c r="D190" s="13" t="str">
        <f>THKL!C189</f>
        <v>40km/năm</v>
      </c>
      <c r="E190" s="271">
        <f>THKL!D189</f>
        <v>1.5389950000000001</v>
      </c>
      <c r="F190" s="245"/>
      <c r="G190" s="245">
        <f>PTDG!G656</f>
        <v>30655360</v>
      </c>
      <c r="H190" s="245"/>
      <c r="I190" s="245">
        <f t="shared" si="6"/>
        <v>0</v>
      </c>
      <c r="J190" s="245">
        <f t="shared" si="7"/>
        <v>47178445.7632</v>
      </c>
      <c r="K190" s="245">
        <f t="shared" si="8"/>
        <v>0</v>
      </c>
    </row>
    <row r="191" spans="1:11" ht="28.5" customHeight="1">
      <c r="A191" s="13">
        <f>THKL!A190</f>
        <v>5</v>
      </c>
      <c r="B191" s="252" t="s">
        <v>359</v>
      </c>
      <c r="C191" s="244" t="str">
        <f>THKL!B190</f>
        <v>Quản lý hành lang an toàn đường bộ và đấu nối</v>
      </c>
      <c r="D191" s="13" t="str">
        <f>THKL!C190</f>
        <v>1km/ năm</v>
      </c>
      <c r="E191" s="271">
        <f>THKL!D190</f>
        <v>61.559800000000003</v>
      </c>
      <c r="F191" s="245"/>
      <c r="G191" s="245">
        <f>PTDG!G659</f>
        <v>402116</v>
      </c>
      <c r="H191" s="245"/>
      <c r="I191" s="245">
        <f t="shared" si="6"/>
        <v>0</v>
      </c>
      <c r="J191" s="245">
        <f t="shared" si="7"/>
        <v>24754180.536800001</v>
      </c>
      <c r="K191" s="245">
        <f t="shared" si="8"/>
        <v>0</v>
      </c>
    </row>
    <row r="192" spans="1:11" ht="18" customHeight="1">
      <c r="A192" s="13">
        <f>THKL!A191</f>
        <v>6</v>
      </c>
      <c r="B192" s="252" t="s">
        <v>360</v>
      </c>
      <c r="C192" s="244" t="str">
        <f>THKL!B191</f>
        <v>Cắt cỏ bằng máy</v>
      </c>
      <c r="D192" s="13" t="str">
        <f>THKL!C191</f>
        <v>1km/1lần</v>
      </c>
      <c r="E192" s="271">
        <f>THKL!D191</f>
        <v>61.559800000000003</v>
      </c>
      <c r="F192" s="245">
        <f>PTDG!G662</f>
        <v>8000</v>
      </c>
      <c r="G192" s="245"/>
      <c r="H192" s="245">
        <f>PTDG!G664</f>
        <v>49341.599999999999</v>
      </c>
      <c r="I192" s="245">
        <f t="shared" si="6"/>
        <v>492478.4</v>
      </c>
      <c r="J192" s="245">
        <f t="shared" si="7"/>
        <v>0</v>
      </c>
      <c r="K192" s="245">
        <f t="shared" si="8"/>
        <v>3037459.0276799998</v>
      </c>
    </row>
    <row r="193" spans="1:11" ht="18" customHeight="1">
      <c r="A193" s="13">
        <f>THKL!A192</f>
        <v>7</v>
      </c>
      <c r="B193" s="252" t="s">
        <v>361</v>
      </c>
      <c r="C193" s="244" t="str">
        <f>THKL!B192</f>
        <v>Phát quang cây cỏ bằng thủ công</v>
      </c>
      <c r="D193" s="13" t="str">
        <f>THKL!C192</f>
        <v>1km/1lần</v>
      </c>
      <c r="E193" s="271">
        <f>THKL!D192</f>
        <v>61.559800000000003</v>
      </c>
      <c r="F193" s="245"/>
      <c r="G193" s="245">
        <f>PTDG!G667</f>
        <v>899226.24</v>
      </c>
      <c r="H193" s="245"/>
      <c r="I193" s="245">
        <f t="shared" si="6"/>
        <v>0</v>
      </c>
      <c r="J193" s="245">
        <f t="shared" si="7"/>
        <v>55356187.489151999</v>
      </c>
      <c r="K193" s="245">
        <f t="shared" si="8"/>
        <v>0</v>
      </c>
    </row>
    <row r="194" spans="1:11" ht="18" customHeight="1">
      <c r="A194" s="13">
        <f>THKL!A193</f>
        <v>8</v>
      </c>
      <c r="B194" s="252" t="s">
        <v>362</v>
      </c>
      <c r="C194" s="244" t="str">
        <f>THKL!B193</f>
        <v>Nắn sửa cọc tiêu, cọc MLG</v>
      </c>
      <c r="D194" s="13" t="str">
        <f>THKL!C193</f>
        <v>1 cọc</v>
      </c>
      <c r="E194" s="271">
        <f>THKL!D193</f>
        <v>122.3</v>
      </c>
      <c r="F194" s="245"/>
      <c r="G194" s="245">
        <f>PTDG!G670</f>
        <v>10218.48</v>
      </c>
      <c r="H194" s="245"/>
      <c r="I194" s="245">
        <f t="shared" si="6"/>
        <v>0</v>
      </c>
      <c r="J194" s="245">
        <f t="shared" si="7"/>
        <v>1249720.1039999998</v>
      </c>
      <c r="K194" s="245">
        <f t="shared" si="8"/>
        <v>0</v>
      </c>
    </row>
    <row r="195" spans="1:11" ht="18" customHeight="1">
      <c r="A195" s="13">
        <f>THKL!A194</f>
        <v>9</v>
      </c>
      <c r="B195" s="252" t="s">
        <v>363</v>
      </c>
      <c r="C195" s="244" t="str">
        <f>THKL!B194</f>
        <v>Nắn sửa cột Km</v>
      </c>
      <c r="D195" s="13" t="str">
        <f>THKL!C194</f>
        <v>1 cột</v>
      </c>
      <c r="E195" s="271">
        <f>THKL!D194</f>
        <v>1.32</v>
      </c>
      <c r="F195" s="245"/>
      <c r="G195" s="245">
        <f>PTDG!G673</f>
        <v>20436.96</v>
      </c>
      <c r="H195" s="245"/>
      <c r="I195" s="245">
        <f t="shared" si="6"/>
        <v>0</v>
      </c>
      <c r="J195" s="245">
        <f t="shared" si="7"/>
        <v>26976.787199999999</v>
      </c>
      <c r="K195" s="245">
        <f t="shared" si="8"/>
        <v>0</v>
      </c>
    </row>
    <row r="196" spans="1:11" ht="18" customHeight="1">
      <c r="A196" s="13">
        <f>THKL!A195</f>
        <v>10</v>
      </c>
      <c r="B196" s="252" t="s">
        <v>364</v>
      </c>
      <c r="C196" s="244" t="str">
        <f>THKL!B195</f>
        <v>Nắn chỉnh, tu sửa biển báo</v>
      </c>
      <c r="D196" s="13" t="str">
        <f>THKL!C195</f>
        <v>1 cột</v>
      </c>
      <c r="E196" s="271">
        <f>THKL!D195</f>
        <v>6.3</v>
      </c>
      <c r="F196" s="245"/>
      <c r="G196" s="245">
        <f>PTDG!G676</f>
        <v>38319.300000000003</v>
      </c>
      <c r="H196" s="245"/>
      <c r="I196" s="245">
        <f t="shared" si="6"/>
        <v>0</v>
      </c>
      <c r="J196" s="245">
        <f t="shared" si="7"/>
        <v>241411.59000000003</v>
      </c>
      <c r="K196" s="245">
        <f t="shared" si="8"/>
        <v>0</v>
      </c>
    </row>
    <row r="197" spans="1:11" ht="18" customHeight="1">
      <c r="A197" s="13">
        <f>+THKL!A196</f>
        <v>11</v>
      </c>
      <c r="B197" s="252" t="s">
        <v>511</v>
      </c>
      <c r="C197" s="252" t="str">
        <f>+THKL!B196</f>
        <v>Bạt lề đường bằng máy</v>
      </c>
      <c r="D197" s="13" t="str">
        <f>+THKL!C196</f>
        <v>100md</v>
      </c>
      <c r="E197" s="271">
        <f>+THKL!D196</f>
        <v>1231.1960000000001</v>
      </c>
      <c r="F197" s="245"/>
      <c r="G197" s="245"/>
      <c r="H197" s="245">
        <f>+PTDG!G679</f>
        <v>3154.1489999999999</v>
      </c>
      <c r="I197" s="245"/>
      <c r="J197" s="245"/>
      <c r="K197" s="245">
        <f>+E197*H197</f>
        <v>3883375.6322040004</v>
      </c>
    </row>
    <row r="198" spans="1:11" ht="18" customHeight="1">
      <c r="A198" s="13">
        <f>+THKL!A197</f>
        <v>12</v>
      </c>
      <c r="B198" s="252" t="s">
        <v>514</v>
      </c>
      <c r="C198" s="252" t="str">
        <f>+THKL!B197</f>
        <v>Vệ sinh mặt đường bằng thủ công</v>
      </c>
      <c r="D198" s="382" t="str">
        <f>+THKL!C197</f>
        <v>lần/km</v>
      </c>
      <c r="E198" s="271">
        <f>+THKL!D197</f>
        <v>61.559800000000003</v>
      </c>
      <c r="F198" s="245">
        <f>+PTDG!G682</f>
        <v>2000</v>
      </c>
      <c r="G198" s="245">
        <f>+PTDG!G684</f>
        <v>697788.75</v>
      </c>
      <c r="H198" s="245"/>
      <c r="I198" s="245">
        <f>+E198*F198</f>
        <v>123119.6</v>
      </c>
      <c r="J198" s="245">
        <f>+E198*G198</f>
        <v>42955735.892250001</v>
      </c>
      <c r="K198" s="245"/>
    </row>
    <row r="199" spans="1:11" ht="18" customHeight="1">
      <c r="A199" s="13">
        <f>+THKL!A198</f>
        <v>13</v>
      </c>
      <c r="B199" s="252" t="s">
        <v>516</v>
      </c>
      <c r="C199" s="252" t="str">
        <f>+THKL!B198</f>
        <v>Vệ sinh mặt biển phản quang</v>
      </c>
      <c r="D199" s="382" t="str">
        <f>+THKL!C198</f>
        <v>m2</v>
      </c>
      <c r="E199" s="271">
        <f>+THKL!D198</f>
        <v>84.759</v>
      </c>
      <c r="F199" s="245"/>
      <c r="G199" s="245">
        <f>+PTDG!G687</f>
        <v>9579.8000000000011</v>
      </c>
      <c r="H199" s="245"/>
      <c r="I199" s="245"/>
      <c r="J199" s="245">
        <f>+E199*G199</f>
        <v>811974.26820000005</v>
      </c>
      <c r="K199" s="245"/>
    </row>
    <row r="200" spans="1:11" ht="31.5" customHeight="1">
      <c r="A200" s="13"/>
      <c r="B200" s="252"/>
      <c r="C200" s="34" t="str">
        <f>THKL!B199</f>
        <v>CÔNG TÁC BẢO DƯỠNG CẦU L &lt;= 300M</v>
      </c>
      <c r="D200" s="13"/>
      <c r="E200" s="271"/>
      <c r="F200" s="245"/>
      <c r="G200" s="245"/>
      <c r="H200" s="245"/>
      <c r="I200" s="245"/>
      <c r="J200" s="245"/>
      <c r="K200" s="245"/>
    </row>
    <row r="201" spans="1:11" ht="18" customHeight="1">
      <c r="A201" s="13">
        <f>THKL!A200</f>
        <v>14</v>
      </c>
      <c r="B201" s="252" t="s">
        <v>365</v>
      </c>
      <c r="C201" s="244" t="str">
        <f>THKL!B200</f>
        <v>Vệ sinh mặt cầu, ống thoát nước</v>
      </c>
      <c r="D201" s="13" t="str">
        <f>THKL!C200</f>
        <v>10m2</v>
      </c>
      <c r="E201" s="271">
        <f>THKL!D200</f>
        <v>703.53500000000008</v>
      </c>
      <c r="F201" s="245">
        <f>PTDG!G691</f>
        <v>2</v>
      </c>
      <c r="G201" s="245">
        <f>PTDG!G693</f>
        <v>8931.6959999999999</v>
      </c>
      <c r="H201" s="245"/>
      <c r="I201" s="245">
        <f t="shared" si="6"/>
        <v>1407.0700000000002</v>
      </c>
      <c r="J201" s="245">
        <f t="shared" si="7"/>
        <v>6283760.745360001</v>
      </c>
      <c r="K201" s="245">
        <f t="shared" si="8"/>
        <v>0</v>
      </c>
    </row>
    <row r="202" spans="1:11" ht="18" customHeight="1">
      <c r="A202" s="13">
        <f>THKL!A201</f>
        <v>15</v>
      </c>
      <c r="B202" s="252" t="s">
        <v>366</v>
      </c>
      <c r="C202" s="244" t="str">
        <f>THKL!B201</f>
        <v>Vệ sinh khe co dãn cao su</v>
      </c>
      <c r="D202" s="13" t="str">
        <f>THKL!C201</f>
        <v>1md</v>
      </c>
      <c r="E202" s="271">
        <f>THKL!D201</f>
        <v>580</v>
      </c>
      <c r="F202" s="245"/>
      <c r="G202" s="245">
        <f>PTDG!G696</f>
        <v>11580.944000000001</v>
      </c>
      <c r="H202" s="245"/>
      <c r="I202" s="245">
        <f t="shared" si="6"/>
        <v>0</v>
      </c>
      <c r="J202" s="245">
        <f t="shared" si="7"/>
        <v>6716947.5200000005</v>
      </c>
      <c r="K202" s="245">
        <f t="shared" si="8"/>
        <v>0</v>
      </c>
    </row>
    <row r="203" spans="1:11" ht="18" customHeight="1">
      <c r="A203" s="13">
        <f>THKL!A202</f>
        <v>16</v>
      </c>
      <c r="B203" s="252" t="s">
        <v>367</v>
      </c>
      <c r="C203" s="244" t="str">
        <f>THKL!B202</f>
        <v>Vệ sinh mố cầu</v>
      </c>
      <c r="D203" s="13" t="str">
        <f>THKL!C202</f>
        <v>m2</v>
      </c>
      <c r="E203" s="271">
        <f>THKL!D202</f>
        <v>1038</v>
      </c>
      <c r="F203" s="245"/>
      <c r="G203" s="245">
        <f>PTDG!G699</f>
        <v>86218.2</v>
      </c>
      <c r="H203" s="245"/>
      <c r="I203" s="245">
        <f t="shared" si="6"/>
        <v>0</v>
      </c>
      <c r="J203" s="245">
        <f t="shared" si="7"/>
        <v>89494491.599999994</v>
      </c>
      <c r="K203" s="245">
        <f t="shared" si="8"/>
        <v>0</v>
      </c>
    </row>
    <row r="204" spans="1:11" ht="18" customHeight="1">
      <c r="A204" s="13">
        <f>THKL!A203</f>
        <v>17</v>
      </c>
      <c r="B204" s="252" t="s">
        <v>368</v>
      </c>
      <c r="C204" s="244" t="str">
        <f>THKL!B203</f>
        <v>Phát quang cây dại</v>
      </c>
      <c r="D204" s="13" t="str">
        <f>THKL!C203</f>
        <v>100m2</v>
      </c>
      <c r="E204" s="271">
        <f>THKL!D203</f>
        <v>14.567</v>
      </c>
      <c r="F204" s="245"/>
      <c r="G204" s="245">
        <f>PTDG!G702</f>
        <v>729940.08799999987</v>
      </c>
      <c r="H204" s="245"/>
      <c r="I204" s="245">
        <f t="shared" si="6"/>
        <v>0</v>
      </c>
      <c r="J204" s="245">
        <f t="shared" si="7"/>
        <v>10633037.261895997</v>
      </c>
      <c r="K204" s="245">
        <f t="shared" si="8"/>
        <v>0</v>
      </c>
    </row>
    <row r="205" spans="1:11" ht="31.5" customHeight="1">
      <c r="A205" s="13"/>
      <c r="B205" s="252"/>
      <c r="C205" s="34" t="str">
        <f>THKL!B204</f>
        <v>CÔNG TÁC QUẢN LÝ CẦU CẦU L &lt;= 300M</v>
      </c>
      <c r="D205" s="13"/>
      <c r="E205" s="271"/>
      <c r="F205" s="245"/>
      <c r="G205" s="245"/>
      <c r="H205" s="245"/>
      <c r="I205" s="245"/>
      <c r="J205" s="245"/>
      <c r="K205" s="245"/>
    </row>
    <row r="206" spans="1:11" ht="18" customHeight="1">
      <c r="A206" s="13"/>
      <c r="B206" s="252"/>
      <c r="C206" s="34" t="str">
        <f>THKL!B205</f>
        <v>Cầu &lt; 50m</v>
      </c>
      <c r="D206" s="13"/>
      <c r="E206" s="271"/>
      <c r="F206" s="245"/>
      <c r="G206" s="245"/>
      <c r="H206" s="245"/>
      <c r="I206" s="245"/>
      <c r="J206" s="245"/>
      <c r="K206" s="245"/>
    </row>
    <row r="207" spans="1:11" ht="18" customHeight="1">
      <c r="A207" s="13">
        <f>THKL!A206</f>
        <v>18</v>
      </c>
      <c r="B207" s="252" t="s">
        <v>369</v>
      </c>
      <c r="C207" s="244" t="str">
        <f>THKL!B206</f>
        <v>Kiểm tra cầu</v>
      </c>
      <c r="D207" s="13" t="str">
        <f>THKL!C206</f>
        <v>cầu/năm</v>
      </c>
      <c r="E207" s="271">
        <f>THKL!D206</f>
        <v>16</v>
      </c>
      <c r="F207" s="245">
        <f>PTDG!G707</f>
        <v>39000</v>
      </c>
      <c r="G207" s="245">
        <f>PTDG!G710</f>
        <v>804232</v>
      </c>
      <c r="H207" s="245"/>
      <c r="I207" s="245">
        <f t="shared" si="6"/>
        <v>624000</v>
      </c>
      <c r="J207" s="245">
        <f t="shared" si="7"/>
        <v>12867712</v>
      </c>
      <c r="K207" s="245">
        <f t="shared" si="8"/>
        <v>0</v>
      </c>
    </row>
    <row r="208" spans="1:11" ht="18" customHeight="1">
      <c r="A208" s="13">
        <f>THKL!A207</f>
        <v>19</v>
      </c>
      <c r="B208" s="252" t="s">
        <v>370</v>
      </c>
      <c r="C208" s="244" t="str">
        <f>THKL!B207</f>
        <v>Kiểm tra trước và sau mùa mưa bão</v>
      </c>
      <c r="D208" s="13" t="str">
        <f>THKL!C207</f>
        <v>cầu/năm</v>
      </c>
      <c r="E208" s="271">
        <f>THKL!D207</f>
        <v>16</v>
      </c>
      <c r="F208" s="245">
        <f>PTDG!G713</f>
        <v>6501</v>
      </c>
      <c r="G208" s="245">
        <f>PTDG!G716</f>
        <v>201058</v>
      </c>
      <c r="H208" s="245"/>
      <c r="I208" s="245">
        <f t="shared" si="6"/>
        <v>104016</v>
      </c>
      <c r="J208" s="245">
        <f t="shared" si="7"/>
        <v>3216928</v>
      </c>
      <c r="K208" s="245">
        <f t="shared" si="8"/>
        <v>0</v>
      </c>
    </row>
    <row r="209" spans="1:11" ht="18" customHeight="1">
      <c r="A209" s="13">
        <f>THKL!A208</f>
        <v>20</v>
      </c>
      <c r="B209" s="252" t="s">
        <v>371</v>
      </c>
      <c r="C209" s="244" t="str">
        <f>THKL!B208</f>
        <v>Quản lý hồ sơ trên vi tính</v>
      </c>
      <c r="D209" s="13" t="str">
        <f>THKL!C208</f>
        <v>cầu/năm</v>
      </c>
      <c r="E209" s="271">
        <f>THKL!D208</f>
        <v>16</v>
      </c>
      <c r="F209" s="245"/>
      <c r="G209" s="245">
        <f>PTDG!G719</f>
        <v>237327</v>
      </c>
      <c r="H209" s="245"/>
      <c r="I209" s="245">
        <f t="shared" si="6"/>
        <v>0</v>
      </c>
      <c r="J209" s="245">
        <f t="shared" si="7"/>
        <v>3797232</v>
      </c>
      <c r="K209" s="245">
        <f t="shared" si="8"/>
        <v>0</v>
      </c>
    </row>
    <row r="210" spans="1:11" ht="18" customHeight="1">
      <c r="A210" s="13"/>
      <c r="B210" s="252"/>
      <c r="C210" s="34" t="str">
        <f>THKL!B209</f>
        <v>Cầu 50m - 100m</v>
      </c>
      <c r="D210" s="13"/>
      <c r="E210" s="271"/>
      <c r="F210" s="245"/>
      <c r="G210" s="245"/>
      <c r="H210" s="245"/>
      <c r="I210" s="245"/>
      <c r="J210" s="245"/>
      <c r="K210" s="245"/>
    </row>
    <row r="211" spans="1:11" ht="18" customHeight="1">
      <c r="A211" s="13">
        <f>THKL!A210</f>
        <v>21</v>
      </c>
      <c r="B211" s="252" t="s">
        <v>372</v>
      </c>
      <c r="C211" s="244" t="str">
        <f>THKL!B210</f>
        <v>Kiểm tra cầu</v>
      </c>
      <c r="D211" s="13" t="str">
        <f>THKL!C210</f>
        <v>cầu/năm</v>
      </c>
      <c r="E211" s="271">
        <f>THKL!D210</f>
        <v>9</v>
      </c>
      <c r="F211" s="245">
        <f>PTDG!G723</f>
        <v>45000</v>
      </c>
      <c r="G211" s="245">
        <f>PTDG!G726</f>
        <v>2412696</v>
      </c>
      <c r="H211" s="245"/>
      <c r="I211" s="245">
        <f t="shared" si="6"/>
        <v>405000</v>
      </c>
      <c r="J211" s="245">
        <f t="shared" si="7"/>
        <v>21714264</v>
      </c>
      <c r="K211" s="245">
        <f t="shared" si="8"/>
        <v>0</v>
      </c>
    </row>
    <row r="212" spans="1:11" ht="18" customHeight="1">
      <c r="A212" s="13">
        <f>THKL!A211</f>
        <v>22</v>
      </c>
      <c r="B212" s="252" t="s">
        <v>373</v>
      </c>
      <c r="C212" s="244" t="str">
        <f>THKL!B211</f>
        <v>Kiểm tra trước và sau mùa mưa bão</v>
      </c>
      <c r="D212" s="13" t="str">
        <f>THKL!C211</f>
        <v>cầu/năm</v>
      </c>
      <c r="E212" s="271">
        <f>THKL!D211</f>
        <v>9</v>
      </c>
      <c r="F212" s="245">
        <f>PTDG!G729</f>
        <v>7500</v>
      </c>
      <c r="G212" s="245">
        <f>PTDG!G732</f>
        <v>402116</v>
      </c>
      <c r="H212" s="245">
        <f>PTDG!G734</f>
        <v>378931</v>
      </c>
      <c r="I212" s="245">
        <f t="shared" si="6"/>
        <v>67500</v>
      </c>
      <c r="J212" s="245">
        <f t="shared" si="7"/>
        <v>3619044</v>
      </c>
      <c r="K212" s="245">
        <f t="shared" si="8"/>
        <v>3410379</v>
      </c>
    </row>
    <row r="213" spans="1:11" ht="18" customHeight="1">
      <c r="A213" s="290">
        <f>THKL!A212</f>
        <v>23</v>
      </c>
      <c r="B213" s="361" t="s">
        <v>374</v>
      </c>
      <c r="C213" s="362" t="str">
        <f>THKL!B212</f>
        <v>Quản lý hồ sơ trên vi tính</v>
      </c>
      <c r="D213" s="290" t="str">
        <f>THKL!C212</f>
        <v>cầu/năm</v>
      </c>
      <c r="E213" s="363">
        <f>THKL!D212</f>
        <v>9</v>
      </c>
      <c r="F213" s="364"/>
      <c r="G213" s="364">
        <f>PTDG!G737</f>
        <v>237327</v>
      </c>
      <c r="H213" s="364"/>
      <c r="I213" s="364">
        <f t="shared" si="6"/>
        <v>0</v>
      </c>
      <c r="J213" s="364">
        <f t="shared" si="7"/>
        <v>2135943</v>
      </c>
      <c r="K213" s="364">
        <f t="shared" si="8"/>
        <v>0</v>
      </c>
    </row>
    <row r="214" spans="1:11" ht="28.5" customHeight="1">
      <c r="A214" s="297" t="str">
        <f>THKL!A213</f>
        <v>VIII</v>
      </c>
      <c r="B214" s="377"/>
      <c r="C214" s="378" t="str">
        <f>THKL!B213</f>
        <v>ĐƯỜNG TỈNH 908 - HUYỆN BÌNH TÂN</v>
      </c>
      <c r="D214" s="299"/>
      <c r="E214" s="303"/>
      <c r="F214" s="380"/>
      <c r="G214" s="380"/>
      <c r="H214" s="380"/>
      <c r="I214" s="381">
        <f>SUM(I215:I242)</f>
        <v>6151365.681655</v>
      </c>
      <c r="J214" s="381">
        <f>SUM(J215:J242)</f>
        <v>337460443.60962915</v>
      </c>
      <c r="K214" s="381">
        <f>SUM(K215:K242)</f>
        <v>5816043.499078</v>
      </c>
    </row>
    <row r="215" spans="1:11" ht="33.75" customHeight="1">
      <c r="A215" s="13"/>
      <c r="B215" s="252"/>
      <c r="C215" s="34" t="str">
        <f>THKL!B214</f>
        <v>CÔNG TÁC QUẢN LÝ BDTX ĐƯỜNG BỘ</v>
      </c>
      <c r="D215" s="13"/>
      <c r="E215" s="271"/>
      <c r="F215" s="245"/>
      <c r="G215" s="245"/>
      <c r="H215" s="245"/>
      <c r="I215" s="245"/>
      <c r="J215" s="245"/>
      <c r="K215" s="245"/>
    </row>
    <row r="216" spans="1:11" ht="18" customHeight="1">
      <c r="A216" s="13">
        <f>THKL!A215</f>
        <v>1</v>
      </c>
      <c r="B216" s="252" t="s">
        <v>355</v>
      </c>
      <c r="C216" s="244" t="str">
        <f>THKL!B215</f>
        <v>Tuần đường</v>
      </c>
      <c r="D216" s="13" t="str">
        <f>THKL!C215</f>
        <v>1km/năm</v>
      </c>
      <c r="E216" s="271">
        <f>THKL!D215</f>
        <v>28.139099999999999</v>
      </c>
      <c r="F216" s="245">
        <f>PTDG!G742</f>
        <v>162671.375</v>
      </c>
      <c r="G216" s="245">
        <f>PTDG!G744</f>
        <v>2038164.2759999998</v>
      </c>
      <c r="H216" s="245"/>
      <c r="I216" s="245">
        <f t="shared" si="6"/>
        <v>4577426.0882625002</v>
      </c>
      <c r="J216" s="245">
        <f t="shared" si="7"/>
        <v>57352108.378791593</v>
      </c>
      <c r="K216" s="245">
        <f t="shared" si="8"/>
        <v>0</v>
      </c>
    </row>
    <row r="217" spans="1:11" ht="26.25" customHeight="1">
      <c r="A217" s="13">
        <f>THKL!A216</f>
        <v>2</v>
      </c>
      <c r="B217" s="252" t="s">
        <v>356</v>
      </c>
      <c r="C217" s="244" t="str">
        <f>THKL!B216</f>
        <v>Đếm xe bằng thủ công</v>
      </c>
      <c r="D217" s="13" t="str">
        <f>THKL!C216</f>
        <v>1lần/trạmđếm</v>
      </c>
      <c r="E217" s="271">
        <f>THKL!D216</f>
        <v>12</v>
      </c>
      <c r="F217" s="245">
        <f>PTDG!G747</f>
        <v>15300</v>
      </c>
      <c r="G217" s="245">
        <f>PTDG!G750</f>
        <v>2384312</v>
      </c>
      <c r="H217" s="245"/>
      <c r="I217" s="245">
        <f t="shared" si="6"/>
        <v>183600</v>
      </c>
      <c r="J217" s="245">
        <f t="shared" si="7"/>
        <v>28611744</v>
      </c>
      <c r="K217" s="245">
        <f t="shared" si="8"/>
        <v>0</v>
      </c>
    </row>
    <row r="218" spans="1:11" ht="30" customHeight="1">
      <c r="A218" s="13">
        <f>THKL!A217</f>
        <v>3</v>
      </c>
      <c r="B218" s="252" t="s">
        <v>357</v>
      </c>
      <c r="C218" s="244" t="str">
        <f>THKL!B217</f>
        <v>Kiểm tra định kỳ, khẩn cấp, cập nhật số liệu cầu đường và tình hình bão lũ</v>
      </c>
      <c r="D218" s="13" t="str">
        <f>THKL!C217</f>
        <v>1km/1lần</v>
      </c>
      <c r="E218" s="271">
        <f>THKL!D217</f>
        <v>28.139099999999999</v>
      </c>
      <c r="F218" s="245">
        <f>PTDG!G753</f>
        <v>445.67500000000001</v>
      </c>
      <c r="G218" s="245">
        <f>PTDG!G755</f>
        <v>7439.1459999999997</v>
      </c>
      <c r="H218" s="245"/>
      <c r="I218" s="245">
        <f t="shared" si="6"/>
        <v>12540.8933925</v>
      </c>
      <c r="J218" s="245">
        <f t="shared" si="7"/>
        <v>209330.87320859998</v>
      </c>
      <c r="K218" s="245">
        <f t="shared" si="8"/>
        <v>0</v>
      </c>
    </row>
    <row r="219" spans="1:11" ht="18" customHeight="1">
      <c r="A219" s="13">
        <f>THKL!A218</f>
        <v>4</v>
      </c>
      <c r="B219" s="252" t="s">
        <v>358</v>
      </c>
      <c r="C219" s="244" t="str">
        <f>THKL!B218</f>
        <v>Trực bão lũ</v>
      </c>
      <c r="D219" s="13" t="str">
        <f>THKL!C218</f>
        <v>40km/năm</v>
      </c>
      <c r="E219" s="271">
        <f>THKL!D218</f>
        <v>0.70347749999999998</v>
      </c>
      <c r="F219" s="245"/>
      <c r="G219" s="245">
        <f>PTDG!G758</f>
        <v>30655360</v>
      </c>
      <c r="H219" s="245"/>
      <c r="I219" s="245">
        <f t="shared" si="6"/>
        <v>0</v>
      </c>
      <c r="J219" s="245">
        <f t="shared" si="7"/>
        <v>21565356.014399998</v>
      </c>
      <c r="K219" s="245">
        <f t="shared" si="8"/>
        <v>0</v>
      </c>
    </row>
    <row r="220" spans="1:11" ht="29.25" customHeight="1">
      <c r="A220" s="13">
        <f>THKL!A219</f>
        <v>5</v>
      </c>
      <c r="B220" s="252" t="s">
        <v>359</v>
      </c>
      <c r="C220" s="244" t="str">
        <f>THKL!B219</f>
        <v>Quản lý hành lang an toàn đường bộ và đấu nối</v>
      </c>
      <c r="D220" s="13" t="str">
        <f>THKL!C219</f>
        <v>1km/năm</v>
      </c>
      <c r="E220" s="271">
        <f>THKL!D219</f>
        <v>28.139099999999999</v>
      </c>
      <c r="F220" s="245"/>
      <c r="G220" s="245">
        <f>PTDG!G761</f>
        <v>402116</v>
      </c>
      <c r="H220" s="245"/>
      <c r="I220" s="245">
        <f t="shared" si="6"/>
        <v>0</v>
      </c>
      <c r="J220" s="245">
        <f t="shared" si="7"/>
        <v>11315182.3356</v>
      </c>
      <c r="K220" s="245">
        <f t="shared" si="8"/>
        <v>0</v>
      </c>
    </row>
    <row r="221" spans="1:11" ht="18" customHeight="1">
      <c r="A221" s="13">
        <f>THKL!A220</f>
        <v>6</v>
      </c>
      <c r="B221" s="252" t="s">
        <v>360</v>
      </c>
      <c r="C221" s="244" t="str">
        <f>THKL!B220</f>
        <v>Cắt cỏ bằng máy</v>
      </c>
      <c r="D221" s="13" t="str">
        <f>THKL!C220</f>
        <v>1km/1lần</v>
      </c>
      <c r="E221" s="271">
        <f>THKL!D220</f>
        <v>28.139099999999999</v>
      </c>
      <c r="F221" s="245">
        <f>PTDG!G764</f>
        <v>8000</v>
      </c>
      <c r="G221" s="245"/>
      <c r="H221" s="245">
        <f>PTDG!G766</f>
        <v>49341.599999999999</v>
      </c>
      <c r="I221" s="245">
        <f t="shared" si="6"/>
        <v>225112.8</v>
      </c>
      <c r="J221" s="245">
        <f t="shared" si="7"/>
        <v>0</v>
      </c>
      <c r="K221" s="245">
        <f t="shared" si="8"/>
        <v>1388428.2165599999</v>
      </c>
    </row>
    <row r="222" spans="1:11" ht="18" customHeight="1">
      <c r="A222" s="13">
        <f>THKL!A221</f>
        <v>7</v>
      </c>
      <c r="B222" s="252" t="s">
        <v>361</v>
      </c>
      <c r="C222" s="244" t="str">
        <f>THKL!B221</f>
        <v>Phát quang cây cỏ bằng thủ công</v>
      </c>
      <c r="D222" s="13" t="str">
        <f>THKL!C221</f>
        <v>1km/1lần</v>
      </c>
      <c r="E222" s="271">
        <f>THKL!D221</f>
        <v>28.139099999999999</v>
      </c>
      <c r="F222" s="245"/>
      <c r="G222" s="245">
        <f>PTDG!G769</f>
        <v>899226.24</v>
      </c>
      <c r="H222" s="245"/>
      <c r="I222" s="245">
        <f t="shared" si="6"/>
        <v>0</v>
      </c>
      <c r="J222" s="245">
        <f t="shared" si="7"/>
        <v>25303417.089984</v>
      </c>
      <c r="K222" s="245">
        <f t="shared" si="8"/>
        <v>0</v>
      </c>
    </row>
    <row r="223" spans="1:11" ht="18" customHeight="1">
      <c r="A223" s="13">
        <f>THKL!A222</f>
        <v>8</v>
      </c>
      <c r="B223" s="252" t="s">
        <v>362</v>
      </c>
      <c r="C223" s="244" t="str">
        <f>THKL!B222</f>
        <v>Nắn sửa cọc tiêu, cọc MLG</v>
      </c>
      <c r="D223" s="13" t="str">
        <f>THKL!C222</f>
        <v>1 cọc</v>
      </c>
      <c r="E223" s="271">
        <f>THKL!D222</f>
        <v>46.25</v>
      </c>
      <c r="F223" s="245"/>
      <c r="G223" s="245">
        <f>PTDG!G772</f>
        <v>10218.48</v>
      </c>
      <c r="H223" s="245"/>
      <c r="I223" s="245">
        <f t="shared" ref="I223:I294" si="9">F223*E223</f>
        <v>0</v>
      </c>
      <c r="J223" s="245">
        <f t="shared" ref="J223:J294" si="10">G223*E223</f>
        <v>472604.69999999995</v>
      </c>
      <c r="K223" s="245">
        <f t="shared" ref="K223:K294" si="11">H223*E223</f>
        <v>0</v>
      </c>
    </row>
    <row r="224" spans="1:11" ht="18" customHeight="1">
      <c r="A224" s="13">
        <f>THKL!A223</f>
        <v>9</v>
      </c>
      <c r="B224" s="252" t="s">
        <v>363</v>
      </c>
      <c r="C224" s="244" t="str">
        <f>THKL!B223</f>
        <v>Nắn sửa cột Km</v>
      </c>
      <c r="D224" s="13" t="str">
        <f>THKL!C223</f>
        <v>1 cột</v>
      </c>
      <c r="E224" s="271">
        <f>THKL!D223</f>
        <v>0.6</v>
      </c>
      <c r="F224" s="245"/>
      <c r="G224" s="245">
        <f>PTDG!G775</f>
        <v>20436.96</v>
      </c>
      <c r="H224" s="245"/>
      <c r="I224" s="245">
        <f t="shared" si="9"/>
        <v>0</v>
      </c>
      <c r="J224" s="245">
        <f t="shared" si="10"/>
        <v>12262.175999999999</v>
      </c>
      <c r="K224" s="245">
        <f t="shared" si="11"/>
        <v>0</v>
      </c>
    </row>
    <row r="225" spans="1:11" ht="18" customHeight="1">
      <c r="A225" s="13">
        <f>THKL!A224</f>
        <v>10</v>
      </c>
      <c r="B225" s="252" t="s">
        <v>364</v>
      </c>
      <c r="C225" s="244" t="str">
        <f>THKL!B224</f>
        <v>Nắn chỉnh, tu sửa biển báo</v>
      </c>
      <c r="D225" s="13" t="str">
        <f>THKL!C224</f>
        <v>1 cột</v>
      </c>
      <c r="E225" s="271">
        <f>THKL!D224</f>
        <v>3.76</v>
      </c>
      <c r="F225" s="245"/>
      <c r="G225" s="245">
        <f>PTDG!G778</f>
        <v>38319.300000000003</v>
      </c>
      <c r="H225" s="245"/>
      <c r="I225" s="245">
        <f t="shared" si="9"/>
        <v>0</v>
      </c>
      <c r="J225" s="245">
        <f t="shared" si="10"/>
        <v>144080.568</v>
      </c>
      <c r="K225" s="245">
        <f t="shared" si="11"/>
        <v>0</v>
      </c>
    </row>
    <row r="226" spans="1:11" ht="18" customHeight="1">
      <c r="A226" s="13">
        <f>+THKL!A225</f>
        <v>11</v>
      </c>
      <c r="B226" s="252" t="s">
        <v>511</v>
      </c>
      <c r="C226" s="252" t="str">
        <f>+THKL!B225</f>
        <v>Bạt lề đường bằng máy</v>
      </c>
      <c r="D226" s="13" t="str">
        <f>+THKL!C225</f>
        <v>100md</v>
      </c>
      <c r="E226" s="271">
        <f>+THKL!D225</f>
        <v>562.78199999999993</v>
      </c>
      <c r="F226" s="245"/>
      <c r="G226" s="245"/>
      <c r="H226" s="245">
        <f>+PTDG!G781</f>
        <v>3154.1489999999999</v>
      </c>
      <c r="I226" s="245"/>
      <c r="J226" s="245"/>
      <c r="K226" s="245">
        <f>+E226*H226</f>
        <v>1775098.2825179996</v>
      </c>
    </row>
    <row r="227" spans="1:11" ht="18" customHeight="1">
      <c r="A227" s="13">
        <f>+THKL!A226</f>
        <v>12</v>
      </c>
      <c r="B227" s="252" t="s">
        <v>514</v>
      </c>
      <c r="C227" s="252" t="str">
        <f>+THKL!B226</f>
        <v>Vệ sinh mặt đường bằng thủ công</v>
      </c>
      <c r="D227" s="382" t="str">
        <f>+THKL!C226</f>
        <v>lần/km</v>
      </c>
      <c r="E227" s="271">
        <f>+THKL!D226</f>
        <v>28.139099999999999</v>
      </c>
      <c r="F227" s="245">
        <f>+PTDG!G784</f>
        <v>2000</v>
      </c>
      <c r="G227" s="245">
        <f>+PTDG!G786</f>
        <v>697788.75</v>
      </c>
      <c r="H227" s="245"/>
      <c r="I227" s="245">
        <f>+E227*F227</f>
        <v>56278.2</v>
      </c>
      <c r="J227" s="245">
        <f>+E227*G227</f>
        <v>19635147.415125001</v>
      </c>
      <c r="K227" s="245"/>
    </row>
    <row r="228" spans="1:11" ht="18" customHeight="1">
      <c r="A228" s="13">
        <f>+THKL!A227</f>
        <v>13</v>
      </c>
      <c r="B228" s="252" t="s">
        <v>516</v>
      </c>
      <c r="C228" s="252" t="str">
        <f>+THKL!B227</f>
        <v>Vệ sinh mặt biển phản quang</v>
      </c>
      <c r="D228" s="382" t="str">
        <f>+THKL!C227</f>
        <v>m2</v>
      </c>
      <c r="E228" s="271">
        <f>+THKL!D227</f>
        <v>77.349999999999994</v>
      </c>
      <c r="F228" s="245"/>
      <c r="G228" s="245">
        <f>+PTDG!G789</f>
        <v>9579.8000000000011</v>
      </c>
      <c r="H228" s="245"/>
      <c r="I228" s="245"/>
      <c r="J228" s="245">
        <f>+E228*G228</f>
        <v>740997.53</v>
      </c>
      <c r="K228" s="245"/>
    </row>
    <row r="229" spans="1:11" ht="27.75" customHeight="1">
      <c r="A229" s="13"/>
      <c r="B229" s="252"/>
      <c r="C229" s="34" t="str">
        <f>THKL!B228</f>
        <v>CÔNG TÁC BẢO DƯỠNG CẦU L &lt;= 300M</v>
      </c>
      <c r="D229" s="13"/>
      <c r="E229" s="271"/>
      <c r="F229" s="245"/>
      <c r="G229" s="245"/>
      <c r="H229" s="245"/>
      <c r="I229" s="245"/>
      <c r="J229" s="245"/>
      <c r="K229" s="245"/>
    </row>
    <row r="230" spans="1:11" ht="18" customHeight="1">
      <c r="A230" s="13">
        <f>THKL!A229</f>
        <v>14</v>
      </c>
      <c r="B230" s="252" t="s">
        <v>365</v>
      </c>
      <c r="C230" s="244" t="str">
        <f>THKL!B229</f>
        <v>Vệ sinh mặt cầu, ống thoát nước</v>
      </c>
      <c r="D230" s="13" t="str">
        <f>THKL!C229</f>
        <v>10m2</v>
      </c>
      <c r="E230" s="271">
        <f>THKL!D229</f>
        <v>445.85</v>
      </c>
      <c r="F230" s="245">
        <f>PTDG!G793</f>
        <v>2</v>
      </c>
      <c r="G230" s="245">
        <f>PTDG!G795</f>
        <v>8931.6959999999999</v>
      </c>
      <c r="H230" s="245"/>
      <c r="I230" s="245">
        <f t="shared" si="9"/>
        <v>891.7</v>
      </c>
      <c r="J230" s="245">
        <f t="shared" si="10"/>
        <v>3982196.6616000002</v>
      </c>
      <c r="K230" s="245">
        <f t="shared" si="11"/>
        <v>0</v>
      </c>
    </row>
    <row r="231" spans="1:11" ht="18" customHeight="1">
      <c r="A231" s="13">
        <f>THKL!A230</f>
        <v>15</v>
      </c>
      <c r="B231" s="252" t="s">
        <v>366</v>
      </c>
      <c r="C231" s="244" t="str">
        <f>THKL!B230</f>
        <v>Vệ sinh khe co dãn cao su</v>
      </c>
      <c r="D231" s="13" t="str">
        <f>THKL!C230</f>
        <v>1md</v>
      </c>
      <c r="E231" s="271">
        <f>THKL!D230</f>
        <v>450</v>
      </c>
      <c r="F231" s="245"/>
      <c r="G231" s="245">
        <f>PTDG!G798</f>
        <v>11580.944000000001</v>
      </c>
      <c r="H231" s="245"/>
      <c r="I231" s="245">
        <f t="shared" si="9"/>
        <v>0</v>
      </c>
      <c r="J231" s="245">
        <f t="shared" si="10"/>
        <v>5211424.8000000007</v>
      </c>
      <c r="K231" s="245">
        <f t="shared" si="11"/>
        <v>0</v>
      </c>
    </row>
    <row r="232" spans="1:11" ht="18" customHeight="1">
      <c r="A232" s="13">
        <f>THKL!A231</f>
        <v>16</v>
      </c>
      <c r="B232" s="252" t="s">
        <v>367</v>
      </c>
      <c r="C232" s="244" t="str">
        <f>THKL!B231</f>
        <v>Vệ sinh mố cầu</v>
      </c>
      <c r="D232" s="13" t="str">
        <f>THKL!C231</f>
        <v>m2</v>
      </c>
      <c r="E232" s="271">
        <f>THKL!D231</f>
        <v>1252.5999999999999</v>
      </c>
      <c r="F232" s="245"/>
      <c r="G232" s="245">
        <f>PTDG!G801</f>
        <v>86218.2</v>
      </c>
      <c r="H232" s="245"/>
      <c r="I232" s="245">
        <f t="shared" si="9"/>
        <v>0</v>
      </c>
      <c r="J232" s="245">
        <f t="shared" si="10"/>
        <v>107996917.31999999</v>
      </c>
      <c r="K232" s="245">
        <f t="shared" si="11"/>
        <v>0</v>
      </c>
    </row>
    <row r="233" spans="1:11" ht="18" customHeight="1">
      <c r="A233" s="13">
        <f>THKL!A232</f>
        <v>17</v>
      </c>
      <c r="B233" s="252" t="s">
        <v>368</v>
      </c>
      <c r="C233" s="244" t="str">
        <f>THKL!B232</f>
        <v>Phát quang cây dại</v>
      </c>
      <c r="D233" s="13" t="str">
        <f>THKL!C232</f>
        <v>100m2</v>
      </c>
      <c r="E233" s="271">
        <f>THKL!D232</f>
        <v>18.715</v>
      </c>
      <c r="F233" s="245"/>
      <c r="G233" s="245">
        <f>PTDG!G804</f>
        <v>729940.08799999987</v>
      </c>
      <c r="H233" s="245"/>
      <c r="I233" s="245">
        <f t="shared" si="9"/>
        <v>0</v>
      </c>
      <c r="J233" s="245">
        <f t="shared" si="10"/>
        <v>13660828.746919997</v>
      </c>
      <c r="K233" s="245">
        <f t="shared" si="11"/>
        <v>0</v>
      </c>
    </row>
    <row r="234" spans="1:11" ht="34.5" customHeight="1">
      <c r="A234" s="13"/>
      <c r="B234" s="252"/>
      <c r="C234" s="34" t="str">
        <f>THKL!B233</f>
        <v>CÔNG TÁC QUẢN LÝ CẦU CẦU L &lt;= 300M</v>
      </c>
      <c r="D234" s="13"/>
      <c r="E234" s="271"/>
      <c r="F234" s="245"/>
      <c r="G234" s="245"/>
      <c r="H234" s="245"/>
      <c r="I234" s="245"/>
      <c r="J234" s="245"/>
      <c r="K234" s="245"/>
    </row>
    <row r="235" spans="1:11" ht="18" customHeight="1">
      <c r="A235" s="13"/>
      <c r="B235" s="252"/>
      <c r="C235" s="34" t="str">
        <f>THKL!B234</f>
        <v>Cầu &lt; 50m</v>
      </c>
      <c r="D235" s="13"/>
      <c r="E235" s="271"/>
      <c r="F235" s="245"/>
      <c r="G235" s="245"/>
      <c r="H235" s="245"/>
      <c r="I235" s="245"/>
      <c r="J235" s="245"/>
      <c r="K235" s="245"/>
    </row>
    <row r="236" spans="1:11" ht="18" customHeight="1">
      <c r="A236" s="13">
        <f>THKL!A235</f>
        <v>18</v>
      </c>
      <c r="B236" s="252" t="s">
        <v>369</v>
      </c>
      <c r="C236" s="244" t="str">
        <f>THKL!B235</f>
        <v>Kiểm tra cầu</v>
      </c>
      <c r="D236" s="13" t="str">
        <f>THKL!C235</f>
        <v>cầu/năm</v>
      </c>
      <c r="E236" s="271">
        <f>THKL!D235</f>
        <v>16</v>
      </c>
      <c r="F236" s="245">
        <f>PTDG!G809</f>
        <v>39000</v>
      </c>
      <c r="G236" s="245">
        <f>PTDG!G812</f>
        <v>804232</v>
      </c>
      <c r="H236" s="245"/>
      <c r="I236" s="245">
        <f t="shared" si="9"/>
        <v>624000</v>
      </c>
      <c r="J236" s="245">
        <f t="shared" si="10"/>
        <v>12867712</v>
      </c>
      <c r="K236" s="245">
        <f t="shared" si="11"/>
        <v>0</v>
      </c>
    </row>
    <row r="237" spans="1:11" ht="18" customHeight="1">
      <c r="A237" s="13">
        <f>THKL!A236</f>
        <v>19</v>
      </c>
      <c r="B237" s="252" t="s">
        <v>370</v>
      </c>
      <c r="C237" s="244" t="str">
        <f>THKL!B236</f>
        <v>Kiểm tra trước và sau mùa mưa bão</v>
      </c>
      <c r="D237" s="13" t="str">
        <f>THKL!C236</f>
        <v>cầu/năm</v>
      </c>
      <c r="E237" s="271">
        <f>THKL!D236</f>
        <v>16</v>
      </c>
      <c r="F237" s="245">
        <f>PTDG!G815</f>
        <v>6501</v>
      </c>
      <c r="G237" s="245">
        <f>PTDG!G818</f>
        <v>201058</v>
      </c>
      <c r="H237" s="245"/>
      <c r="I237" s="245">
        <f t="shared" si="9"/>
        <v>104016</v>
      </c>
      <c r="J237" s="245">
        <f t="shared" si="10"/>
        <v>3216928</v>
      </c>
      <c r="K237" s="245">
        <f t="shared" si="11"/>
        <v>0</v>
      </c>
    </row>
    <row r="238" spans="1:11" ht="18" customHeight="1">
      <c r="A238" s="13">
        <f>THKL!A237</f>
        <v>20</v>
      </c>
      <c r="B238" s="252" t="s">
        <v>371</v>
      </c>
      <c r="C238" s="244" t="str">
        <f>THKL!B237</f>
        <v>Quản lý hồ sơ trên vi tính</v>
      </c>
      <c r="D238" s="13" t="str">
        <f>THKL!C237</f>
        <v>cầu/năm</v>
      </c>
      <c r="E238" s="271">
        <f>THKL!D237</f>
        <v>16</v>
      </c>
      <c r="F238" s="245"/>
      <c r="G238" s="245">
        <f>PTDG!G821</f>
        <v>237327</v>
      </c>
      <c r="H238" s="245"/>
      <c r="I238" s="245">
        <f t="shared" si="9"/>
        <v>0</v>
      </c>
      <c r="J238" s="245">
        <f t="shared" si="10"/>
        <v>3797232</v>
      </c>
      <c r="K238" s="245">
        <f t="shared" si="11"/>
        <v>0</v>
      </c>
    </row>
    <row r="239" spans="1:11" ht="18" customHeight="1">
      <c r="A239" s="13"/>
      <c r="B239" s="252"/>
      <c r="C239" s="34" t="str">
        <f>THKL!B238</f>
        <v>Cầu 50m - 100m</v>
      </c>
      <c r="D239" s="13"/>
      <c r="E239" s="271"/>
      <c r="F239" s="245"/>
      <c r="G239" s="245"/>
      <c r="H239" s="245"/>
      <c r="I239" s="245"/>
      <c r="J239" s="245"/>
      <c r="K239" s="245"/>
    </row>
    <row r="240" spans="1:11" ht="18" customHeight="1">
      <c r="A240" s="13">
        <f>THKL!A239</f>
        <v>21</v>
      </c>
      <c r="B240" s="252" t="s">
        <v>372</v>
      </c>
      <c r="C240" s="244" t="str">
        <f>THKL!B239</f>
        <v>Kiểm tra cầu</v>
      </c>
      <c r="D240" s="13" t="str">
        <f>THKL!C239</f>
        <v>cầu/năm</v>
      </c>
      <c r="E240" s="271">
        <f>THKL!D239</f>
        <v>7</v>
      </c>
      <c r="F240" s="245">
        <f>PTDG!G825</f>
        <v>45000</v>
      </c>
      <c r="G240" s="245">
        <f>PTDG!G828</f>
        <v>2412696</v>
      </c>
      <c r="H240" s="245"/>
      <c r="I240" s="245">
        <f t="shared" si="9"/>
        <v>315000</v>
      </c>
      <c r="J240" s="245">
        <f t="shared" si="10"/>
        <v>16888872</v>
      </c>
      <c r="K240" s="245">
        <f t="shared" si="11"/>
        <v>0</v>
      </c>
    </row>
    <row r="241" spans="1:11" ht="18" customHeight="1">
      <c r="A241" s="13">
        <f>THKL!A240</f>
        <v>22</v>
      </c>
      <c r="B241" s="252" t="s">
        <v>373</v>
      </c>
      <c r="C241" s="244" t="str">
        <f>THKL!B240</f>
        <v>Kiểm tra trước và sau mùa mưa bão</v>
      </c>
      <c r="D241" s="13" t="str">
        <f>THKL!C240</f>
        <v>cầu/năm</v>
      </c>
      <c r="E241" s="271">
        <f>THKL!D240</f>
        <v>7</v>
      </c>
      <c r="F241" s="245">
        <f>PTDG!G831</f>
        <v>7500</v>
      </c>
      <c r="G241" s="245">
        <f>PTDG!G834</f>
        <v>402116</v>
      </c>
      <c r="H241" s="245">
        <f>PTDG!G836</f>
        <v>378931</v>
      </c>
      <c r="I241" s="245">
        <f t="shared" si="9"/>
        <v>52500</v>
      </c>
      <c r="J241" s="245">
        <f t="shared" si="10"/>
        <v>2814812</v>
      </c>
      <c r="K241" s="245">
        <f t="shared" si="11"/>
        <v>2652517</v>
      </c>
    </row>
    <row r="242" spans="1:11" ht="18" customHeight="1">
      <c r="A242" s="290">
        <f>THKL!A241</f>
        <v>23</v>
      </c>
      <c r="B242" s="361" t="s">
        <v>374</v>
      </c>
      <c r="C242" s="362" t="str">
        <f>THKL!B241</f>
        <v>Quản lý hồ sơ trên vi tính</v>
      </c>
      <c r="D242" s="290" t="str">
        <f>THKL!C241</f>
        <v>cầu/năm</v>
      </c>
      <c r="E242" s="363">
        <f>THKL!D241</f>
        <v>7</v>
      </c>
      <c r="F242" s="364"/>
      <c r="G242" s="364">
        <f>PTDG!G839</f>
        <v>237327</v>
      </c>
      <c r="H242" s="364"/>
      <c r="I242" s="364">
        <f t="shared" si="9"/>
        <v>0</v>
      </c>
      <c r="J242" s="364">
        <f t="shared" si="10"/>
        <v>1661289</v>
      </c>
      <c r="K242" s="364">
        <f t="shared" si="11"/>
        <v>0</v>
      </c>
    </row>
    <row r="243" spans="1:11" ht="27.75" customHeight="1">
      <c r="A243" s="297" t="str">
        <f>THKL!A242</f>
        <v>IX</v>
      </c>
      <c r="B243" s="377"/>
      <c r="C243" s="378" t="str">
        <f>THKL!B242</f>
        <v>ĐƯỜNG TỈNH 909 - HUYỆN TAM BÌNH</v>
      </c>
      <c r="D243" s="299"/>
      <c r="E243" s="303"/>
      <c r="F243" s="380"/>
      <c r="G243" s="380"/>
      <c r="H243" s="380"/>
      <c r="I243" s="381">
        <f>SUM(I244:I275)</f>
        <v>7768054.9377375003</v>
      </c>
      <c r="J243" s="381">
        <f>SUM(J244:J275)</f>
        <v>344760108.544649</v>
      </c>
      <c r="K243" s="381">
        <f>SUM(K244:K275)</f>
        <v>7121256.4926550006</v>
      </c>
    </row>
    <row r="244" spans="1:11" ht="28.5" customHeight="1">
      <c r="A244" s="13"/>
      <c r="B244" s="252"/>
      <c r="C244" s="34" t="str">
        <f>THKL!B243</f>
        <v>CÔNG TÁC QUẢN LÝ BDTX ĐƯỜNG BỘ</v>
      </c>
      <c r="D244" s="13"/>
      <c r="E244" s="271"/>
      <c r="F244" s="245"/>
      <c r="G244" s="245"/>
      <c r="H244" s="245"/>
      <c r="I244" s="245"/>
      <c r="J244" s="245"/>
      <c r="K244" s="245"/>
    </row>
    <row r="245" spans="1:11" ht="18" customHeight="1">
      <c r="A245" s="13">
        <f>THKL!A244</f>
        <v>1</v>
      </c>
      <c r="B245" s="252" t="s">
        <v>355</v>
      </c>
      <c r="C245" s="244" t="str">
        <f>THKL!B244</f>
        <v>Tuần đường</v>
      </c>
      <c r="D245" s="13" t="str">
        <f>THKL!C244</f>
        <v>1km/năm</v>
      </c>
      <c r="E245" s="271">
        <f>THKL!D244</f>
        <v>37.859750000000005</v>
      </c>
      <c r="F245" s="245">
        <f>PTDG!G844</f>
        <v>162671.375</v>
      </c>
      <c r="G245" s="245">
        <f>PTDG!G846</f>
        <v>2038164.2759999998</v>
      </c>
      <c r="H245" s="245"/>
      <c r="I245" s="245">
        <f t="shared" si="9"/>
        <v>6158697.5896562506</v>
      </c>
      <c r="J245" s="245">
        <f t="shared" si="10"/>
        <v>77164389.948291004</v>
      </c>
      <c r="K245" s="245">
        <f t="shared" si="11"/>
        <v>0</v>
      </c>
    </row>
    <row r="246" spans="1:11" ht="24" customHeight="1">
      <c r="A246" s="13">
        <f>THKL!A245</f>
        <v>2</v>
      </c>
      <c r="B246" s="252" t="s">
        <v>356</v>
      </c>
      <c r="C246" s="244" t="str">
        <f>THKL!B245</f>
        <v>Đếm xe bằng thủ công</v>
      </c>
      <c r="D246" s="13" t="str">
        <f>THKL!C245</f>
        <v>1lần/trạmđếm</v>
      </c>
      <c r="E246" s="271">
        <f>THKL!D245</f>
        <v>12</v>
      </c>
      <c r="F246" s="245">
        <f>PTDG!G849</f>
        <v>15300</v>
      </c>
      <c r="G246" s="245">
        <f>PTDG!G852</f>
        <v>2384312</v>
      </c>
      <c r="H246" s="245"/>
      <c r="I246" s="245">
        <f t="shared" si="9"/>
        <v>183600</v>
      </c>
      <c r="J246" s="245">
        <f t="shared" si="10"/>
        <v>28611744</v>
      </c>
      <c r="K246" s="245">
        <f t="shared" si="11"/>
        <v>0</v>
      </c>
    </row>
    <row r="247" spans="1:11" ht="31.5" customHeight="1">
      <c r="A247" s="13">
        <f>THKL!A246</f>
        <v>3</v>
      </c>
      <c r="B247" s="252" t="s">
        <v>357</v>
      </c>
      <c r="C247" s="244" t="str">
        <f>THKL!B246</f>
        <v>Kiểm tra định kỳ, khẩn cấp, cập nhật số liệu cầu đường và tình hình bão lũ</v>
      </c>
      <c r="D247" s="13" t="str">
        <f>THKL!C246</f>
        <v>1km/1lần</v>
      </c>
      <c r="E247" s="271">
        <f>THKL!D246</f>
        <v>37.859750000000005</v>
      </c>
      <c r="F247" s="245">
        <f>PTDG!G855</f>
        <v>445.67500000000001</v>
      </c>
      <c r="G247" s="245">
        <f>PTDG!G857</f>
        <v>7439.1459999999997</v>
      </c>
      <c r="H247" s="245"/>
      <c r="I247" s="245">
        <f t="shared" si="9"/>
        <v>16873.144081250004</v>
      </c>
      <c r="J247" s="245">
        <f t="shared" si="10"/>
        <v>281644.20777350001</v>
      </c>
      <c r="K247" s="245">
        <f t="shared" si="11"/>
        <v>0</v>
      </c>
    </row>
    <row r="248" spans="1:11" ht="18" customHeight="1">
      <c r="A248" s="13">
        <f>THKL!A247</f>
        <v>4</v>
      </c>
      <c r="B248" s="252" t="s">
        <v>358</v>
      </c>
      <c r="C248" s="244" t="str">
        <f>THKL!B247</f>
        <v>Trực bão lũ</v>
      </c>
      <c r="D248" s="13" t="str">
        <f>THKL!C247</f>
        <v>40km/năm</v>
      </c>
      <c r="E248" s="271">
        <f>THKL!D247</f>
        <v>0.94649375000000013</v>
      </c>
      <c r="F248" s="245"/>
      <c r="G248" s="245">
        <f>PTDG!G860</f>
        <v>30655360</v>
      </c>
      <c r="H248" s="245"/>
      <c r="I248" s="245">
        <f t="shared" si="9"/>
        <v>0</v>
      </c>
      <c r="J248" s="245">
        <f t="shared" si="10"/>
        <v>29015106.644000005</v>
      </c>
      <c r="K248" s="245">
        <f t="shared" si="11"/>
        <v>0</v>
      </c>
    </row>
    <row r="249" spans="1:11" ht="29.25" customHeight="1">
      <c r="A249" s="13">
        <f>THKL!A248</f>
        <v>5</v>
      </c>
      <c r="B249" s="252" t="s">
        <v>359</v>
      </c>
      <c r="C249" s="244" t="str">
        <f>THKL!B248</f>
        <v>Quản lý hành lang an toàn đường bộ và đấu nối</v>
      </c>
      <c r="D249" s="13" t="str">
        <f>THKL!C248</f>
        <v>1km/năm</v>
      </c>
      <c r="E249" s="271">
        <f>THKL!D248</f>
        <v>37.859750000000005</v>
      </c>
      <c r="F249" s="245"/>
      <c r="G249" s="245">
        <f>PTDG!G863</f>
        <v>402116</v>
      </c>
      <c r="H249" s="245"/>
      <c r="I249" s="245">
        <f t="shared" si="9"/>
        <v>0</v>
      </c>
      <c r="J249" s="245">
        <f t="shared" si="10"/>
        <v>15224011.231000002</v>
      </c>
      <c r="K249" s="245">
        <f t="shared" si="11"/>
        <v>0</v>
      </c>
    </row>
    <row r="250" spans="1:11" ht="18" customHeight="1">
      <c r="A250" s="13">
        <f>THKL!A249</f>
        <v>6</v>
      </c>
      <c r="B250" s="252" t="s">
        <v>360</v>
      </c>
      <c r="C250" s="244" t="str">
        <f>THKL!B249</f>
        <v>Cắt cỏ bằng máy</v>
      </c>
      <c r="D250" s="13" t="str">
        <f>THKL!C249</f>
        <v>1km/1lần</v>
      </c>
      <c r="E250" s="271">
        <f>THKL!D249</f>
        <v>37.859750000000005</v>
      </c>
      <c r="F250" s="245">
        <f>PTDG!G866</f>
        <v>8000</v>
      </c>
      <c r="G250" s="245"/>
      <c r="H250" s="245">
        <f>PTDG!G868</f>
        <v>49341.599999999999</v>
      </c>
      <c r="I250" s="245">
        <f t="shared" si="9"/>
        <v>302878.00000000006</v>
      </c>
      <c r="J250" s="245">
        <f t="shared" si="10"/>
        <v>0</v>
      </c>
      <c r="K250" s="245">
        <f t="shared" si="11"/>
        <v>1868060.6406000003</v>
      </c>
    </row>
    <row r="251" spans="1:11" ht="18" customHeight="1">
      <c r="A251" s="13">
        <f>THKL!A250</f>
        <v>7</v>
      </c>
      <c r="B251" s="252" t="s">
        <v>361</v>
      </c>
      <c r="C251" s="244" t="str">
        <f>THKL!B250</f>
        <v>Phát quang cây cỏ bằng thủ công</v>
      </c>
      <c r="D251" s="13" t="str">
        <f>THKL!C250</f>
        <v>1km/1lần</v>
      </c>
      <c r="E251" s="271">
        <f>THKL!D250</f>
        <v>37.859750000000005</v>
      </c>
      <c r="F251" s="245"/>
      <c r="G251" s="245">
        <f>PTDG!G871</f>
        <v>899226.24</v>
      </c>
      <c r="H251" s="245"/>
      <c r="I251" s="245">
        <f t="shared" si="9"/>
        <v>0</v>
      </c>
      <c r="J251" s="245">
        <f t="shared" si="10"/>
        <v>34044480.639840007</v>
      </c>
      <c r="K251" s="245">
        <f t="shared" si="11"/>
        <v>0</v>
      </c>
    </row>
    <row r="252" spans="1:11" ht="18" customHeight="1">
      <c r="A252" s="13">
        <f>THKL!A251</f>
        <v>8</v>
      </c>
      <c r="B252" s="252" t="s">
        <v>362</v>
      </c>
      <c r="C252" s="244" t="str">
        <f>THKL!B251</f>
        <v>Nắn sửa cọc tiêu, cọc MLG</v>
      </c>
      <c r="D252" s="13" t="str">
        <f>THKL!C251</f>
        <v>1 cọc</v>
      </c>
      <c r="E252" s="271">
        <f>THKL!D251</f>
        <v>99.5</v>
      </c>
      <c r="F252" s="245"/>
      <c r="G252" s="245">
        <f>PTDG!G874</f>
        <v>10218.48</v>
      </c>
      <c r="H252" s="245"/>
      <c r="I252" s="245">
        <f t="shared" si="9"/>
        <v>0</v>
      </c>
      <c r="J252" s="245">
        <f t="shared" si="10"/>
        <v>1016738.76</v>
      </c>
      <c r="K252" s="245">
        <f t="shared" si="11"/>
        <v>0</v>
      </c>
    </row>
    <row r="253" spans="1:11" ht="18" customHeight="1">
      <c r="A253" s="13">
        <f>THKL!A252</f>
        <v>9</v>
      </c>
      <c r="B253" s="252" t="s">
        <v>363</v>
      </c>
      <c r="C253" s="244" t="str">
        <f>THKL!B252</f>
        <v>Nắn sửa cột Km</v>
      </c>
      <c r="D253" s="13" t="str">
        <f>THKL!C252</f>
        <v>1 cột</v>
      </c>
      <c r="E253" s="271">
        <f>THKL!D252</f>
        <v>0.7</v>
      </c>
      <c r="F253" s="245"/>
      <c r="G253" s="245">
        <f>PTDG!G877</f>
        <v>20436.96</v>
      </c>
      <c r="H253" s="245"/>
      <c r="I253" s="245">
        <f t="shared" si="9"/>
        <v>0</v>
      </c>
      <c r="J253" s="245">
        <f t="shared" si="10"/>
        <v>14305.871999999999</v>
      </c>
      <c r="K253" s="245">
        <f t="shared" si="11"/>
        <v>0</v>
      </c>
    </row>
    <row r="254" spans="1:11" ht="18" customHeight="1">
      <c r="A254" s="13">
        <f>THKL!A253</f>
        <v>10</v>
      </c>
      <c r="B254" s="252" t="s">
        <v>364</v>
      </c>
      <c r="C254" s="244" t="str">
        <f>THKL!B253</f>
        <v>Nắn chỉnh, tu sửa biển báo</v>
      </c>
      <c r="D254" s="13" t="str">
        <f>THKL!C253</f>
        <v>1 cột</v>
      </c>
      <c r="E254" s="271">
        <f>THKL!D253</f>
        <v>7.18</v>
      </c>
      <c r="F254" s="245"/>
      <c r="G254" s="245">
        <f>PTDG!G880</f>
        <v>38319.300000000003</v>
      </c>
      <c r="H254" s="245"/>
      <c r="I254" s="245">
        <f t="shared" si="9"/>
        <v>0</v>
      </c>
      <c r="J254" s="245">
        <f t="shared" si="10"/>
        <v>275132.57400000002</v>
      </c>
      <c r="K254" s="245">
        <f t="shared" si="11"/>
        <v>0</v>
      </c>
    </row>
    <row r="255" spans="1:11" ht="18" customHeight="1">
      <c r="A255" s="13">
        <f>+THKL!A254</f>
        <v>11</v>
      </c>
      <c r="B255" s="252" t="s">
        <v>511</v>
      </c>
      <c r="C255" s="252" t="str">
        <f>+THKL!B254</f>
        <v>Bạt lề đường bằng máy</v>
      </c>
      <c r="D255" s="13" t="str">
        <f>+THKL!C254</f>
        <v>100md</v>
      </c>
      <c r="E255" s="271">
        <f>+THKL!D254</f>
        <v>757.19500000000016</v>
      </c>
      <c r="F255" s="245"/>
      <c r="G255" s="245"/>
      <c r="H255" s="245">
        <f>+PTDG!G883</f>
        <v>3154.1489999999999</v>
      </c>
      <c r="I255" s="245"/>
      <c r="J255" s="245"/>
      <c r="K255" s="245">
        <f>+E255*H255</f>
        <v>2388305.8520550006</v>
      </c>
    </row>
    <row r="256" spans="1:11" ht="18" customHeight="1">
      <c r="A256" s="13">
        <f>+THKL!A255</f>
        <v>12</v>
      </c>
      <c r="B256" s="252" t="s">
        <v>514</v>
      </c>
      <c r="C256" s="252" t="str">
        <f>+THKL!B255</f>
        <v>Vệ sinh mặt đường bằng thủ công</v>
      </c>
      <c r="D256" s="382" t="str">
        <f>+THKL!C255</f>
        <v>lần/km</v>
      </c>
      <c r="E256" s="271">
        <f>+THKL!D255</f>
        <v>37.859750000000005</v>
      </c>
      <c r="F256" s="245">
        <f>+PTDG!G886</f>
        <v>2000</v>
      </c>
      <c r="G256" s="245">
        <f>+PTDG!G888</f>
        <v>697788.75</v>
      </c>
      <c r="H256" s="245"/>
      <c r="I256" s="245">
        <f>+E256*F256</f>
        <v>75719.500000000015</v>
      </c>
      <c r="J256" s="245">
        <f>+E256*G256</f>
        <v>26418107.627812505</v>
      </c>
      <c r="K256" s="245"/>
    </row>
    <row r="257" spans="1:11" ht="18" customHeight="1">
      <c r="A257" s="13">
        <f>+THKL!A256</f>
        <v>13</v>
      </c>
      <c r="B257" s="252" t="s">
        <v>516</v>
      </c>
      <c r="C257" s="252" t="str">
        <f>+THKL!B256</f>
        <v>Vệ sinh mặt biển phản quang</v>
      </c>
      <c r="D257" s="382" t="str">
        <f>+THKL!C256</f>
        <v>m2</v>
      </c>
      <c r="E257" s="271">
        <f>+THKL!D256</f>
        <v>156.97900000000001</v>
      </c>
      <c r="F257" s="245"/>
      <c r="G257" s="245">
        <f>+PTDG!G891</f>
        <v>9579.8000000000011</v>
      </c>
      <c r="H257" s="245"/>
      <c r="I257" s="245"/>
      <c r="J257" s="245">
        <f>+E257*G257</f>
        <v>1503827.4242000002</v>
      </c>
      <c r="K257" s="245"/>
    </row>
    <row r="258" spans="1:11" ht="27" customHeight="1">
      <c r="A258" s="13"/>
      <c r="B258" s="252"/>
      <c r="C258" s="34" t="str">
        <f>THKL!B257</f>
        <v>CÔNG TÁC BẢO DƯỠNG CẦU L &lt;= 300M</v>
      </c>
      <c r="D258" s="13"/>
      <c r="E258" s="271"/>
      <c r="F258" s="245"/>
      <c r="G258" s="245"/>
      <c r="H258" s="245"/>
      <c r="I258" s="245"/>
      <c r="J258" s="245"/>
      <c r="K258" s="245"/>
    </row>
    <row r="259" spans="1:11" ht="18" customHeight="1">
      <c r="A259" s="13">
        <f>THKL!A258</f>
        <v>14</v>
      </c>
      <c r="B259" s="252" t="s">
        <v>365</v>
      </c>
      <c r="C259" s="244" t="str">
        <f>THKL!B258</f>
        <v>Vệ sinh mặt cầu, ống thoát nước</v>
      </c>
      <c r="D259" s="13" t="str">
        <f>THKL!C258</f>
        <v>10m2</v>
      </c>
      <c r="E259" s="271">
        <f>THKL!D258</f>
        <v>634.35199999999998</v>
      </c>
      <c r="F259" s="245">
        <f>PTDG!G895</f>
        <v>2</v>
      </c>
      <c r="G259" s="245">
        <f>PTDG!G897</f>
        <v>8931.6959999999999</v>
      </c>
      <c r="H259" s="245"/>
      <c r="I259" s="245">
        <f t="shared" si="9"/>
        <v>1268.704</v>
      </c>
      <c r="J259" s="245">
        <f t="shared" si="10"/>
        <v>5665839.2209919998</v>
      </c>
      <c r="K259" s="245">
        <f t="shared" si="11"/>
        <v>0</v>
      </c>
    </row>
    <row r="260" spans="1:11" ht="18" customHeight="1">
      <c r="A260" s="13">
        <f>THKL!A259</f>
        <v>15</v>
      </c>
      <c r="B260" s="252" t="s">
        <v>366</v>
      </c>
      <c r="C260" s="244" t="str">
        <f>THKL!B259</f>
        <v>Vệ sinh khe co dãn cao su</v>
      </c>
      <c r="D260" s="13" t="str">
        <f>THKL!C259</f>
        <v>1md</v>
      </c>
      <c r="E260" s="271">
        <f>THKL!D259</f>
        <v>554</v>
      </c>
      <c r="F260" s="245"/>
      <c r="G260" s="245">
        <f>PTDG!G900</f>
        <v>11580.944000000001</v>
      </c>
      <c r="H260" s="245"/>
      <c r="I260" s="245">
        <f t="shared" si="9"/>
        <v>0</v>
      </c>
      <c r="J260" s="245">
        <f t="shared" si="10"/>
        <v>6415842.9760000007</v>
      </c>
      <c r="K260" s="245">
        <f t="shared" si="11"/>
        <v>0</v>
      </c>
    </row>
    <row r="261" spans="1:11" ht="18" customHeight="1">
      <c r="A261" s="13">
        <f>THKL!A260</f>
        <v>16</v>
      </c>
      <c r="B261" s="252" t="s">
        <v>367</v>
      </c>
      <c r="C261" s="244" t="str">
        <f>THKL!B260</f>
        <v>Vệ sinh mố cầu</v>
      </c>
      <c r="D261" s="13" t="str">
        <f>THKL!C260</f>
        <v>m2</v>
      </c>
      <c r="E261" s="271">
        <f>THKL!D260</f>
        <v>816</v>
      </c>
      <c r="F261" s="245"/>
      <c r="G261" s="245">
        <f>PTDG!G903</f>
        <v>86218.2</v>
      </c>
      <c r="H261" s="245"/>
      <c r="I261" s="245">
        <f t="shared" si="9"/>
        <v>0</v>
      </c>
      <c r="J261" s="245">
        <f t="shared" si="10"/>
        <v>70354051.200000003</v>
      </c>
      <c r="K261" s="245">
        <f t="shared" si="11"/>
        <v>0</v>
      </c>
    </row>
    <row r="262" spans="1:11" ht="18" customHeight="1">
      <c r="A262" s="13">
        <f>THKL!A261</f>
        <v>17</v>
      </c>
      <c r="B262" s="252" t="s">
        <v>368</v>
      </c>
      <c r="C262" s="244" t="str">
        <f>THKL!B261</f>
        <v>Phát quang cây dại</v>
      </c>
      <c r="D262" s="13" t="str">
        <f>THKL!C261</f>
        <v>100m2</v>
      </c>
      <c r="E262" s="271">
        <f>THKL!D261</f>
        <v>14.4175</v>
      </c>
      <c r="F262" s="245"/>
      <c r="G262" s="245">
        <f>PTDG!G906</f>
        <v>729940.08799999987</v>
      </c>
      <c r="H262" s="245"/>
      <c r="I262" s="245">
        <f t="shared" si="9"/>
        <v>0</v>
      </c>
      <c r="J262" s="245">
        <f t="shared" si="10"/>
        <v>10523911.218739998</v>
      </c>
      <c r="K262" s="245">
        <f t="shared" si="11"/>
        <v>0</v>
      </c>
    </row>
    <row r="263" spans="1:11" ht="30.75" customHeight="1">
      <c r="A263" s="13"/>
      <c r="B263" s="252"/>
      <c r="C263" s="34" t="str">
        <f>THKL!B262</f>
        <v>CÔNG TÁC QUẢN LÝ CẦU L &lt;= 300M</v>
      </c>
      <c r="D263" s="13"/>
      <c r="E263" s="271"/>
      <c r="F263" s="245"/>
      <c r="G263" s="245"/>
      <c r="H263" s="245"/>
      <c r="I263" s="245"/>
      <c r="J263" s="245"/>
      <c r="K263" s="245"/>
    </row>
    <row r="264" spans="1:11" ht="18" customHeight="1">
      <c r="A264" s="13"/>
      <c r="B264" s="252"/>
      <c r="C264" s="34" t="str">
        <f>THKL!B263</f>
        <v>Cầu &lt; 50m</v>
      </c>
      <c r="D264" s="13"/>
      <c r="E264" s="271"/>
      <c r="F264" s="245"/>
      <c r="G264" s="245"/>
      <c r="H264" s="245"/>
      <c r="I264" s="245"/>
      <c r="J264" s="245"/>
      <c r="K264" s="245"/>
    </row>
    <row r="265" spans="1:11" ht="18" customHeight="1">
      <c r="A265" s="13">
        <f>THKL!A264</f>
        <v>18</v>
      </c>
      <c r="B265" s="252" t="s">
        <v>369</v>
      </c>
      <c r="C265" s="244" t="str">
        <f>THKL!B264</f>
        <v>Kiểm tra cầu</v>
      </c>
      <c r="D265" s="13" t="str">
        <f>THKL!C264</f>
        <v>cầu/năm</v>
      </c>
      <c r="E265" s="271">
        <f>THKL!D264</f>
        <v>19</v>
      </c>
      <c r="F265" s="245">
        <f>PTDG!G911</f>
        <v>39000</v>
      </c>
      <c r="G265" s="245">
        <f>PTDG!G914</f>
        <v>804232</v>
      </c>
      <c r="H265" s="245"/>
      <c r="I265" s="245">
        <f t="shared" si="9"/>
        <v>741000</v>
      </c>
      <c r="J265" s="245">
        <f t="shared" si="10"/>
        <v>15280408</v>
      </c>
      <c r="K265" s="245">
        <f t="shared" si="11"/>
        <v>0</v>
      </c>
    </row>
    <row r="266" spans="1:11" ht="18" customHeight="1">
      <c r="A266" s="13">
        <f>THKL!A265</f>
        <v>19</v>
      </c>
      <c r="B266" s="252" t="s">
        <v>370</v>
      </c>
      <c r="C266" s="244" t="str">
        <f>THKL!B265</f>
        <v>Kiểm tra trước và sau mùa mưa bão</v>
      </c>
      <c r="D266" s="13" t="str">
        <f>THKL!C265</f>
        <v>cầu/năm</v>
      </c>
      <c r="E266" s="271">
        <f>THKL!D265</f>
        <v>19</v>
      </c>
      <c r="F266" s="245">
        <f>PTDG!G917</f>
        <v>6501</v>
      </c>
      <c r="G266" s="245">
        <f>PTDG!G920</f>
        <v>201058</v>
      </c>
      <c r="H266" s="245"/>
      <c r="I266" s="245">
        <f t="shared" si="9"/>
        <v>123519</v>
      </c>
      <c r="J266" s="245">
        <f t="shared" si="10"/>
        <v>3820102</v>
      </c>
      <c r="K266" s="245">
        <f t="shared" si="11"/>
        <v>0</v>
      </c>
    </row>
    <row r="267" spans="1:11" ht="18" customHeight="1">
      <c r="A267" s="13">
        <f>THKL!A266</f>
        <v>20</v>
      </c>
      <c r="B267" s="252" t="s">
        <v>371</v>
      </c>
      <c r="C267" s="244" t="str">
        <f>THKL!B266</f>
        <v>Quản lý hồ sơ trên vi tính</v>
      </c>
      <c r="D267" s="13" t="str">
        <f>THKL!C266</f>
        <v>cầu/năm</v>
      </c>
      <c r="E267" s="271">
        <f>THKL!D266</f>
        <v>19</v>
      </c>
      <c r="F267" s="245"/>
      <c r="G267" s="245">
        <f>PTDG!G923</f>
        <v>237327</v>
      </c>
      <c r="H267" s="245"/>
      <c r="I267" s="245">
        <f t="shared" si="9"/>
        <v>0</v>
      </c>
      <c r="J267" s="245">
        <f t="shared" si="10"/>
        <v>4509213</v>
      </c>
      <c r="K267" s="245">
        <f t="shared" si="11"/>
        <v>0</v>
      </c>
    </row>
    <row r="268" spans="1:11" ht="18" customHeight="1">
      <c r="A268" s="13"/>
      <c r="B268" s="252"/>
      <c r="C268" s="34" t="str">
        <f>THKL!B267</f>
        <v>Cầu 50m - 100m</v>
      </c>
      <c r="D268" s="13"/>
      <c r="E268" s="271"/>
      <c r="F268" s="245"/>
      <c r="G268" s="245"/>
      <c r="H268" s="245"/>
      <c r="I268" s="245"/>
      <c r="J268" s="245"/>
      <c r="K268" s="245"/>
    </row>
    <row r="269" spans="1:11" ht="18" customHeight="1">
      <c r="A269" s="13">
        <f>THKL!A268</f>
        <v>21</v>
      </c>
      <c r="B269" s="252" t="s">
        <v>372</v>
      </c>
      <c r="C269" s="244" t="str">
        <f>THKL!B268</f>
        <v>Kiểm tra cầu</v>
      </c>
      <c r="D269" s="13" t="str">
        <f>THKL!C268</f>
        <v>cầu/năm</v>
      </c>
      <c r="E269" s="271">
        <f>THKL!D268</f>
        <v>2</v>
      </c>
      <c r="F269" s="245">
        <f>PTDG!G927</f>
        <v>45000</v>
      </c>
      <c r="G269" s="245">
        <f>PTDG!G930</f>
        <v>2412696</v>
      </c>
      <c r="H269" s="245"/>
      <c r="I269" s="245">
        <f t="shared" si="9"/>
        <v>90000</v>
      </c>
      <c r="J269" s="245">
        <f t="shared" si="10"/>
        <v>4825392</v>
      </c>
      <c r="K269" s="245">
        <f t="shared" si="11"/>
        <v>0</v>
      </c>
    </row>
    <row r="270" spans="1:11" ht="18" customHeight="1">
      <c r="A270" s="13">
        <f>THKL!A269</f>
        <v>22</v>
      </c>
      <c r="B270" s="252" t="s">
        <v>373</v>
      </c>
      <c r="C270" s="244" t="str">
        <f>THKL!B269</f>
        <v>Kiểm tra trước và sau mùa mưa bão</v>
      </c>
      <c r="D270" s="13" t="str">
        <f>THKL!C269</f>
        <v>cầu/năm</v>
      </c>
      <c r="E270" s="271">
        <f>THKL!D269</f>
        <v>2</v>
      </c>
      <c r="F270" s="245">
        <f>PTDG!G933</f>
        <v>7500</v>
      </c>
      <c r="G270" s="245">
        <f>PTDG!G936</f>
        <v>402116</v>
      </c>
      <c r="H270" s="245">
        <f>PTDG!G938</f>
        <v>378931</v>
      </c>
      <c r="I270" s="245">
        <f t="shared" si="9"/>
        <v>15000</v>
      </c>
      <c r="J270" s="245">
        <f t="shared" si="10"/>
        <v>804232</v>
      </c>
      <c r="K270" s="245">
        <f t="shared" si="11"/>
        <v>757862</v>
      </c>
    </row>
    <row r="271" spans="1:11" ht="18" customHeight="1">
      <c r="A271" s="13">
        <f>THKL!A270</f>
        <v>23</v>
      </c>
      <c r="B271" s="252" t="s">
        <v>374</v>
      </c>
      <c r="C271" s="244" t="str">
        <f>THKL!B270</f>
        <v>Quản lý hồ sơ trên vi tính</v>
      </c>
      <c r="D271" s="13" t="str">
        <f>THKL!C270</f>
        <v>cầu/năm</v>
      </c>
      <c r="E271" s="271">
        <f>THKL!D270</f>
        <v>2</v>
      </c>
      <c r="F271" s="245"/>
      <c r="G271" s="245">
        <f>PTDG!G941</f>
        <v>237327</v>
      </c>
      <c r="H271" s="245"/>
      <c r="I271" s="245">
        <f t="shared" si="9"/>
        <v>0</v>
      </c>
      <c r="J271" s="245">
        <f t="shared" si="10"/>
        <v>474654</v>
      </c>
      <c r="K271" s="245">
        <f t="shared" si="11"/>
        <v>0</v>
      </c>
    </row>
    <row r="272" spans="1:11" ht="18" customHeight="1">
      <c r="A272" s="13"/>
      <c r="B272" s="252"/>
      <c r="C272" s="34" t="str">
        <f>THKL!B271</f>
        <v>Cầu 100m - 200m</v>
      </c>
      <c r="D272" s="13"/>
      <c r="E272" s="271"/>
      <c r="F272" s="245"/>
      <c r="G272" s="245"/>
      <c r="H272" s="245"/>
      <c r="I272" s="245"/>
      <c r="J272" s="245"/>
      <c r="K272" s="245"/>
    </row>
    <row r="273" spans="1:11" ht="18" customHeight="1">
      <c r="A273" s="13">
        <f>THKL!A272</f>
        <v>24</v>
      </c>
      <c r="B273" s="252" t="s">
        <v>375</v>
      </c>
      <c r="C273" s="244" t="str">
        <f>THKL!B272</f>
        <v>Kiểm tra cầu</v>
      </c>
      <c r="D273" s="13" t="str">
        <f>THKL!C272</f>
        <v>cầu/năm</v>
      </c>
      <c r="E273" s="271">
        <f>THKL!D272</f>
        <v>1</v>
      </c>
      <c r="F273" s="245">
        <f>PTDG!G945</f>
        <v>51000</v>
      </c>
      <c r="G273" s="245">
        <f>PTDG!G948</f>
        <v>7238088</v>
      </c>
      <c r="H273" s="245"/>
      <c r="I273" s="245">
        <f t="shared" si="9"/>
        <v>51000</v>
      </c>
      <c r="J273" s="245">
        <f t="shared" si="10"/>
        <v>7238088</v>
      </c>
      <c r="K273" s="245">
        <f t="shared" si="11"/>
        <v>0</v>
      </c>
    </row>
    <row r="274" spans="1:11" ht="18" customHeight="1">
      <c r="A274" s="13">
        <f>THKL!A273</f>
        <v>25</v>
      </c>
      <c r="B274" s="252" t="s">
        <v>376</v>
      </c>
      <c r="C274" s="244" t="str">
        <f>THKL!B273</f>
        <v>Kiểm tra trước và sau mùa mưa bão</v>
      </c>
      <c r="D274" s="13" t="str">
        <f>THKL!C273</f>
        <v>cầu/năm</v>
      </c>
      <c r="E274" s="271">
        <f>THKL!D273</f>
        <v>1</v>
      </c>
      <c r="F274" s="245">
        <f>PTDG!G951</f>
        <v>8499</v>
      </c>
      <c r="G274" s="245">
        <f>PTDG!G954</f>
        <v>804232</v>
      </c>
      <c r="H274" s="245">
        <f>PTDG!G956</f>
        <v>2107028</v>
      </c>
      <c r="I274" s="245">
        <f t="shared" si="9"/>
        <v>8499</v>
      </c>
      <c r="J274" s="245">
        <f t="shared" si="10"/>
        <v>804232</v>
      </c>
      <c r="K274" s="245">
        <f t="shared" si="11"/>
        <v>2107028</v>
      </c>
    </row>
    <row r="275" spans="1:11" ht="18" customHeight="1">
      <c r="A275" s="290">
        <f>THKL!A274</f>
        <v>26</v>
      </c>
      <c r="B275" s="361" t="s">
        <v>377</v>
      </c>
      <c r="C275" s="362" t="str">
        <f>THKL!B274</f>
        <v>Quản lý hồ sơ trên vi tính</v>
      </c>
      <c r="D275" s="290" t="str">
        <f>THKL!C274</f>
        <v>cầu/năm</v>
      </c>
      <c r="E275" s="363">
        <f>THKL!D274</f>
        <v>1</v>
      </c>
      <c r="F275" s="364"/>
      <c r="G275" s="364">
        <f>PTDG!G959</f>
        <v>474654</v>
      </c>
      <c r="H275" s="364"/>
      <c r="I275" s="364">
        <f t="shared" si="9"/>
        <v>0</v>
      </c>
      <c r="J275" s="364">
        <f t="shared" si="10"/>
        <v>474654</v>
      </c>
      <c r="K275" s="364">
        <f t="shared" si="11"/>
        <v>0</v>
      </c>
    </row>
    <row r="276" spans="1:11" ht="28.5" customHeight="1">
      <c r="A276" s="297" t="str">
        <f>THKL!A275</f>
        <v>X</v>
      </c>
      <c r="B276" s="377"/>
      <c r="C276" s="378" t="str">
        <f>THKL!B275</f>
        <v>ĐƯỜNG TỈNH 910 - HUYỆN BÌNH MINH</v>
      </c>
      <c r="D276" s="299"/>
      <c r="E276" s="303"/>
      <c r="F276" s="380"/>
      <c r="G276" s="380"/>
      <c r="H276" s="380"/>
      <c r="I276" s="381">
        <f>SUM(I277:I299)</f>
        <v>2226695.9837999996</v>
      </c>
      <c r="J276" s="381">
        <f>SUM(J277:J299)</f>
        <v>87032030.190632001</v>
      </c>
      <c r="K276" s="381">
        <f>SUM(K277:K299)</f>
        <v>1060838.3368799998</v>
      </c>
    </row>
    <row r="277" spans="1:11" ht="32.25" customHeight="1">
      <c r="A277" s="13"/>
      <c r="B277" s="252"/>
      <c r="C277" s="34" t="str">
        <f>THKL!B276</f>
        <v>CÔNG TÁC QUẢN LÝ BDTX ĐƯỜNG BỘ</v>
      </c>
      <c r="D277" s="13"/>
      <c r="E277" s="271"/>
      <c r="F277" s="245"/>
      <c r="G277" s="245"/>
      <c r="H277" s="245"/>
      <c r="I277" s="245"/>
      <c r="J277" s="245"/>
      <c r="K277" s="245"/>
    </row>
    <row r="278" spans="1:11" ht="18" customHeight="1">
      <c r="A278" s="13">
        <f>THKL!A277</f>
        <v>1</v>
      </c>
      <c r="B278" s="252" t="s">
        <v>355</v>
      </c>
      <c r="C278" s="244" t="str">
        <f>THKL!B277</f>
        <v>Tuần đường</v>
      </c>
      <c r="D278" s="13" t="str">
        <f>THKL!C277</f>
        <v>1km/năm</v>
      </c>
      <c r="E278" s="271">
        <f>THKL!D277</f>
        <v>9.4359999999999999</v>
      </c>
      <c r="F278" s="245">
        <f>PTDG!G964</f>
        <v>162671.375</v>
      </c>
      <c r="G278" s="245">
        <f>PTDG!G966</f>
        <v>2038164.2759999998</v>
      </c>
      <c r="H278" s="245"/>
      <c r="I278" s="245">
        <f t="shared" si="9"/>
        <v>1534967.0944999999</v>
      </c>
      <c r="J278" s="245">
        <f t="shared" si="10"/>
        <v>19232118.108335998</v>
      </c>
      <c r="K278" s="245">
        <f t="shared" si="11"/>
        <v>0</v>
      </c>
    </row>
    <row r="279" spans="1:11" ht="26.25" customHeight="1">
      <c r="A279" s="13">
        <f>THKL!A278</f>
        <v>2</v>
      </c>
      <c r="B279" s="252" t="s">
        <v>356</v>
      </c>
      <c r="C279" s="244" t="str">
        <f>THKL!B278</f>
        <v>Đếm xe bằng thủ công</v>
      </c>
      <c r="D279" s="13" t="str">
        <f>THKL!C278</f>
        <v>1lần/trạmđếm</v>
      </c>
      <c r="E279" s="271">
        <f>THKL!D278</f>
        <v>12</v>
      </c>
      <c r="F279" s="245">
        <f>PTDG!G969</f>
        <v>15300</v>
      </c>
      <c r="G279" s="245">
        <f>PTDG!G972</f>
        <v>2384312</v>
      </c>
      <c r="H279" s="245"/>
      <c r="I279" s="245">
        <f t="shared" si="9"/>
        <v>183600</v>
      </c>
      <c r="J279" s="245">
        <f t="shared" si="10"/>
        <v>28611744</v>
      </c>
      <c r="K279" s="245">
        <f t="shared" si="11"/>
        <v>0</v>
      </c>
    </row>
    <row r="280" spans="1:11" ht="30.75" customHeight="1">
      <c r="A280" s="13">
        <f>THKL!A279</f>
        <v>3</v>
      </c>
      <c r="B280" s="252" t="s">
        <v>357</v>
      </c>
      <c r="C280" s="244" t="str">
        <f>THKL!B279</f>
        <v>Kiểm tra định kỳ, khẩn cấp, cập nhật số liệu cầu đường và tình hình bão lũ</v>
      </c>
      <c r="D280" s="13" t="str">
        <f>THKL!C279</f>
        <v>1km/1lần</v>
      </c>
      <c r="E280" s="271">
        <f>THKL!D279</f>
        <v>9.4359999999999999</v>
      </c>
      <c r="F280" s="245">
        <f>PTDG!G975</f>
        <v>445.67500000000001</v>
      </c>
      <c r="G280" s="245">
        <f>PTDG!G977</f>
        <v>7439.1459999999997</v>
      </c>
      <c r="H280" s="245"/>
      <c r="I280" s="245">
        <f t="shared" si="9"/>
        <v>4205.3892999999998</v>
      </c>
      <c r="J280" s="245">
        <f t="shared" si="10"/>
        <v>70195.781655999992</v>
      </c>
      <c r="K280" s="245">
        <f t="shared" si="11"/>
        <v>0</v>
      </c>
    </row>
    <row r="281" spans="1:11" ht="18" customHeight="1">
      <c r="A281" s="13">
        <f>THKL!A280</f>
        <v>4</v>
      </c>
      <c r="B281" s="252" t="s">
        <v>358</v>
      </c>
      <c r="C281" s="244" t="str">
        <f>THKL!B280</f>
        <v>Trực bão lũ</v>
      </c>
      <c r="D281" s="13" t="str">
        <f>THKL!C280</f>
        <v>40km/năm</v>
      </c>
      <c r="E281" s="271">
        <f>THKL!D280</f>
        <v>0.2359</v>
      </c>
      <c r="F281" s="245"/>
      <c r="G281" s="245">
        <f>PTDG!G980</f>
        <v>30655360</v>
      </c>
      <c r="H281" s="245"/>
      <c r="I281" s="245">
        <f t="shared" si="9"/>
        <v>0</v>
      </c>
      <c r="J281" s="245">
        <f t="shared" si="10"/>
        <v>7231599.4239999996</v>
      </c>
      <c r="K281" s="245">
        <f t="shared" si="11"/>
        <v>0</v>
      </c>
    </row>
    <row r="282" spans="1:11" ht="29.25" customHeight="1">
      <c r="A282" s="13">
        <f>THKL!A281</f>
        <v>5</v>
      </c>
      <c r="B282" s="252" t="s">
        <v>359</v>
      </c>
      <c r="C282" s="244" t="str">
        <f>THKL!B281</f>
        <v>Quản lý hành lang an toàn đường bộ và đấu nối</v>
      </c>
      <c r="D282" s="13" t="str">
        <f>THKL!C281</f>
        <v>1km/ năm</v>
      </c>
      <c r="E282" s="271">
        <f>THKL!D281</f>
        <v>9.4359999999999999</v>
      </c>
      <c r="F282" s="245"/>
      <c r="G282" s="245">
        <f>PTDG!G983</f>
        <v>402116</v>
      </c>
      <c r="H282" s="245"/>
      <c r="I282" s="245">
        <f t="shared" si="9"/>
        <v>0</v>
      </c>
      <c r="J282" s="245">
        <f t="shared" si="10"/>
        <v>3794366.5759999999</v>
      </c>
      <c r="K282" s="245">
        <f t="shared" si="11"/>
        <v>0</v>
      </c>
    </row>
    <row r="283" spans="1:11" ht="18" customHeight="1">
      <c r="A283" s="13">
        <f>THKL!A282</f>
        <v>6</v>
      </c>
      <c r="B283" s="252" t="s">
        <v>360</v>
      </c>
      <c r="C283" s="244" t="str">
        <f>THKL!B282</f>
        <v>Cắt cỏ bằng máy</v>
      </c>
      <c r="D283" s="13" t="str">
        <f>THKL!C282</f>
        <v>1km/1lần</v>
      </c>
      <c r="E283" s="271">
        <f>THKL!D282</f>
        <v>9.4359999999999999</v>
      </c>
      <c r="F283" s="245">
        <f>PTDG!G986</f>
        <v>8000</v>
      </c>
      <c r="G283" s="245"/>
      <c r="H283" s="245">
        <f>PTDG!G988</f>
        <v>49341.599999999999</v>
      </c>
      <c r="I283" s="245">
        <f t="shared" si="9"/>
        <v>75488</v>
      </c>
      <c r="J283" s="245">
        <f t="shared" si="10"/>
        <v>0</v>
      </c>
      <c r="K283" s="245">
        <f t="shared" si="11"/>
        <v>465587.33759999997</v>
      </c>
    </row>
    <row r="284" spans="1:11" ht="18" customHeight="1">
      <c r="A284" s="13">
        <f>THKL!A283</f>
        <v>7</v>
      </c>
      <c r="B284" s="252" t="s">
        <v>361</v>
      </c>
      <c r="C284" s="244" t="str">
        <f>THKL!B283</f>
        <v>Phát quang cây cỏ bằng thủ công</v>
      </c>
      <c r="D284" s="13" t="str">
        <f>THKL!C283</f>
        <v>1km/1lần</v>
      </c>
      <c r="E284" s="271">
        <f>THKL!D283</f>
        <v>9.4359999999999999</v>
      </c>
      <c r="F284" s="245"/>
      <c r="G284" s="245">
        <f>PTDG!G991</f>
        <v>899226.24</v>
      </c>
      <c r="H284" s="245"/>
      <c r="I284" s="245">
        <f t="shared" si="9"/>
        <v>0</v>
      </c>
      <c r="J284" s="245">
        <f t="shared" si="10"/>
        <v>8485098.80064</v>
      </c>
      <c r="K284" s="245">
        <f t="shared" si="11"/>
        <v>0</v>
      </c>
    </row>
    <row r="285" spans="1:11" ht="18" customHeight="1">
      <c r="A285" s="13">
        <f>THKL!A284</f>
        <v>8</v>
      </c>
      <c r="B285" s="252" t="s">
        <v>362</v>
      </c>
      <c r="C285" s="244" t="str">
        <f>THKL!B284</f>
        <v>Nắn sửa cọc tiêu, cọc MLG</v>
      </c>
      <c r="D285" s="13" t="str">
        <f>THKL!C284</f>
        <v>1 cọc</v>
      </c>
      <c r="E285" s="271">
        <f>THKL!D284</f>
        <v>0.2</v>
      </c>
      <c r="F285" s="245"/>
      <c r="G285" s="245">
        <f>PTDG!G994</f>
        <v>10218.48</v>
      </c>
      <c r="H285" s="245"/>
      <c r="I285" s="245">
        <f t="shared" si="9"/>
        <v>0</v>
      </c>
      <c r="J285" s="245">
        <f t="shared" si="10"/>
        <v>2043.6959999999999</v>
      </c>
      <c r="K285" s="245">
        <f t="shared" si="11"/>
        <v>0</v>
      </c>
    </row>
    <row r="286" spans="1:11" ht="18" customHeight="1">
      <c r="A286" s="13">
        <f>THKL!A285</f>
        <v>9</v>
      </c>
      <c r="B286" s="252" t="s">
        <v>364</v>
      </c>
      <c r="C286" s="244" t="str">
        <f>THKL!B285</f>
        <v>Nắn chỉnh, tu sửa biển báo</v>
      </c>
      <c r="D286" s="13" t="str">
        <f>THKL!C285</f>
        <v>1 cột</v>
      </c>
      <c r="E286" s="271">
        <f>THKL!D285</f>
        <v>0</v>
      </c>
      <c r="F286" s="245"/>
      <c r="G286" s="245">
        <f>PTDG!G997</f>
        <v>38319.300000000003</v>
      </c>
      <c r="H286" s="245"/>
      <c r="I286" s="245">
        <f t="shared" si="9"/>
        <v>0</v>
      </c>
      <c r="J286" s="245">
        <f t="shared" si="10"/>
        <v>0</v>
      </c>
      <c r="K286" s="245">
        <f t="shared" si="11"/>
        <v>0</v>
      </c>
    </row>
    <row r="287" spans="1:11" ht="18" customHeight="1">
      <c r="A287" s="13">
        <f>+THKL!A286</f>
        <v>10</v>
      </c>
      <c r="B287" s="252" t="s">
        <v>511</v>
      </c>
      <c r="C287" s="252" t="str">
        <f>+THKL!B286</f>
        <v>Bạt lề đường bằng máy</v>
      </c>
      <c r="D287" s="13" t="str">
        <f>+THKL!C286</f>
        <v>100md</v>
      </c>
      <c r="E287" s="271">
        <f>+THKL!D286</f>
        <v>188.72</v>
      </c>
      <c r="F287" s="245"/>
      <c r="G287" s="245"/>
      <c r="H287" s="245">
        <f>+PTDG!G1000</f>
        <v>3154.1489999999999</v>
      </c>
      <c r="I287" s="245"/>
      <c r="J287" s="245"/>
      <c r="K287" s="245">
        <f>+E287*H287</f>
        <v>595250.99927999999</v>
      </c>
    </row>
    <row r="288" spans="1:11" ht="18" customHeight="1">
      <c r="A288" s="13">
        <f>+THKL!A287</f>
        <v>11</v>
      </c>
      <c r="B288" s="252" t="s">
        <v>514</v>
      </c>
      <c r="C288" s="252" t="str">
        <f>+THKL!B287</f>
        <v>Vệ sinh mặt đường bằng thủ công</v>
      </c>
      <c r="D288" s="382" t="str">
        <f>+THKL!C287</f>
        <v>lần/km</v>
      </c>
      <c r="E288" s="271">
        <f>+THKL!D287</f>
        <v>9.4359999999999999</v>
      </c>
      <c r="F288" s="245">
        <f>+PTDG!G886</f>
        <v>2000</v>
      </c>
      <c r="G288" s="245">
        <f>+PTDG!G888</f>
        <v>697788.75</v>
      </c>
      <c r="H288" s="245"/>
      <c r="I288" s="245">
        <f>+E288*F288</f>
        <v>18872</v>
      </c>
      <c r="J288" s="245">
        <f>+E288*G288</f>
        <v>6584334.6449999996</v>
      </c>
      <c r="K288" s="245"/>
    </row>
    <row r="289" spans="1:11" ht="18" customHeight="1">
      <c r="A289" s="13">
        <f>+THKL!A288</f>
        <v>12</v>
      </c>
      <c r="B289" s="252" t="s">
        <v>516</v>
      </c>
      <c r="C289" s="252" t="str">
        <f>+THKL!B288</f>
        <v>Vệ sinh mặt biển phản quang</v>
      </c>
      <c r="D289" s="382" t="str">
        <f>+THKL!C288</f>
        <v>m2</v>
      </c>
      <c r="E289" s="271">
        <f>+THKL!D288</f>
        <v>68.328999999999994</v>
      </c>
      <c r="F289" s="245"/>
      <c r="G289" s="245">
        <f>+PTDG!G891</f>
        <v>9579.8000000000011</v>
      </c>
      <c r="H289" s="245"/>
      <c r="I289" s="245"/>
      <c r="J289" s="245">
        <f>+E289*G289</f>
        <v>654578.15419999999</v>
      </c>
      <c r="K289" s="245"/>
    </row>
    <row r="290" spans="1:11" ht="42" customHeight="1">
      <c r="A290" s="13"/>
      <c r="B290" s="252"/>
      <c r="C290" s="34" t="str">
        <f>THKL!B289</f>
        <v>CÔNG TÁC BẢO DƯỠNG CẦU L &lt;= 300M</v>
      </c>
      <c r="D290" s="13"/>
      <c r="E290" s="271"/>
      <c r="F290" s="245"/>
      <c r="G290" s="245"/>
      <c r="H290" s="245"/>
      <c r="I290" s="245"/>
      <c r="J290" s="245"/>
      <c r="K290" s="245"/>
    </row>
    <row r="291" spans="1:11" ht="18" customHeight="1">
      <c r="A291" s="13">
        <f>THKL!A290</f>
        <v>13</v>
      </c>
      <c r="B291" s="252" t="s">
        <v>365</v>
      </c>
      <c r="C291" s="244" t="str">
        <f>THKL!B290</f>
        <v>Vệ sinh mặt cầu, ống thoát nước</v>
      </c>
      <c r="D291" s="13" t="str">
        <f>THKL!C290</f>
        <v>10m2</v>
      </c>
      <c r="E291" s="271">
        <f>THKL!D290</f>
        <v>27.25</v>
      </c>
      <c r="F291" s="245">
        <f>PTDG!G1012</f>
        <v>2</v>
      </c>
      <c r="G291" s="245">
        <f>PTDG!G1014</f>
        <v>8931.6959999999999</v>
      </c>
      <c r="H291" s="245"/>
      <c r="I291" s="245">
        <f t="shared" si="9"/>
        <v>54.5</v>
      </c>
      <c r="J291" s="245">
        <f t="shared" si="10"/>
        <v>243388.71599999999</v>
      </c>
      <c r="K291" s="245">
        <f t="shared" si="11"/>
        <v>0</v>
      </c>
    </row>
    <row r="292" spans="1:11" ht="18" customHeight="1">
      <c r="A292" s="13">
        <f>THKL!A291</f>
        <v>14</v>
      </c>
      <c r="B292" s="252" t="s">
        <v>366</v>
      </c>
      <c r="C292" s="244" t="str">
        <f>THKL!B291</f>
        <v>Vệ sinh khe co dãn cao su</v>
      </c>
      <c r="D292" s="13" t="str">
        <f>THKL!C291</f>
        <v>1md</v>
      </c>
      <c r="E292" s="271">
        <f>THKL!D291</f>
        <v>45</v>
      </c>
      <c r="F292" s="245"/>
      <c r="G292" s="245">
        <f>PTDG!G1017</f>
        <v>11580.944000000001</v>
      </c>
      <c r="H292" s="245"/>
      <c r="I292" s="245">
        <f t="shared" si="9"/>
        <v>0</v>
      </c>
      <c r="J292" s="245">
        <f t="shared" si="10"/>
        <v>521142.48000000004</v>
      </c>
      <c r="K292" s="245">
        <f t="shared" si="11"/>
        <v>0</v>
      </c>
    </row>
    <row r="293" spans="1:11" ht="18" customHeight="1">
      <c r="A293" s="13">
        <f>THKL!A292</f>
        <v>15</v>
      </c>
      <c r="B293" s="252" t="s">
        <v>367</v>
      </c>
      <c r="C293" s="244" t="str">
        <f>THKL!B292</f>
        <v>Vệ sinh mố cầu</v>
      </c>
      <c r="D293" s="13" t="str">
        <f>THKL!C292</f>
        <v>m2</v>
      </c>
      <c r="E293" s="271">
        <f>THKL!D292</f>
        <v>4</v>
      </c>
      <c r="F293" s="245"/>
      <c r="G293" s="245">
        <f>PTDG!G1020</f>
        <v>86218.2</v>
      </c>
      <c r="H293" s="245"/>
      <c r="I293" s="245">
        <f t="shared" si="9"/>
        <v>0</v>
      </c>
      <c r="J293" s="245">
        <f t="shared" si="10"/>
        <v>344872.8</v>
      </c>
      <c r="K293" s="245">
        <f t="shared" si="11"/>
        <v>0</v>
      </c>
    </row>
    <row r="294" spans="1:11" ht="18" customHeight="1">
      <c r="A294" s="13">
        <f>THKL!A293</f>
        <v>16</v>
      </c>
      <c r="B294" s="252" t="s">
        <v>368</v>
      </c>
      <c r="C294" s="244" t="str">
        <f>THKL!B293</f>
        <v>Phát quang cây dại</v>
      </c>
      <c r="D294" s="13" t="str">
        <f>THKL!C293</f>
        <v>100m2</v>
      </c>
      <c r="E294" s="271">
        <f>THKL!D293</f>
        <v>0.1</v>
      </c>
      <c r="F294" s="245"/>
      <c r="G294" s="245">
        <f>PTDG!G1023</f>
        <v>729940.08799999987</v>
      </c>
      <c r="H294" s="245"/>
      <c r="I294" s="245">
        <f t="shared" si="9"/>
        <v>0</v>
      </c>
      <c r="J294" s="245">
        <f t="shared" si="10"/>
        <v>72994.008799999996</v>
      </c>
      <c r="K294" s="245">
        <f t="shared" si="11"/>
        <v>0</v>
      </c>
    </row>
    <row r="295" spans="1:11" ht="37.5" customHeight="1">
      <c r="A295" s="13"/>
      <c r="B295" s="252"/>
      <c r="C295" s="34" t="str">
        <f>THKL!B294</f>
        <v>CÔNG TÁC QUẢN LÝ CẦU L &lt;= 300M</v>
      </c>
      <c r="D295" s="13"/>
      <c r="E295" s="271"/>
      <c r="F295" s="245"/>
      <c r="G295" s="245"/>
      <c r="H295" s="245"/>
      <c r="I295" s="245"/>
      <c r="J295" s="245"/>
      <c r="K295" s="245"/>
    </row>
    <row r="296" spans="1:11" ht="19.5" customHeight="1">
      <c r="A296" s="13"/>
      <c r="B296" s="252"/>
      <c r="C296" s="34" t="str">
        <f>THKL!B295</f>
        <v>Cầu &lt; 50m</v>
      </c>
      <c r="D296" s="13"/>
      <c r="E296" s="271"/>
      <c r="F296" s="245"/>
      <c r="G296" s="245"/>
      <c r="H296" s="245"/>
      <c r="I296" s="245"/>
      <c r="J296" s="245"/>
      <c r="K296" s="245"/>
    </row>
    <row r="297" spans="1:11" ht="18" customHeight="1">
      <c r="A297" s="13">
        <f>THKL!A296</f>
        <v>17</v>
      </c>
      <c r="B297" s="252" t="s">
        <v>369</v>
      </c>
      <c r="C297" s="244" t="str">
        <f>THKL!B296</f>
        <v>Kiểm tra cầu</v>
      </c>
      <c r="D297" s="13" t="str">
        <f>THKL!C296</f>
        <v>cầu/năm</v>
      </c>
      <c r="E297" s="271">
        <f>THKL!D296</f>
        <v>9</v>
      </c>
      <c r="F297" s="245">
        <f>PTDG!G1028</f>
        <v>39000</v>
      </c>
      <c r="G297" s="245">
        <f>PTDG!G1031</f>
        <v>804232</v>
      </c>
      <c r="H297" s="245"/>
      <c r="I297" s="245">
        <f t="shared" ref="I297:I339" si="12">F297*E297</f>
        <v>351000</v>
      </c>
      <c r="J297" s="245">
        <f t="shared" ref="J297:J339" si="13">G297*E297</f>
        <v>7238088</v>
      </c>
      <c r="K297" s="245">
        <f t="shared" ref="K297:K339" si="14">H297*E297</f>
        <v>0</v>
      </c>
    </row>
    <row r="298" spans="1:11" ht="18" customHeight="1">
      <c r="A298" s="13">
        <f>THKL!A297</f>
        <v>18</v>
      </c>
      <c r="B298" s="252" t="s">
        <v>370</v>
      </c>
      <c r="C298" s="244" t="str">
        <f>THKL!B297</f>
        <v>Kiểm tra trước và sau mùa mưa bão</v>
      </c>
      <c r="D298" s="13" t="str">
        <f>THKL!C297</f>
        <v>cầu/năm</v>
      </c>
      <c r="E298" s="271">
        <f>THKL!D297</f>
        <v>9</v>
      </c>
      <c r="F298" s="245">
        <f>PTDG!G1034</f>
        <v>6501</v>
      </c>
      <c r="G298" s="245">
        <f>PTDG!G1037</f>
        <v>201058</v>
      </c>
      <c r="H298" s="245"/>
      <c r="I298" s="245">
        <f t="shared" si="12"/>
        <v>58509</v>
      </c>
      <c r="J298" s="245">
        <f t="shared" si="13"/>
        <v>1809522</v>
      </c>
      <c r="K298" s="245">
        <f t="shared" si="14"/>
        <v>0</v>
      </c>
    </row>
    <row r="299" spans="1:11" ht="21" customHeight="1">
      <c r="A299" s="290">
        <f>THKL!A298</f>
        <v>19</v>
      </c>
      <c r="B299" s="361" t="s">
        <v>371</v>
      </c>
      <c r="C299" s="362" t="str">
        <f>THKL!B298</f>
        <v>Quản lý hồ sơ trên vi tính</v>
      </c>
      <c r="D299" s="290" t="str">
        <f>THKL!C298</f>
        <v>cầu/năm</v>
      </c>
      <c r="E299" s="363">
        <f>THKL!D298</f>
        <v>9</v>
      </c>
      <c r="F299" s="364"/>
      <c r="G299" s="364">
        <f>PTDG!G1040</f>
        <v>237327</v>
      </c>
      <c r="H299" s="364"/>
      <c r="I299" s="364">
        <f t="shared" si="12"/>
        <v>0</v>
      </c>
      <c r="J299" s="364">
        <f t="shared" si="13"/>
        <v>2135943</v>
      </c>
      <c r="K299" s="364">
        <f t="shared" si="14"/>
        <v>0</v>
      </c>
    </row>
    <row r="300" spans="1:11" ht="63.75" customHeight="1">
      <c r="A300" s="297" t="str">
        <f>THKL!A299</f>
        <v>XI</v>
      </c>
      <c r="B300" s="377"/>
      <c r="C300" s="378" t="str">
        <f>THKL!B299</f>
        <v xml:space="preserve">QUỐC LỘ 1A, KCN HÒA PHÚ, ĐƯỜNG VÀO KCN BÌNH MINH, CẦU MỸ HÒA TÂY VÀ CÁC ĐƯỜNG TRONG TPVL </v>
      </c>
      <c r="D300" s="299"/>
      <c r="E300" s="303"/>
      <c r="F300" s="380"/>
      <c r="G300" s="380"/>
      <c r="H300" s="380"/>
      <c r="I300" s="381">
        <f>SUM(I301:I331)</f>
        <v>8503780.006705001</v>
      </c>
      <c r="J300" s="381">
        <f>SUM(J301:J331)</f>
        <v>324959112.97698903</v>
      </c>
      <c r="K300" s="381">
        <f>SUM(K301:K331)</f>
        <v>7849894.8029600009</v>
      </c>
    </row>
    <row r="301" spans="1:11" ht="32.25" customHeight="1">
      <c r="A301" s="13"/>
      <c r="B301" s="252"/>
      <c r="C301" s="34" t="str">
        <f>THKL!B300</f>
        <v>CÔNG TÁC QUẢN LÝ BDTX ĐƯỜNG BỘ</v>
      </c>
      <c r="D301" s="13"/>
      <c r="E301" s="271"/>
      <c r="F301" s="245"/>
      <c r="G301" s="245"/>
      <c r="H301" s="245"/>
      <c r="I301" s="245"/>
      <c r="J301" s="245"/>
      <c r="K301" s="245"/>
    </row>
    <row r="302" spans="1:11" ht="19.5" customHeight="1">
      <c r="A302" s="13">
        <f>THKL!A301</f>
        <v>1</v>
      </c>
      <c r="B302" s="252" t="s">
        <v>355</v>
      </c>
      <c r="C302" s="244" t="str">
        <f>THKL!B301</f>
        <v>Tuần đường</v>
      </c>
      <c r="D302" s="13" t="str">
        <f>THKL!C301</f>
        <v>1km/năm</v>
      </c>
      <c r="E302" s="271">
        <f>THKL!D301</f>
        <v>42.968100000000007</v>
      </c>
      <c r="F302" s="245">
        <f>PTDG!G1045</f>
        <v>162671.375</v>
      </c>
      <c r="G302" s="245">
        <f>PTDG!G1047</f>
        <v>2038164.2759999998</v>
      </c>
      <c r="H302" s="245"/>
      <c r="I302" s="245">
        <f t="shared" si="12"/>
        <v>6989679.9081375012</v>
      </c>
      <c r="J302" s="245">
        <f t="shared" si="13"/>
        <v>87576046.4275956</v>
      </c>
      <c r="K302" s="245">
        <f t="shared" si="14"/>
        <v>0</v>
      </c>
    </row>
    <row r="303" spans="1:11" ht="20.25" customHeight="1">
      <c r="A303" s="13">
        <f>THKL!A302</f>
        <v>2</v>
      </c>
      <c r="B303" s="252" t="s">
        <v>356</v>
      </c>
      <c r="C303" s="244" t="str">
        <f>THKL!B302</f>
        <v>Đếm xe bằng thủ công</v>
      </c>
      <c r="D303" s="13" t="str">
        <f>THKL!C302</f>
        <v>1lần/trạmđếm</v>
      </c>
      <c r="E303" s="271">
        <f>THKL!D302</f>
        <v>12</v>
      </c>
      <c r="F303" s="245">
        <f>PTDG!G1050</f>
        <v>15300</v>
      </c>
      <c r="G303" s="245">
        <f>PTDG!G1053</f>
        <v>2384312</v>
      </c>
      <c r="H303" s="245"/>
      <c r="I303" s="245">
        <f t="shared" si="12"/>
        <v>183600</v>
      </c>
      <c r="J303" s="245">
        <f t="shared" si="13"/>
        <v>28611744</v>
      </c>
      <c r="K303" s="245">
        <f t="shared" si="14"/>
        <v>0</v>
      </c>
    </row>
    <row r="304" spans="1:11" ht="36.75" customHeight="1">
      <c r="A304" s="13">
        <f>THKL!A303</f>
        <v>3</v>
      </c>
      <c r="B304" s="252" t="s">
        <v>357</v>
      </c>
      <c r="C304" s="244" t="str">
        <f>THKL!B303</f>
        <v>Kiểm tra định kỳ, khẩn cấp, cập nhật số liệu cầu đường và tình hình bão lũ</v>
      </c>
      <c r="D304" s="13" t="str">
        <f>THKL!C303</f>
        <v>1km/1lần</v>
      </c>
      <c r="E304" s="271">
        <f>THKL!D303</f>
        <v>42.968100000000007</v>
      </c>
      <c r="F304" s="245">
        <f>PTDG!G1056</f>
        <v>445.67500000000001</v>
      </c>
      <c r="G304" s="245">
        <f>PTDG!G1058</f>
        <v>7439.1459999999997</v>
      </c>
      <c r="H304" s="245"/>
      <c r="I304" s="245">
        <f t="shared" si="12"/>
        <v>19149.807967500004</v>
      </c>
      <c r="J304" s="245">
        <f t="shared" si="13"/>
        <v>319645.96924260003</v>
      </c>
      <c r="K304" s="245">
        <f t="shared" si="14"/>
        <v>0</v>
      </c>
    </row>
    <row r="305" spans="1:11" ht="18" customHeight="1">
      <c r="A305" s="13">
        <f>THKL!A304</f>
        <v>4</v>
      </c>
      <c r="B305" s="252" t="s">
        <v>358</v>
      </c>
      <c r="C305" s="244" t="str">
        <f>THKL!B304</f>
        <v>Trực bão lũ</v>
      </c>
      <c r="D305" s="13" t="str">
        <f>THKL!C304</f>
        <v>40km/năm</v>
      </c>
      <c r="E305" s="271">
        <f>THKL!D304</f>
        <v>1.0742025000000002</v>
      </c>
      <c r="F305" s="245"/>
      <c r="G305" s="245">
        <f>PTDG!G1061</f>
        <v>30655360</v>
      </c>
      <c r="H305" s="245"/>
      <c r="I305" s="245">
        <f t="shared" si="12"/>
        <v>0</v>
      </c>
      <c r="J305" s="245">
        <f t="shared" si="13"/>
        <v>32930064.350400005</v>
      </c>
      <c r="K305" s="245">
        <f t="shared" si="14"/>
        <v>0</v>
      </c>
    </row>
    <row r="306" spans="1:11" ht="28.5" customHeight="1">
      <c r="A306" s="13">
        <f>THKL!A305</f>
        <v>5</v>
      </c>
      <c r="B306" s="252" t="s">
        <v>359</v>
      </c>
      <c r="C306" s="244" t="str">
        <f>THKL!B305</f>
        <v>Quản lý hành lang an toàn đường bộ và đấu nối</v>
      </c>
      <c r="D306" s="13" t="str">
        <f>THKL!C305</f>
        <v>1km/năm</v>
      </c>
      <c r="E306" s="271">
        <f>THKL!D305</f>
        <v>42.968100000000007</v>
      </c>
      <c r="F306" s="245"/>
      <c r="G306" s="245">
        <f>PTDG!G1064</f>
        <v>402116</v>
      </c>
      <c r="H306" s="245"/>
      <c r="I306" s="245">
        <f t="shared" si="12"/>
        <v>0</v>
      </c>
      <c r="J306" s="245">
        <f t="shared" si="13"/>
        <v>17278160.499600004</v>
      </c>
      <c r="K306" s="245">
        <f t="shared" si="14"/>
        <v>0</v>
      </c>
    </row>
    <row r="307" spans="1:11" ht="18" customHeight="1">
      <c r="A307" s="13">
        <f>THKL!A306</f>
        <v>6</v>
      </c>
      <c r="B307" s="252" t="s">
        <v>360</v>
      </c>
      <c r="C307" s="244" t="str">
        <f>THKL!B306</f>
        <v>Cắt cỏ bằng máy</v>
      </c>
      <c r="D307" s="13" t="str">
        <f>THKL!C306</f>
        <v>1km/1lần</v>
      </c>
      <c r="E307" s="271">
        <f>THKL!D306</f>
        <v>42.968100000000007</v>
      </c>
      <c r="F307" s="245">
        <f>PTDG!G1067</f>
        <v>8000</v>
      </c>
      <c r="G307" s="245"/>
      <c r="H307" s="245">
        <f>PTDG!G1069</f>
        <v>49341.599999999999</v>
      </c>
      <c r="I307" s="245">
        <f t="shared" si="12"/>
        <v>343744.80000000005</v>
      </c>
      <c r="J307" s="245">
        <f t="shared" si="13"/>
        <v>0</v>
      </c>
      <c r="K307" s="245">
        <f t="shared" si="14"/>
        <v>2120114.8029600005</v>
      </c>
    </row>
    <row r="308" spans="1:11" ht="18" customHeight="1">
      <c r="A308" s="13">
        <f>THKL!A307</f>
        <v>7</v>
      </c>
      <c r="B308" s="252" t="s">
        <v>361</v>
      </c>
      <c r="C308" s="244" t="str">
        <f>THKL!B307</f>
        <v>Phát quang cây cỏ bằng thủ công</v>
      </c>
      <c r="D308" s="13" t="str">
        <f>THKL!C307</f>
        <v>1km/1lần</v>
      </c>
      <c r="E308" s="271">
        <f>THKL!D307</f>
        <v>42.968100000000007</v>
      </c>
      <c r="F308" s="245"/>
      <c r="G308" s="245">
        <f>PTDG!G1072</f>
        <v>899226.24</v>
      </c>
      <c r="H308" s="245"/>
      <c r="I308" s="245">
        <f t="shared" si="12"/>
        <v>0</v>
      </c>
      <c r="J308" s="245">
        <f t="shared" si="13"/>
        <v>38638043.002944008</v>
      </c>
      <c r="K308" s="245">
        <f t="shared" si="14"/>
        <v>0</v>
      </c>
    </row>
    <row r="309" spans="1:11" ht="18" customHeight="1">
      <c r="A309" s="13">
        <f>THKL!A308</f>
        <v>8</v>
      </c>
      <c r="B309" s="252" t="s">
        <v>385</v>
      </c>
      <c r="C309" s="244" t="str">
        <f>THKL!B308</f>
        <v>Vét rãnh kín bằng thủ công</v>
      </c>
      <c r="D309" s="13" t="str">
        <f>THKL!C308</f>
        <v>10m</v>
      </c>
      <c r="E309" s="271">
        <f>THKL!D308</f>
        <v>246.05</v>
      </c>
      <c r="F309" s="245"/>
      <c r="G309" s="245">
        <f>PTDG!G1075</f>
        <v>67173.796999999991</v>
      </c>
      <c r="H309" s="245"/>
      <c r="I309" s="245">
        <f t="shared" si="12"/>
        <v>0</v>
      </c>
      <c r="J309" s="245">
        <f t="shared" si="13"/>
        <v>16528112.751849998</v>
      </c>
      <c r="K309" s="245">
        <f t="shared" si="14"/>
        <v>0</v>
      </c>
    </row>
    <row r="310" spans="1:11" ht="18" customHeight="1">
      <c r="A310" s="13">
        <f>THKL!A309</f>
        <v>9</v>
      </c>
      <c r="B310" s="252" t="s">
        <v>362</v>
      </c>
      <c r="C310" s="244" t="str">
        <f>THKL!B309</f>
        <v>Nắn sửa cọc tiêu, cọc MLG</v>
      </c>
      <c r="D310" s="13" t="str">
        <f>THKL!C309</f>
        <v>1 cọc</v>
      </c>
      <c r="E310" s="271">
        <f>THKL!D309</f>
        <v>11.55</v>
      </c>
      <c r="F310" s="245"/>
      <c r="G310" s="245">
        <f>PTDG!G1078</f>
        <v>10218.48</v>
      </c>
      <c r="H310" s="245"/>
      <c r="I310" s="245">
        <f t="shared" si="12"/>
        <v>0</v>
      </c>
      <c r="J310" s="245">
        <f t="shared" si="13"/>
        <v>118023.444</v>
      </c>
      <c r="K310" s="245">
        <f t="shared" si="14"/>
        <v>0</v>
      </c>
    </row>
    <row r="311" spans="1:11" ht="18" customHeight="1">
      <c r="A311" s="13">
        <f>THKL!A310</f>
        <v>10</v>
      </c>
      <c r="B311" s="252" t="s">
        <v>363</v>
      </c>
      <c r="C311" s="244" t="str">
        <f>THKL!B310</f>
        <v>Nắn sửa cột Km</v>
      </c>
      <c r="D311" s="13" t="str">
        <f>THKL!C310</f>
        <v>1 cột</v>
      </c>
      <c r="E311" s="271">
        <f>THKL!D310</f>
        <v>0.16</v>
      </c>
      <c r="F311" s="245"/>
      <c r="G311" s="245">
        <f>PTDG!G1081</f>
        <v>20436.96</v>
      </c>
      <c r="H311" s="245"/>
      <c r="I311" s="245">
        <f t="shared" si="12"/>
        <v>0</v>
      </c>
      <c r="J311" s="245">
        <f t="shared" si="13"/>
        <v>3269.9135999999999</v>
      </c>
      <c r="K311" s="245">
        <f t="shared" si="14"/>
        <v>0</v>
      </c>
    </row>
    <row r="312" spans="1:11" ht="18" customHeight="1">
      <c r="A312" s="13">
        <f>THKL!A311</f>
        <v>11</v>
      </c>
      <c r="B312" s="252" t="s">
        <v>364</v>
      </c>
      <c r="C312" s="244" t="str">
        <f>THKL!B311</f>
        <v>Nắn chỉnh, tu sửa biển báo</v>
      </c>
      <c r="D312" s="13" t="str">
        <f>THKL!C311</f>
        <v>1 cột</v>
      </c>
      <c r="E312" s="271">
        <f>THKL!D311</f>
        <v>13.78</v>
      </c>
      <c r="F312" s="245"/>
      <c r="G312" s="245">
        <f>PTDG!G1084</f>
        <v>38319.300000000003</v>
      </c>
      <c r="H312" s="245"/>
      <c r="I312" s="245">
        <f t="shared" si="12"/>
        <v>0</v>
      </c>
      <c r="J312" s="245">
        <f t="shared" si="13"/>
        <v>528039.95400000003</v>
      </c>
      <c r="K312" s="245">
        <f t="shared" si="14"/>
        <v>0</v>
      </c>
    </row>
    <row r="313" spans="1:11" ht="18" customHeight="1">
      <c r="A313" s="13">
        <f>+THKL!A312</f>
        <v>12</v>
      </c>
      <c r="B313" s="252" t="s">
        <v>516</v>
      </c>
      <c r="C313" s="252" t="str">
        <f>+THKL!B312</f>
        <v>Vệ sinh mặt biển phản quang</v>
      </c>
      <c r="D313" s="382" t="str">
        <f>+THKL!C312</f>
        <v>m2</v>
      </c>
      <c r="E313" s="271">
        <f>+THKL!D312</f>
        <v>300.28399999999999</v>
      </c>
      <c r="F313" s="245"/>
      <c r="G313" s="245">
        <f>+PTDG!G1087</f>
        <v>9579.8000000000011</v>
      </c>
      <c r="H313" s="245"/>
      <c r="I313" s="245"/>
      <c r="J313" s="245">
        <f>+E313*G313</f>
        <v>2876660.6632000003</v>
      </c>
      <c r="K313" s="245"/>
    </row>
    <row r="314" spans="1:11" ht="37.5" customHeight="1">
      <c r="A314" s="13"/>
      <c r="B314" s="252"/>
      <c r="C314" s="34" t="str">
        <f>THKL!B313</f>
        <v>CÔNG TÁC BẢO DƯỠNG CẦU L &lt;= 300M</v>
      </c>
      <c r="D314" s="13"/>
      <c r="E314" s="271"/>
      <c r="F314" s="245"/>
      <c r="G314" s="245"/>
      <c r="H314" s="245"/>
      <c r="I314" s="245"/>
      <c r="J314" s="245"/>
      <c r="K314" s="245"/>
    </row>
    <row r="315" spans="1:11" ht="23.25" customHeight="1">
      <c r="A315" s="13">
        <v>13</v>
      </c>
      <c r="B315" s="252" t="s">
        <v>365</v>
      </c>
      <c r="C315" s="244" t="str">
        <f>THKL!B314</f>
        <v>Vệ sinh mặt cầu, ống thoát nước</v>
      </c>
      <c r="D315" s="13" t="str">
        <f>THKL!C314</f>
        <v>10m2</v>
      </c>
      <c r="E315" s="271">
        <f>THKL!D314</f>
        <v>796.74529999999993</v>
      </c>
      <c r="F315" s="245">
        <f>PTDG!G1091</f>
        <v>2</v>
      </c>
      <c r="G315" s="245">
        <f>PTDG!G1093</f>
        <v>8931.6959999999999</v>
      </c>
      <c r="H315" s="245"/>
      <c r="I315" s="245">
        <f t="shared" si="12"/>
        <v>1593.4905999999999</v>
      </c>
      <c r="J315" s="245">
        <f t="shared" si="13"/>
        <v>7116286.8090287996</v>
      </c>
      <c r="K315" s="245">
        <f t="shared" si="14"/>
        <v>0</v>
      </c>
    </row>
    <row r="316" spans="1:11" ht="23.25" customHeight="1">
      <c r="A316" s="13">
        <v>14</v>
      </c>
      <c r="B316" s="252" t="s">
        <v>366</v>
      </c>
      <c r="C316" s="244" t="str">
        <f>THKL!B315</f>
        <v>Vệ sinh khe co dãn cao su</v>
      </c>
      <c r="D316" s="13" t="str">
        <f>THKL!C315</f>
        <v>1md</v>
      </c>
      <c r="E316" s="271">
        <f>THKL!D315</f>
        <v>457.08000000000004</v>
      </c>
      <c r="F316" s="245"/>
      <c r="G316" s="245">
        <f>PTDG!G1096</f>
        <v>11580.944000000001</v>
      </c>
      <c r="H316" s="245"/>
      <c r="I316" s="245">
        <f t="shared" si="12"/>
        <v>0</v>
      </c>
      <c r="J316" s="245">
        <f t="shared" si="13"/>
        <v>5293417.8835200006</v>
      </c>
      <c r="K316" s="245">
        <f t="shared" si="14"/>
        <v>0</v>
      </c>
    </row>
    <row r="317" spans="1:11" ht="20.25" customHeight="1">
      <c r="A317" s="13">
        <v>15</v>
      </c>
      <c r="B317" s="252" t="s">
        <v>367</v>
      </c>
      <c r="C317" s="244" t="str">
        <f>THKL!B316</f>
        <v>Vệ sinh mố cầu</v>
      </c>
      <c r="D317" s="13" t="str">
        <f>THKL!C316</f>
        <v>m2</v>
      </c>
      <c r="E317" s="271">
        <f>THKL!D316</f>
        <v>405.5</v>
      </c>
      <c r="F317" s="245"/>
      <c r="G317" s="245">
        <f>PTDG!G1099</f>
        <v>86218.2</v>
      </c>
      <c r="H317" s="245"/>
      <c r="I317" s="245">
        <f t="shared" si="12"/>
        <v>0</v>
      </c>
      <c r="J317" s="245">
        <f t="shared" si="13"/>
        <v>34961480.100000001</v>
      </c>
      <c r="K317" s="245">
        <f t="shared" si="14"/>
        <v>0</v>
      </c>
    </row>
    <row r="318" spans="1:11" ht="20.25" customHeight="1">
      <c r="A318" s="13">
        <v>16</v>
      </c>
      <c r="B318" s="252" t="s">
        <v>368</v>
      </c>
      <c r="C318" s="244" t="str">
        <f>THKL!B317</f>
        <v>Phát quang cây dại</v>
      </c>
      <c r="D318" s="13" t="str">
        <f>THKL!C317</f>
        <v>100m2</v>
      </c>
      <c r="E318" s="271">
        <f>THKL!D317</f>
        <v>7.5910000000000002</v>
      </c>
      <c r="F318" s="245"/>
      <c r="G318" s="245">
        <f>PTDG!G1102</f>
        <v>729940.08799999987</v>
      </c>
      <c r="H318" s="245"/>
      <c r="I318" s="245">
        <f t="shared" si="12"/>
        <v>0</v>
      </c>
      <c r="J318" s="245">
        <f t="shared" si="13"/>
        <v>5540975.2080079988</v>
      </c>
      <c r="K318" s="245">
        <f t="shared" si="14"/>
        <v>0</v>
      </c>
    </row>
    <row r="319" spans="1:11" ht="42.75" customHeight="1">
      <c r="A319" s="13"/>
      <c r="B319" s="252"/>
      <c r="C319" s="34" t="str">
        <f>THKL!B318</f>
        <v>CÔNG TÁC QUẢN LÝ CẦU L &lt;= 300M</v>
      </c>
      <c r="D319" s="13"/>
      <c r="E319" s="271"/>
      <c r="F319" s="245"/>
      <c r="G319" s="245"/>
      <c r="H319" s="245"/>
      <c r="I319" s="245"/>
      <c r="J319" s="245"/>
      <c r="K319" s="245"/>
    </row>
    <row r="320" spans="1:11" ht="18" customHeight="1">
      <c r="A320" s="13"/>
      <c r="B320" s="252"/>
      <c r="C320" s="34" t="str">
        <f>THKL!B319</f>
        <v>Cầu &lt; 50m</v>
      </c>
      <c r="D320" s="13"/>
      <c r="E320" s="271"/>
      <c r="F320" s="245"/>
      <c r="G320" s="245"/>
      <c r="H320" s="245"/>
      <c r="I320" s="245"/>
      <c r="J320" s="245"/>
      <c r="K320" s="245"/>
    </row>
    <row r="321" spans="1:11" ht="18" customHeight="1">
      <c r="A321" s="13">
        <v>17</v>
      </c>
      <c r="B321" s="252" t="s">
        <v>369</v>
      </c>
      <c r="C321" s="244" t="str">
        <f>THKL!B320</f>
        <v>Kiểm tra cầu</v>
      </c>
      <c r="D321" s="13" t="str">
        <f>THKL!C320</f>
        <v>cầu/năm</v>
      </c>
      <c r="E321" s="271">
        <f>THKL!D320</f>
        <v>14</v>
      </c>
      <c r="F321" s="245">
        <f>PTDG!G1107</f>
        <v>39000</v>
      </c>
      <c r="G321" s="245">
        <f>PTDG!G1110</f>
        <v>804232</v>
      </c>
      <c r="H321" s="245"/>
      <c r="I321" s="245">
        <f t="shared" si="12"/>
        <v>546000</v>
      </c>
      <c r="J321" s="245">
        <f t="shared" si="13"/>
        <v>11259248</v>
      </c>
      <c r="K321" s="245">
        <f t="shared" si="14"/>
        <v>0</v>
      </c>
    </row>
    <row r="322" spans="1:11" ht="18" customHeight="1">
      <c r="A322" s="13">
        <v>18</v>
      </c>
      <c r="B322" s="252" t="s">
        <v>370</v>
      </c>
      <c r="C322" s="244" t="str">
        <f>THKL!B321</f>
        <v>Kiểm tra trước và sau mùa mưa bão</v>
      </c>
      <c r="D322" s="13" t="str">
        <f>THKL!C321</f>
        <v>cầu/năm</v>
      </c>
      <c r="E322" s="271">
        <f>THKL!D321</f>
        <v>14</v>
      </c>
      <c r="F322" s="245">
        <f>PTDG!G1113</f>
        <v>6501</v>
      </c>
      <c r="G322" s="245">
        <f>PTDG!G1116</f>
        <v>201058</v>
      </c>
      <c r="H322" s="245"/>
      <c r="I322" s="245">
        <f t="shared" si="12"/>
        <v>91014</v>
      </c>
      <c r="J322" s="245">
        <f t="shared" si="13"/>
        <v>2814812</v>
      </c>
      <c r="K322" s="245">
        <f t="shared" si="14"/>
        <v>0</v>
      </c>
    </row>
    <row r="323" spans="1:11" ht="18" customHeight="1">
      <c r="A323" s="13">
        <v>19</v>
      </c>
      <c r="B323" s="252" t="s">
        <v>371</v>
      </c>
      <c r="C323" s="244" t="str">
        <f>THKL!B322</f>
        <v>Quản lý hồ sơ trên vi tính</v>
      </c>
      <c r="D323" s="13" t="str">
        <f>THKL!C322</f>
        <v>cầu/năm</v>
      </c>
      <c r="E323" s="271">
        <f>THKL!D322</f>
        <v>14</v>
      </c>
      <c r="F323" s="245"/>
      <c r="G323" s="245">
        <f>PTDG!G1119</f>
        <v>237327</v>
      </c>
      <c r="H323" s="245"/>
      <c r="I323" s="245">
        <f t="shared" si="12"/>
        <v>0</v>
      </c>
      <c r="J323" s="245">
        <f t="shared" si="13"/>
        <v>3322578</v>
      </c>
      <c r="K323" s="245">
        <f t="shared" si="14"/>
        <v>0</v>
      </c>
    </row>
    <row r="324" spans="1:11" ht="18" customHeight="1">
      <c r="A324" s="13"/>
      <c r="B324" s="252"/>
      <c r="C324" s="34" t="str">
        <f>THKL!B323</f>
        <v>Cầu 50m - 100m</v>
      </c>
      <c r="D324" s="13"/>
      <c r="E324" s="271"/>
      <c r="F324" s="245"/>
      <c r="G324" s="245"/>
      <c r="H324" s="245"/>
      <c r="I324" s="245"/>
      <c r="J324" s="245"/>
      <c r="K324" s="245"/>
    </row>
    <row r="325" spans="1:11" ht="18" customHeight="1">
      <c r="A325" s="13">
        <v>20</v>
      </c>
      <c r="B325" s="252" t="s">
        <v>372</v>
      </c>
      <c r="C325" s="244" t="str">
        <f>THKL!B324</f>
        <v>Kiểm tra cầu</v>
      </c>
      <c r="D325" s="13" t="str">
        <f>THKL!C324</f>
        <v>cầu/năm</v>
      </c>
      <c r="E325" s="271">
        <f>THKL!D324</f>
        <v>4</v>
      </c>
      <c r="F325" s="245">
        <f>PTDG!G1123</f>
        <v>45000</v>
      </c>
      <c r="G325" s="245">
        <f>PTDG!G1126</f>
        <v>2412696</v>
      </c>
      <c r="H325" s="245"/>
      <c r="I325" s="245">
        <f t="shared" si="12"/>
        <v>180000</v>
      </c>
      <c r="J325" s="245">
        <f t="shared" si="13"/>
        <v>9650784</v>
      </c>
      <c r="K325" s="245">
        <f t="shared" si="14"/>
        <v>0</v>
      </c>
    </row>
    <row r="326" spans="1:11" ht="18" customHeight="1">
      <c r="A326" s="13">
        <v>21</v>
      </c>
      <c r="B326" s="252" t="s">
        <v>373</v>
      </c>
      <c r="C326" s="244" t="str">
        <f>THKL!B325</f>
        <v>Kiểm tra trước và sau mùa mưa bão</v>
      </c>
      <c r="D326" s="13" t="str">
        <f>THKL!C325</f>
        <v>cầu/năm</v>
      </c>
      <c r="E326" s="271">
        <f>THKL!D325</f>
        <v>4</v>
      </c>
      <c r="F326" s="245">
        <f>PTDG!G1129</f>
        <v>7500</v>
      </c>
      <c r="G326" s="245">
        <f>PTDG!G1132</f>
        <v>402116</v>
      </c>
      <c r="H326" s="245">
        <f>PTDG!G1134</f>
        <v>378931</v>
      </c>
      <c r="I326" s="245">
        <f t="shared" si="12"/>
        <v>30000</v>
      </c>
      <c r="J326" s="245">
        <f t="shared" si="13"/>
        <v>1608464</v>
      </c>
      <c r="K326" s="245">
        <f t="shared" si="14"/>
        <v>1515724</v>
      </c>
    </row>
    <row r="327" spans="1:11" ht="18" customHeight="1">
      <c r="A327" s="13">
        <v>22</v>
      </c>
      <c r="B327" s="252" t="s">
        <v>374</v>
      </c>
      <c r="C327" s="244" t="str">
        <f>THKL!B326</f>
        <v>Quản lý hồ sơ trên vi tính</v>
      </c>
      <c r="D327" s="13" t="str">
        <f>THKL!C326</f>
        <v>cầu/năm</v>
      </c>
      <c r="E327" s="271">
        <f>THKL!D326</f>
        <v>4</v>
      </c>
      <c r="F327" s="245"/>
      <c r="G327" s="245">
        <f>PTDG!G1137</f>
        <v>237327</v>
      </c>
      <c r="H327" s="245"/>
      <c r="I327" s="245">
        <f t="shared" si="12"/>
        <v>0</v>
      </c>
      <c r="J327" s="245">
        <f t="shared" si="13"/>
        <v>949308</v>
      </c>
      <c r="K327" s="245">
        <f t="shared" si="14"/>
        <v>0</v>
      </c>
    </row>
    <row r="328" spans="1:11" ht="18" customHeight="1">
      <c r="A328" s="13"/>
      <c r="B328" s="252"/>
      <c r="C328" s="34" t="str">
        <f>THKL!B327</f>
        <v>Cầu 100m - 200m</v>
      </c>
      <c r="D328" s="13"/>
      <c r="E328" s="271"/>
      <c r="F328" s="245"/>
      <c r="G328" s="245"/>
      <c r="H328" s="245"/>
      <c r="I328" s="245"/>
      <c r="J328" s="245"/>
      <c r="K328" s="245"/>
    </row>
    <row r="329" spans="1:11" ht="18" customHeight="1">
      <c r="A329" s="13">
        <v>23</v>
      </c>
      <c r="B329" s="252" t="s">
        <v>375</v>
      </c>
      <c r="C329" s="244" t="str">
        <f>THKL!B328</f>
        <v>Kiểm tra cầu</v>
      </c>
      <c r="D329" s="13" t="str">
        <f>THKL!C328</f>
        <v>cầu/năm</v>
      </c>
      <c r="E329" s="271">
        <f>THKL!D328</f>
        <v>2</v>
      </c>
      <c r="F329" s="245">
        <f>PTDG!G1141</f>
        <v>51000</v>
      </c>
      <c r="G329" s="245">
        <f>PTDG!G1144</f>
        <v>7238088</v>
      </c>
      <c r="H329" s="245"/>
      <c r="I329" s="245">
        <f t="shared" si="12"/>
        <v>102000</v>
      </c>
      <c r="J329" s="245">
        <f t="shared" si="13"/>
        <v>14476176</v>
      </c>
      <c r="K329" s="245">
        <f t="shared" si="14"/>
        <v>0</v>
      </c>
    </row>
    <row r="330" spans="1:11" ht="18" customHeight="1">
      <c r="A330" s="13">
        <v>24</v>
      </c>
      <c r="B330" s="252" t="s">
        <v>376</v>
      </c>
      <c r="C330" s="244" t="str">
        <f>THKL!B329</f>
        <v>Kiểm tra trước và sau mùa mưa bão</v>
      </c>
      <c r="D330" s="13" t="str">
        <f>THKL!C329</f>
        <v>cầu/năm</v>
      </c>
      <c r="E330" s="271">
        <f>THKL!D329</f>
        <v>2</v>
      </c>
      <c r="F330" s="245">
        <f>PTDG!G1147</f>
        <v>8499</v>
      </c>
      <c r="G330" s="245">
        <f>PTDG!G1150</f>
        <v>804232</v>
      </c>
      <c r="H330" s="245">
        <f>PTDG!G1152</f>
        <v>2107028</v>
      </c>
      <c r="I330" s="245">
        <f t="shared" si="12"/>
        <v>16998</v>
      </c>
      <c r="J330" s="245">
        <f t="shared" si="13"/>
        <v>1608464</v>
      </c>
      <c r="K330" s="245">
        <f t="shared" si="14"/>
        <v>4214056</v>
      </c>
    </row>
    <row r="331" spans="1:11" ht="18" customHeight="1">
      <c r="A331" s="13">
        <v>25</v>
      </c>
      <c r="B331" s="361" t="s">
        <v>377</v>
      </c>
      <c r="C331" s="362" t="str">
        <f>THKL!B330</f>
        <v>Quản lý hồ sơ trên vi tính</v>
      </c>
      <c r="D331" s="290" t="str">
        <f>THKL!C330</f>
        <v>cầu/năm</v>
      </c>
      <c r="E331" s="363">
        <f>THKL!D330</f>
        <v>2</v>
      </c>
      <c r="F331" s="364"/>
      <c r="G331" s="364">
        <f>PTDG!G1155</f>
        <v>474654</v>
      </c>
      <c r="H331" s="364"/>
      <c r="I331" s="364">
        <f t="shared" si="12"/>
        <v>0</v>
      </c>
      <c r="J331" s="364">
        <f t="shared" si="13"/>
        <v>949308</v>
      </c>
      <c r="K331" s="364">
        <f t="shared" si="14"/>
        <v>0</v>
      </c>
    </row>
    <row r="332" spans="1:11" ht="36" customHeight="1">
      <c r="A332" s="297" t="str">
        <f>THKL!A331</f>
        <v>B</v>
      </c>
      <c r="B332" s="377"/>
      <c r="C332" s="378" t="str">
        <f>THKL!B331</f>
        <v>CÔNG TÁC QUẢN LÝ BẢO TRÌ ĐƯỜNG THỦY NỘI ĐỊA</v>
      </c>
      <c r="D332" s="297"/>
      <c r="E332" s="298"/>
      <c r="F332" s="380"/>
      <c r="G332" s="380"/>
      <c r="H332" s="380"/>
      <c r="I332" s="381">
        <f>SUM(I333:I339)</f>
        <v>0</v>
      </c>
      <c r="J332" s="381">
        <f>SUM(J333:J339)</f>
        <v>246125260.83839998</v>
      </c>
      <c r="K332" s="381">
        <f>SUM(K333:K339)</f>
        <v>467846175.25599998</v>
      </c>
    </row>
    <row r="333" spans="1:11" ht="26.25" customHeight="1">
      <c r="A333" s="13">
        <f>THKL!A332</f>
        <v>1</v>
      </c>
      <c r="B333" s="252" t="s">
        <v>386</v>
      </c>
      <c r="C333" s="244" t="str">
        <f>THKL!B332</f>
        <v>Điều chỉnh phao trụ Ø1000</v>
      </c>
      <c r="D333" s="13" t="str">
        <f>THKL!C332</f>
        <v>lần/năm/quả</v>
      </c>
      <c r="E333" s="271">
        <f>THKL!D332</f>
        <v>88</v>
      </c>
      <c r="F333" s="245"/>
      <c r="G333" s="245">
        <f>PTDG!G1159</f>
        <v>228617.25599999999</v>
      </c>
      <c r="H333" s="245">
        <f>PTDG!G1161</f>
        <v>772191.01</v>
      </c>
      <c r="I333" s="245">
        <f t="shared" si="12"/>
        <v>0</v>
      </c>
      <c r="J333" s="245">
        <f t="shared" si="13"/>
        <v>20118318.528000001</v>
      </c>
      <c r="K333" s="245">
        <f t="shared" si="14"/>
        <v>67952808.879999995</v>
      </c>
    </row>
    <row r="334" spans="1:11" ht="28.5" customHeight="1">
      <c r="A334" s="13">
        <f>THKL!A333</f>
        <v>2</v>
      </c>
      <c r="B334" s="252" t="s">
        <v>387</v>
      </c>
      <c r="C334" s="244" t="str">
        <f>THKL!B333</f>
        <v>Điều chỉnh phao trụ Ø1300</v>
      </c>
      <c r="D334" s="13" t="str">
        <f>THKL!C333</f>
        <v>lần/năm/quả</v>
      </c>
      <c r="E334" s="271">
        <f>THKL!D333</f>
        <v>48</v>
      </c>
      <c r="F334" s="245"/>
      <c r="G334" s="245">
        <f>PTDG!G1164</f>
        <v>327187.89840000001</v>
      </c>
      <c r="H334" s="245">
        <f>PTDG!G1166</f>
        <v>1105425.1169999999</v>
      </c>
      <c r="I334" s="245">
        <f t="shared" si="12"/>
        <v>0</v>
      </c>
      <c r="J334" s="245">
        <f t="shared" si="13"/>
        <v>15705019.123199999</v>
      </c>
      <c r="K334" s="245">
        <f t="shared" si="14"/>
        <v>53060405.615999997</v>
      </c>
    </row>
    <row r="335" spans="1:11" ht="24.75" customHeight="1">
      <c r="A335" s="13">
        <f>THKL!A334</f>
        <v>3</v>
      </c>
      <c r="B335" s="252" t="s">
        <v>388</v>
      </c>
      <c r="C335" s="244" t="str">
        <f>THKL!B334</f>
        <v>Chống bồi rùa phao trụ Ø1000</v>
      </c>
      <c r="D335" s="13" t="str">
        <f>THKL!C334</f>
        <v>lần/năm/quả</v>
      </c>
      <c r="E335" s="271">
        <f>THKL!D334</f>
        <v>528</v>
      </c>
      <c r="F335" s="245"/>
      <c r="G335" s="245">
        <f>PTDG!G1169</f>
        <v>111612.5664</v>
      </c>
      <c r="H335" s="245">
        <f>PTDG!G1171</f>
        <v>377026.14749999996</v>
      </c>
      <c r="I335" s="245">
        <f t="shared" si="12"/>
        <v>0</v>
      </c>
      <c r="J335" s="245">
        <f t="shared" si="13"/>
        <v>58931435.059199996</v>
      </c>
      <c r="K335" s="245">
        <f t="shared" si="14"/>
        <v>199069805.88</v>
      </c>
    </row>
    <row r="336" spans="1:11" ht="24.75" customHeight="1">
      <c r="A336" s="13">
        <f>THKL!A335</f>
        <v>4</v>
      </c>
      <c r="B336" s="252" t="s">
        <v>389</v>
      </c>
      <c r="C336" s="244" t="str">
        <f>THKL!B335</f>
        <v>Chống bồi rùa phao trụ Ø1300</v>
      </c>
      <c r="D336" s="13" t="str">
        <f>THKL!C335</f>
        <v>lần/năm/quả</v>
      </c>
      <c r="E336" s="271">
        <f>THKL!D335</f>
        <v>288</v>
      </c>
      <c r="F336" s="245"/>
      <c r="G336" s="245">
        <f>PTDG!G1174</f>
        <v>151900.05599999998</v>
      </c>
      <c r="H336" s="245">
        <f>PTDG!G1176</f>
        <v>513066.51</v>
      </c>
      <c r="I336" s="245">
        <f t="shared" si="12"/>
        <v>0</v>
      </c>
      <c r="J336" s="245">
        <f t="shared" si="13"/>
        <v>43747216.127999991</v>
      </c>
      <c r="K336" s="245">
        <f t="shared" si="14"/>
        <v>147763154.88</v>
      </c>
    </row>
    <row r="337" spans="1:11" ht="30" customHeight="1">
      <c r="A337" s="13">
        <f>THKL!A336</f>
        <v>5</v>
      </c>
      <c r="B337" s="252" t="s">
        <v>390</v>
      </c>
      <c r="C337" s="244" t="str">
        <f>THKL!B336</f>
        <v>Trực phòng chống thiên tai</v>
      </c>
      <c r="D337" s="13" t="str">
        <f>THKL!C336</f>
        <v>lần/năm/trạm</v>
      </c>
      <c r="E337" s="271">
        <f>THKL!D336</f>
        <v>18</v>
      </c>
      <c r="F337" s="245"/>
      <c r="G337" s="245">
        <f>PTDG!G1179</f>
        <v>1095960</v>
      </c>
      <c r="H337" s="245"/>
      <c r="I337" s="245">
        <f t="shared" si="12"/>
        <v>0</v>
      </c>
      <c r="J337" s="245">
        <f t="shared" si="13"/>
        <v>19727280</v>
      </c>
      <c r="K337" s="245">
        <f t="shared" si="14"/>
        <v>0</v>
      </c>
    </row>
    <row r="338" spans="1:11" ht="28.5" customHeight="1">
      <c r="A338" s="13">
        <f>THKL!A337</f>
        <v>6</v>
      </c>
      <c r="B338" s="252" t="s">
        <v>391</v>
      </c>
      <c r="C338" s="244" t="str">
        <f>THKL!B337</f>
        <v>Trong coi tàu công tác</v>
      </c>
      <c r="D338" s="13" t="str">
        <f>THKL!C337</f>
        <v>tàu/vị trí/năm</v>
      </c>
      <c r="E338" s="271">
        <f>THKL!D337</f>
        <v>1</v>
      </c>
      <c r="F338" s="245"/>
      <c r="G338" s="245">
        <f>PTDG!G1182</f>
        <v>80005080</v>
      </c>
      <c r="H338" s="245"/>
      <c r="I338" s="245">
        <f t="shared" si="12"/>
        <v>0</v>
      </c>
      <c r="J338" s="245">
        <f t="shared" si="13"/>
        <v>80005080</v>
      </c>
      <c r="K338" s="245">
        <f t="shared" si="14"/>
        <v>0</v>
      </c>
    </row>
    <row r="339" spans="1:11" ht="27" customHeight="1">
      <c r="A339" s="290">
        <f>THKL!A338</f>
        <v>7</v>
      </c>
      <c r="B339" s="361" t="s">
        <v>392</v>
      </c>
      <c r="C339" s="362" t="str">
        <f>THKL!B338</f>
        <v>Phát quang cây cối che khuất báo hiệu</v>
      </c>
      <c r="D339" s="290" t="str">
        <f>THKL!C338</f>
        <v>lần/năm/cột</v>
      </c>
      <c r="E339" s="363">
        <f>THKL!D338</f>
        <v>180</v>
      </c>
      <c r="F339" s="364"/>
      <c r="G339" s="364">
        <f>PTDG!G1185</f>
        <v>43838.400000000001</v>
      </c>
      <c r="H339" s="364"/>
      <c r="I339" s="364">
        <f t="shared" si="12"/>
        <v>0</v>
      </c>
      <c r="J339" s="364">
        <f t="shared" si="13"/>
        <v>7890912</v>
      </c>
      <c r="K339" s="364">
        <f t="shared" si="14"/>
        <v>0</v>
      </c>
    </row>
    <row r="340" spans="1:11" ht="25.5" customHeight="1">
      <c r="A340" s="366"/>
      <c r="B340" s="366"/>
      <c r="C340" s="27" t="s">
        <v>11</v>
      </c>
      <c r="D340" s="366"/>
      <c r="E340" s="367"/>
      <c r="F340" s="367"/>
      <c r="G340" s="368"/>
      <c r="H340" s="368"/>
      <c r="I340" s="385">
        <f>I332+I300+I276+I243+I214+I185+I160+I131+I98+I69+I36+I7</f>
        <v>66980855.807700008</v>
      </c>
      <c r="J340" s="385">
        <f>J332+J300+J276+J243+J214+J185+J160+J131+J98+J69+J36+J7</f>
        <v>3071433566.4816475</v>
      </c>
      <c r="K340" s="385">
        <f>K332+K300+K276+K243+K214+K185+K160+K131+K98+K69+K36+K7</f>
        <v>542538731.18594396</v>
      </c>
    </row>
    <row r="342" spans="1:11" ht="15.6">
      <c r="H342" s="1331" t="s">
        <v>960</v>
      </c>
      <c r="I342" s="1331"/>
      <c r="J342" s="1331"/>
      <c r="K342" s="1331"/>
    </row>
    <row r="343" spans="1:11" ht="16.8">
      <c r="H343" s="1317" t="s">
        <v>957</v>
      </c>
      <c r="I343" s="1317"/>
      <c r="J343" s="1317"/>
      <c r="K343" s="1317"/>
    </row>
    <row r="344" spans="1:11" ht="16.8">
      <c r="H344" s="717"/>
      <c r="I344" s="717"/>
      <c r="J344" s="717"/>
      <c r="K344" s="717"/>
    </row>
    <row r="345" spans="1:11" ht="16.8">
      <c r="H345" s="717"/>
      <c r="I345" s="717"/>
      <c r="J345" s="717"/>
      <c r="K345" s="717"/>
    </row>
    <row r="346" spans="1:11" ht="16.8">
      <c r="H346" s="717"/>
      <c r="I346" s="717"/>
      <c r="J346" s="717"/>
      <c r="K346" s="717"/>
    </row>
    <row r="347" spans="1:11" ht="16.8">
      <c r="H347" s="717"/>
      <c r="I347" s="717"/>
      <c r="J347" s="717"/>
      <c r="K347" s="717"/>
    </row>
    <row r="348" spans="1:11" ht="16.8">
      <c r="H348" s="717"/>
      <c r="I348" s="717"/>
      <c r="J348" s="717"/>
      <c r="K348" s="717"/>
    </row>
    <row r="349" spans="1:11" ht="16.8">
      <c r="H349" s="1317" t="s">
        <v>877</v>
      </c>
      <c r="I349" s="1317"/>
      <c r="J349" s="1317"/>
      <c r="K349" s="1317"/>
    </row>
  </sheetData>
  <mergeCells count="12">
    <mergeCell ref="H343:K343"/>
    <mergeCell ref="H349:K349"/>
    <mergeCell ref="A1:K1"/>
    <mergeCell ref="A2:K2"/>
    <mergeCell ref="A4:A5"/>
    <mergeCell ref="B4:B5"/>
    <mergeCell ref="C4:C5"/>
    <mergeCell ref="D4:D5"/>
    <mergeCell ref="E4:E5"/>
    <mergeCell ref="F4:H4"/>
    <mergeCell ref="I4:K4"/>
    <mergeCell ref="H342:K342"/>
  </mergeCells>
  <phoneticPr fontId="49" type="noConversion"/>
  <pageMargins left="0.73" right="0.21" top="0.33" bottom="0.35" header="0.21" footer="0.26"/>
  <pageSetup paperSize="9" orientation="landscape" verticalDpi="0" r:id="rId1"/>
  <headerFooter>
    <oddFooter>&amp;C&amp;11&amp;A&amp;R&amp;11Trang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99"/>
  <sheetViews>
    <sheetView topLeftCell="A1152" zoomScaleNormal="100" workbookViewId="0">
      <selection activeCell="F358" sqref="F358"/>
    </sheetView>
  </sheetViews>
  <sheetFormatPr defaultColWidth="8.90625" defaultRowHeight="13.2"/>
  <cols>
    <col min="1" max="1" width="4.1796875" style="388" customWidth="1"/>
    <col min="2" max="2" width="9.54296875" style="389" customWidth="1"/>
    <col min="3" max="3" width="29.81640625" style="33" customWidth="1"/>
    <col min="4" max="4" width="9.90625" style="33" customWidth="1"/>
    <col min="5" max="5" width="9.6328125" style="33" customWidth="1"/>
    <col min="6" max="6" width="9.54296875" style="861" customWidth="1"/>
    <col min="7" max="7" width="9.6328125" style="390" customWidth="1"/>
    <col min="8" max="8" width="8.90625" style="33"/>
    <col min="9" max="9" width="9.36328125" style="33" bestFit="1" customWidth="1"/>
    <col min="10" max="16384" width="8.90625" style="33"/>
  </cols>
  <sheetData>
    <row r="1" spans="1:9" ht="20.25" customHeight="1">
      <c r="A1" s="1314" t="s">
        <v>37</v>
      </c>
      <c r="B1" s="1314"/>
      <c r="C1" s="1314"/>
      <c r="D1" s="1314"/>
      <c r="E1" s="1314"/>
      <c r="F1" s="1314"/>
      <c r="G1" s="1314"/>
    </row>
    <row r="2" spans="1:9" ht="21.9" customHeight="1">
      <c r="A2" s="1332" t="str">
        <f>THKL!A2:D2</f>
        <v>Công trình: Bảo dưỡng thường xuyên cầu, đường bộ, đường thủy nội địa</v>
      </c>
      <c r="B2" s="1332"/>
      <c r="C2" s="1332"/>
      <c r="D2" s="1332"/>
      <c r="E2" s="1332"/>
      <c r="F2" s="1332"/>
      <c r="G2" s="1332"/>
    </row>
    <row r="3" spans="1:9" ht="18" customHeight="1">
      <c r="A3" s="1332"/>
      <c r="B3" s="1332"/>
      <c r="C3" s="1332"/>
      <c r="D3" s="1332"/>
      <c r="E3" s="1332"/>
      <c r="F3" s="1332"/>
      <c r="G3" s="1332"/>
    </row>
    <row r="4" spans="1:9" ht="6.9" customHeight="1">
      <c r="A4" s="1333"/>
      <c r="B4" s="1333"/>
      <c r="C4" s="1333"/>
      <c r="D4" s="1333"/>
      <c r="E4" s="1333"/>
      <c r="F4" s="1333"/>
      <c r="G4" s="1333"/>
    </row>
    <row r="5" spans="1:9" ht="33.9" customHeight="1">
      <c r="A5" s="386" t="s">
        <v>2</v>
      </c>
      <c r="B5" s="386" t="s">
        <v>6</v>
      </c>
      <c r="C5" s="1027" t="s">
        <v>7</v>
      </c>
      <c r="D5" s="386" t="s">
        <v>15</v>
      </c>
      <c r="E5" s="386" t="s">
        <v>25</v>
      </c>
      <c r="F5" s="853" t="s">
        <v>8</v>
      </c>
      <c r="G5" s="387" t="s">
        <v>9</v>
      </c>
    </row>
    <row r="6" spans="1:9" ht="26.25" customHeight="1">
      <c r="A6" s="12"/>
      <c r="B6" s="12"/>
      <c r="C6" s="507" t="str">
        <f>DTCT!C6</f>
        <v>CÔNG TÁC QUẢN LÝ BẢO DƯỠNG THƯỜNG XUYÊN CẦU ĐƯỜNG BỘ</v>
      </c>
      <c r="D6" s="97"/>
      <c r="E6" s="97"/>
      <c r="F6" s="854"/>
      <c r="G6" s="98"/>
    </row>
    <row r="7" spans="1:9" ht="26.25" customHeight="1">
      <c r="A7" s="96" t="str">
        <f>DTCT!A7</f>
        <v>I</v>
      </c>
      <c r="B7" s="96"/>
      <c r="C7" s="287" t="str">
        <f>DTCT!C7</f>
        <v>ĐƯỜNG TỈNH 901 - HUYỆN TRÀ ÔN</v>
      </c>
      <c r="D7" s="96"/>
      <c r="E7" s="137"/>
      <c r="F7" s="855"/>
      <c r="G7" s="138"/>
    </row>
    <row r="8" spans="1:9" ht="26.25" customHeight="1">
      <c r="A8" s="13"/>
      <c r="B8" s="13"/>
      <c r="C8" s="287" t="str">
        <f>DTCT!C8</f>
        <v>CÔNG TÁC QUẢN LÝ BDTX ĐƯỜNG BỘ</v>
      </c>
      <c r="D8" s="13"/>
      <c r="E8" s="137"/>
      <c r="F8" s="855"/>
      <c r="G8" s="138"/>
    </row>
    <row r="9" spans="1:9" ht="18" customHeight="1">
      <c r="A9" s="13">
        <f>DTCT!A9</f>
        <v>1</v>
      </c>
      <c r="B9" s="13" t="str">
        <f>DTCT!B9</f>
        <v>QLD.10150</v>
      </c>
      <c r="C9" s="289" t="str">
        <f>DTCT!C9</f>
        <v>Tuần đường</v>
      </c>
      <c r="D9" s="13" t="str">
        <f>DTCT!D9</f>
        <v>1km/năm</v>
      </c>
      <c r="E9" s="137"/>
      <c r="F9" s="855"/>
      <c r="G9" s="138"/>
    </row>
    <row r="10" spans="1:9" ht="18" customHeight="1">
      <c r="A10" s="13"/>
      <c r="B10" s="13"/>
      <c r="C10" s="1028" t="s">
        <v>48</v>
      </c>
      <c r="D10" s="246" t="s">
        <v>55</v>
      </c>
      <c r="E10" s="247"/>
      <c r="F10" s="856"/>
      <c r="G10" s="391">
        <f>G11</f>
        <v>162671.375</v>
      </c>
    </row>
    <row r="11" spans="1:9" s="1140" customFormat="1" ht="18" customHeight="1">
      <c r="A11" s="1135"/>
      <c r="B11" s="1135"/>
      <c r="C11" s="1136" t="s">
        <v>393</v>
      </c>
      <c r="D11" s="1137" t="s">
        <v>32</v>
      </c>
      <c r="E11" s="1138">
        <v>9.125</v>
      </c>
      <c r="F11" s="1141">
        <v>17827</v>
      </c>
      <c r="G11" s="1139">
        <f>E11*F11</f>
        <v>162671.375</v>
      </c>
      <c r="I11" s="1142"/>
    </row>
    <row r="12" spans="1:9" ht="18" customHeight="1">
      <c r="A12" s="13"/>
      <c r="B12" s="13"/>
      <c r="C12" s="1028" t="s">
        <v>47</v>
      </c>
      <c r="D12" s="246" t="s">
        <v>55</v>
      </c>
      <c r="E12" s="248"/>
      <c r="F12" s="856"/>
      <c r="G12" s="391">
        <f>G13</f>
        <v>2038164.2759999998</v>
      </c>
    </row>
    <row r="13" spans="1:9" ht="18" customHeight="1">
      <c r="A13" s="13"/>
      <c r="B13" s="13"/>
      <c r="C13" s="458" t="s">
        <v>394</v>
      </c>
      <c r="D13" s="246" t="s">
        <v>30</v>
      </c>
      <c r="E13" s="248">
        <v>8.5879999999999992</v>
      </c>
      <c r="F13" s="856">
        <v>237327</v>
      </c>
      <c r="G13" s="190">
        <f>E13*F13</f>
        <v>2038164.2759999998</v>
      </c>
    </row>
    <row r="14" spans="1:9" ht="26.25" customHeight="1">
      <c r="A14" s="13">
        <f>DTCT!A10</f>
        <v>2</v>
      </c>
      <c r="B14" s="13" t="str">
        <f>DTCT!B10</f>
        <v>QLD.10230</v>
      </c>
      <c r="C14" s="289" t="str">
        <f>DTCT!C10</f>
        <v>Đếm xe bằng thủ công</v>
      </c>
      <c r="D14" s="13" t="str">
        <f>DTCT!D10</f>
        <v>1lần/trạm đếm</v>
      </c>
      <c r="E14" s="137"/>
      <c r="F14" s="855"/>
      <c r="G14" s="138"/>
    </row>
    <row r="15" spans="1:9" ht="18" customHeight="1">
      <c r="A15" s="13"/>
      <c r="B15" s="13"/>
      <c r="C15" s="1028" t="s">
        <v>48</v>
      </c>
      <c r="D15" s="246" t="s">
        <v>55</v>
      </c>
      <c r="E15" s="247"/>
      <c r="F15" s="856"/>
      <c r="G15" s="391">
        <f>SUM(G16:G17)</f>
        <v>15300</v>
      </c>
    </row>
    <row r="16" spans="1:9" ht="18" customHeight="1">
      <c r="A16" s="13"/>
      <c r="B16" s="13"/>
      <c r="C16" s="384" t="s">
        <v>395</v>
      </c>
      <c r="D16" s="246" t="s">
        <v>396</v>
      </c>
      <c r="E16" s="247">
        <v>42</v>
      </c>
      <c r="F16" s="856">
        <v>150</v>
      </c>
      <c r="G16" s="190">
        <f>F16*E16</f>
        <v>6300</v>
      </c>
    </row>
    <row r="17" spans="1:7" ht="18" customHeight="1">
      <c r="A17" s="13"/>
      <c r="B17" s="13"/>
      <c r="C17" s="384" t="s">
        <v>397</v>
      </c>
      <c r="D17" s="246" t="s">
        <v>17</v>
      </c>
      <c r="E17" s="248">
        <v>3</v>
      </c>
      <c r="F17" s="856">
        <v>3000</v>
      </c>
      <c r="G17" s="190">
        <f>E17*F17</f>
        <v>9000</v>
      </c>
    </row>
    <row r="18" spans="1:7" ht="18" customHeight="1">
      <c r="A18" s="13"/>
      <c r="B18" s="13"/>
      <c r="C18" s="1028" t="s">
        <v>47</v>
      </c>
      <c r="D18" s="246" t="s">
        <v>55</v>
      </c>
      <c r="E18" s="248"/>
      <c r="F18" s="856"/>
      <c r="G18" s="391">
        <f>G19</f>
        <v>2384312</v>
      </c>
    </row>
    <row r="19" spans="1:7" ht="18" customHeight="1">
      <c r="A19" s="13"/>
      <c r="B19" s="13"/>
      <c r="C19" s="458" t="s">
        <v>398</v>
      </c>
      <c r="D19" s="246" t="s">
        <v>30</v>
      </c>
      <c r="E19" s="248">
        <v>14</v>
      </c>
      <c r="F19" s="856">
        <v>170308</v>
      </c>
      <c r="G19" s="190">
        <f>E19*F19</f>
        <v>2384312</v>
      </c>
    </row>
    <row r="20" spans="1:7" ht="27" customHeight="1">
      <c r="A20" s="13">
        <f>DTCT!A11</f>
        <v>3</v>
      </c>
      <c r="B20" s="13" t="str">
        <f>DTCT!B11</f>
        <v>QLD.10340</v>
      </c>
      <c r="C20" s="289" t="str">
        <f>DTCT!C11</f>
        <v>Kiểm tra định kỳ, khẩn cấp, cập nhật số liệu cầu đường và tình hình bão lũ</v>
      </c>
      <c r="D20" s="13" t="str">
        <f>DTCT!D11</f>
        <v>1km/1lần</v>
      </c>
      <c r="E20" s="137"/>
      <c r="F20" s="856"/>
      <c r="G20" s="138"/>
    </row>
    <row r="21" spans="1:7" ht="18" customHeight="1">
      <c r="A21" s="13"/>
      <c r="B21" s="13"/>
      <c r="C21" s="1028" t="s">
        <v>48</v>
      </c>
      <c r="D21" s="246" t="s">
        <v>55</v>
      </c>
      <c r="E21" s="247"/>
      <c r="F21" s="856"/>
      <c r="G21" s="391">
        <f>G22</f>
        <v>445.67500000000001</v>
      </c>
    </row>
    <row r="22" spans="1:7" s="1140" customFormat="1" ht="18" customHeight="1">
      <c r="A22" s="1135"/>
      <c r="B22" s="1135"/>
      <c r="C22" s="1136" t="s">
        <v>393</v>
      </c>
      <c r="D22" s="1137" t="s">
        <v>32</v>
      </c>
      <c r="E22" s="1138">
        <v>2.5000000000000001E-2</v>
      </c>
      <c r="F22" s="1141">
        <f>F11</f>
        <v>17827</v>
      </c>
      <c r="G22" s="1139">
        <f>E22*F22</f>
        <v>445.67500000000001</v>
      </c>
    </row>
    <row r="23" spans="1:7" ht="18" customHeight="1">
      <c r="A23" s="13"/>
      <c r="B23" s="13"/>
      <c r="C23" s="1028" t="s">
        <v>47</v>
      </c>
      <c r="D23" s="246" t="s">
        <v>55</v>
      </c>
      <c r="E23" s="248"/>
      <c r="F23" s="856"/>
      <c r="G23" s="391">
        <f>G24</f>
        <v>7439.1459999999997</v>
      </c>
    </row>
    <row r="24" spans="1:7" ht="18" customHeight="1">
      <c r="A24" s="13"/>
      <c r="B24" s="13"/>
      <c r="C24" s="458" t="s">
        <v>399</v>
      </c>
      <c r="D24" s="246" t="s">
        <v>30</v>
      </c>
      <c r="E24" s="248">
        <v>3.6999999999999998E-2</v>
      </c>
      <c r="F24" s="856">
        <v>201058</v>
      </c>
      <c r="G24" s="190">
        <f>E24*F24</f>
        <v>7439.1459999999997</v>
      </c>
    </row>
    <row r="25" spans="1:7" ht="18" customHeight="1">
      <c r="A25" s="13">
        <f>DTCT!A12</f>
        <v>4</v>
      </c>
      <c r="B25" s="13" t="str">
        <f>DTCT!B12</f>
        <v>QLD.10410</v>
      </c>
      <c r="C25" s="289" t="str">
        <f>DTCT!C12</f>
        <v>Trực bão lũ</v>
      </c>
      <c r="D25" s="13" t="str">
        <f>DTCT!D12</f>
        <v>40km/năm</v>
      </c>
      <c r="E25" s="137"/>
      <c r="F25" s="856"/>
      <c r="G25" s="138"/>
    </row>
    <row r="26" spans="1:7" ht="18" customHeight="1">
      <c r="A26" s="13"/>
      <c r="B26" s="13"/>
      <c r="C26" s="1028" t="s">
        <v>47</v>
      </c>
      <c r="D26" s="246" t="s">
        <v>55</v>
      </c>
      <c r="E26" s="248"/>
      <c r="F26" s="856"/>
      <c r="G26" s="391">
        <f>G27</f>
        <v>30655360</v>
      </c>
    </row>
    <row r="27" spans="1:7" ht="18" customHeight="1">
      <c r="A27" s="13"/>
      <c r="B27" s="13"/>
      <c r="C27" s="458" t="s">
        <v>292</v>
      </c>
      <c r="D27" s="246" t="s">
        <v>30</v>
      </c>
      <c r="E27" s="248">
        <v>160</v>
      </c>
      <c r="F27" s="856">
        <v>191596</v>
      </c>
      <c r="G27" s="190">
        <f>E27*F27</f>
        <v>30655360</v>
      </c>
    </row>
    <row r="28" spans="1:7" ht="27.75" customHeight="1">
      <c r="A28" s="13">
        <f>DTCT!A13</f>
        <v>5</v>
      </c>
      <c r="B28" s="13" t="str">
        <f>DTCT!B13</f>
        <v>QLD.10610</v>
      </c>
      <c r="C28" s="289" t="str">
        <f>DTCT!C13</f>
        <v>Quản lý hành lang an toàn đường bộ và đấu nối</v>
      </c>
      <c r="D28" s="13" t="str">
        <f>DTCT!D13</f>
        <v>1km/năm</v>
      </c>
      <c r="E28" s="137"/>
      <c r="F28" s="856"/>
      <c r="G28" s="138"/>
    </row>
    <row r="29" spans="1:7" ht="18" customHeight="1">
      <c r="A29" s="13"/>
      <c r="B29" s="13"/>
      <c r="C29" s="1028" t="s">
        <v>47</v>
      </c>
      <c r="D29" s="246" t="s">
        <v>55</v>
      </c>
      <c r="E29" s="248"/>
      <c r="F29" s="856"/>
      <c r="G29" s="391">
        <f>G30</f>
        <v>402116</v>
      </c>
    </row>
    <row r="30" spans="1:7" ht="18" customHeight="1">
      <c r="A30" s="13"/>
      <c r="B30" s="13"/>
      <c r="C30" s="458" t="s">
        <v>399</v>
      </c>
      <c r="D30" s="246" t="s">
        <v>30</v>
      </c>
      <c r="E30" s="248">
        <v>2</v>
      </c>
      <c r="F30" s="856">
        <f>F24</f>
        <v>201058</v>
      </c>
      <c r="G30" s="190">
        <f>E30*F30</f>
        <v>402116</v>
      </c>
    </row>
    <row r="31" spans="1:7" ht="18" customHeight="1">
      <c r="A31" s="13">
        <f>DTCT!A14</f>
        <v>6</v>
      </c>
      <c r="B31" s="13" t="str">
        <f>DTCT!B14</f>
        <v>BDD.20410</v>
      </c>
      <c r="C31" s="289" t="str">
        <f>DTCT!C14</f>
        <v>Cắt cỏ bằng máy</v>
      </c>
      <c r="D31" s="13" t="str">
        <f>DTCT!D14</f>
        <v>1km/1lần</v>
      </c>
      <c r="E31" s="137"/>
      <c r="F31" s="856"/>
      <c r="G31" s="138"/>
    </row>
    <row r="32" spans="1:7" ht="18" customHeight="1">
      <c r="A32" s="13"/>
      <c r="B32" s="13"/>
      <c r="C32" s="1028" t="s">
        <v>48</v>
      </c>
      <c r="D32" s="246" t="s">
        <v>55</v>
      </c>
      <c r="E32" s="247"/>
      <c r="F32" s="856"/>
      <c r="G32" s="391">
        <f>G33</f>
        <v>8000</v>
      </c>
    </row>
    <row r="33" spans="1:7" ht="18" customHeight="1">
      <c r="A33" s="13"/>
      <c r="B33" s="13"/>
      <c r="C33" s="384" t="s">
        <v>400</v>
      </c>
      <c r="D33" s="246" t="s">
        <v>411</v>
      </c>
      <c r="E33" s="248">
        <v>0.2</v>
      </c>
      <c r="F33" s="856">
        <v>40000</v>
      </c>
      <c r="G33" s="190">
        <f>E33*F33</f>
        <v>8000</v>
      </c>
    </row>
    <row r="34" spans="1:7" ht="18" customHeight="1">
      <c r="A34" s="13"/>
      <c r="B34" s="13"/>
      <c r="C34" s="1028" t="s">
        <v>49</v>
      </c>
      <c r="D34" s="246" t="s">
        <v>55</v>
      </c>
      <c r="E34" s="247"/>
      <c r="F34" s="856"/>
      <c r="G34" s="391">
        <f>G35</f>
        <v>195657.30000000002</v>
      </c>
    </row>
    <row r="35" spans="1:7" s="1140" customFormat="1" ht="18" customHeight="1">
      <c r="A35" s="1135"/>
      <c r="B35" s="1135"/>
      <c r="C35" s="1136" t="s">
        <v>1017</v>
      </c>
      <c r="D35" s="1137" t="s">
        <v>291</v>
      </c>
      <c r="E35" s="1138">
        <v>0.9</v>
      </c>
      <c r="F35" s="1141">
        <v>217397</v>
      </c>
      <c r="G35" s="1139">
        <f>E35*F35</f>
        <v>195657.30000000002</v>
      </c>
    </row>
    <row r="36" spans="1:7" ht="24.75" customHeight="1">
      <c r="A36" s="13">
        <f>DTCT!A15</f>
        <v>7</v>
      </c>
      <c r="B36" s="13" t="str">
        <f>DTCT!B15</f>
        <v>BDD.20510</v>
      </c>
      <c r="C36" s="289" t="str">
        <f>DTCT!C15</f>
        <v>Phát quang cây cỏ bằng thủ công</v>
      </c>
      <c r="D36" s="13" t="str">
        <f>DTCT!D15</f>
        <v>1km/1lần</v>
      </c>
      <c r="E36" s="137"/>
      <c r="F36" s="856"/>
      <c r="G36" s="138"/>
    </row>
    <row r="37" spans="1:7" ht="18" customHeight="1">
      <c r="A37" s="13"/>
      <c r="B37" s="13"/>
      <c r="C37" s="1028" t="s">
        <v>47</v>
      </c>
      <c r="D37" s="246" t="s">
        <v>55</v>
      </c>
      <c r="E37" s="248"/>
      <c r="F37" s="856"/>
      <c r="G37" s="391">
        <f>G38</f>
        <v>899226.24</v>
      </c>
    </row>
    <row r="38" spans="1:7" ht="18" customHeight="1">
      <c r="A38" s="13"/>
      <c r="B38" s="13"/>
      <c r="C38" s="1029" t="s">
        <v>398</v>
      </c>
      <c r="D38" s="1025" t="s">
        <v>30</v>
      </c>
      <c r="E38" s="1026">
        <v>5.28</v>
      </c>
      <c r="F38" s="984">
        <f>F19</f>
        <v>170308</v>
      </c>
      <c r="G38" s="190">
        <f>E38*F38</f>
        <v>899226.24</v>
      </c>
    </row>
    <row r="39" spans="1:7" ht="18" customHeight="1">
      <c r="A39" s="13">
        <f>DTCT!A16</f>
        <v>8</v>
      </c>
      <c r="B39" s="13" t="str">
        <f>DTCT!B16</f>
        <v>BDD.22310</v>
      </c>
      <c r="C39" s="289" t="str">
        <f>DTCT!C16</f>
        <v>Nắn sửa cọc tiêu, cọc MLG</v>
      </c>
      <c r="D39" s="13" t="str">
        <f>DTCT!D16</f>
        <v>1 cọc</v>
      </c>
      <c r="E39" s="137"/>
      <c r="F39" s="856"/>
      <c r="G39" s="138"/>
    </row>
    <row r="40" spans="1:7" ht="18" customHeight="1">
      <c r="A40" s="13"/>
      <c r="B40" s="13"/>
      <c r="C40" s="1028" t="s">
        <v>47</v>
      </c>
      <c r="D40" s="246" t="s">
        <v>55</v>
      </c>
      <c r="E40" s="248"/>
      <c r="F40" s="856"/>
      <c r="G40" s="391">
        <f>G41</f>
        <v>10218.48</v>
      </c>
    </row>
    <row r="41" spans="1:7" ht="18" customHeight="1">
      <c r="A41" s="13"/>
      <c r="B41" s="13"/>
      <c r="C41" s="458" t="s">
        <v>398</v>
      </c>
      <c r="D41" s="246" t="s">
        <v>30</v>
      </c>
      <c r="E41" s="248">
        <v>0.06</v>
      </c>
      <c r="F41" s="856">
        <f>F38</f>
        <v>170308</v>
      </c>
      <c r="G41" s="190">
        <f>E41*F41</f>
        <v>10218.48</v>
      </c>
    </row>
    <row r="42" spans="1:7" ht="18" customHeight="1">
      <c r="A42" s="13">
        <f>DTCT!A17</f>
        <v>9</v>
      </c>
      <c r="B42" s="13" t="str">
        <f>DTCT!B17</f>
        <v>BDD.22410</v>
      </c>
      <c r="C42" s="289" t="str">
        <f>DTCT!C17</f>
        <v>Nắn sửa cột Km</v>
      </c>
      <c r="D42" s="13" t="str">
        <f>DTCT!D17</f>
        <v>1 cột</v>
      </c>
      <c r="E42" s="137"/>
      <c r="F42" s="856"/>
      <c r="G42" s="138"/>
    </row>
    <row r="43" spans="1:7" ht="18" customHeight="1">
      <c r="A43" s="13"/>
      <c r="B43" s="13"/>
      <c r="C43" s="1028" t="s">
        <v>47</v>
      </c>
      <c r="D43" s="246" t="s">
        <v>55</v>
      </c>
      <c r="E43" s="248"/>
      <c r="F43" s="856"/>
      <c r="G43" s="391">
        <f>G44</f>
        <v>20436.96</v>
      </c>
    </row>
    <row r="44" spans="1:7" ht="18" customHeight="1">
      <c r="A44" s="13"/>
      <c r="B44" s="13"/>
      <c r="C44" s="458" t="s">
        <v>398</v>
      </c>
      <c r="D44" s="246" t="s">
        <v>30</v>
      </c>
      <c r="E44" s="248">
        <v>0.12</v>
      </c>
      <c r="F44" s="856">
        <f>F41</f>
        <v>170308</v>
      </c>
      <c r="G44" s="190">
        <f>E44*F44</f>
        <v>20436.96</v>
      </c>
    </row>
    <row r="45" spans="1:7" ht="18" customHeight="1">
      <c r="A45" s="13">
        <f>DTCT!A18</f>
        <v>10</v>
      </c>
      <c r="B45" s="13" t="str">
        <f>DTCT!B18</f>
        <v>BDD.22510</v>
      </c>
      <c r="C45" s="289" t="str">
        <f>DTCT!C18</f>
        <v>Nắn chỉnh, tu sửa biển báo</v>
      </c>
      <c r="D45" s="13" t="str">
        <f>DTCT!D18</f>
        <v>1 cột</v>
      </c>
      <c r="E45" s="137"/>
      <c r="F45" s="856"/>
      <c r="G45" s="138"/>
    </row>
    <row r="46" spans="1:7" ht="18" customHeight="1">
      <c r="A46" s="13"/>
      <c r="B46" s="13"/>
      <c r="C46" s="1028" t="s">
        <v>47</v>
      </c>
      <c r="D46" s="246" t="s">
        <v>55</v>
      </c>
      <c r="E46" s="248"/>
      <c r="F46" s="856"/>
      <c r="G46" s="391">
        <f>G47</f>
        <v>38319.300000000003</v>
      </c>
    </row>
    <row r="47" spans="1:7" ht="18" customHeight="1">
      <c r="A47" s="13"/>
      <c r="B47" s="13"/>
      <c r="C47" s="458" t="s">
        <v>398</v>
      </c>
      <c r="D47" s="246" t="s">
        <v>30</v>
      </c>
      <c r="E47" s="248">
        <v>0.22500000000000001</v>
      </c>
      <c r="F47" s="856">
        <f>F44</f>
        <v>170308</v>
      </c>
      <c r="G47" s="190">
        <f>E47*F47</f>
        <v>38319.300000000003</v>
      </c>
    </row>
    <row r="48" spans="1:7" ht="30.75" customHeight="1">
      <c r="A48" s="13">
        <f>+DTCT!A19</f>
        <v>11</v>
      </c>
      <c r="B48" s="13" t="str">
        <f>+DTCT!B19</f>
        <v>BDD.203210</v>
      </c>
      <c r="C48" s="289" t="str">
        <f>+DTCT!C19</f>
        <v>Bạt lề đường bằng máy</v>
      </c>
      <c r="D48" s="13" t="str">
        <f>+DTCT!D19</f>
        <v>100md</v>
      </c>
      <c r="E48" s="392"/>
      <c r="F48" s="857"/>
      <c r="G48" s="392"/>
    </row>
    <row r="49" spans="1:7" ht="18" customHeight="1">
      <c r="A49" s="13"/>
      <c r="B49" s="13"/>
      <c r="C49" s="1028" t="s">
        <v>49</v>
      </c>
      <c r="D49" s="13"/>
      <c r="E49" s="248"/>
      <c r="F49" s="856"/>
      <c r="G49" s="393">
        <f>+G50</f>
        <v>6162.9539999999997</v>
      </c>
    </row>
    <row r="50" spans="1:7" s="1140" customFormat="1" ht="18" customHeight="1">
      <c r="A50" s="1135"/>
      <c r="B50" s="1135"/>
      <c r="C50" s="1136" t="s">
        <v>504</v>
      </c>
      <c r="D50" s="1135" t="s">
        <v>1018</v>
      </c>
      <c r="E50" s="1138">
        <v>3.0000000000000001E-3</v>
      </c>
      <c r="F50" s="1141">
        <v>2054318</v>
      </c>
      <c r="G50" s="1139">
        <f>+E50*F50</f>
        <v>6162.9539999999997</v>
      </c>
    </row>
    <row r="51" spans="1:7" ht="18" customHeight="1">
      <c r="A51" s="13">
        <f>+DTCT!A20</f>
        <v>12</v>
      </c>
      <c r="B51" s="13" t="str">
        <f>+DTCT!B20</f>
        <v>BDD.21312</v>
      </c>
      <c r="C51" s="289" t="str">
        <f>+DTCT!C20</f>
        <v>Vệ sinh mặt đường bằng thủ công</v>
      </c>
      <c r="D51" s="13" t="str">
        <f>+DTCT!D20</f>
        <v>lần/km</v>
      </c>
      <c r="E51" s="248"/>
      <c r="F51" s="856"/>
      <c r="G51" s="190"/>
    </row>
    <row r="52" spans="1:7" ht="18" customHeight="1">
      <c r="A52" s="13"/>
      <c r="B52" s="13"/>
      <c r="C52" s="1028" t="s">
        <v>48</v>
      </c>
      <c r="D52" s="246" t="s">
        <v>55</v>
      </c>
      <c r="E52" s="247"/>
      <c r="F52" s="856"/>
      <c r="G52" s="391">
        <f>G53</f>
        <v>2000</v>
      </c>
    </row>
    <row r="53" spans="1:7" ht="18" customHeight="1">
      <c r="A53" s="13"/>
      <c r="B53" s="13"/>
      <c r="C53" s="384" t="s">
        <v>401</v>
      </c>
      <c r="D53" s="246" t="s">
        <v>402</v>
      </c>
      <c r="E53" s="248">
        <v>0.1</v>
      </c>
      <c r="F53" s="856">
        <v>20000</v>
      </c>
      <c r="G53" s="266">
        <f>E53*F53</f>
        <v>2000</v>
      </c>
    </row>
    <row r="54" spans="1:7" ht="18" customHeight="1">
      <c r="A54" s="13"/>
      <c r="B54" s="13"/>
      <c r="C54" s="1028" t="s">
        <v>47</v>
      </c>
      <c r="D54" s="246" t="s">
        <v>55</v>
      </c>
      <c r="E54" s="248"/>
      <c r="F54" s="856"/>
      <c r="G54" s="391">
        <f>G55</f>
        <v>697788.75</v>
      </c>
    </row>
    <row r="55" spans="1:7" ht="18" customHeight="1">
      <c r="A55" s="13"/>
      <c r="B55" s="13"/>
      <c r="C55" s="458" t="s">
        <v>403</v>
      </c>
      <c r="D55" s="246" t="s">
        <v>30</v>
      </c>
      <c r="E55" s="248">
        <v>3.75</v>
      </c>
      <c r="F55" s="856">
        <v>186077</v>
      </c>
      <c r="G55" s="190">
        <f>E55*F55</f>
        <v>697788.75</v>
      </c>
    </row>
    <row r="56" spans="1:7" ht="18" customHeight="1">
      <c r="A56" s="13">
        <f>+DTCT!A21</f>
        <v>13</v>
      </c>
      <c r="B56" s="13" t="str">
        <f>+DTCT!B21</f>
        <v>BDD.22910</v>
      </c>
      <c r="C56" s="289" t="str">
        <f>+DTCT!C21</f>
        <v>Vệ sinh mặt biển phản quang</v>
      </c>
      <c r="D56" s="13" t="str">
        <f>+DTCT!D21</f>
        <v>m2</v>
      </c>
      <c r="E56" s="248"/>
      <c r="F56" s="856"/>
      <c r="G56" s="190"/>
    </row>
    <row r="57" spans="1:7" ht="18" customHeight="1">
      <c r="A57" s="13"/>
      <c r="B57" s="13"/>
      <c r="C57" s="1028" t="s">
        <v>47</v>
      </c>
      <c r="D57" s="246" t="s">
        <v>55</v>
      </c>
      <c r="E57" s="248"/>
      <c r="F57" s="856"/>
      <c r="G57" s="391">
        <f>G58</f>
        <v>9579.8000000000011</v>
      </c>
    </row>
    <row r="58" spans="1:7" ht="18" customHeight="1">
      <c r="A58" s="13"/>
      <c r="B58" s="13"/>
      <c r="C58" s="458" t="s">
        <v>292</v>
      </c>
      <c r="D58" s="246" t="s">
        <v>30</v>
      </c>
      <c r="E58" s="248">
        <v>0.05</v>
      </c>
      <c r="F58" s="856">
        <f>F27</f>
        <v>191596</v>
      </c>
      <c r="G58" s="190">
        <f>E58*F58</f>
        <v>9579.8000000000011</v>
      </c>
    </row>
    <row r="59" spans="1:7" ht="27.75" customHeight="1">
      <c r="A59" s="13"/>
      <c r="B59" s="13"/>
      <c r="C59" s="287" t="str">
        <f>DTCT!C22</f>
        <v>CÔNG TÁC BẢO DƯỠNG CẦU L &lt;= 300M</v>
      </c>
      <c r="D59" s="13"/>
      <c r="E59" s="137"/>
      <c r="F59" s="856"/>
      <c r="G59" s="138"/>
    </row>
    <row r="60" spans="1:7" ht="18" customHeight="1">
      <c r="A60" s="13">
        <f>DTCT!A23</f>
        <v>14</v>
      </c>
      <c r="B60" s="13" t="str">
        <f>DTCT!B23</f>
        <v>BDC.20610</v>
      </c>
      <c r="C60" s="289" t="str">
        <f>DTCT!C23</f>
        <v>Vệ sinh mặt cầu, ống thoát nước</v>
      </c>
      <c r="D60" s="13" t="str">
        <f>DTCT!D23</f>
        <v>10m2</v>
      </c>
      <c r="E60" s="137"/>
      <c r="F60" s="856"/>
      <c r="G60" s="138"/>
    </row>
    <row r="61" spans="1:7" ht="18" customHeight="1">
      <c r="A61" s="13"/>
      <c r="B61" s="13"/>
      <c r="C61" s="1028" t="s">
        <v>48</v>
      </c>
      <c r="D61" s="246" t="s">
        <v>55</v>
      </c>
      <c r="E61" s="247"/>
      <c r="F61" s="856"/>
      <c r="G61" s="391">
        <f>G62</f>
        <v>2</v>
      </c>
    </row>
    <row r="62" spans="1:7" ht="18" customHeight="1">
      <c r="A62" s="13"/>
      <c r="B62" s="13"/>
      <c r="C62" s="384" t="s">
        <v>401</v>
      </c>
      <c r="D62" s="246" t="s">
        <v>402</v>
      </c>
      <c r="E62" s="248">
        <v>1E-4</v>
      </c>
      <c r="F62" s="856">
        <v>20000</v>
      </c>
      <c r="G62" s="266">
        <f>E62*F62</f>
        <v>2</v>
      </c>
    </row>
    <row r="63" spans="1:7" ht="18" customHeight="1">
      <c r="A63" s="13"/>
      <c r="B63" s="13"/>
      <c r="C63" s="1028" t="s">
        <v>47</v>
      </c>
      <c r="D63" s="246" t="s">
        <v>55</v>
      </c>
      <c r="E63" s="248"/>
      <c r="F63" s="856"/>
      <c r="G63" s="391">
        <f>G64</f>
        <v>8931.6959999999999</v>
      </c>
    </row>
    <row r="64" spans="1:7" ht="18" customHeight="1">
      <c r="A64" s="13"/>
      <c r="B64" s="13"/>
      <c r="C64" s="458" t="s">
        <v>403</v>
      </c>
      <c r="D64" s="246" t="s">
        <v>30</v>
      </c>
      <c r="E64" s="248">
        <v>4.8000000000000001E-2</v>
      </c>
      <c r="F64" s="856">
        <f>F55</f>
        <v>186077</v>
      </c>
      <c r="G64" s="190">
        <f>E64*F64</f>
        <v>8931.6959999999999</v>
      </c>
    </row>
    <row r="65" spans="1:7" ht="18" customHeight="1">
      <c r="A65" s="13">
        <f>DTCT!A24</f>
        <v>15</v>
      </c>
      <c r="B65" s="13" t="str">
        <f>DTCT!B24</f>
        <v>BDC.20910</v>
      </c>
      <c r="C65" s="289" t="str">
        <f>DTCT!C24</f>
        <v>Vệ sinh khe co dãn cao su</v>
      </c>
      <c r="D65" s="13" t="str">
        <f>DTCT!D24</f>
        <v>1md</v>
      </c>
      <c r="E65" s="137"/>
      <c r="F65" s="856"/>
      <c r="G65" s="138"/>
    </row>
    <row r="66" spans="1:7" ht="18" customHeight="1">
      <c r="A66" s="13"/>
      <c r="B66" s="13"/>
      <c r="C66" s="1028" t="s">
        <v>47</v>
      </c>
      <c r="D66" s="246" t="s">
        <v>55</v>
      </c>
      <c r="E66" s="248"/>
      <c r="F66" s="856"/>
      <c r="G66" s="391">
        <f>G67</f>
        <v>11580.944000000001</v>
      </c>
    </row>
    <row r="67" spans="1:7" ht="18" customHeight="1">
      <c r="A67" s="13"/>
      <c r="B67" s="13"/>
      <c r="C67" s="458" t="s">
        <v>398</v>
      </c>
      <c r="D67" s="246" t="s">
        <v>30</v>
      </c>
      <c r="E67" s="248">
        <v>6.8000000000000005E-2</v>
      </c>
      <c r="F67" s="856">
        <f>F47</f>
        <v>170308</v>
      </c>
      <c r="G67" s="190">
        <f>E67*F67</f>
        <v>11580.944000000001</v>
      </c>
    </row>
    <row r="68" spans="1:7" ht="18" customHeight="1">
      <c r="A68" s="13">
        <f>DTCT!A25</f>
        <v>16</v>
      </c>
      <c r="B68" s="13" t="str">
        <f>DTCT!B25</f>
        <v>BDC.21010</v>
      </c>
      <c r="C68" s="289" t="str">
        <f>DTCT!C25</f>
        <v>Vệ sinh mố cầu</v>
      </c>
      <c r="D68" s="13" t="str">
        <f>DTCT!D25</f>
        <v>m2</v>
      </c>
      <c r="E68" s="137"/>
      <c r="F68" s="856"/>
      <c r="G68" s="138"/>
    </row>
    <row r="69" spans="1:7" ht="18" customHeight="1">
      <c r="A69" s="13"/>
      <c r="B69" s="13"/>
      <c r="C69" s="1028" t="s">
        <v>47</v>
      </c>
      <c r="D69" s="246" t="s">
        <v>55</v>
      </c>
      <c r="E69" s="248"/>
      <c r="F69" s="856"/>
      <c r="G69" s="391">
        <f>G70</f>
        <v>86218.2</v>
      </c>
    </row>
    <row r="70" spans="1:7" ht="18" customHeight="1">
      <c r="A70" s="13"/>
      <c r="B70" s="13"/>
      <c r="C70" s="458" t="s">
        <v>292</v>
      </c>
      <c r="D70" s="246" t="s">
        <v>30</v>
      </c>
      <c r="E70" s="248">
        <v>0.45</v>
      </c>
      <c r="F70" s="856">
        <f>F58</f>
        <v>191596</v>
      </c>
      <c r="G70" s="190">
        <f>E70*F70</f>
        <v>86218.2</v>
      </c>
    </row>
    <row r="71" spans="1:7" ht="18" customHeight="1">
      <c r="A71" s="13">
        <f>DTCT!A26</f>
        <v>17</v>
      </c>
      <c r="B71" s="13" t="str">
        <f>DTCT!B26</f>
        <v>BDC.21710</v>
      </c>
      <c r="C71" s="289" t="str">
        <f>DTCT!C26</f>
        <v>Phát quang cây dại</v>
      </c>
      <c r="D71" s="13" t="str">
        <f>DTCT!D26</f>
        <v>100m2</v>
      </c>
      <c r="E71" s="137"/>
      <c r="F71" s="856"/>
      <c r="G71" s="138"/>
    </row>
    <row r="72" spans="1:7" ht="18" customHeight="1">
      <c r="A72" s="13"/>
      <c r="B72" s="13"/>
      <c r="C72" s="1028" t="s">
        <v>47</v>
      </c>
      <c r="D72" s="246" t="s">
        <v>55</v>
      </c>
      <c r="E72" s="248"/>
      <c r="F72" s="856"/>
      <c r="G72" s="391">
        <f>G73</f>
        <v>729940.08799999987</v>
      </c>
    </row>
    <row r="73" spans="1:7" ht="18" customHeight="1">
      <c r="A73" s="13"/>
      <c r="B73" s="13"/>
      <c r="C73" s="458" t="s">
        <v>398</v>
      </c>
      <c r="D73" s="246" t="s">
        <v>30</v>
      </c>
      <c r="E73" s="248">
        <v>4.2859999999999996</v>
      </c>
      <c r="F73" s="856">
        <f>F67</f>
        <v>170308</v>
      </c>
      <c r="G73" s="190">
        <f>E73*F73</f>
        <v>729940.08799999987</v>
      </c>
    </row>
    <row r="74" spans="1:7" ht="25.5" customHeight="1">
      <c r="A74" s="13"/>
      <c r="B74" s="13"/>
      <c r="C74" s="287" t="str">
        <f>DTCT!C27</f>
        <v>CÔNG TÁC QUẢN LÝ CẦU L &lt;= 300M</v>
      </c>
      <c r="D74" s="13"/>
      <c r="E74" s="137"/>
      <c r="F74" s="856"/>
      <c r="G74" s="138"/>
    </row>
    <row r="75" spans="1:7" ht="18" customHeight="1">
      <c r="A75" s="13"/>
      <c r="B75" s="13"/>
      <c r="C75" s="287" t="str">
        <f>DTCT!C28</f>
        <v>Cầu &lt; 50m</v>
      </c>
      <c r="D75" s="13"/>
      <c r="E75" s="137"/>
      <c r="F75" s="856"/>
      <c r="G75" s="138"/>
    </row>
    <row r="76" spans="1:7" ht="18" customHeight="1">
      <c r="A76" s="13">
        <f>DTCT!A29</f>
        <v>18</v>
      </c>
      <c r="B76" s="13" t="str">
        <f>DTCT!B29</f>
        <v>QLC.10140</v>
      </c>
      <c r="C76" s="289" t="str">
        <f>DTCT!C29</f>
        <v>Kiểm tra cầu</v>
      </c>
      <c r="D76" s="13" t="str">
        <f>DTCT!D29</f>
        <v>cầu/năm</v>
      </c>
      <c r="E76" s="137"/>
      <c r="F76" s="856"/>
      <c r="G76" s="138"/>
    </row>
    <row r="77" spans="1:7" ht="18" customHeight="1">
      <c r="A77" s="13"/>
      <c r="B77" s="13"/>
      <c r="C77" s="1028" t="s">
        <v>48</v>
      </c>
      <c r="D77" s="246" t="s">
        <v>55</v>
      </c>
      <c r="E77" s="247"/>
      <c r="F77" s="856"/>
      <c r="G77" s="391">
        <f>SUM(G78:G79)</f>
        <v>39000</v>
      </c>
    </row>
    <row r="78" spans="1:7" ht="18" customHeight="1">
      <c r="A78" s="13"/>
      <c r="B78" s="13"/>
      <c r="C78" s="384" t="s">
        <v>404</v>
      </c>
      <c r="D78" s="246" t="s">
        <v>405</v>
      </c>
      <c r="E78" s="248">
        <v>1</v>
      </c>
      <c r="F78" s="856">
        <v>3000</v>
      </c>
      <c r="G78" s="190">
        <f>E78*F78</f>
        <v>3000</v>
      </c>
    </row>
    <row r="79" spans="1:7" ht="18" customHeight="1">
      <c r="A79" s="13"/>
      <c r="B79" s="13"/>
      <c r="C79" s="384" t="s">
        <v>406</v>
      </c>
      <c r="D79" s="246" t="s">
        <v>17</v>
      </c>
      <c r="E79" s="248">
        <v>12</v>
      </c>
      <c r="F79" s="856">
        <v>3000</v>
      </c>
      <c r="G79" s="190">
        <f>E79*F79</f>
        <v>36000</v>
      </c>
    </row>
    <row r="80" spans="1:7" ht="18" customHeight="1">
      <c r="A80" s="13"/>
      <c r="B80" s="13"/>
      <c r="C80" s="1028" t="s">
        <v>47</v>
      </c>
      <c r="D80" s="246" t="s">
        <v>55</v>
      </c>
      <c r="E80" s="248"/>
      <c r="F80" s="856"/>
      <c r="G80" s="391">
        <f>G81</f>
        <v>804232</v>
      </c>
    </row>
    <row r="81" spans="1:7" ht="18" customHeight="1">
      <c r="A81" s="13"/>
      <c r="B81" s="13"/>
      <c r="C81" s="458" t="s">
        <v>399</v>
      </c>
      <c r="D81" s="246" t="s">
        <v>30</v>
      </c>
      <c r="E81" s="248">
        <v>4</v>
      </c>
      <c r="F81" s="856">
        <f>F24</f>
        <v>201058</v>
      </c>
      <c r="G81" s="190">
        <f>E81*F81</f>
        <v>804232</v>
      </c>
    </row>
    <row r="82" spans="1:7" ht="18" customHeight="1">
      <c r="A82" s="13">
        <f>DTCT!A30</f>
        <v>19</v>
      </c>
      <c r="B82" s="13" t="str">
        <f>DTCT!B30</f>
        <v>QLC.10340</v>
      </c>
      <c r="C82" s="289" t="str">
        <f>DTCT!C30</f>
        <v>Kiểm tra trước và sau mùa mưa bão</v>
      </c>
      <c r="D82" s="13" t="str">
        <f>DTCT!D30</f>
        <v>cầu/năm</v>
      </c>
      <c r="E82" s="137"/>
      <c r="F82" s="856"/>
      <c r="G82" s="138"/>
    </row>
    <row r="83" spans="1:7" ht="18" customHeight="1">
      <c r="A83" s="13"/>
      <c r="B83" s="13"/>
      <c r="C83" s="1028" t="s">
        <v>48</v>
      </c>
      <c r="D83" s="246" t="s">
        <v>55</v>
      </c>
      <c r="E83" s="247"/>
      <c r="F83" s="856"/>
      <c r="G83" s="391">
        <f>SUM(G84:G85)</f>
        <v>6501</v>
      </c>
    </row>
    <row r="84" spans="1:7" ht="18" customHeight="1">
      <c r="A84" s="13"/>
      <c r="B84" s="13"/>
      <c r="C84" s="384" t="s">
        <v>404</v>
      </c>
      <c r="D84" s="246" t="s">
        <v>405</v>
      </c>
      <c r="E84" s="248">
        <v>0.16700000000000001</v>
      </c>
      <c r="F84" s="856">
        <v>3000</v>
      </c>
      <c r="G84" s="190">
        <f>E84*F84</f>
        <v>501.00000000000006</v>
      </c>
    </row>
    <row r="85" spans="1:7" ht="18" customHeight="1">
      <c r="A85" s="13"/>
      <c r="B85" s="13"/>
      <c r="C85" s="384" t="s">
        <v>406</v>
      </c>
      <c r="D85" s="246" t="s">
        <v>17</v>
      </c>
      <c r="E85" s="248">
        <v>2</v>
      </c>
      <c r="F85" s="856">
        <v>3000</v>
      </c>
      <c r="G85" s="190">
        <f>E85*F85</f>
        <v>6000</v>
      </c>
    </row>
    <row r="86" spans="1:7" ht="18" customHeight="1">
      <c r="A86" s="13"/>
      <c r="B86" s="13"/>
      <c r="C86" s="1028" t="s">
        <v>47</v>
      </c>
      <c r="D86" s="246" t="s">
        <v>55</v>
      </c>
      <c r="E86" s="248"/>
      <c r="F86" s="856"/>
      <c r="G86" s="391">
        <f>G87</f>
        <v>201058</v>
      </c>
    </row>
    <row r="87" spans="1:7" ht="18" customHeight="1">
      <c r="A87" s="13"/>
      <c r="B87" s="13"/>
      <c r="C87" s="458" t="s">
        <v>399</v>
      </c>
      <c r="D87" s="246" t="s">
        <v>30</v>
      </c>
      <c r="E87" s="248">
        <v>1</v>
      </c>
      <c r="F87" s="856">
        <f>F81</f>
        <v>201058</v>
      </c>
      <c r="G87" s="190">
        <f>E87*F87</f>
        <v>201058</v>
      </c>
    </row>
    <row r="88" spans="1:7" ht="18" customHeight="1">
      <c r="A88" s="13">
        <f>DTCT!A31</f>
        <v>20</v>
      </c>
      <c r="B88" s="13" t="str">
        <f>DTCT!B31</f>
        <v>QLC.10440</v>
      </c>
      <c r="C88" s="289" t="str">
        <f>DTCT!C31</f>
        <v>Quản lý hồ sơ trên vi tính</v>
      </c>
      <c r="D88" s="13" t="str">
        <f>DTCT!D31</f>
        <v>cầu/năm</v>
      </c>
      <c r="E88" s="137"/>
      <c r="F88" s="856"/>
      <c r="G88" s="138"/>
    </row>
    <row r="89" spans="1:7" ht="18" customHeight="1">
      <c r="A89" s="13"/>
      <c r="B89" s="13"/>
      <c r="C89" s="1028" t="s">
        <v>47</v>
      </c>
      <c r="D89" s="246" t="s">
        <v>55</v>
      </c>
      <c r="E89" s="248"/>
      <c r="F89" s="856"/>
      <c r="G89" s="391">
        <f>G90</f>
        <v>237327</v>
      </c>
    </row>
    <row r="90" spans="1:7" ht="18" customHeight="1">
      <c r="A90" s="13"/>
      <c r="B90" s="13"/>
      <c r="C90" s="458" t="s">
        <v>394</v>
      </c>
      <c r="D90" s="246" t="s">
        <v>30</v>
      </c>
      <c r="E90" s="248">
        <v>1</v>
      </c>
      <c r="F90" s="856">
        <f>F13</f>
        <v>237327</v>
      </c>
      <c r="G90" s="266">
        <f>E90*F90</f>
        <v>237327</v>
      </c>
    </row>
    <row r="91" spans="1:7" ht="18" customHeight="1">
      <c r="A91" s="13"/>
      <c r="B91" s="13"/>
      <c r="C91" s="287" t="str">
        <f>DTCT!C32</f>
        <v>Cầu 50m - 100m</v>
      </c>
      <c r="D91" s="13"/>
      <c r="E91" s="137"/>
      <c r="F91" s="856"/>
      <c r="G91" s="138"/>
    </row>
    <row r="92" spans="1:7" ht="18" customHeight="1">
      <c r="A92" s="13">
        <f>DTCT!A33</f>
        <v>21</v>
      </c>
      <c r="B92" s="13" t="str">
        <f>DTCT!B33</f>
        <v>QLC.10130</v>
      </c>
      <c r="C92" s="289" t="str">
        <f>DTCT!C33</f>
        <v>Kiểm tra cầu</v>
      </c>
      <c r="D92" s="13" t="str">
        <f>DTCT!D33</f>
        <v>cầu/năm</v>
      </c>
      <c r="E92" s="137"/>
      <c r="F92" s="856"/>
      <c r="G92" s="138"/>
    </row>
    <row r="93" spans="1:7" ht="18" customHeight="1">
      <c r="A93" s="13"/>
      <c r="B93" s="13"/>
      <c r="C93" s="1028" t="s">
        <v>48</v>
      </c>
      <c r="D93" s="246" t="s">
        <v>55</v>
      </c>
      <c r="E93" s="247"/>
      <c r="F93" s="856"/>
      <c r="G93" s="391">
        <f>SUM(G94:G95)</f>
        <v>45000</v>
      </c>
    </row>
    <row r="94" spans="1:7" ht="18" customHeight="1">
      <c r="A94" s="13"/>
      <c r="B94" s="13"/>
      <c r="C94" s="384" t="s">
        <v>404</v>
      </c>
      <c r="D94" s="246" t="s">
        <v>405</v>
      </c>
      <c r="E94" s="248">
        <v>3</v>
      </c>
      <c r="F94" s="856">
        <v>3000</v>
      </c>
      <c r="G94" s="190">
        <f>E94*F94</f>
        <v>9000</v>
      </c>
    </row>
    <row r="95" spans="1:7" ht="18" customHeight="1">
      <c r="A95" s="13"/>
      <c r="B95" s="13"/>
      <c r="C95" s="384" t="s">
        <v>406</v>
      </c>
      <c r="D95" s="246" t="s">
        <v>17</v>
      </c>
      <c r="E95" s="248">
        <v>12</v>
      </c>
      <c r="F95" s="856">
        <v>3000</v>
      </c>
      <c r="G95" s="190">
        <f>E95*F95</f>
        <v>36000</v>
      </c>
    </row>
    <row r="96" spans="1:7" ht="18" customHeight="1">
      <c r="A96" s="13"/>
      <c r="B96" s="13"/>
      <c r="C96" s="1028" t="s">
        <v>47</v>
      </c>
      <c r="D96" s="246" t="s">
        <v>55</v>
      </c>
      <c r="E96" s="248"/>
      <c r="F96" s="856"/>
      <c r="G96" s="391">
        <f>G97</f>
        <v>2412696</v>
      </c>
    </row>
    <row r="97" spans="1:7" ht="18" customHeight="1">
      <c r="A97" s="13"/>
      <c r="B97" s="13"/>
      <c r="C97" s="458" t="s">
        <v>399</v>
      </c>
      <c r="D97" s="246" t="s">
        <v>30</v>
      </c>
      <c r="E97" s="248">
        <v>12</v>
      </c>
      <c r="F97" s="856">
        <f>F87</f>
        <v>201058</v>
      </c>
      <c r="G97" s="190">
        <f>E97*F97</f>
        <v>2412696</v>
      </c>
    </row>
    <row r="98" spans="1:7" ht="18" customHeight="1">
      <c r="A98" s="13">
        <f>DTCT!A34</f>
        <v>22</v>
      </c>
      <c r="B98" s="13" t="str">
        <f>DTCT!B34</f>
        <v>QLC.10330</v>
      </c>
      <c r="C98" s="289" t="str">
        <f>DTCT!C34</f>
        <v>Kiểm tra trước và sau mùa mưa bão</v>
      </c>
      <c r="D98" s="13" t="str">
        <f>DTCT!D34</f>
        <v>cầu/năm</v>
      </c>
      <c r="E98" s="137"/>
      <c r="F98" s="856"/>
      <c r="G98" s="138"/>
    </row>
    <row r="99" spans="1:7" ht="18" customHeight="1">
      <c r="A99" s="13"/>
      <c r="B99" s="13"/>
      <c r="C99" s="1028" t="s">
        <v>48</v>
      </c>
      <c r="D99" s="246" t="s">
        <v>55</v>
      </c>
      <c r="E99" s="247"/>
      <c r="F99" s="856"/>
      <c r="G99" s="391">
        <f>G100+G101</f>
        <v>7500</v>
      </c>
    </row>
    <row r="100" spans="1:7" ht="18" customHeight="1">
      <c r="A100" s="13"/>
      <c r="B100" s="13"/>
      <c r="C100" s="384" t="s">
        <v>404</v>
      </c>
      <c r="D100" s="246" t="s">
        <v>405</v>
      </c>
      <c r="E100" s="248">
        <v>0.5</v>
      </c>
      <c r="F100" s="856">
        <v>3000</v>
      </c>
      <c r="G100" s="190">
        <f>E100*F100</f>
        <v>1500</v>
      </c>
    </row>
    <row r="101" spans="1:7" ht="18" customHeight="1">
      <c r="A101" s="13"/>
      <c r="B101" s="13"/>
      <c r="C101" s="384" t="s">
        <v>406</v>
      </c>
      <c r="D101" s="246" t="s">
        <v>17</v>
      </c>
      <c r="E101" s="248">
        <v>2</v>
      </c>
      <c r="F101" s="856">
        <v>3000</v>
      </c>
      <c r="G101" s="190">
        <f>E101*F101</f>
        <v>6000</v>
      </c>
    </row>
    <row r="102" spans="1:7" ht="18" customHeight="1">
      <c r="A102" s="13"/>
      <c r="B102" s="13"/>
      <c r="C102" s="1028" t="s">
        <v>47</v>
      </c>
      <c r="D102" s="246" t="s">
        <v>55</v>
      </c>
      <c r="E102" s="248"/>
      <c r="F102" s="856"/>
      <c r="G102" s="391">
        <f>G103</f>
        <v>402116</v>
      </c>
    </row>
    <row r="103" spans="1:7" ht="18" customHeight="1">
      <c r="A103" s="13"/>
      <c r="B103" s="13"/>
      <c r="C103" s="458" t="s">
        <v>399</v>
      </c>
      <c r="D103" s="246" t="s">
        <v>30</v>
      </c>
      <c r="E103" s="248">
        <v>2</v>
      </c>
      <c r="F103" s="856">
        <f>F97</f>
        <v>201058</v>
      </c>
      <c r="G103" s="190">
        <f>E103*F103</f>
        <v>402116</v>
      </c>
    </row>
    <row r="104" spans="1:7" ht="18" customHeight="1">
      <c r="A104" s="13"/>
      <c r="B104" s="13"/>
      <c r="C104" s="1028" t="s">
        <v>49</v>
      </c>
      <c r="D104" s="246" t="s">
        <v>55</v>
      </c>
      <c r="E104" s="247"/>
      <c r="F104" s="856"/>
      <c r="G104" s="391">
        <f>G105</f>
        <v>1053514</v>
      </c>
    </row>
    <row r="105" spans="1:7" s="1140" customFormat="1" ht="18" customHeight="1">
      <c r="A105" s="1135"/>
      <c r="B105" s="1135"/>
      <c r="C105" s="1136" t="s">
        <v>407</v>
      </c>
      <c r="D105" s="1137" t="s">
        <v>291</v>
      </c>
      <c r="E105" s="1138">
        <v>1</v>
      </c>
      <c r="F105" s="1141">
        <v>1053514</v>
      </c>
      <c r="G105" s="1139">
        <f>E105*F105</f>
        <v>1053514</v>
      </c>
    </row>
    <row r="106" spans="1:7" ht="18" customHeight="1">
      <c r="A106" s="13">
        <f>DTCT!A35</f>
        <v>23</v>
      </c>
      <c r="B106" s="13" t="str">
        <f>DTCT!B35</f>
        <v>QLC.10430</v>
      </c>
      <c r="C106" s="289" t="str">
        <f>DTCT!C35</f>
        <v>Quản lý hồ sơ trên vi tính</v>
      </c>
      <c r="D106" s="13" t="str">
        <f>DTCT!D35</f>
        <v>cầu/năm</v>
      </c>
      <c r="E106" s="137"/>
      <c r="F106" s="856"/>
      <c r="G106" s="138"/>
    </row>
    <row r="107" spans="1:7" ht="18" customHeight="1">
      <c r="A107" s="13"/>
      <c r="B107" s="13"/>
      <c r="C107" s="1028" t="s">
        <v>47</v>
      </c>
      <c r="D107" s="246" t="s">
        <v>55</v>
      </c>
      <c r="E107" s="248"/>
      <c r="F107" s="856"/>
      <c r="G107" s="391">
        <f>G108</f>
        <v>237327</v>
      </c>
    </row>
    <row r="108" spans="1:7" ht="18" customHeight="1">
      <c r="A108" s="290"/>
      <c r="B108" s="290"/>
      <c r="C108" s="1030" t="s">
        <v>394</v>
      </c>
      <c r="D108" s="250" t="s">
        <v>30</v>
      </c>
      <c r="E108" s="302">
        <v>1</v>
      </c>
      <c r="F108" s="858">
        <f>F90</f>
        <v>237327</v>
      </c>
      <c r="G108" s="191">
        <f>E108*F108</f>
        <v>237327</v>
      </c>
    </row>
    <row r="109" spans="1:7" ht="30" customHeight="1">
      <c r="A109" s="297" t="str">
        <f>DTCT!A36</f>
        <v>II</v>
      </c>
      <c r="B109" s="299"/>
      <c r="C109" s="1031" t="str">
        <f>DTCT!C36</f>
        <v>ĐƯỜNG TỈNH 902 - HUYỆN MANG THÍT</v>
      </c>
      <c r="D109" s="299"/>
      <c r="E109" s="300"/>
      <c r="F109" s="859"/>
      <c r="G109" s="301"/>
    </row>
    <row r="110" spans="1:7" ht="29.25" customHeight="1">
      <c r="A110" s="13"/>
      <c r="B110" s="13"/>
      <c r="C110" s="287" t="str">
        <f>DTCT!C37</f>
        <v>CÔNG TÁC QUẢN LÝ BDTX ĐƯỜNG BỘ</v>
      </c>
      <c r="D110" s="13"/>
      <c r="E110" s="137"/>
      <c r="F110" s="856"/>
      <c r="G110" s="138"/>
    </row>
    <row r="111" spans="1:7" ht="18" customHeight="1">
      <c r="A111" s="13">
        <f>DTCT!A38</f>
        <v>1</v>
      </c>
      <c r="B111" s="382" t="str">
        <f>DTCT!B38</f>
        <v>QLD.10150</v>
      </c>
      <c r="C111" s="1032" t="str">
        <f>DTCT!C38</f>
        <v>Tuần đường</v>
      </c>
      <c r="D111" s="382" t="str">
        <f>DTCT!D38</f>
        <v>1km/năm</v>
      </c>
      <c r="E111" s="137"/>
      <c r="F111" s="856"/>
      <c r="G111" s="138"/>
    </row>
    <row r="112" spans="1:7" ht="18" customHeight="1">
      <c r="A112" s="13"/>
      <c r="B112" s="382"/>
      <c r="C112" s="1028" t="s">
        <v>48</v>
      </c>
      <c r="D112" s="246" t="s">
        <v>55</v>
      </c>
      <c r="E112" s="247"/>
      <c r="F112" s="856"/>
      <c r="G112" s="391">
        <f>G113</f>
        <v>162671.375</v>
      </c>
    </row>
    <row r="113" spans="1:7" ht="18" customHeight="1">
      <c r="A113" s="13"/>
      <c r="B113" s="382"/>
      <c r="C113" s="384" t="s">
        <v>393</v>
      </c>
      <c r="D113" s="246" t="s">
        <v>32</v>
      </c>
      <c r="E113" s="248">
        <v>9.125</v>
      </c>
      <c r="F113" s="856">
        <f>F11</f>
        <v>17827</v>
      </c>
      <c r="G113" s="190">
        <f>E113*F113</f>
        <v>162671.375</v>
      </c>
    </row>
    <row r="114" spans="1:7" ht="18" customHeight="1">
      <c r="A114" s="13"/>
      <c r="B114" s="382"/>
      <c r="C114" s="1028" t="s">
        <v>47</v>
      </c>
      <c r="D114" s="246" t="s">
        <v>55</v>
      </c>
      <c r="E114" s="248"/>
      <c r="F114" s="856"/>
      <c r="G114" s="391">
        <f>G115</f>
        <v>2038164.2759999998</v>
      </c>
    </row>
    <row r="115" spans="1:7" ht="18" customHeight="1">
      <c r="A115" s="13"/>
      <c r="B115" s="382"/>
      <c r="C115" s="458" t="s">
        <v>394</v>
      </c>
      <c r="D115" s="246" t="s">
        <v>30</v>
      </c>
      <c r="E115" s="248">
        <v>8.5879999999999992</v>
      </c>
      <c r="F115" s="856">
        <v>237327</v>
      </c>
      <c r="G115" s="190">
        <f>E115*F115</f>
        <v>2038164.2759999998</v>
      </c>
    </row>
    <row r="116" spans="1:7" ht="30" customHeight="1">
      <c r="A116" s="13">
        <f>DTCT!A39</f>
        <v>2</v>
      </c>
      <c r="B116" s="382" t="str">
        <f>DTCT!B39</f>
        <v>QLD.10230</v>
      </c>
      <c r="C116" s="1032" t="str">
        <f>DTCT!C39</f>
        <v>Đếm xe bằng thủ công</v>
      </c>
      <c r="D116" s="382" t="str">
        <f>DTCT!D39</f>
        <v>1lần/trạm đếm</v>
      </c>
      <c r="E116" s="247"/>
      <c r="F116" s="856"/>
      <c r="G116" s="391"/>
    </row>
    <row r="117" spans="1:7" ht="18" customHeight="1">
      <c r="A117" s="13"/>
      <c r="B117" s="382"/>
      <c r="C117" s="1028" t="s">
        <v>48</v>
      </c>
      <c r="D117" s="246" t="s">
        <v>55</v>
      </c>
      <c r="E117" s="247"/>
      <c r="F117" s="856"/>
      <c r="G117" s="391">
        <f>SUM(G118:G119)</f>
        <v>15300</v>
      </c>
    </row>
    <row r="118" spans="1:7" ht="18" customHeight="1">
      <c r="A118" s="13"/>
      <c r="B118" s="382"/>
      <c r="C118" s="384" t="s">
        <v>395</v>
      </c>
      <c r="D118" s="246" t="s">
        <v>396</v>
      </c>
      <c r="E118" s="247">
        <v>42</v>
      </c>
      <c r="F118" s="856">
        <v>150</v>
      </c>
      <c r="G118" s="190">
        <f>F118*E118</f>
        <v>6300</v>
      </c>
    </row>
    <row r="119" spans="1:7" ht="18" customHeight="1">
      <c r="A119" s="13"/>
      <c r="B119" s="382"/>
      <c r="C119" s="384" t="s">
        <v>397</v>
      </c>
      <c r="D119" s="246" t="s">
        <v>17</v>
      </c>
      <c r="E119" s="248">
        <v>3</v>
      </c>
      <c r="F119" s="856">
        <v>3000</v>
      </c>
      <c r="G119" s="190">
        <f>E119*F119</f>
        <v>9000</v>
      </c>
    </row>
    <row r="120" spans="1:7" ht="18" customHeight="1">
      <c r="A120" s="13"/>
      <c r="B120" s="382"/>
      <c r="C120" s="1028" t="s">
        <v>47</v>
      </c>
      <c r="D120" s="246" t="s">
        <v>55</v>
      </c>
      <c r="E120" s="248"/>
      <c r="F120" s="856"/>
      <c r="G120" s="391">
        <f>G121</f>
        <v>2384312</v>
      </c>
    </row>
    <row r="121" spans="1:7" ht="18" customHeight="1">
      <c r="A121" s="13"/>
      <c r="B121" s="382"/>
      <c r="C121" s="458" t="s">
        <v>398</v>
      </c>
      <c r="D121" s="246" t="s">
        <v>30</v>
      </c>
      <c r="E121" s="248">
        <v>14</v>
      </c>
      <c r="F121" s="856">
        <v>170308</v>
      </c>
      <c r="G121" s="190">
        <f>E121*F121</f>
        <v>2384312</v>
      </c>
    </row>
    <row r="122" spans="1:7" ht="27.75" customHeight="1">
      <c r="A122" s="13">
        <f>DTCT!A40</f>
        <v>3</v>
      </c>
      <c r="B122" s="382" t="str">
        <f>DTCT!B40</f>
        <v>QLD.10340</v>
      </c>
      <c r="C122" s="1032" t="str">
        <f>DTCT!C40</f>
        <v>Kiểm tra định kỳ, khẩn cấp, cập nhật số liệu cầu đường và tình hình bão lũ</v>
      </c>
      <c r="D122" s="382" t="str">
        <f>DTCT!D40</f>
        <v>1km/1lần</v>
      </c>
      <c r="E122" s="248"/>
      <c r="F122" s="856"/>
      <c r="G122" s="190"/>
    </row>
    <row r="123" spans="1:7" ht="18" customHeight="1">
      <c r="A123" s="13"/>
      <c r="B123" s="382"/>
      <c r="C123" s="1028" t="s">
        <v>48</v>
      </c>
      <c r="D123" s="246" t="s">
        <v>55</v>
      </c>
      <c r="E123" s="247"/>
      <c r="F123" s="856"/>
      <c r="G123" s="391">
        <f>G124</f>
        <v>445.67500000000001</v>
      </c>
    </row>
    <row r="124" spans="1:7" ht="18" customHeight="1">
      <c r="A124" s="13"/>
      <c r="B124" s="382"/>
      <c r="C124" s="384" t="s">
        <v>393</v>
      </c>
      <c r="D124" s="246" t="s">
        <v>32</v>
      </c>
      <c r="E124" s="248">
        <v>2.5000000000000001E-2</v>
      </c>
      <c r="F124" s="856">
        <f>F113</f>
        <v>17827</v>
      </c>
      <c r="G124" s="190">
        <f>E124*F124</f>
        <v>445.67500000000001</v>
      </c>
    </row>
    <row r="125" spans="1:7" ht="18" customHeight="1">
      <c r="A125" s="13"/>
      <c r="B125" s="382"/>
      <c r="C125" s="1028" t="s">
        <v>47</v>
      </c>
      <c r="D125" s="246" t="s">
        <v>55</v>
      </c>
      <c r="E125" s="248"/>
      <c r="F125" s="856"/>
      <c r="G125" s="391">
        <f>G126</f>
        <v>7439.1459999999997</v>
      </c>
    </row>
    <row r="126" spans="1:7" ht="18" customHeight="1">
      <c r="A126" s="13"/>
      <c r="B126" s="382"/>
      <c r="C126" s="458" t="s">
        <v>399</v>
      </c>
      <c r="D126" s="246" t="s">
        <v>30</v>
      </c>
      <c r="E126" s="248">
        <v>3.6999999999999998E-2</v>
      </c>
      <c r="F126" s="856">
        <v>201058</v>
      </c>
      <c r="G126" s="190">
        <f>E126*F126</f>
        <v>7439.1459999999997</v>
      </c>
    </row>
    <row r="127" spans="1:7" ht="18" customHeight="1">
      <c r="A127" s="13">
        <f>DTCT!A41</f>
        <v>4</v>
      </c>
      <c r="B127" s="382" t="str">
        <f>DTCT!B41</f>
        <v>QLD.10410</v>
      </c>
      <c r="C127" s="1032" t="str">
        <f>DTCT!C41</f>
        <v>Trực bão lũ</v>
      </c>
      <c r="D127" s="382" t="str">
        <f>DTCT!D41</f>
        <v>40km/năm</v>
      </c>
      <c r="E127" s="248"/>
      <c r="F127" s="856"/>
      <c r="G127" s="391"/>
    </row>
    <row r="128" spans="1:7" ht="18" customHeight="1">
      <c r="A128" s="13"/>
      <c r="B128" s="382"/>
      <c r="C128" s="1028" t="s">
        <v>47</v>
      </c>
      <c r="D128" s="246" t="s">
        <v>55</v>
      </c>
      <c r="E128" s="248"/>
      <c r="F128" s="856"/>
      <c r="G128" s="391">
        <f>G129</f>
        <v>30655360</v>
      </c>
    </row>
    <row r="129" spans="1:7" ht="18" customHeight="1">
      <c r="A129" s="13"/>
      <c r="B129" s="382"/>
      <c r="C129" s="458" t="s">
        <v>292</v>
      </c>
      <c r="D129" s="246" t="s">
        <v>30</v>
      </c>
      <c r="E129" s="248">
        <v>160</v>
      </c>
      <c r="F129" s="856">
        <v>191596</v>
      </c>
      <c r="G129" s="190">
        <f>E129*F129</f>
        <v>30655360</v>
      </c>
    </row>
    <row r="130" spans="1:7" ht="29.25" customHeight="1">
      <c r="A130" s="13">
        <f>DTCT!A42</f>
        <v>5</v>
      </c>
      <c r="B130" s="382" t="str">
        <f>DTCT!B42</f>
        <v>QLD.10610</v>
      </c>
      <c r="C130" s="1032" t="str">
        <f>DTCT!C42</f>
        <v>Quản lý hành lang an toàn đường bộ và đấu nối</v>
      </c>
      <c r="D130" s="382" t="str">
        <f>DTCT!D42</f>
        <v>1km/năm</v>
      </c>
      <c r="E130" s="248"/>
      <c r="F130" s="856"/>
      <c r="G130" s="190"/>
    </row>
    <row r="131" spans="1:7" ht="18" customHeight="1">
      <c r="A131" s="13"/>
      <c r="B131" s="382"/>
      <c r="C131" s="1028" t="s">
        <v>47</v>
      </c>
      <c r="D131" s="246" t="s">
        <v>55</v>
      </c>
      <c r="E131" s="248"/>
      <c r="F131" s="856"/>
      <c r="G131" s="391">
        <f>G132</f>
        <v>402116</v>
      </c>
    </row>
    <row r="132" spans="1:7" ht="18" customHeight="1">
      <c r="A132" s="13"/>
      <c r="B132" s="382"/>
      <c r="C132" s="458" t="s">
        <v>399</v>
      </c>
      <c r="D132" s="246" t="s">
        <v>30</v>
      </c>
      <c r="E132" s="248">
        <v>2</v>
      </c>
      <c r="F132" s="856">
        <f>F126</f>
        <v>201058</v>
      </c>
      <c r="G132" s="190">
        <f>E132*F132</f>
        <v>402116</v>
      </c>
    </row>
    <row r="133" spans="1:7" ht="18" customHeight="1">
      <c r="A133" s="13">
        <f>DTCT!A43</f>
        <v>6</v>
      </c>
      <c r="B133" s="382" t="str">
        <f>DTCT!B43</f>
        <v>BDD.20410</v>
      </c>
      <c r="C133" s="1032" t="str">
        <f>DTCT!C43</f>
        <v>Cắt cỏ bằng máy</v>
      </c>
      <c r="D133" s="382" t="str">
        <f>DTCT!D43</f>
        <v>1km/1lần</v>
      </c>
      <c r="E133" s="137"/>
      <c r="F133" s="856"/>
      <c r="G133" s="138"/>
    </row>
    <row r="134" spans="1:7" ht="18" customHeight="1">
      <c r="A134" s="13"/>
      <c r="B134" s="382"/>
      <c r="C134" s="1028" t="s">
        <v>48</v>
      </c>
      <c r="D134" s="246" t="s">
        <v>55</v>
      </c>
      <c r="E134" s="247"/>
      <c r="F134" s="856"/>
      <c r="G134" s="391">
        <f>G135</f>
        <v>8000</v>
      </c>
    </row>
    <row r="135" spans="1:7" ht="18" customHeight="1">
      <c r="A135" s="13"/>
      <c r="B135" s="382"/>
      <c r="C135" s="384" t="s">
        <v>400</v>
      </c>
      <c r="D135" s="246" t="s">
        <v>411</v>
      </c>
      <c r="E135" s="248">
        <v>0.2</v>
      </c>
      <c r="F135" s="856">
        <v>40000</v>
      </c>
      <c r="G135" s="190">
        <f>E135*F135</f>
        <v>8000</v>
      </c>
    </row>
    <row r="136" spans="1:7" ht="18" customHeight="1">
      <c r="A136" s="13"/>
      <c r="B136" s="382"/>
      <c r="C136" s="1028" t="s">
        <v>49</v>
      </c>
      <c r="D136" s="246" t="s">
        <v>55</v>
      </c>
      <c r="E136" s="247"/>
      <c r="F136" s="856"/>
      <c r="G136" s="391">
        <f>G137</f>
        <v>49341.599999999999</v>
      </c>
    </row>
    <row r="137" spans="1:7" ht="18" customHeight="1">
      <c r="A137" s="13"/>
      <c r="B137" s="382"/>
      <c r="C137" s="384" t="s">
        <v>1017</v>
      </c>
      <c r="D137" s="246" t="s">
        <v>291</v>
      </c>
      <c r="E137" s="248">
        <v>0.9</v>
      </c>
      <c r="F137" s="856">
        <v>54824</v>
      </c>
      <c r="G137" s="190">
        <f>E137*F137</f>
        <v>49341.599999999999</v>
      </c>
    </row>
    <row r="138" spans="1:7" ht="18" customHeight="1">
      <c r="A138" s="13">
        <f>DTCT!A44</f>
        <v>7</v>
      </c>
      <c r="B138" s="382" t="str">
        <f>DTCT!B44</f>
        <v>BDD.20510</v>
      </c>
      <c r="C138" s="1032" t="str">
        <f>DTCT!C44</f>
        <v>Phát quang cây cỏ bằng thủ công</v>
      </c>
      <c r="D138" s="382" t="str">
        <f>DTCT!D44</f>
        <v>1km/1lần</v>
      </c>
      <c r="E138" s="247"/>
      <c r="F138" s="856"/>
      <c r="G138" s="391"/>
    </row>
    <row r="139" spans="1:7" ht="18" customHeight="1">
      <c r="A139" s="13"/>
      <c r="B139" s="382"/>
      <c r="C139" s="1028" t="s">
        <v>47</v>
      </c>
      <c r="D139" s="246" t="s">
        <v>55</v>
      </c>
      <c r="E139" s="248"/>
      <c r="F139" s="856"/>
      <c r="G139" s="391">
        <f>G140</f>
        <v>899226.24</v>
      </c>
    </row>
    <row r="140" spans="1:7" ht="18" customHeight="1">
      <c r="A140" s="13"/>
      <c r="B140" s="382"/>
      <c r="C140" s="1029" t="s">
        <v>398</v>
      </c>
      <c r="D140" s="1025" t="s">
        <v>30</v>
      </c>
      <c r="E140" s="1026">
        <v>5.28</v>
      </c>
      <c r="F140" s="984">
        <f>F121</f>
        <v>170308</v>
      </c>
      <c r="G140" s="190">
        <f>E140*F140</f>
        <v>899226.24</v>
      </c>
    </row>
    <row r="141" spans="1:7" ht="18" customHeight="1">
      <c r="A141" s="13">
        <f>DTCT!A45</f>
        <v>8</v>
      </c>
      <c r="B141" s="382" t="str">
        <f>DTCT!B45</f>
        <v>BDD.22310</v>
      </c>
      <c r="C141" s="1032" t="str">
        <f>DTCT!C45</f>
        <v>Nắn sửa cọc tiêu, cọc MLG</v>
      </c>
      <c r="D141" s="382" t="str">
        <f>DTCT!D45</f>
        <v>1 cọc</v>
      </c>
      <c r="E141" s="247"/>
      <c r="F141" s="856"/>
      <c r="G141" s="374"/>
    </row>
    <row r="142" spans="1:7" ht="18" customHeight="1">
      <c r="A142" s="13"/>
      <c r="B142" s="382"/>
      <c r="C142" s="1028" t="s">
        <v>47</v>
      </c>
      <c r="D142" s="246" t="s">
        <v>55</v>
      </c>
      <c r="E142" s="248"/>
      <c r="F142" s="856"/>
      <c r="G142" s="391">
        <f>G143</f>
        <v>10218.48</v>
      </c>
    </row>
    <row r="143" spans="1:7" ht="18" customHeight="1">
      <c r="A143" s="13"/>
      <c r="B143" s="382"/>
      <c r="C143" s="458" t="s">
        <v>398</v>
      </c>
      <c r="D143" s="246" t="s">
        <v>30</v>
      </c>
      <c r="E143" s="248">
        <v>0.06</v>
      </c>
      <c r="F143" s="856">
        <f>F140</f>
        <v>170308</v>
      </c>
      <c r="G143" s="190">
        <f>E143*F143</f>
        <v>10218.48</v>
      </c>
    </row>
    <row r="144" spans="1:7" ht="18" customHeight="1">
      <c r="A144" s="13">
        <f>DTCT!A46</f>
        <v>9</v>
      </c>
      <c r="B144" s="382" t="str">
        <f>DTCT!B46</f>
        <v>BDD.22410</v>
      </c>
      <c r="C144" s="1032" t="str">
        <f>DTCT!C46</f>
        <v>Nắn sửa cột Km</v>
      </c>
      <c r="D144" s="382" t="str">
        <f>DTCT!D46</f>
        <v>1 cột</v>
      </c>
      <c r="E144" s="248"/>
      <c r="F144" s="856"/>
      <c r="G144" s="190"/>
    </row>
    <row r="145" spans="1:7" ht="18" customHeight="1">
      <c r="A145" s="13"/>
      <c r="B145" s="382"/>
      <c r="C145" s="1028" t="s">
        <v>47</v>
      </c>
      <c r="D145" s="246" t="s">
        <v>55</v>
      </c>
      <c r="E145" s="248"/>
      <c r="F145" s="856"/>
      <c r="G145" s="391">
        <f>G146</f>
        <v>20436.96</v>
      </c>
    </row>
    <row r="146" spans="1:7" ht="18" customHeight="1">
      <c r="A146" s="13"/>
      <c r="B146" s="382"/>
      <c r="C146" s="458" t="s">
        <v>398</v>
      </c>
      <c r="D146" s="246" t="s">
        <v>30</v>
      </c>
      <c r="E146" s="248">
        <v>0.12</v>
      </c>
      <c r="F146" s="856">
        <f>F143</f>
        <v>170308</v>
      </c>
      <c r="G146" s="190">
        <f>E146*F146</f>
        <v>20436.96</v>
      </c>
    </row>
    <row r="147" spans="1:7" ht="18" customHeight="1">
      <c r="A147" s="13">
        <f>DTCT!A47</f>
        <v>10</v>
      </c>
      <c r="B147" s="382" t="str">
        <f>DTCT!B47</f>
        <v>BDD.22510</v>
      </c>
      <c r="C147" s="1032" t="str">
        <f>DTCT!C47</f>
        <v>Nắn chỉnh, tu sửa biển báo</v>
      </c>
      <c r="D147" s="382" t="str">
        <f>DTCT!D47</f>
        <v>1 cột</v>
      </c>
      <c r="E147" s="248"/>
      <c r="F147" s="856"/>
      <c r="G147" s="391"/>
    </row>
    <row r="148" spans="1:7" ht="18" customHeight="1">
      <c r="A148" s="13"/>
      <c r="B148" s="382"/>
      <c r="C148" s="1028" t="s">
        <v>47</v>
      </c>
      <c r="D148" s="246" t="s">
        <v>55</v>
      </c>
      <c r="E148" s="248"/>
      <c r="F148" s="856"/>
      <c r="G148" s="391">
        <f>G149</f>
        <v>38319.300000000003</v>
      </c>
    </row>
    <row r="149" spans="1:7" ht="18" customHeight="1">
      <c r="A149" s="13"/>
      <c r="B149" s="382"/>
      <c r="C149" s="458" t="s">
        <v>398</v>
      </c>
      <c r="D149" s="246" t="s">
        <v>30</v>
      </c>
      <c r="E149" s="248">
        <v>0.22500000000000001</v>
      </c>
      <c r="F149" s="856">
        <f>F146</f>
        <v>170308</v>
      </c>
      <c r="G149" s="190">
        <f>E149*F149</f>
        <v>38319.300000000003</v>
      </c>
    </row>
    <row r="150" spans="1:7" ht="26.25" customHeight="1">
      <c r="A150" s="13">
        <f>DTCT!A48</f>
        <v>11</v>
      </c>
      <c r="B150" s="382" t="str">
        <f>DTCT!B48</f>
        <v>BDD.203210</v>
      </c>
      <c r="C150" s="1032" t="str">
        <f>DTCT!C48</f>
        <v>Bạt lề đường bằng máy</v>
      </c>
      <c r="D150" s="382" t="str">
        <f>DTCT!D48</f>
        <v>100md</v>
      </c>
      <c r="E150" s="248"/>
      <c r="F150" s="856"/>
      <c r="G150" s="190"/>
    </row>
    <row r="151" spans="1:7" ht="18" customHeight="1">
      <c r="A151" s="13"/>
      <c r="B151" s="382"/>
      <c r="C151" s="1028" t="s">
        <v>49</v>
      </c>
      <c r="D151" s="13"/>
      <c r="E151" s="248"/>
      <c r="F151" s="856"/>
      <c r="G151" s="393">
        <f>+G152</f>
        <v>3154.1489999999999</v>
      </c>
    </row>
    <row r="152" spans="1:7" ht="18" customHeight="1">
      <c r="A152" s="13"/>
      <c r="B152" s="382"/>
      <c r="C152" s="384" t="s">
        <v>504</v>
      </c>
      <c r="D152" s="13" t="s">
        <v>1018</v>
      </c>
      <c r="E152" s="248">
        <v>3.0000000000000001E-3</v>
      </c>
      <c r="F152" s="856">
        <v>1051383</v>
      </c>
      <c r="G152" s="190">
        <f>+E152*F152</f>
        <v>3154.1489999999999</v>
      </c>
    </row>
    <row r="153" spans="1:7" ht="18" customHeight="1">
      <c r="A153" s="13">
        <f>DTCT!A49</f>
        <v>12</v>
      </c>
      <c r="B153" s="382" t="str">
        <f>DTCT!B49</f>
        <v>BDD.21312</v>
      </c>
      <c r="C153" s="1032" t="str">
        <f>DTCT!C49</f>
        <v>Vệ sinh mặt đường bằng thủ công</v>
      </c>
      <c r="D153" s="382" t="str">
        <f>DTCT!D49</f>
        <v>lần/km</v>
      </c>
      <c r="E153" s="137"/>
      <c r="F153" s="856"/>
      <c r="G153" s="138"/>
    </row>
    <row r="154" spans="1:7" ht="18" customHeight="1">
      <c r="A154" s="13"/>
      <c r="B154" s="382"/>
      <c r="C154" s="1028" t="s">
        <v>48</v>
      </c>
      <c r="D154" s="246" t="s">
        <v>55</v>
      </c>
      <c r="E154" s="247"/>
      <c r="F154" s="856"/>
      <c r="G154" s="391">
        <f>G155</f>
        <v>2000</v>
      </c>
    </row>
    <row r="155" spans="1:7" ht="18" customHeight="1">
      <c r="A155" s="13"/>
      <c r="B155" s="382"/>
      <c r="C155" s="384" t="s">
        <v>401</v>
      </c>
      <c r="D155" s="246" t="s">
        <v>402</v>
      </c>
      <c r="E155" s="248">
        <v>0.1</v>
      </c>
      <c r="F155" s="856">
        <v>20000</v>
      </c>
      <c r="G155" s="266">
        <f>E155*F155</f>
        <v>2000</v>
      </c>
    </row>
    <row r="156" spans="1:7" ht="18" customHeight="1">
      <c r="A156" s="13"/>
      <c r="B156" s="382"/>
      <c r="C156" s="1028" t="s">
        <v>47</v>
      </c>
      <c r="D156" s="246" t="s">
        <v>55</v>
      </c>
      <c r="E156" s="248"/>
      <c r="F156" s="856"/>
      <c r="G156" s="391">
        <f>G157</f>
        <v>697788.75</v>
      </c>
    </row>
    <row r="157" spans="1:7" ht="18" customHeight="1">
      <c r="A157" s="13"/>
      <c r="B157" s="382"/>
      <c r="C157" s="458" t="s">
        <v>403</v>
      </c>
      <c r="D157" s="246" t="s">
        <v>30</v>
      </c>
      <c r="E157" s="248">
        <v>3.75</v>
      </c>
      <c r="F157" s="856">
        <v>186077</v>
      </c>
      <c r="G157" s="190">
        <f>E157*F157</f>
        <v>697788.75</v>
      </c>
    </row>
    <row r="158" spans="1:7" ht="18" customHeight="1">
      <c r="A158" s="13">
        <f>DTCT!A50</f>
        <v>13</v>
      </c>
      <c r="B158" s="382" t="str">
        <f>DTCT!B50</f>
        <v>BDD.22910</v>
      </c>
      <c r="C158" s="1032" t="str">
        <f>DTCT!C50</f>
        <v>Vệ sinh mặt biển phản quang</v>
      </c>
      <c r="D158" s="382" t="str">
        <f>DTCT!D50</f>
        <v>m2</v>
      </c>
      <c r="E158" s="247"/>
      <c r="F158" s="856"/>
      <c r="G158" s="391"/>
    </row>
    <row r="159" spans="1:7" ht="18" customHeight="1">
      <c r="A159" s="13"/>
      <c r="B159" s="382"/>
      <c r="C159" s="1028" t="s">
        <v>47</v>
      </c>
      <c r="D159" s="246" t="s">
        <v>55</v>
      </c>
      <c r="E159" s="248"/>
      <c r="F159" s="856"/>
      <c r="G159" s="391">
        <f>G160</f>
        <v>9579.8000000000011</v>
      </c>
    </row>
    <row r="160" spans="1:7" ht="18" customHeight="1">
      <c r="A160" s="13"/>
      <c r="B160" s="382"/>
      <c r="C160" s="458" t="s">
        <v>292</v>
      </c>
      <c r="D160" s="246" t="s">
        <v>30</v>
      </c>
      <c r="E160" s="248">
        <v>0.05</v>
      </c>
      <c r="F160" s="856">
        <f>F129</f>
        <v>191596</v>
      </c>
      <c r="G160" s="190">
        <f>E160*F160</f>
        <v>9579.8000000000011</v>
      </c>
    </row>
    <row r="161" spans="1:7" ht="32.25" customHeight="1">
      <c r="A161" s="13"/>
      <c r="B161" s="382"/>
      <c r="C161" s="1034" t="str">
        <f>DTCT!C51</f>
        <v>CÔNG TÁC BẢO DƯỠNG CẦU L &lt;= 300M</v>
      </c>
      <c r="D161" s="382"/>
      <c r="E161" s="248"/>
      <c r="F161" s="856"/>
      <c r="G161" s="190"/>
    </row>
    <row r="162" spans="1:7" ht="18" customHeight="1">
      <c r="A162" s="13">
        <f>DTCT!A52</f>
        <v>14</v>
      </c>
      <c r="B162" s="382" t="str">
        <f>DTCT!B52</f>
        <v>BDC.20610</v>
      </c>
      <c r="C162" s="1032" t="str">
        <f>DTCT!C52</f>
        <v>Vệ sinh mặt cầu, ống thoát nước</v>
      </c>
      <c r="D162" s="382" t="str">
        <f>DTCT!D52</f>
        <v>10m2</v>
      </c>
      <c r="E162" s="248"/>
      <c r="F162" s="856"/>
      <c r="G162" s="391"/>
    </row>
    <row r="163" spans="1:7" ht="18" customHeight="1">
      <c r="A163" s="13"/>
      <c r="B163" s="382"/>
      <c r="C163" s="1028" t="s">
        <v>48</v>
      </c>
      <c r="D163" s="246" t="s">
        <v>55</v>
      </c>
      <c r="E163" s="247"/>
      <c r="F163" s="856"/>
      <c r="G163" s="391">
        <f>G164</f>
        <v>2</v>
      </c>
    </row>
    <row r="164" spans="1:7" ht="18" customHeight="1">
      <c r="A164" s="13"/>
      <c r="B164" s="382"/>
      <c r="C164" s="384" t="s">
        <v>401</v>
      </c>
      <c r="D164" s="246" t="s">
        <v>402</v>
      </c>
      <c r="E164" s="248">
        <v>1E-4</v>
      </c>
      <c r="F164" s="856">
        <v>20000</v>
      </c>
      <c r="G164" s="266">
        <f>E164*F164</f>
        <v>2</v>
      </c>
    </row>
    <row r="165" spans="1:7" ht="18" customHeight="1">
      <c r="A165" s="13"/>
      <c r="B165" s="382"/>
      <c r="C165" s="1028" t="s">
        <v>47</v>
      </c>
      <c r="D165" s="246" t="s">
        <v>55</v>
      </c>
      <c r="E165" s="248"/>
      <c r="F165" s="856"/>
      <c r="G165" s="391">
        <f>G166</f>
        <v>8931.6959999999999</v>
      </c>
    </row>
    <row r="166" spans="1:7" ht="18" customHeight="1">
      <c r="A166" s="13"/>
      <c r="B166" s="382"/>
      <c r="C166" s="458" t="s">
        <v>403</v>
      </c>
      <c r="D166" s="246" t="s">
        <v>30</v>
      </c>
      <c r="E166" s="248">
        <v>4.8000000000000001E-2</v>
      </c>
      <c r="F166" s="856">
        <f>F157</f>
        <v>186077</v>
      </c>
      <c r="G166" s="190">
        <f>E166*F166</f>
        <v>8931.6959999999999</v>
      </c>
    </row>
    <row r="167" spans="1:7" ht="18" customHeight="1">
      <c r="A167" s="13">
        <f>DTCT!A53</f>
        <v>15</v>
      </c>
      <c r="B167" s="382" t="str">
        <f>DTCT!B53</f>
        <v>BDC.20910</v>
      </c>
      <c r="C167" s="1032" t="str">
        <f>DTCT!C53</f>
        <v>Vệ sinh khe co dãn cao su</v>
      </c>
      <c r="D167" s="382" t="str">
        <f>DTCT!D53</f>
        <v>1md</v>
      </c>
      <c r="E167" s="248"/>
      <c r="F167" s="856"/>
      <c r="G167" s="190"/>
    </row>
    <row r="168" spans="1:7" ht="18" customHeight="1">
      <c r="A168" s="13"/>
      <c r="B168" s="382"/>
      <c r="C168" s="1028" t="s">
        <v>47</v>
      </c>
      <c r="D168" s="246" t="s">
        <v>55</v>
      </c>
      <c r="E168" s="248"/>
      <c r="F168" s="856"/>
      <c r="G168" s="391">
        <f>G169</f>
        <v>11580.944000000001</v>
      </c>
    </row>
    <row r="169" spans="1:7" ht="18" customHeight="1">
      <c r="A169" s="13"/>
      <c r="B169" s="382"/>
      <c r="C169" s="458" t="s">
        <v>398</v>
      </c>
      <c r="D169" s="246" t="s">
        <v>30</v>
      </c>
      <c r="E169" s="248">
        <v>6.8000000000000005E-2</v>
      </c>
      <c r="F169" s="856">
        <f>F149</f>
        <v>170308</v>
      </c>
      <c r="G169" s="190">
        <f>E169*F169</f>
        <v>11580.944000000001</v>
      </c>
    </row>
    <row r="170" spans="1:7" ht="18" customHeight="1">
      <c r="A170" s="13">
        <f>DTCT!A54</f>
        <v>16</v>
      </c>
      <c r="B170" s="382" t="str">
        <f>DTCT!B54</f>
        <v>BDC.21010</v>
      </c>
      <c r="C170" s="1032" t="str">
        <f>DTCT!C54</f>
        <v>Vệ sinh mố cầu</v>
      </c>
      <c r="D170" s="382" t="str">
        <f>DTCT!D54</f>
        <v>m2</v>
      </c>
      <c r="E170" s="137"/>
      <c r="F170" s="856"/>
      <c r="G170" s="138"/>
    </row>
    <row r="171" spans="1:7" ht="18" customHeight="1">
      <c r="A171" s="13"/>
      <c r="B171" s="382"/>
      <c r="C171" s="1028" t="s">
        <v>47</v>
      </c>
      <c r="D171" s="246" t="s">
        <v>55</v>
      </c>
      <c r="E171" s="248"/>
      <c r="F171" s="856"/>
      <c r="G171" s="391">
        <f>G172</f>
        <v>86218.2</v>
      </c>
    </row>
    <row r="172" spans="1:7" ht="18" customHeight="1">
      <c r="A172" s="13"/>
      <c r="B172" s="382"/>
      <c r="C172" s="458" t="s">
        <v>292</v>
      </c>
      <c r="D172" s="246" t="s">
        <v>30</v>
      </c>
      <c r="E172" s="248">
        <v>0.45</v>
      </c>
      <c r="F172" s="856">
        <f>F160</f>
        <v>191596</v>
      </c>
      <c r="G172" s="190">
        <f>E172*F172</f>
        <v>86218.2</v>
      </c>
    </row>
    <row r="173" spans="1:7" ht="18" customHeight="1">
      <c r="A173" s="13">
        <f>DTCT!A55</f>
        <v>17</v>
      </c>
      <c r="B173" s="382" t="str">
        <f>DTCT!B55</f>
        <v>BDC.21710</v>
      </c>
      <c r="C173" s="1032" t="str">
        <f>DTCT!C55</f>
        <v>Phát quang cây dại</v>
      </c>
      <c r="D173" s="382" t="str">
        <f>DTCT!D55</f>
        <v>100m2</v>
      </c>
      <c r="E173" s="248"/>
      <c r="F173" s="856"/>
      <c r="G173" s="391"/>
    </row>
    <row r="174" spans="1:7" ht="18" customHeight="1">
      <c r="A174" s="13"/>
      <c r="B174" s="382"/>
      <c r="C174" s="1028" t="s">
        <v>47</v>
      </c>
      <c r="D174" s="246" t="s">
        <v>55</v>
      </c>
      <c r="E174" s="248"/>
      <c r="F174" s="856"/>
      <c r="G174" s="391">
        <f>G175</f>
        <v>729940.08799999987</v>
      </c>
    </row>
    <row r="175" spans="1:7" ht="18" customHeight="1">
      <c r="A175" s="13"/>
      <c r="B175" s="382"/>
      <c r="C175" s="458" t="s">
        <v>398</v>
      </c>
      <c r="D175" s="246" t="s">
        <v>30</v>
      </c>
      <c r="E175" s="248">
        <v>4.2859999999999996</v>
      </c>
      <c r="F175" s="856">
        <f>F169</f>
        <v>170308</v>
      </c>
      <c r="G175" s="190">
        <f>E175*F175</f>
        <v>729940.08799999987</v>
      </c>
    </row>
    <row r="176" spans="1:7" ht="32.25" customHeight="1">
      <c r="A176" s="13"/>
      <c r="B176" s="382"/>
      <c r="C176" s="1034" t="str">
        <f>DTCT!C56</f>
        <v>CÔNG TÁC QUẢN LÝ CẦU CẦU L &lt;= 300M</v>
      </c>
      <c r="D176" s="382"/>
      <c r="E176" s="248"/>
      <c r="F176" s="856"/>
      <c r="G176" s="190"/>
    </row>
    <row r="177" spans="1:7" ht="18" customHeight="1">
      <c r="A177" s="13"/>
      <c r="B177" s="382"/>
      <c r="C177" s="1034" t="str">
        <f>DTCT!C57</f>
        <v>Cầu &lt; 50m</v>
      </c>
      <c r="D177" s="382"/>
      <c r="E177" s="137"/>
      <c r="F177" s="856"/>
      <c r="G177" s="138"/>
    </row>
    <row r="178" spans="1:7" ht="18" customHeight="1">
      <c r="A178" s="13">
        <f>DTCT!A58</f>
        <v>18</v>
      </c>
      <c r="B178" s="382" t="str">
        <f>DTCT!B58</f>
        <v>QLC.10140</v>
      </c>
      <c r="C178" s="1032" t="str">
        <f>DTCT!C58</f>
        <v>Kiểm tra cầu</v>
      </c>
      <c r="D178" s="382" t="str">
        <f>DTCT!D58</f>
        <v>cầu/năm</v>
      </c>
      <c r="E178" s="248"/>
      <c r="F178" s="856"/>
      <c r="G178" s="391"/>
    </row>
    <row r="179" spans="1:7" ht="18" customHeight="1">
      <c r="A179" s="13"/>
      <c r="B179" s="382"/>
      <c r="C179" s="1028" t="s">
        <v>48</v>
      </c>
      <c r="D179" s="246" t="s">
        <v>55</v>
      </c>
      <c r="E179" s="247"/>
      <c r="F179" s="856"/>
      <c r="G179" s="391">
        <f>SUM(G180:G181)</f>
        <v>39000</v>
      </c>
    </row>
    <row r="180" spans="1:7" ht="18" customHeight="1">
      <c r="A180" s="13"/>
      <c r="B180" s="382"/>
      <c r="C180" s="384" t="s">
        <v>404</v>
      </c>
      <c r="D180" s="246" t="s">
        <v>405</v>
      </c>
      <c r="E180" s="248">
        <v>1</v>
      </c>
      <c r="F180" s="856">
        <v>3000</v>
      </c>
      <c r="G180" s="190">
        <f>E180*F180</f>
        <v>3000</v>
      </c>
    </row>
    <row r="181" spans="1:7" ht="18" customHeight="1">
      <c r="A181" s="13"/>
      <c r="B181" s="382"/>
      <c r="C181" s="384" t="s">
        <v>406</v>
      </c>
      <c r="D181" s="246" t="s">
        <v>17</v>
      </c>
      <c r="E181" s="248">
        <v>12</v>
      </c>
      <c r="F181" s="856">
        <v>3000</v>
      </c>
      <c r="G181" s="190">
        <f>E181*F181</f>
        <v>36000</v>
      </c>
    </row>
    <row r="182" spans="1:7" ht="18" customHeight="1">
      <c r="A182" s="13"/>
      <c r="B182" s="382"/>
      <c r="C182" s="1028" t="s">
        <v>47</v>
      </c>
      <c r="D182" s="246" t="s">
        <v>55</v>
      </c>
      <c r="E182" s="248"/>
      <c r="F182" s="856"/>
      <c r="G182" s="391">
        <f>G183</f>
        <v>804232</v>
      </c>
    </row>
    <row r="183" spans="1:7" ht="18" customHeight="1">
      <c r="A183" s="13"/>
      <c r="B183" s="382"/>
      <c r="C183" s="458" t="s">
        <v>399</v>
      </c>
      <c r="D183" s="246" t="s">
        <v>30</v>
      </c>
      <c r="E183" s="248">
        <v>4</v>
      </c>
      <c r="F183" s="856">
        <f>F126</f>
        <v>201058</v>
      </c>
      <c r="G183" s="190">
        <f>E183*F183</f>
        <v>804232</v>
      </c>
    </row>
    <row r="184" spans="1:7" ht="18" customHeight="1">
      <c r="A184" s="13">
        <f>DTCT!A59</f>
        <v>19</v>
      </c>
      <c r="B184" s="382" t="str">
        <f>DTCT!B59</f>
        <v>QLC.10340</v>
      </c>
      <c r="C184" s="1032" t="str">
        <f>DTCT!C59</f>
        <v>Kiểm tra trước và sau mùa mưa bão</v>
      </c>
      <c r="D184" s="382" t="str">
        <f>DTCT!D59</f>
        <v>cầu/năm</v>
      </c>
      <c r="E184" s="248"/>
      <c r="F184" s="856"/>
      <c r="G184" s="190"/>
    </row>
    <row r="185" spans="1:7" ht="18" customHeight="1">
      <c r="A185" s="13"/>
      <c r="B185" s="382"/>
      <c r="C185" s="1028" t="s">
        <v>48</v>
      </c>
      <c r="D185" s="246" t="s">
        <v>55</v>
      </c>
      <c r="E185" s="247"/>
      <c r="F185" s="856"/>
      <c r="G185" s="391">
        <f>SUM(G186:G187)</f>
        <v>6501</v>
      </c>
    </row>
    <row r="186" spans="1:7" ht="18" customHeight="1">
      <c r="A186" s="13"/>
      <c r="B186" s="382"/>
      <c r="C186" s="384" t="s">
        <v>404</v>
      </c>
      <c r="D186" s="246" t="s">
        <v>405</v>
      </c>
      <c r="E186" s="248">
        <v>0.16700000000000001</v>
      </c>
      <c r="F186" s="856">
        <v>3000</v>
      </c>
      <c r="G186" s="190">
        <f>E186*F186</f>
        <v>501.00000000000006</v>
      </c>
    </row>
    <row r="187" spans="1:7" ht="18" customHeight="1">
      <c r="A187" s="13"/>
      <c r="B187" s="382"/>
      <c r="C187" s="384" t="s">
        <v>406</v>
      </c>
      <c r="D187" s="246" t="s">
        <v>17</v>
      </c>
      <c r="E187" s="248">
        <v>2</v>
      </c>
      <c r="F187" s="856">
        <v>3000</v>
      </c>
      <c r="G187" s="190">
        <f>E187*F187</f>
        <v>6000</v>
      </c>
    </row>
    <row r="188" spans="1:7" ht="18" customHeight="1">
      <c r="A188" s="13"/>
      <c r="B188" s="382"/>
      <c r="C188" s="1028" t="s">
        <v>47</v>
      </c>
      <c r="D188" s="246" t="s">
        <v>55</v>
      </c>
      <c r="E188" s="248"/>
      <c r="F188" s="856"/>
      <c r="G188" s="391">
        <f>G189</f>
        <v>201058</v>
      </c>
    </row>
    <row r="189" spans="1:7" ht="18" customHeight="1">
      <c r="A189" s="13"/>
      <c r="B189" s="382"/>
      <c r="C189" s="458" t="s">
        <v>399</v>
      </c>
      <c r="D189" s="246" t="s">
        <v>30</v>
      </c>
      <c r="E189" s="248">
        <v>1</v>
      </c>
      <c r="F189" s="856">
        <f>F183</f>
        <v>201058</v>
      </c>
      <c r="G189" s="190">
        <f>E189*F189</f>
        <v>201058</v>
      </c>
    </row>
    <row r="190" spans="1:7" ht="18" customHeight="1">
      <c r="A190" s="13">
        <f>DTCT!A60</f>
        <v>20</v>
      </c>
      <c r="B190" s="382" t="str">
        <f>DTCT!B60</f>
        <v>QLC.10440</v>
      </c>
      <c r="C190" s="1032" t="str">
        <f>DTCT!C60</f>
        <v>Quản lý hồ sơ trên vi tính</v>
      </c>
      <c r="D190" s="382" t="str">
        <f>DTCT!D60</f>
        <v>cầu/năm</v>
      </c>
      <c r="E190" s="137"/>
      <c r="F190" s="856"/>
      <c r="G190" s="138"/>
    </row>
    <row r="191" spans="1:7" ht="18" customHeight="1">
      <c r="A191" s="13"/>
      <c r="B191" s="382"/>
      <c r="C191" s="1028" t="s">
        <v>47</v>
      </c>
      <c r="D191" s="246" t="s">
        <v>55</v>
      </c>
      <c r="E191" s="248"/>
      <c r="F191" s="856"/>
      <c r="G191" s="391">
        <f>G192</f>
        <v>237327</v>
      </c>
    </row>
    <row r="192" spans="1:7" ht="18" customHeight="1">
      <c r="A192" s="13"/>
      <c r="B192" s="382"/>
      <c r="C192" s="458" t="s">
        <v>394</v>
      </c>
      <c r="D192" s="246" t="s">
        <v>30</v>
      </c>
      <c r="E192" s="248">
        <v>1</v>
      </c>
      <c r="F192" s="856">
        <f>F115</f>
        <v>237327</v>
      </c>
      <c r="G192" s="190">
        <f>E192*F192</f>
        <v>237327</v>
      </c>
    </row>
    <row r="193" spans="1:7" ht="18" customHeight="1">
      <c r="A193" s="13"/>
      <c r="B193" s="382"/>
      <c r="C193" s="1036" t="str">
        <f>DTCT!C61</f>
        <v>Cầu 50m - 100m</v>
      </c>
      <c r="D193" s="1037"/>
      <c r="E193" s="1038"/>
      <c r="F193" s="859"/>
      <c r="G193" s="1035"/>
    </row>
    <row r="194" spans="1:7" ht="18" customHeight="1">
      <c r="A194" s="13">
        <f>DTCT!A62</f>
        <v>21</v>
      </c>
      <c r="B194" s="382" t="str">
        <f>DTCT!B62</f>
        <v>QLC.10130</v>
      </c>
      <c r="C194" s="1032" t="str">
        <f>DTCT!C62</f>
        <v>Kiểm tra cầu</v>
      </c>
      <c r="D194" s="382" t="str">
        <f>DTCT!D62</f>
        <v>cầu/năm</v>
      </c>
      <c r="E194" s="248"/>
      <c r="F194" s="856"/>
      <c r="G194" s="190"/>
    </row>
    <row r="195" spans="1:7" ht="18" customHeight="1">
      <c r="A195" s="13"/>
      <c r="B195" s="382"/>
      <c r="C195" s="1028" t="s">
        <v>48</v>
      </c>
      <c r="D195" s="246" t="s">
        <v>55</v>
      </c>
      <c r="E195" s="247"/>
      <c r="F195" s="856"/>
      <c r="G195" s="391">
        <f>SUM(G196:G197)</f>
        <v>45000</v>
      </c>
    </row>
    <row r="196" spans="1:7" ht="18" customHeight="1">
      <c r="A196" s="13"/>
      <c r="B196" s="382"/>
      <c r="C196" s="384" t="s">
        <v>404</v>
      </c>
      <c r="D196" s="246" t="s">
        <v>405</v>
      </c>
      <c r="E196" s="248">
        <v>3</v>
      </c>
      <c r="F196" s="856">
        <v>3000</v>
      </c>
      <c r="G196" s="190">
        <f>E196*F196</f>
        <v>9000</v>
      </c>
    </row>
    <row r="197" spans="1:7" ht="18" customHeight="1">
      <c r="A197" s="13"/>
      <c r="B197" s="382"/>
      <c r="C197" s="384" t="s">
        <v>406</v>
      </c>
      <c r="D197" s="246" t="s">
        <v>17</v>
      </c>
      <c r="E197" s="248">
        <v>12</v>
      </c>
      <c r="F197" s="856">
        <v>3000</v>
      </c>
      <c r="G197" s="190">
        <f>E197*F197</f>
        <v>36000</v>
      </c>
    </row>
    <row r="198" spans="1:7" ht="18" customHeight="1">
      <c r="A198" s="13"/>
      <c r="B198" s="382"/>
      <c r="C198" s="1028" t="s">
        <v>47</v>
      </c>
      <c r="D198" s="246" t="s">
        <v>55</v>
      </c>
      <c r="E198" s="248"/>
      <c r="F198" s="856"/>
      <c r="G198" s="391">
        <f>G199</f>
        <v>2412696</v>
      </c>
    </row>
    <row r="199" spans="1:7" ht="18" customHeight="1">
      <c r="A199" s="13"/>
      <c r="B199" s="382"/>
      <c r="C199" s="458" t="s">
        <v>399</v>
      </c>
      <c r="D199" s="246" t="s">
        <v>30</v>
      </c>
      <c r="E199" s="248">
        <v>12</v>
      </c>
      <c r="F199" s="856">
        <f>F189</f>
        <v>201058</v>
      </c>
      <c r="G199" s="190">
        <f>E199*F199</f>
        <v>2412696</v>
      </c>
    </row>
    <row r="200" spans="1:7" ht="18" customHeight="1">
      <c r="A200" s="13">
        <f>DTCT!A63</f>
        <v>22</v>
      </c>
      <c r="B200" s="382" t="str">
        <f>DTCT!B63</f>
        <v>QLC.10330</v>
      </c>
      <c r="C200" s="1032" t="str">
        <f>DTCT!C63</f>
        <v>Kiểm tra trước và sau mùa mưa bão</v>
      </c>
      <c r="D200" s="382" t="str">
        <f>DTCT!D63</f>
        <v>cầu/năm</v>
      </c>
      <c r="E200" s="247"/>
      <c r="F200" s="856"/>
      <c r="G200" s="391"/>
    </row>
    <row r="201" spans="1:7" ht="18" customHeight="1">
      <c r="A201" s="13"/>
      <c r="B201" s="382"/>
      <c r="C201" s="1028" t="s">
        <v>48</v>
      </c>
      <c r="D201" s="246" t="s">
        <v>55</v>
      </c>
      <c r="E201" s="247"/>
      <c r="F201" s="856"/>
      <c r="G201" s="391">
        <f>G202+G203</f>
        <v>7500</v>
      </c>
    </row>
    <row r="202" spans="1:7" ht="18" customHeight="1">
      <c r="A202" s="13"/>
      <c r="B202" s="382"/>
      <c r="C202" s="384" t="s">
        <v>404</v>
      </c>
      <c r="D202" s="246" t="s">
        <v>405</v>
      </c>
      <c r="E202" s="248">
        <v>0.5</v>
      </c>
      <c r="F202" s="856">
        <v>3000</v>
      </c>
      <c r="G202" s="190">
        <f>E202*F202</f>
        <v>1500</v>
      </c>
    </row>
    <row r="203" spans="1:7" ht="18" customHeight="1">
      <c r="A203" s="13"/>
      <c r="B203" s="382"/>
      <c r="C203" s="384" t="s">
        <v>406</v>
      </c>
      <c r="D203" s="246" t="s">
        <v>17</v>
      </c>
      <c r="E203" s="248">
        <v>2</v>
      </c>
      <c r="F203" s="856">
        <v>3000</v>
      </c>
      <c r="G203" s="190">
        <f>E203*F203</f>
        <v>6000</v>
      </c>
    </row>
    <row r="204" spans="1:7" ht="18" customHeight="1">
      <c r="A204" s="13"/>
      <c r="B204" s="382"/>
      <c r="C204" s="1028" t="s">
        <v>47</v>
      </c>
      <c r="D204" s="246" t="s">
        <v>55</v>
      </c>
      <c r="E204" s="248"/>
      <c r="F204" s="856"/>
      <c r="G204" s="391">
        <f>G205</f>
        <v>402116</v>
      </c>
    </row>
    <row r="205" spans="1:7" ht="18" customHeight="1">
      <c r="A205" s="13"/>
      <c r="B205" s="382"/>
      <c r="C205" s="458" t="s">
        <v>399</v>
      </c>
      <c r="D205" s="246" t="s">
        <v>30</v>
      </c>
      <c r="E205" s="248">
        <v>2</v>
      </c>
      <c r="F205" s="856">
        <f>F199</f>
        <v>201058</v>
      </c>
      <c r="G205" s="190">
        <f>E205*F205</f>
        <v>402116</v>
      </c>
    </row>
    <row r="206" spans="1:7" ht="18" customHeight="1">
      <c r="A206" s="13"/>
      <c r="B206" s="382"/>
      <c r="C206" s="1028" t="s">
        <v>49</v>
      </c>
      <c r="D206" s="246" t="s">
        <v>55</v>
      </c>
      <c r="E206" s="247"/>
      <c r="F206" s="856"/>
      <c r="G206" s="391">
        <f>G207</f>
        <v>378931</v>
      </c>
    </row>
    <row r="207" spans="1:7" ht="18" customHeight="1">
      <c r="A207" s="13"/>
      <c r="B207" s="382"/>
      <c r="C207" s="384" t="s">
        <v>407</v>
      </c>
      <c r="D207" s="246" t="s">
        <v>291</v>
      </c>
      <c r="E207" s="248">
        <v>1</v>
      </c>
      <c r="F207" s="856">
        <v>378931</v>
      </c>
      <c r="G207" s="190">
        <f>E207*F207</f>
        <v>378931</v>
      </c>
    </row>
    <row r="208" spans="1:7" ht="18" customHeight="1">
      <c r="A208" s="13">
        <f>DTCT!A64</f>
        <v>23</v>
      </c>
      <c r="B208" s="382" t="str">
        <f>DTCT!B64</f>
        <v>QLC.10430</v>
      </c>
      <c r="C208" s="1032" t="str">
        <f>DTCT!C64</f>
        <v>Quản lý hồ sơ trên vi tính</v>
      </c>
      <c r="D208" s="382" t="str">
        <f>DTCT!D64</f>
        <v>cầu/năm</v>
      </c>
      <c r="E208" s="248"/>
      <c r="F208" s="856"/>
      <c r="G208" s="190"/>
    </row>
    <row r="209" spans="1:7" ht="18" customHeight="1">
      <c r="A209" s="13"/>
      <c r="B209" s="13"/>
      <c r="C209" s="1028" t="s">
        <v>47</v>
      </c>
      <c r="D209" s="246" t="s">
        <v>55</v>
      </c>
      <c r="E209" s="248"/>
      <c r="F209" s="856"/>
      <c r="G209" s="391">
        <f>G210</f>
        <v>237327</v>
      </c>
    </row>
    <row r="210" spans="1:7" ht="18" customHeight="1">
      <c r="A210" s="13"/>
      <c r="B210" s="13"/>
      <c r="C210" s="458" t="s">
        <v>394</v>
      </c>
      <c r="D210" s="246" t="s">
        <v>30</v>
      </c>
      <c r="E210" s="248">
        <v>1</v>
      </c>
      <c r="F210" s="856">
        <f>F192</f>
        <v>237327</v>
      </c>
      <c r="G210" s="190">
        <f>E210*F210</f>
        <v>237327</v>
      </c>
    </row>
    <row r="211" spans="1:7" ht="18" customHeight="1">
      <c r="A211" s="13"/>
      <c r="B211" s="13"/>
      <c r="C211" s="1036" t="str">
        <f>DTCT!C65</f>
        <v>Cầu 100m - 200m</v>
      </c>
      <c r="D211" s="246"/>
      <c r="E211" s="248"/>
      <c r="F211" s="856"/>
      <c r="G211" s="190"/>
    </row>
    <row r="212" spans="1:7" ht="18" customHeight="1">
      <c r="A212" s="13">
        <f>DTCT!A66</f>
        <v>24</v>
      </c>
      <c r="B212" s="13" t="str">
        <f>DTCT!B66</f>
        <v>QLC.10120</v>
      </c>
      <c r="C212" s="289" t="str">
        <f>DTCT!C66</f>
        <v>Kiểm tra cầu</v>
      </c>
      <c r="D212" s="13" t="str">
        <f>DTCT!D66</f>
        <v>cầu/năm</v>
      </c>
      <c r="E212" s="137"/>
      <c r="F212" s="856"/>
      <c r="G212" s="138"/>
    </row>
    <row r="213" spans="1:7" ht="18" customHeight="1">
      <c r="A213" s="13"/>
      <c r="B213" s="13"/>
      <c r="C213" s="1028" t="s">
        <v>48</v>
      </c>
      <c r="D213" s="246" t="s">
        <v>55</v>
      </c>
      <c r="E213" s="247"/>
      <c r="F213" s="856"/>
      <c r="G213" s="391">
        <f>G214+G215</f>
        <v>51000</v>
      </c>
    </row>
    <row r="214" spans="1:7" ht="18" customHeight="1">
      <c r="A214" s="13"/>
      <c r="B214" s="13"/>
      <c r="C214" s="384" t="s">
        <v>404</v>
      </c>
      <c r="D214" s="246" t="s">
        <v>405</v>
      </c>
      <c r="E214" s="248">
        <v>5</v>
      </c>
      <c r="F214" s="856">
        <v>3000</v>
      </c>
      <c r="G214" s="190">
        <f>E214*F214</f>
        <v>15000</v>
      </c>
    </row>
    <row r="215" spans="1:7" ht="18" customHeight="1">
      <c r="A215" s="13"/>
      <c r="B215" s="13"/>
      <c r="C215" s="384" t="s">
        <v>406</v>
      </c>
      <c r="D215" s="246" t="s">
        <v>17</v>
      </c>
      <c r="E215" s="248">
        <v>12</v>
      </c>
      <c r="F215" s="856">
        <v>3000</v>
      </c>
      <c r="G215" s="190">
        <f>E215*F215</f>
        <v>36000</v>
      </c>
    </row>
    <row r="216" spans="1:7" ht="18" customHeight="1">
      <c r="A216" s="13"/>
      <c r="B216" s="13"/>
      <c r="C216" s="1028" t="s">
        <v>47</v>
      </c>
      <c r="D216" s="246" t="s">
        <v>55</v>
      </c>
      <c r="E216" s="248"/>
      <c r="F216" s="856"/>
      <c r="G216" s="391">
        <f>G217</f>
        <v>7238088</v>
      </c>
    </row>
    <row r="217" spans="1:7" ht="18" customHeight="1">
      <c r="A217" s="13"/>
      <c r="B217" s="13"/>
      <c r="C217" s="458" t="s">
        <v>399</v>
      </c>
      <c r="D217" s="246" t="s">
        <v>30</v>
      </c>
      <c r="E217" s="248">
        <v>36</v>
      </c>
      <c r="F217" s="856">
        <f>F199</f>
        <v>201058</v>
      </c>
      <c r="G217" s="190">
        <f>E217*F217</f>
        <v>7238088</v>
      </c>
    </row>
    <row r="218" spans="1:7" ht="18" customHeight="1">
      <c r="A218" s="13">
        <f>DTCT!A67</f>
        <v>25</v>
      </c>
      <c r="B218" s="13" t="str">
        <f>DTCT!B67</f>
        <v>QLC.10320</v>
      </c>
      <c r="C218" s="289" t="str">
        <f>DTCT!C67</f>
        <v>Kiểm tra trước và sau mùa mưa bão</v>
      </c>
      <c r="D218" s="13" t="str">
        <f>DTCT!D67</f>
        <v>cầu/năm</v>
      </c>
      <c r="E218" s="137"/>
      <c r="F218" s="856"/>
      <c r="G218" s="138"/>
    </row>
    <row r="219" spans="1:7" ht="18" customHeight="1">
      <c r="A219" s="13"/>
      <c r="B219" s="13"/>
      <c r="C219" s="1028" t="s">
        <v>48</v>
      </c>
      <c r="D219" s="246" t="s">
        <v>55</v>
      </c>
      <c r="E219" s="247"/>
      <c r="F219" s="856"/>
      <c r="G219" s="391">
        <f>G220+G221</f>
        <v>8499</v>
      </c>
    </row>
    <row r="220" spans="1:7" ht="18" customHeight="1">
      <c r="A220" s="13"/>
      <c r="B220" s="13"/>
      <c r="C220" s="384" t="s">
        <v>404</v>
      </c>
      <c r="D220" s="246" t="s">
        <v>405</v>
      </c>
      <c r="E220" s="248">
        <v>0.83299999999999996</v>
      </c>
      <c r="F220" s="856">
        <v>3000</v>
      </c>
      <c r="G220" s="190">
        <f>E220*F220</f>
        <v>2499</v>
      </c>
    </row>
    <row r="221" spans="1:7" ht="18" customHeight="1">
      <c r="A221" s="13"/>
      <c r="B221" s="13"/>
      <c r="C221" s="384" t="s">
        <v>406</v>
      </c>
      <c r="D221" s="246" t="s">
        <v>17</v>
      </c>
      <c r="E221" s="248">
        <v>2</v>
      </c>
      <c r="F221" s="856">
        <v>3000</v>
      </c>
      <c r="G221" s="190">
        <f>E221*F221</f>
        <v>6000</v>
      </c>
    </row>
    <row r="222" spans="1:7" ht="18" customHeight="1">
      <c r="A222" s="13"/>
      <c r="B222" s="13"/>
      <c r="C222" s="1028" t="s">
        <v>47</v>
      </c>
      <c r="D222" s="246" t="s">
        <v>55</v>
      </c>
      <c r="E222" s="248"/>
      <c r="F222" s="856"/>
      <c r="G222" s="391">
        <f>G223</f>
        <v>804232</v>
      </c>
    </row>
    <row r="223" spans="1:7" ht="18" customHeight="1">
      <c r="A223" s="13"/>
      <c r="B223" s="13"/>
      <c r="C223" s="458" t="s">
        <v>399</v>
      </c>
      <c r="D223" s="246" t="s">
        <v>30</v>
      </c>
      <c r="E223" s="248">
        <v>4</v>
      </c>
      <c r="F223" s="856">
        <f>F217</f>
        <v>201058</v>
      </c>
      <c r="G223" s="190">
        <f>E223*F223</f>
        <v>804232</v>
      </c>
    </row>
    <row r="224" spans="1:7" ht="18" customHeight="1">
      <c r="A224" s="13"/>
      <c r="B224" s="13"/>
      <c r="C224" s="1028" t="s">
        <v>49</v>
      </c>
      <c r="D224" s="246" t="s">
        <v>55</v>
      </c>
      <c r="E224" s="247"/>
      <c r="F224" s="856"/>
      <c r="G224" s="391">
        <f>G225</f>
        <v>2107028</v>
      </c>
    </row>
    <row r="225" spans="1:7" s="1140" customFormat="1" ht="18" customHeight="1">
      <c r="A225" s="1135"/>
      <c r="B225" s="1135"/>
      <c r="C225" s="1136" t="s">
        <v>407</v>
      </c>
      <c r="D225" s="1137" t="s">
        <v>291</v>
      </c>
      <c r="E225" s="1138">
        <v>2</v>
      </c>
      <c r="F225" s="1141">
        <v>1053514</v>
      </c>
      <c r="G225" s="1139">
        <f>E225*F225</f>
        <v>2107028</v>
      </c>
    </row>
    <row r="226" spans="1:7" ht="18" customHeight="1">
      <c r="A226" s="13">
        <f>DTCT!A68</f>
        <v>26</v>
      </c>
      <c r="B226" s="13" t="str">
        <f>DTCT!B68</f>
        <v>QLC.10420</v>
      </c>
      <c r="C226" s="289" t="str">
        <f>DTCT!C68</f>
        <v>Quản lý hồ sơ trên vi tính</v>
      </c>
      <c r="D226" s="13" t="str">
        <f>DTCT!D68</f>
        <v>cầu/năm</v>
      </c>
      <c r="E226" s="137"/>
      <c r="F226" s="856"/>
      <c r="G226" s="138"/>
    </row>
    <row r="227" spans="1:7" ht="18" customHeight="1">
      <c r="A227" s="13"/>
      <c r="B227" s="13"/>
      <c r="C227" s="1028" t="s">
        <v>47</v>
      </c>
      <c r="D227" s="246" t="s">
        <v>55</v>
      </c>
      <c r="E227" s="248"/>
      <c r="F227" s="856"/>
      <c r="G227" s="391">
        <f>G228</f>
        <v>474654</v>
      </c>
    </row>
    <row r="228" spans="1:7" ht="18" customHeight="1">
      <c r="A228" s="290"/>
      <c r="B228" s="290"/>
      <c r="C228" s="1030" t="s">
        <v>394</v>
      </c>
      <c r="D228" s="250" t="s">
        <v>30</v>
      </c>
      <c r="E228" s="302">
        <v>2</v>
      </c>
      <c r="F228" s="858">
        <f>F210</f>
        <v>237327</v>
      </c>
      <c r="G228" s="191">
        <f>E228*F228</f>
        <v>474654</v>
      </c>
    </row>
    <row r="229" spans="1:7" ht="28.5" customHeight="1">
      <c r="A229" s="297" t="str">
        <f>DTCT!A69</f>
        <v>III</v>
      </c>
      <c r="B229" s="297"/>
      <c r="C229" s="1031" t="str">
        <f>DTCT!C69</f>
        <v>ĐƯỜNG TỈNH 903 - HUYỆN MANG THÍT</v>
      </c>
      <c r="D229" s="299"/>
      <c r="E229" s="300"/>
      <c r="F229" s="859"/>
      <c r="G229" s="301"/>
    </row>
    <row r="230" spans="1:7" ht="27.75" customHeight="1">
      <c r="A230" s="13"/>
      <c r="B230" s="13"/>
      <c r="C230" s="287" t="str">
        <f>DTCT!C70</f>
        <v>CÔNG TÁC QUẢN LÝ BDTX ĐƯỜNG BỘ</v>
      </c>
      <c r="D230" s="13"/>
      <c r="E230" s="137"/>
      <c r="F230" s="856"/>
      <c r="G230" s="138"/>
    </row>
    <row r="231" spans="1:7" ht="18" customHeight="1">
      <c r="A231" s="13">
        <f>DTCT!A71</f>
        <v>1</v>
      </c>
      <c r="B231" s="13" t="str">
        <f>DTCT!B71</f>
        <v>QLD.10150</v>
      </c>
      <c r="C231" s="289" t="str">
        <f>DTCT!C71</f>
        <v>Tuần đường</v>
      </c>
      <c r="D231" s="13" t="str">
        <f>DTCT!D71</f>
        <v>1km/năm</v>
      </c>
      <c r="E231" s="137"/>
      <c r="F231" s="856"/>
      <c r="G231" s="138"/>
    </row>
    <row r="232" spans="1:7" ht="18" customHeight="1">
      <c r="A232" s="13"/>
      <c r="B232" s="13"/>
      <c r="C232" s="1028" t="s">
        <v>48</v>
      </c>
      <c r="D232" s="246" t="s">
        <v>55</v>
      </c>
      <c r="E232" s="247"/>
      <c r="F232" s="856"/>
      <c r="G232" s="391">
        <f>G233</f>
        <v>162671.375</v>
      </c>
    </row>
    <row r="233" spans="1:7" ht="18" customHeight="1">
      <c r="A233" s="13"/>
      <c r="B233" s="13"/>
      <c r="C233" s="384" t="s">
        <v>393</v>
      </c>
      <c r="D233" s="246" t="s">
        <v>32</v>
      </c>
      <c r="E233" s="248">
        <v>9.125</v>
      </c>
      <c r="F233" s="856">
        <f>F113</f>
        <v>17827</v>
      </c>
      <c r="G233" s="190">
        <f>E233*F233</f>
        <v>162671.375</v>
      </c>
    </row>
    <row r="234" spans="1:7" ht="18" customHeight="1">
      <c r="A234" s="13"/>
      <c r="B234" s="13"/>
      <c r="C234" s="1028" t="s">
        <v>47</v>
      </c>
      <c r="D234" s="246" t="s">
        <v>55</v>
      </c>
      <c r="E234" s="248"/>
      <c r="F234" s="856"/>
      <c r="G234" s="391">
        <f>G235</f>
        <v>2038164.2759999998</v>
      </c>
    </row>
    <row r="235" spans="1:7" ht="18" customHeight="1">
      <c r="A235" s="13"/>
      <c r="B235" s="13"/>
      <c r="C235" s="458" t="s">
        <v>394</v>
      </c>
      <c r="D235" s="246" t="s">
        <v>30</v>
      </c>
      <c r="E235" s="248">
        <v>8.5879999999999992</v>
      </c>
      <c r="F235" s="856">
        <f>F115</f>
        <v>237327</v>
      </c>
      <c r="G235" s="190">
        <f>E235*F235</f>
        <v>2038164.2759999998</v>
      </c>
    </row>
    <row r="236" spans="1:7" ht="27" customHeight="1">
      <c r="A236" s="13">
        <f>DTCT!A72</f>
        <v>2</v>
      </c>
      <c r="B236" s="13" t="str">
        <f>DTCT!B72</f>
        <v>QLD.10230</v>
      </c>
      <c r="C236" s="289" t="str">
        <f>DTCT!C72</f>
        <v>Đếm xe bằng thủ công</v>
      </c>
      <c r="D236" s="13" t="str">
        <f>DTCT!D72</f>
        <v>1 lần/trạm đếm</v>
      </c>
      <c r="E236" s="137"/>
      <c r="F236" s="856"/>
      <c r="G236" s="138"/>
    </row>
    <row r="237" spans="1:7" ht="18" customHeight="1">
      <c r="A237" s="13"/>
      <c r="B237" s="13"/>
      <c r="C237" s="1028" t="s">
        <v>48</v>
      </c>
      <c r="D237" s="246" t="s">
        <v>55</v>
      </c>
      <c r="E237" s="247"/>
      <c r="F237" s="856"/>
      <c r="G237" s="391">
        <f>G239+G238</f>
        <v>15300</v>
      </c>
    </row>
    <row r="238" spans="1:7" ht="18" customHeight="1">
      <c r="A238" s="13"/>
      <c r="B238" s="13"/>
      <c r="C238" s="384" t="s">
        <v>395</v>
      </c>
      <c r="D238" s="246" t="s">
        <v>396</v>
      </c>
      <c r="E238" s="248">
        <v>42</v>
      </c>
      <c r="F238" s="856">
        <f>F118</f>
        <v>150</v>
      </c>
      <c r="G238" s="190">
        <f>E238*F238</f>
        <v>6300</v>
      </c>
    </row>
    <row r="239" spans="1:7" ht="18" customHeight="1">
      <c r="A239" s="13"/>
      <c r="B239" s="13"/>
      <c r="C239" s="384" t="s">
        <v>397</v>
      </c>
      <c r="D239" s="246" t="s">
        <v>17</v>
      </c>
      <c r="E239" s="248">
        <v>3</v>
      </c>
      <c r="F239" s="856">
        <f>F119</f>
        <v>3000</v>
      </c>
      <c r="G239" s="190">
        <f>E239*F239</f>
        <v>9000</v>
      </c>
    </row>
    <row r="240" spans="1:7" ht="18" customHeight="1">
      <c r="A240" s="13"/>
      <c r="B240" s="13"/>
      <c r="C240" s="1028" t="s">
        <v>47</v>
      </c>
      <c r="D240" s="246" t="s">
        <v>55</v>
      </c>
      <c r="E240" s="248"/>
      <c r="F240" s="856"/>
      <c r="G240" s="391">
        <f>G241</f>
        <v>2384312</v>
      </c>
    </row>
    <row r="241" spans="1:7" ht="18" customHeight="1">
      <c r="A241" s="13"/>
      <c r="B241" s="13"/>
      <c r="C241" s="458" t="s">
        <v>398</v>
      </c>
      <c r="D241" s="246" t="s">
        <v>30</v>
      </c>
      <c r="E241" s="248">
        <v>14</v>
      </c>
      <c r="F241" s="856">
        <f>F121</f>
        <v>170308</v>
      </c>
      <c r="G241" s="190">
        <f>E241*F241</f>
        <v>2384312</v>
      </c>
    </row>
    <row r="242" spans="1:7" ht="30" customHeight="1">
      <c r="A242" s="13">
        <f>DTCT!A73</f>
        <v>3</v>
      </c>
      <c r="B242" s="13" t="str">
        <f>DTCT!B73</f>
        <v>QLD.10340</v>
      </c>
      <c r="C242" s="289" t="str">
        <f>DTCT!C73</f>
        <v>Kiểm tra định kỳ, khẩn cấp, cập nhật số liệu cầu đường và tình hình bão lũ</v>
      </c>
      <c r="D242" s="13" t="str">
        <f>DTCT!D73</f>
        <v>1km/1lần</v>
      </c>
      <c r="E242" s="137"/>
      <c r="F242" s="856"/>
      <c r="G242" s="138"/>
    </row>
    <row r="243" spans="1:7" ht="18" customHeight="1">
      <c r="A243" s="13"/>
      <c r="B243" s="13"/>
      <c r="C243" s="1028" t="s">
        <v>48</v>
      </c>
      <c r="D243" s="246" t="s">
        <v>55</v>
      </c>
      <c r="E243" s="247"/>
      <c r="F243" s="856"/>
      <c r="G243" s="391">
        <f>G244</f>
        <v>445.67500000000001</v>
      </c>
    </row>
    <row r="244" spans="1:7" ht="18" customHeight="1">
      <c r="A244" s="13"/>
      <c r="B244" s="13"/>
      <c r="C244" s="384" t="s">
        <v>393</v>
      </c>
      <c r="D244" s="246" t="s">
        <v>32</v>
      </c>
      <c r="E244" s="248">
        <v>2.5000000000000001E-2</v>
      </c>
      <c r="F244" s="856">
        <f>F124</f>
        <v>17827</v>
      </c>
      <c r="G244" s="190">
        <f>E244*F244</f>
        <v>445.67500000000001</v>
      </c>
    </row>
    <row r="245" spans="1:7" ht="18" customHeight="1">
      <c r="A245" s="13"/>
      <c r="B245" s="13"/>
      <c r="C245" s="1028" t="s">
        <v>47</v>
      </c>
      <c r="D245" s="246" t="s">
        <v>55</v>
      </c>
      <c r="E245" s="248"/>
      <c r="F245" s="856"/>
      <c r="G245" s="391">
        <f>G246</f>
        <v>7439.1459999999997</v>
      </c>
    </row>
    <row r="246" spans="1:7" ht="18" customHeight="1">
      <c r="A246" s="13"/>
      <c r="B246" s="13"/>
      <c r="C246" s="458" t="s">
        <v>399</v>
      </c>
      <c r="D246" s="246" t="s">
        <v>30</v>
      </c>
      <c r="E246" s="248">
        <v>3.6999999999999998E-2</v>
      </c>
      <c r="F246" s="856">
        <f>F126</f>
        <v>201058</v>
      </c>
      <c r="G246" s="190">
        <f>E246*F246</f>
        <v>7439.1459999999997</v>
      </c>
    </row>
    <row r="247" spans="1:7" ht="18" customHeight="1">
      <c r="A247" s="13">
        <f>DTCT!A74</f>
        <v>4</v>
      </c>
      <c r="B247" s="13" t="str">
        <f>DTCT!B74</f>
        <v>QLD.10410</v>
      </c>
      <c r="C247" s="289" t="str">
        <f>DTCT!C74</f>
        <v>Trực bão lũ</v>
      </c>
      <c r="D247" s="13" t="str">
        <f>DTCT!D74</f>
        <v>40km/năm</v>
      </c>
      <c r="E247" s="137"/>
      <c r="F247" s="856"/>
      <c r="G247" s="138"/>
    </row>
    <row r="248" spans="1:7" ht="18" customHeight="1">
      <c r="A248" s="13"/>
      <c r="B248" s="13"/>
      <c r="C248" s="1028" t="s">
        <v>47</v>
      </c>
      <c r="D248" s="246" t="s">
        <v>55</v>
      </c>
      <c r="E248" s="248"/>
      <c r="F248" s="856"/>
      <c r="G248" s="391">
        <f>G249</f>
        <v>30655360</v>
      </c>
    </row>
    <row r="249" spans="1:7" ht="18" customHeight="1">
      <c r="A249" s="13"/>
      <c r="B249" s="13"/>
      <c r="C249" s="458" t="s">
        <v>292</v>
      </c>
      <c r="D249" s="246" t="s">
        <v>30</v>
      </c>
      <c r="E249" s="248">
        <v>160</v>
      </c>
      <c r="F249" s="856">
        <f>F129</f>
        <v>191596</v>
      </c>
      <c r="G249" s="190">
        <f>E249*F249</f>
        <v>30655360</v>
      </c>
    </row>
    <row r="250" spans="1:7" ht="29.25" customHeight="1">
      <c r="A250" s="13">
        <f>DTCT!A75</f>
        <v>5</v>
      </c>
      <c r="B250" s="13" t="str">
        <f>DTCT!B75</f>
        <v>QLD.10610</v>
      </c>
      <c r="C250" s="289" t="str">
        <f>DTCT!C75</f>
        <v>Quản lý hành lang an toàn đường bộ và đấu nối</v>
      </c>
      <c r="D250" s="13" t="str">
        <f>DTCT!D75</f>
        <v>1km/năm</v>
      </c>
      <c r="E250" s="137"/>
      <c r="F250" s="856"/>
      <c r="G250" s="138"/>
    </row>
    <row r="251" spans="1:7" ht="18" customHeight="1">
      <c r="A251" s="13"/>
      <c r="B251" s="13"/>
      <c r="C251" s="1028" t="s">
        <v>47</v>
      </c>
      <c r="D251" s="246" t="s">
        <v>55</v>
      </c>
      <c r="E251" s="248"/>
      <c r="F251" s="856"/>
      <c r="G251" s="391">
        <f>G252</f>
        <v>402116</v>
      </c>
    </row>
    <row r="252" spans="1:7" ht="18" customHeight="1">
      <c r="A252" s="13"/>
      <c r="B252" s="13"/>
      <c r="C252" s="458" t="s">
        <v>399</v>
      </c>
      <c r="D252" s="246" t="s">
        <v>30</v>
      </c>
      <c r="E252" s="248">
        <v>2</v>
      </c>
      <c r="F252" s="856">
        <f>F132</f>
        <v>201058</v>
      </c>
      <c r="G252" s="190">
        <f>E252*F252</f>
        <v>402116</v>
      </c>
    </row>
    <row r="253" spans="1:7" ht="18" customHeight="1">
      <c r="A253" s="13">
        <f>DTCT!A76</f>
        <v>6</v>
      </c>
      <c r="B253" s="13" t="str">
        <f>DTCT!B76</f>
        <v>BDD.20410</v>
      </c>
      <c r="C253" s="289" t="str">
        <f>DTCT!C76</f>
        <v>Cắt cỏ bằng máy</v>
      </c>
      <c r="D253" s="13" t="str">
        <f>DTCT!D76</f>
        <v>1km/1lần</v>
      </c>
      <c r="E253" s="137"/>
      <c r="F253" s="856"/>
      <c r="G253" s="138"/>
    </row>
    <row r="254" spans="1:7" ht="18" customHeight="1">
      <c r="A254" s="13"/>
      <c r="B254" s="13"/>
      <c r="C254" s="1028" t="s">
        <v>48</v>
      </c>
      <c r="D254" s="246" t="s">
        <v>55</v>
      </c>
      <c r="E254" s="247"/>
      <c r="F254" s="856"/>
      <c r="G254" s="391">
        <f>G255</f>
        <v>8000</v>
      </c>
    </row>
    <row r="255" spans="1:7" ht="18" customHeight="1">
      <c r="A255" s="13"/>
      <c r="B255" s="13"/>
      <c r="C255" s="384" t="s">
        <v>400</v>
      </c>
      <c r="D255" s="246" t="s">
        <v>411</v>
      </c>
      <c r="E255" s="248">
        <v>0.2</v>
      </c>
      <c r="F255" s="856">
        <f>F135</f>
        <v>40000</v>
      </c>
      <c r="G255" s="190">
        <f>E255*F255</f>
        <v>8000</v>
      </c>
    </row>
    <row r="256" spans="1:7" ht="18" customHeight="1">
      <c r="A256" s="13"/>
      <c r="B256" s="13"/>
      <c r="C256" s="1028" t="s">
        <v>49</v>
      </c>
      <c r="D256" s="246" t="s">
        <v>55</v>
      </c>
      <c r="E256" s="247"/>
      <c r="F256" s="856"/>
      <c r="G256" s="391">
        <f>G257</f>
        <v>49341.599999999999</v>
      </c>
    </row>
    <row r="257" spans="1:7" ht="18" customHeight="1">
      <c r="A257" s="13"/>
      <c r="B257" s="13"/>
      <c r="C257" s="384" t="s">
        <v>1017</v>
      </c>
      <c r="D257" s="246" t="s">
        <v>291</v>
      </c>
      <c r="E257" s="248">
        <v>0.9</v>
      </c>
      <c r="F257" s="856">
        <f>F137</f>
        <v>54824</v>
      </c>
      <c r="G257" s="190">
        <f>E257*F257</f>
        <v>49341.599999999999</v>
      </c>
    </row>
    <row r="258" spans="1:7" ht="18" customHeight="1">
      <c r="A258" s="13">
        <f>DTCT!A77</f>
        <v>7</v>
      </c>
      <c r="B258" s="13" t="str">
        <f>DTCT!B77</f>
        <v>BDD.20510</v>
      </c>
      <c r="C258" s="289" t="str">
        <f>DTCT!C77</f>
        <v>Phát quang cây cỏ bằng thủ công</v>
      </c>
      <c r="D258" s="13" t="str">
        <f>DTCT!D77</f>
        <v>1km/1lần</v>
      </c>
      <c r="E258" s="137"/>
      <c r="F258" s="856"/>
      <c r="G258" s="138"/>
    </row>
    <row r="259" spans="1:7" ht="18" customHeight="1">
      <c r="A259" s="13"/>
      <c r="B259" s="13"/>
      <c r="C259" s="1028" t="s">
        <v>47</v>
      </c>
      <c r="D259" s="246" t="s">
        <v>55</v>
      </c>
      <c r="E259" s="248"/>
      <c r="F259" s="856"/>
      <c r="G259" s="391">
        <f>G260</f>
        <v>899226.24</v>
      </c>
    </row>
    <row r="260" spans="1:7" ht="18" customHeight="1">
      <c r="A260" s="13"/>
      <c r="B260" s="13"/>
      <c r="C260" s="1029" t="s">
        <v>398</v>
      </c>
      <c r="D260" s="1025" t="s">
        <v>30</v>
      </c>
      <c r="E260" s="1026">
        <v>5.28</v>
      </c>
      <c r="F260" s="856">
        <f>F140</f>
        <v>170308</v>
      </c>
      <c r="G260" s="190">
        <f>E260*F260</f>
        <v>899226.24</v>
      </c>
    </row>
    <row r="261" spans="1:7" ht="18" customHeight="1">
      <c r="A261" s="13">
        <f>DTCT!A78</f>
        <v>8</v>
      </c>
      <c r="B261" s="13" t="str">
        <f>DTCT!B78</f>
        <v>BDD.22310</v>
      </c>
      <c r="C261" s="289" t="str">
        <f>DTCT!C78</f>
        <v>Nắn sửa cọc tiêu, cọc MLG</v>
      </c>
      <c r="D261" s="13" t="str">
        <f>DTCT!D78</f>
        <v>1 cọc</v>
      </c>
      <c r="E261" s="137"/>
      <c r="F261" s="856"/>
      <c r="G261" s="138"/>
    </row>
    <row r="262" spans="1:7" ht="18" customHeight="1">
      <c r="A262" s="13"/>
      <c r="B262" s="13"/>
      <c r="C262" s="1028" t="s">
        <v>47</v>
      </c>
      <c r="D262" s="246" t="s">
        <v>55</v>
      </c>
      <c r="E262" s="248"/>
      <c r="F262" s="856"/>
      <c r="G262" s="391">
        <f>G263</f>
        <v>10218.48</v>
      </c>
    </row>
    <row r="263" spans="1:7" ht="18" customHeight="1">
      <c r="A263" s="13"/>
      <c r="B263" s="13"/>
      <c r="C263" s="458" t="s">
        <v>398</v>
      </c>
      <c r="D263" s="246" t="s">
        <v>30</v>
      </c>
      <c r="E263" s="248">
        <v>0.06</v>
      </c>
      <c r="F263" s="856">
        <f>F143</f>
        <v>170308</v>
      </c>
      <c r="G263" s="190">
        <f>E263*F263</f>
        <v>10218.48</v>
      </c>
    </row>
    <row r="264" spans="1:7" ht="18" customHeight="1">
      <c r="A264" s="13">
        <f>DTCT!A79</f>
        <v>9</v>
      </c>
      <c r="B264" s="13" t="str">
        <f>DTCT!B79</f>
        <v>BDD.22410</v>
      </c>
      <c r="C264" s="289" t="str">
        <f>DTCT!C79</f>
        <v>Nắn sửa cột Km</v>
      </c>
      <c r="D264" s="13" t="str">
        <f>DTCT!D79</f>
        <v>1 cột</v>
      </c>
      <c r="E264" s="137"/>
      <c r="F264" s="856"/>
      <c r="G264" s="138"/>
    </row>
    <row r="265" spans="1:7" ht="18" customHeight="1">
      <c r="A265" s="13"/>
      <c r="B265" s="13"/>
      <c r="C265" s="1028" t="s">
        <v>47</v>
      </c>
      <c r="D265" s="246" t="s">
        <v>55</v>
      </c>
      <c r="E265" s="248"/>
      <c r="F265" s="856"/>
      <c r="G265" s="391">
        <f>G266</f>
        <v>20436.96</v>
      </c>
    </row>
    <row r="266" spans="1:7" ht="18" customHeight="1">
      <c r="A266" s="13"/>
      <c r="B266" s="13"/>
      <c r="C266" s="458" t="s">
        <v>398</v>
      </c>
      <c r="D266" s="246" t="s">
        <v>30</v>
      </c>
      <c r="E266" s="248">
        <v>0.12</v>
      </c>
      <c r="F266" s="856">
        <f>F146</f>
        <v>170308</v>
      </c>
      <c r="G266" s="190">
        <f>E266*F266</f>
        <v>20436.96</v>
      </c>
    </row>
    <row r="267" spans="1:7" ht="18" customHeight="1">
      <c r="A267" s="13">
        <f>DTCT!A80</f>
        <v>10</v>
      </c>
      <c r="B267" s="13" t="str">
        <f>DTCT!B80</f>
        <v>BDD.22510</v>
      </c>
      <c r="C267" s="289" t="str">
        <f>DTCT!C80</f>
        <v>Nắn chỉnh, tu sửa biển báo</v>
      </c>
      <c r="D267" s="13" t="str">
        <f>DTCT!D80</f>
        <v>1 cột</v>
      </c>
      <c r="E267" s="137"/>
      <c r="F267" s="856"/>
      <c r="G267" s="138"/>
    </row>
    <row r="268" spans="1:7" ht="18" customHeight="1">
      <c r="A268" s="13"/>
      <c r="B268" s="13"/>
      <c r="C268" s="1028" t="s">
        <v>47</v>
      </c>
      <c r="D268" s="246" t="s">
        <v>55</v>
      </c>
      <c r="E268" s="248"/>
      <c r="F268" s="856"/>
      <c r="G268" s="391">
        <f>G269</f>
        <v>38319.300000000003</v>
      </c>
    </row>
    <row r="269" spans="1:7" ht="18" customHeight="1">
      <c r="A269" s="13"/>
      <c r="B269" s="13"/>
      <c r="C269" s="458" t="s">
        <v>398</v>
      </c>
      <c r="D269" s="246" t="s">
        <v>30</v>
      </c>
      <c r="E269" s="248">
        <v>0.22500000000000001</v>
      </c>
      <c r="F269" s="856">
        <f>F149</f>
        <v>170308</v>
      </c>
      <c r="G269" s="190">
        <f>E269*F269</f>
        <v>38319.300000000003</v>
      </c>
    </row>
    <row r="270" spans="1:7" ht="24.75" customHeight="1">
      <c r="A270" s="13">
        <f>+DTCT!A81</f>
        <v>11</v>
      </c>
      <c r="B270" s="13" t="str">
        <f>+DTCT!B81</f>
        <v>BDD.203210</v>
      </c>
      <c r="C270" s="289" t="str">
        <f>+DTCT!C81</f>
        <v>Bạt lề đường bằng máy</v>
      </c>
      <c r="D270" s="13" t="str">
        <f>+DTCT!D81</f>
        <v>100md</v>
      </c>
      <c r="E270" s="392"/>
      <c r="F270" s="856"/>
      <c r="G270" s="392"/>
    </row>
    <row r="271" spans="1:7" ht="18" customHeight="1">
      <c r="A271" s="13"/>
      <c r="B271" s="13"/>
      <c r="C271" s="1028" t="s">
        <v>49</v>
      </c>
      <c r="D271" s="13"/>
      <c r="E271" s="248"/>
      <c r="F271" s="856"/>
      <c r="G271" s="393">
        <f>+G272</f>
        <v>3154.1489999999999</v>
      </c>
    </row>
    <row r="272" spans="1:7" ht="18" customHeight="1">
      <c r="A272" s="13"/>
      <c r="B272" s="13"/>
      <c r="C272" s="384" t="s">
        <v>504</v>
      </c>
      <c r="D272" s="13"/>
      <c r="E272" s="248">
        <v>3.0000000000000001E-3</v>
      </c>
      <c r="F272" s="856">
        <f>F152</f>
        <v>1051383</v>
      </c>
      <c r="G272" s="190">
        <f>+E272*F272</f>
        <v>3154.1489999999999</v>
      </c>
    </row>
    <row r="273" spans="1:7" ht="18" customHeight="1">
      <c r="A273" s="13">
        <f>+DTCT!A82</f>
        <v>12</v>
      </c>
      <c r="B273" s="13" t="str">
        <f>+DTCT!B82</f>
        <v>BDD.21312</v>
      </c>
      <c r="C273" s="289" t="str">
        <f>+DTCT!C82</f>
        <v>Vệ sinh mặt đường bằng thủ công</v>
      </c>
      <c r="D273" s="13" t="str">
        <f>+DTCT!D82</f>
        <v>lần/km</v>
      </c>
      <c r="E273" s="248"/>
      <c r="F273" s="856"/>
      <c r="G273" s="190"/>
    </row>
    <row r="274" spans="1:7" ht="18" customHeight="1">
      <c r="A274" s="13"/>
      <c r="B274" s="13"/>
      <c r="C274" s="1028" t="s">
        <v>48</v>
      </c>
      <c r="D274" s="246" t="s">
        <v>55</v>
      </c>
      <c r="E274" s="247"/>
      <c r="F274" s="856"/>
      <c r="G274" s="391">
        <f>G275</f>
        <v>2000</v>
      </c>
    </row>
    <row r="275" spans="1:7" ht="18" customHeight="1">
      <c r="A275" s="13"/>
      <c r="B275" s="13"/>
      <c r="C275" s="384" t="s">
        <v>401</v>
      </c>
      <c r="D275" s="246" t="s">
        <v>402</v>
      </c>
      <c r="E275" s="248">
        <v>0.1</v>
      </c>
      <c r="F275" s="856">
        <f>F155</f>
        <v>20000</v>
      </c>
      <c r="G275" s="266">
        <f>E275*F275</f>
        <v>2000</v>
      </c>
    </row>
    <row r="276" spans="1:7" ht="18" customHeight="1">
      <c r="A276" s="13"/>
      <c r="B276" s="13"/>
      <c r="C276" s="1028" t="s">
        <v>47</v>
      </c>
      <c r="D276" s="246" t="s">
        <v>55</v>
      </c>
      <c r="E276" s="248"/>
      <c r="F276" s="856"/>
      <c r="G276" s="391">
        <f>G277</f>
        <v>697788.75</v>
      </c>
    </row>
    <row r="277" spans="1:7" ht="18" customHeight="1">
      <c r="A277" s="13"/>
      <c r="B277" s="13"/>
      <c r="C277" s="458" t="s">
        <v>403</v>
      </c>
      <c r="D277" s="246" t="s">
        <v>30</v>
      </c>
      <c r="E277" s="248">
        <v>3.75</v>
      </c>
      <c r="F277" s="856">
        <f>F157</f>
        <v>186077</v>
      </c>
      <c r="G277" s="190">
        <f>E277*F277</f>
        <v>697788.75</v>
      </c>
    </row>
    <row r="278" spans="1:7" ht="18" customHeight="1">
      <c r="A278" s="13">
        <f>+DTCT!A83</f>
        <v>13</v>
      </c>
      <c r="B278" s="13" t="str">
        <f>+DTCT!B83</f>
        <v>BDD.22910</v>
      </c>
      <c r="C278" s="289" t="str">
        <f>+DTCT!C83</f>
        <v>Vệ sinh mặt biển phản quang</v>
      </c>
      <c r="D278" s="13" t="str">
        <f>+DTCT!D83</f>
        <v>m2</v>
      </c>
      <c r="E278" s="248"/>
      <c r="F278" s="856"/>
      <c r="G278" s="190"/>
    </row>
    <row r="279" spans="1:7" ht="18" customHeight="1">
      <c r="A279" s="13"/>
      <c r="B279" s="13"/>
      <c r="C279" s="1028" t="s">
        <v>47</v>
      </c>
      <c r="D279" s="246" t="s">
        <v>55</v>
      </c>
      <c r="E279" s="248"/>
      <c r="F279" s="856"/>
      <c r="G279" s="391">
        <f>G280</f>
        <v>9579.8000000000011</v>
      </c>
    </row>
    <row r="280" spans="1:7" ht="18" customHeight="1">
      <c r="A280" s="13"/>
      <c r="B280" s="13"/>
      <c r="C280" s="458" t="s">
        <v>292</v>
      </c>
      <c r="D280" s="246" t="s">
        <v>30</v>
      </c>
      <c r="E280" s="248">
        <v>0.05</v>
      </c>
      <c r="F280" s="856">
        <f>F160</f>
        <v>191596</v>
      </c>
      <c r="G280" s="190">
        <f>E280*F280</f>
        <v>9579.8000000000011</v>
      </c>
    </row>
    <row r="281" spans="1:7" ht="27.75" customHeight="1">
      <c r="A281" s="13"/>
      <c r="B281" s="13"/>
      <c r="C281" s="287" t="str">
        <f>DTCT!C84</f>
        <v>CÔNG TÁC BẢO DƯỠNG CẦU L &lt;= 300M</v>
      </c>
      <c r="D281" s="13"/>
      <c r="E281" s="137"/>
      <c r="F281" s="856"/>
      <c r="G281" s="138"/>
    </row>
    <row r="282" spans="1:7" ht="18" customHeight="1">
      <c r="A282" s="13">
        <f>DTCT!A85</f>
        <v>14</v>
      </c>
      <c r="B282" s="13" t="str">
        <f>DTCT!B85</f>
        <v>BDC.20610</v>
      </c>
      <c r="C282" s="289" t="str">
        <f>DTCT!C85</f>
        <v>Vệ sinh mặt cầu, ống thoát nước</v>
      </c>
      <c r="D282" s="13" t="str">
        <f>DTCT!D85</f>
        <v>10m2</v>
      </c>
      <c r="E282" s="137"/>
      <c r="F282" s="856"/>
      <c r="G282" s="138"/>
    </row>
    <row r="283" spans="1:7" ht="18" customHeight="1">
      <c r="A283" s="13"/>
      <c r="B283" s="13"/>
      <c r="C283" s="1028" t="s">
        <v>48</v>
      </c>
      <c r="D283" s="246" t="s">
        <v>55</v>
      </c>
      <c r="E283" s="247"/>
      <c r="F283" s="856"/>
      <c r="G283" s="391">
        <f>G284</f>
        <v>2</v>
      </c>
    </row>
    <row r="284" spans="1:7" ht="18" customHeight="1">
      <c r="A284" s="13"/>
      <c r="B284" s="13"/>
      <c r="C284" s="384" t="s">
        <v>401</v>
      </c>
      <c r="D284" s="246" t="s">
        <v>402</v>
      </c>
      <c r="E284" s="248">
        <v>1E-4</v>
      </c>
      <c r="F284" s="856">
        <f>F164</f>
        <v>20000</v>
      </c>
      <c r="G284" s="190">
        <f>E284*F284</f>
        <v>2</v>
      </c>
    </row>
    <row r="285" spans="1:7" ht="18" customHeight="1">
      <c r="A285" s="13"/>
      <c r="B285" s="13"/>
      <c r="C285" s="1028" t="s">
        <v>47</v>
      </c>
      <c r="D285" s="246" t="s">
        <v>55</v>
      </c>
      <c r="E285" s="248"/>
      <c r="F285" s="856"/>
      <c r="G285" s="391">
        <f>G286</f>
        <v>8931.6959999999999</v>
      </c>
    </row>
    <row r="286" spans="1:7" ht="18" customHeight="1">
      <c r="A286" s="13"/>
      <c r="B286" s="13"/>
      <c r="C286" s="458" t="s">
        <v>403</v>
      </c>
      <c r="D286" s="246" t="s">
        <v>30</v>
      </c>
      <c r="E286" s="248">
        <v>4.8000000000000001E-2</v>
      </c>
      <c r="F286" s="856">
        <f>F166</f>
        <v>186077</v>
      </c>
      <c r="G286" s="190">
        <f>E286*F286</f>
        <v>8931.6959999999999</v>
      </c>
    </row>
    <row r="287" spans="1:7" ht="18" customHeight="1">
      <c r="A287" s="13">
        <f>DTCT!A86</f>
        <v>15</v>
      </c>
      <c r="B287" s="13" t="str">
        <f>DTCT!B86</f>
        <v>BDC.20910</v>
      </c>
      <c r="C287" s="289" t="str">
        <f>DTCT!C86</f>
        <v>Vệ sinh khe co dãn cao su</v>
      </c>
      <c r="D287" s="13" t="str">
        <f>DTCT!D86</f>
        <v>1md</v>
      </c>
      <c r="E287" s="137"/>
      <c r="F287" s="856"/>
      <c r="G287" s="138"/>
    </row>
    <row r="288" spans="1:7" ht="18" customHeight="1">
      <c r="A288" s="13"/>
      <c r="B288" s="13"/>
      <c r="C288" s="1028" t="s">
        <v>47</v>
      </c>
      <c r="D288" s="246" t="s">
        <v>55</v>
      </c>
      <c r="E288" s="248"/>
      <c r="F288" s="856"/>
      <c r="G288" s="391">
        <f>G289</f>
        <v>11580.944000000001</v>
      </c>
    </row>
    <row r="289" spans="1:7" ht="18" customHeight="1">
      <c r="A289" s="13"/>
      <c r="B289" s="13"/>
      <c r="C289" s="458" t="s">
        <v>398</v>
      </c>
      <c r="D289" s="246" t="s">
        <v>30</v>
      </c>
      <c r="E289" s="248">
        <v>6.8000000000000005E-2</v>
      </c>
      <c r="F289" s="856">
        <f>F169</f>
        <v>170308</v>
      </c>
      <c r="G289" s="190">
        <f>E289*F289</f>
        <v>11580.944000000001</v>
      </c>
    </row>
    <row r="290" spans="1:7" ht="18" customHeight="1">
      <c r="A290" s="13">
        <f>DTCT!A87</f>
        <v>16</v>
      </c>
      <c r="B290" s="13" t="str">
        <f>DTCT!B87</f>
        <v>BDC.21010</v>
      </c>
      <c r="C290" s="289" t="str">
        <f>DTCT!C87</f>
        <v>Vệ sinh mố cầu</v>
      </c>
      <c r="D290" s="13" t="str">
        <f>DTCT!D87</f>
        <v>m2</v>
      </c>
      <c r="E290" s="137"/>
      <c r="F290" s="856"/>
      <c r="G290" s="138"/>
    </row>
    <row r="291" spans="1:7" ht="18" customHeight="1">
      <c r="A291" s="13"/>
      <c r="B291" s="13"/>
      <c r="C291" s="1028" t="s">
        <v>47</v>
      </c>
      <c r="D291" s="246" t="s">
        <v>55</v>
      </c>
      <c r="E291" s="248"/>
      <c r="F291" s="856"/>
      <c r="G291" s="391">
        <f>G292</f>
        <v>86218.2</v>
      </c>
    </row>
    <row r="292" spans="1:7" ht="18" customHeight="1">
      <c r="A292" s="13"/>
      <c r="B292" s="13"/>
      <c r="C292" s="458" t="s">
        <v>292</v>
      </c>
      <c r="D292" s="246" t="s">
        <v>30</v>
      </c>
      <c r="E292" s="248">
        <v>0.45</v>
      </c>
      <c r="F292" s="856">
        <f>F172</f>
        <v>191596</v>
      </c>
      <c r="G292" s="190">
        <f>E292*F292</f>
        <v>86218.2</v>
      </c>
    </row>
    <row r="293" spans="1:7" ht="18" customHeight="1">
      <c r="A293" s="13">
        <f>DTCT!A88</f>
        <v>17</v>
      </c>
      <c r="B293" s="13" t="str">
        <f>DTCT!B88</f>
        <v>BDC.21710</v>
      </c>
      <c r="C293" s="289" t="str">
        <f>DTCT!C88</f>
        <v>Phát quang cây dại</v>
      </c>
      <c r="D293" s="13" t="str">
        <f>DTCT!D88</f>
        <v>100m2</v>
      </c>
      <c r="E293" s="137"/>
      <c r="F293" s="856"/>
      <c r="G293" s="138"/>
    </row>
    <row r="294" spans="1:7" ht="18" customHeight="1">
      <c r="A294" s="13"/>
      <c r="B294" s="13"/>
      <c r="C294" s="1028" t="s">
        <v>47</v>
      </c>
      <c r="D294" s="246" t="s">
        <v>55</v>
      </c>
      <c r="E294" s="248"/>
      <c r="F294" s="856"/>
      <c r="G294" s="391">
        <f>G295</f>
        <v>729940.08799999987</v>
      </c>
    </row>
    <row r="295" spans="1:7" ht="18" customHeight="1">
      <c r="A295" s="13"/>
      <c r="B295" s="13"/>
      <c r="C295" s="458" t="s">
        <v>398</v>
      </c>
      <c r="D295" s="246" t="s">
        <v>30</v>
      </c>
      <c r="E295" s="248">
        <v>4.2859999999999996</v>
      </c>
      <c r="F295" s="856">
        <f>F175</f>
        <v>170308</v>
      </c>
      <c r="G295" s="190">
        <f>E295*F295</f>
        <v>729940.08799999987</v>
      </c>
    </row>
    <row r="296" spans="1:7" ht="29.25" customHeight="1">
      <c r="A296" s="13"/>
      <c r="B296" s="13"/>
      <c r="C296" s="287" t="str">
        <f>DTCT!C89</f>
        <v>CÔNG TÁC QUẢN LÝ CẦU CẦU L &lt;= 300M</v>
      </c>
      <c r="D296" s="13"/>
      <c r="E296" s="137"/>
      <c r="F296" s="856"/>
      <c r="G296" s="138"/>
    </row>
    <row r="297" spans="1:7" ht="18" customHeight="1">
      <c r="A297" s="13"/>
      <c r="B297" s="13"/>
      <c r="C297" s="287" t="str">
        <f>DTCT!C90</f>
        <v>Cầu &lt; 50m</v>
      </c>
      <c r="D297" s="13"/>
      <c r="E297" s="137"/>
      <c r="F297" s="856"/>
      <c r="G297" s="138"/>
    </row>
    <row r="298" spans="1:7" ht="18" customHeight="1">
      <c r="A298" s="13">
        <f>DTCT!A91</f>
        <v>18</v>
      </c>
      <c r="B298" s="13" t="str">
        <f>DTCT!B91</f>
        <v>QLC.10140</v>
      </c>
      <c r="C298" s="289" t="str">
        <f>DTCT!C91</f>
        <v>Kiểm tra cầu</v>
      </c>
      <c r="D298" s="13" t="str">
        <f>DTCT!D91</f>
        <v>cầu/năm</v>
      </c>
      <c r="E298" s="137"/>
      <c r="F298" s="856"/>
      <c r="G298" s="138"/>
    </row>
    <row r="299" spans="1:7" ht="18" customHeight="1">
      <c r="A299" s="13"/>
      <c r="B299" s="13"/>
      <c r="C299" s="1028" t="s">
        <v>48</v>
      </c>
      <c r="D299" s="246" t="s">
        <v>55</v>
      </c>
      <c r="E299" s="247"/>
      <c r="F299" s="856"/>
      <c r="G299" s="391">
        <f>G300+G301</f>
        <v>39000</v>
      </c>
    </row>
    <row r="300" spans="1:7" ht="18" customHeight="1">
      <c r="A300" s="13"/>
      <c r="B300" s="13"/>
      <c r="C300" s="384" t="s">
        <v>404</v>
      </c>
      <c r="D300" s="246" t="s">
        <v>405</v>
      </c>
      <c r="E300" s="248">
        <v>1</v>
      </c>
      <c r="F300" s="856">
        <f>F180</f>
        <v>3000</v>
      </c>
      <c r="G300" s="190">
        <f>E300*F300</f>
        <v>3000</v>
      </c>
    </row>
    <row r="301" spans="1:7" ht="18" customHeight="1">
      <c r="A301" s="13"/>
      <c r="B301" s="13"/>
      <c r="C301" s="384" t="s">
        <v>406</v>
      </c>
      <c r="D301" s="246" t="s">
        <v>17</v>
      </c>
      <c r="E301" s="248">
        <v>12</v>
      </c>
      <c r="F301" s="856">
        <f>F181</f>
        <v>3000</v>
      </c>
      <c r="G301" s="190">
        <f>E301*F301</f>
        <v>36000</v>
      </c>
    </row>
    <row r="302" spans="1:7" ht="18" customHeight="1">
      <c r="A302" s="13"/>
      <c r="B302" s="13"/>
      <c r="C302" s="1028" t="s">
        <v>47</v>
      </c>
      <c r="D302" s="246" t="s">
        <v>55</v>
      </c>
      <c r="E302" s="248"/>
      <c r="F302" s="856"/>
      <c r="G302" s="391">
        <f>G303</f>
        <v>804232</v>
      </c>
    </row>
    <row r="303" spans="1:7" ht="18" customHeight="1">
      <c r="A303" s="13"/>
      <c r="B303" s="13"/>
      <c r="C303" s="458" t="s">
        <v>399</v>
      </c>
      <c r="D303" s="246" t="s">
        <v>30</v>
      </c>
      <c r="E303" s="248">
        <v>4</v>
      </c>
      <c r="F303" s="856">
        <f>F183</f>
        <v>201058</v>
      </c>
      <c r="G303" s="190">
        <f>E303*F303</f>
        <v>804232</v>
      </c>
    </row>
    <row r="304" spans="1:7" ht="18" customHeight="1">
      <c r="A304" s="13">
        <f>DTCT!A92</f>
        <v>19</v>
      </c>
      <c r="B304" s="13" t="str">
        <f>DTCT!B92</f>
        <v>QLC.10340</v>
      </c>
      <c r="C304" s="289" t="str">
        <f>DTCT!C92</f>
        <v>Kiểm tra trước và sau mùa mưa bão</v>
      </c>
      <c r="D304" s="13" t="str">
        <f>DTCT!D92</f>
        <v>cầu/năm</v>
      </c>
      <c r="E304" s="137"/>
      <c r="F304" s="856"/>
      <c r="G304" s="138"/>
    </row>
    <row r="305" spans="1:7" ht="18" customHeight="1">
      <c r="A305" s="13"/>
      <c r="B305" s="13"/>
      <c r="C305" s="1028" t="s">
        <v>48</v>
      </c>
      <c r="D305" s="246" t="s">
        <v>55</v>
      </c>
      <c r="E305" s="247"/>
      <c r="F305" s="856"/>
      <c r="G305" s="391">
        <f>G306+G307</f>
        <v>6501</v>
      </c>
    </row>
    <row r="306" spans="1:7" ht="18" customHeight="1">
      <c r="A306" s="13"/>
      <c r="B306" s="13"/>
      <c r="C306" s="384" t="s">
        <v>404</v>
      </c>
      <c r="D306" s="246" t="s">
        <v>405</v>
      </c>
      <c r="E306" s="248">
        <v>0.16700000000000001</v>
      </c>
      <c r="F306" s="856">
        <f>F186</f>
        <v>3000</v>
      </c>
      <c r="G306" s="190">
        <f>E306*F306</f>
        <v>501.00000000000006</v>
      </c>
    </row>
    <row r="307" spans="1:7" ht="18" customHeight="1">
      <c r="A307" s="13"/>
      <c r="B307" s="13"/>
      <c r="C307" s="384" t="s">
        <v>406</v>
      </c>
      <c r="D307" s="246" t="s">
        <v>17</v>
      </c>
      <c r="E307" s="248">
        <v>2</v>
      </c>
      <c r="F307" s="856">
        <f>F187</f>
        <v>3000</v>
      </c>
      <c r="G307" s="190">
        <f>E307*F307</f>
        <v>6000</v>
      </c>
    </row>
    <row r="308" spans="1:7" ht="18" customHeight="1">
      <c r="A308" s="13"/>
      <c r="B308" s="13"/>
      <c r="C308" s="1028" t="s">
        <v>47</v>
      </c>
      <c r="D308" s="246" t="s">
        <v>55</v>
      </c>
      <c r="E308" s="248"/>
      <c r="F308" s="856"/>
      <c r="G308" s="391">
        <f>G309</f>
        <v>201058</v>
      </c>
    </row>
    <row r="309" spans="1:7" ht="18" customHeight="1">
      <c r="A309" s="13"/>
      <c r="B309" s="13"/>
      <c r="C309" s="458" t="s">
        <v>399</v>
      </c>
      <c r="D309" s="246" t="s">
        <v>30</v>
      </c>
      <c r="E309" s="248">
        <v>1</v>
      </c>
      <c r="F309" s="856">
        <f>F189</f>
        <v>201058</v>
      </c>
      <c r="G309" s="190">
        <f>E309*F309</f>
        <v>201058</v>
      </c>
    </row>
    <row r="310" spans="1:7" ht="18" customHeight="1">
      <c r="A310" s="13">
        <f>DTCT!A93</f>
        <v>20</v>
      </c>
      <c r="B310" s="13" t="str">
        <f>DTCT!B93</f>
        <v>QLC.10440</v>
      </c>
      <c r="C310" s="289" t="str">
        <f>DTCT!C93</f>
        <v>Quản lý hồ sơ trên vi tính</v>
      </c>
      <c r="D310" s="13" t="str">
        <f>DTCT!D93</f>
        <v>cầu/năm</v>
      </c>
      <c r="E310" s="137"/>
      <c r="F310" s="856"/>
      <c r="G310" s="138"/>
    </row>
    <row r="311" spans="1:7" ht="18" customHeight="1">
      <c r="A311" s="13"/>
      <c r="B311" s="13"/>
      <c r="C311" s="1028" t="s">
        <v>47</v>
      </c>
      <c r="D311" s="246" t="s">
        <v>55</v>
      </c>
      <c r="E311" s="248"/>
      <c r="F311" s="856"/>
      <c r="G311" s="391">
        <f>G312</f>
        <v>237327</v>
      </c>
    </row>
    <row r="312" spans="1:7" ht="18" customHeight="1">
      <c r="A312" s="13"/>
      <c r="B312" s="13"/>
      <c r="C312" s="458" t="s">
        <v>394</v>
      </c>
      <c r="D312" s="246" t="s">
        <v>30</v>
      </c>
      <c r="E312" s="248">
        <v>1</v>
      </c>
      <c r="F312" s="856">
        <f>F192</f>
        <v>237327</v>
      </c>
      <c r="G312" s="190">
        <f>E312*F312</f>
        <v>237327</v>
      </c>
    </row>
    <row r="313" spans="1:7" ht="18" customHeight="1">
      <c r="A313" s="13"/>
      <c r="B313" s="13"/>
      <c r="C313" s="287" t="str">
        <f>DTCT!C94</f>
        <v>Cầu 50m - 100m</v>
      </c>
      <c r="D313" s="13"/>
      <c r="E313" s="137"/>
      <c r="F313" s="856"/>
      <c r="G313" s="138"/>
    </row>
    <row r="314" spans="1:7" ht="18" customHeight="1">
      <c r="A314" s="13">
        <f>DTCT!A95</f>
        <v>21</v>
      </c>
      <c r="B314" s="13" t="str">
        <f>DTCT!B95</f>
        <v>QLC.10130</v>
      </c>
      <c r="C314" s="289" t="str">
        <f>DTCT!C95</f>
        <v>Kiểm tra cầu</v>
      </c>
      <c r="D314" s="13" t="str">
        <f>DTCT!D95</f>
        <v>cầu/năm</v>
      </c>
      <c r="E314" s="137"/>
      <c r="F314" s="856"/>
      <c r="G314" s="138"/>
    </row>
    <row r="315" spans="1:7" ht="18" customHeight="1">
      <c r="A315" s="13"/>
      <c r="B315" s="13"/>
      <c r="C315" s="1028" t="s">
        <v>48</v>
      </c>
      <c r="D315" s="246" t="s">
        <v>55</v>
      </c>
      <c r="E315" s="247"/>
      <c r="F315" s="856"/>
      <c r="G315" s="391">
        <f>G316+G317</f>
        <v>45000</v>
      </c>
    </row>
    <row r="316" spans="1:7" ht="18" customHeight="1">
      <c r="A316" s="13"/>
      <c r="B316" s="13"/>
      <c r="C316" s="384" t="s">
        <v>404</v>
      </c>
      <c r="D316" s="246" t="s">
        <v>405</v>
      </c>
      <c r="E316" s="248">
        <v>3</v>
      </c>
      <c r="F316" s="856">
        <f>F196</f>
        <v>3000</v>
      </c>
      <c r="G316" s="190">
        <f>E316*F316</f>
        <v>9000</v>
      </c>
    </row>
    <row r="317" spans="1:7" ht="18" customHeight="1">
      <c r="A317" s="13"/>
      <c r="B317" s="13"/>
      <c r="C317" s="384" t="s">
        <v>406</v>
      </c>
      <c r="D317" s="246" t="s">
        <v>17</v>
      </c>
      <c r="E317" s="248">
        <v>12</v>
      </c>
      <c r="F317" s="856">
        <f>F197</f>
        <v>3000</v>
      </c>
      <c r="G317" s="190">
        <f>E317*F317</f>
        <v>36000</v>
      </c>
    </row>
    <row r="318" spans="1:7" ht="18" customHeight="1">
      <c r="A318" s="13"/>
      <c r="B318" s="13"/>
      <c r="C318" s="1028" t="s">
        <v>47</v>
      </c>
      <c r="D318" s="246" t="s">
        <v>55</v>
      </c>
      <c r="E318" s="248"/>
      <c r="F318" s="856"/>
      <c r="G318" s="391">
        <f>G319</f>
        <v>2412696</v>
      </c>
    </row>
    <row r="319" spans="1:7" ht="18" customHeight="1">
      <c r="A319" s="13"/>
      <c r="B319" s="13"/>
      <c r="C319" s="458" t="s">
        <v>399</v>
      </c>
      <c r="D319" s="246" t="s">
        <v>30</v>
      </c>
      <c r="E319" s="248">
        <v>12</v>
      </c>
      <c r="F319" s="856">
        <f>F199</f>
        <v>201058</v>
      </c>
      <c r="G319" s="190">
        <f>E319*F319</f>
        <v>2412696</v>
      </c>
    </row>
    <row r="320" spans="1:7" ht="18" customHeight="1">
      <c r="A320" s="13">
        <f>DTCT!A96</f>
        <v>22</v>
      </c>
      <c r="B320" s="13" t="str">
        <f>DTCT!B96</f>
        <v>QLC.10330</v>
      </c>
      <c r="C320" s="289" t="str">
        <f>DTCT!C96</f>
        <v>Kiểm tra trước và sau mùa mưa bão</v>
      </c>
      <c r="D320" s="13" t="str">
        <f>DTCT!D96</f>
        <v>cầu/năm</v>
      </c>
      <c r="E320" s="137"/>
      <c r="F320" s="856"/>
      <c r="G320" s="138"/>
    </row>
    <row r="321" spans="1:7" ht="18" customHeight="1">
      <c r="A321" s="13"/>
      <c r="B321" s="13"/>
      <c r="C321" s="1028" t="s">
        <v>48</v>
      </c>
      <c r="D321" s="246" t="s">
        <v>55</v>
      </c>
      <c r="E321" s="247"/>
      <c r="F321" s="856"/>
      <c r="G321" s="391">
        <f>G322+G323</f>
        <v>7500</v>
      </c>
    </row>
    <row r="322" spans="1:7" ht="18" customHeight="1">
      <c r="A322" s="13"/>
      <c r="B322" s="13"/>
      <c r="C322" s="384" t="s">
        <v>404</v>
      </c>
      <c r="D322" s="246" t="s">
        <v>405</v>
      </c>
      <c r="E322" s="248">
        <v>0.5</v>
      </c>
      <c r="F322" s="856">
        <f>F202</f>
        <v>3000</v>
      </c>
      <c r="G322" s="190">
        <f>E322*F322</f>
        <v>1500</v>
      </c>
    </row>
    <row r="323" spans="1:7" ht="18" customHeight="1">
      <c r="A323" s="13"/>
      <c r="B323" s="13"/>
      <c r="C323" s="384" t="s">
        <v>406</v>
      </c>
      <c r="D323" s="246" t="s">
        <v>17</v>
      </c>
      <c r="E323" s="248">
        <v>2</v>
      </c>
      <c r="F323" s="856">
        <f>F203</f>
        <v>3000</v>
      </c>
      <c r="G323" s="190">
        <f>E323*F323</f>
        <v>6000</v>
      </c>
    </row>
    <row r="324" spans="1:7" ht="18" customHeight="1">
      <c r="A324" s="13"/>
      <c r="B324" s="13"/>
      <c r="C324" s="1028" t="s">
        <v>47</v>
      </c>
      <c r="D324" s="246" t="s">
        <v>55</v>
      </c>
      <c r="E324" s="248"/>
      <c r="F324" s="856"/>
      <c r="G324" s="391">
        <f>G325</f>
        <v>402116</v>
      </c>
    </row>
    <row r="325" spans="1:7" ht="18" customHeight="1">
      <c r="A325" s="13"/>
      <c r="B325" s="13"/>
      <c r="C325" s="458" t="s">
        <v>399</v>
      </c>
      <c r="D325" s="246" t="s">
        <v>30</v>
      </c>
      <c r="E325" s="248">
        <v>2</v>
      </c>
      <c r="F325" s="856">
        <f>F205</f>
        <v>201058</v>
      </c>
      <c r="G325" s="190">
        <f>E325*F325</f>
        <v>402116</v>
      </c>
    </row>
    <row r="326" spans="1:7" ht="18" customHeight="1">
      <c r="A326" s="13"/>
      <c r="B326" s="13"/>
      <c r="C326" s="1028" t="s">
        <v>49</v>
      </c>
      <c r="D326" s="246" t="s">
        <v>55</v>
      </c>
      <c r="E326" s="247"/>
      <c r="F326" s="856"/>
      <c r="G326" s="391">
        <f>G327</f>
        <v>378931</v>
      </c>
    </row>
    <row r="327" spans="1:7" ht="18" customHeight="1">
      <c r="A327" s="13"/>
      <c r="B327" s="13"/>
      <c r="C327" s="384" t="s">
        <v>407</v>
      </c>
      <c r="D327" s="246" t="s">
        <v>291</v>
      </c>
      <c r="E327" s="248">
        <v>1</v>
      </c>
      <c r="F327" s="856">
        <f>F207</f>
        <v>378931</v>
      </c>
      <c r="G327" s="190">
        <f>E327*F327</f>
        <v>378931</v>
      </c>
    </row>
    <row r="328" spans="1:7" ht="18" customHeight="1">
      <c r="A328" s="13">
        <f>DTCT!A97</f>
        <v>23</v>
      </c>
      <c r="B328" s="13" t="str">
        <f>DTCT!B97</f>
        <v>QLC.10430</v>
      </c>
      <c r="C328" s="289" t="str">
        <f>DTCT!C97</f>
        <v>Quản lý hồ sơ trên vi tính</v>
      </c>
      <c r="D328" s="13" t="str">
        <f>DTCT!D97</f>
        <v>cầu/năm</v>
      </c>
      <c r="E328" s="137"/>
      <c r="F328" s="856"/>
      <c r="G328" s="138"/>
    </row>
    <row r="329" spans="1:7" ht="18" customHeight="1">
      <c r="A329" s="13"/>
      <c r="B329" s="13"/>
      <c r="C329" s="1028" t="s">
        <v>47</v>
      </c>
      <c r="D329" s="246" t="s">
        <v>55</v>
      </c>
      <c r="E329" s="248"/>
      <c r="F329" s="856"/>
      <c r="G329" s="391">
        <f>G330</f>
        <v>237327</v>
      </c>
    </row>
    <row r="330" spans="1:7" ht="18" customHeight="1">
      <c r="A330" s="290"/>
      <c r="B330" s="290"/>
      <c r="C330" s="1030" t="s">
        <v>394</v>
      </c>
      <c r="D330" s="250" t="s">
        <v>30</v>
      </c>
      <c r="E330" s="302">
        <v>1</v>
      </c>
      <c r="F330" s="858">
        <f>F210</f>
        <v>237327</v>
      </c>
      <c r="G330" s="191">
        <f>E330*F330</f>
        <v>237327</v>
      </c>
    </row>
    <row r="331" spans="1:7" ht="27.75" customHeight="1">
      <c r="A331" s="297" t="str">
        <f>DTCT!A98</f>
        <v>IV</v>
      </c>
      <c r="B331" s="297"/>
      <c r="C331" s="1031" t="str">
        <f>DTCT!C98</f>
        <v>ĐƯỜNG TỈNH 904 -  HUYỆN TAM BÌNH</v>
      </c>
      <c r="D331" s="299"/>
      <c r="E331" s="300"/>
      <c r="F331" s="859"/>
      <c r="G331" s="301"/>
    </row>
    <row r="332" spans="1:7" ht="28.5" customHeight="1">
      <c r="A332" s="13"/>
      <c r="B332" s="13"/>
      <c r="C332" s="287" t="str">
        <f>DTCT!C99</f>
        <v>CÔNG TÁC QUẢN LÝ BDTX ĐƯỜNG BỘ</v>
      </c>
      <c r="D332" s="13"/>
      <c r="E332" s="137"/>
      <c r="F332" s="856"/>
      <c r="G332" s="138"/>
    </row>
    <row r="333" spans="1:7" ht="18" customHeight="1">
      <c r="A333" s="13">
        <f>DTCT!A100</f>
        <v>1</v>
      </c>
      <c r="B333" s="13" t="str">
        <f>DTCT!B100</f>
        <v>QLD.10150</v>
      </c>
      <c r="C333" s="289" t="str">
        <f>DTCT!C100</f>
        <v>Tuần đường</v>
      </c>
      <c r="D333" s="13" t="str">
        <f>DTCT!D100</f>
        <v>1km/năm</v>
      </c>
      <c r="E333" s="137"/>
      <c r="F333" s="856"/>
      <c r="G333" s="138"/>
    </row>
    <row r="334" spans="1:7" ht="18" customHeight="1">
      <c r="A334" s="13"/>
      <c r="B334" s="13"/>
      <c r="C334" s="1028" t="s">
        <v>48</v>
      </c>
      <c r="D334" s="246" t="s">
        <v>55</v>
      </c>
      <c r="E334" s="247"/>
      <c r="F334" s="856"/>
      <c r="G334" s="391">
        <f>G335</f>
        <v>162671.375</v>
      </c>
    </row>
    <row r="335" spans="1:7" ht="18" customHeight="1">
      <c r="A335" s="13"/>
      <c r="B335" s="13"/>
      <c r="C335" s="384" t="s">
        <v>393</v>
      </c>
      <c r="D335" s="246" t="s">
        <v>32</v>
      </c>
      <c r="E335" s="248">
        <v>9.125</v>
      </c>
      <c r="F335" s="856">
        <f>F113</f>
        <v>17827</v>
      </c>
      <c r="G335" s="190">
        <f>E335*F335</f>
        <v>162671.375</v>
      </c>
    </row>
    <row r="336" spans="1:7" ht="18" customHeight="1">
      <c r="A336" s="13"/>
      <c r="B336" s="13"/>
      <c r="C336" s="1028" t="s">
        <v>47</v>
      </c>
      <c r="D336" s="246" t="s">
        <v>55</v>
      </c>
      <c r="E336" s="248"/>
      <c r="F336" s="856"/>
      <c r="G336" s="391">
        <f>G337</f>
        <v>2038164.2759999998</v>
      </c>
    </row>
    <row r="337" spans="1:7" ht="18" customHeight="1">
      <c r="A337" s="13"/>
      <c r="B337" s="13"/>
      <c r="C337" s="458" t="s">
        <v>394</v>
      </c>
      <c r="D337" s="246" t="s">
        <v>30</v>
      </c>
      <c r="E337" s="248">
        <v>8.5879999999999992</v>
      </c>
      <c r="F337" s="856">
        <f>F115</f>
        <v>237327</v>
      </c>
      <c r="G337" s="190">
        <f>E337*F337</f>
        <v>2038164.2759999998</v>
      </c>
    </row>
    <row r="338" spans="1:7" ht="18" customHeight="1">
      <c r="A338" s="13">
        <f>DTCT!A101</f>
        <v>2</v>
      </c>
      <c r="B338" s="13" t="str">
        <f>DTCT!B101</f>
        <v>QLD.10230</v>
      </c>
      <c r="C338" s="289" t="str">
        <f>DTCT!C101</f>
        <v>Đếm xe bằng thủ công</v>
      </c>
      <c r="D338" s="13" t="str">
        <f>DTCT!D101</f>
        <v>1lần/trạmđếm</v>
      </c>
      <c r="E338" s="137"/>
      <c r="F338" s="856"/>
      <c r="G338" s="138"/>
    </row>
    <row r="339" spans="1:7" ht="18" customHeight="1">
      <c r="A339" s="13"/>
      <c r="B339" s="13"/>
      <c r="C339" s="1028" t="s">
        <v>48</v>
      </c>
      <c r="D339" s="246" t="s">
        <v>55</v>
      </c>
      <c r="E339" s="247"/>
      <c r="F339" s="856"/>
      <c r="G339" s="391">
        <f>G341+G340</f>
        <v>15300</v>
      </c>
    </row>
    <row r="340" spans="1:7" ht="18" customHeight="1">
      <c r="A340" s="13"/>
      <c r="B340" s="13"/>
      <c r="C340" s="384" t="s">
        <v>395</v>
      </c>
      <c r="D340" s="246" t="s">
        <v>396</v>
      </c>
      <c r="E340" s="248">
        <v>42</v>
      </c>
      <c r="F340" s="856">
        <f>F118</f>
        <v>150</v>
      </c>
      <c r="G340" s="190">
        <f>E340*F340</f>
        <v>6300</v>
      </c>
    </row>
    <row r="341" spans="1:7" ht="18" customHeight="1">
      <c r="A341" s="13"/>
      <c r="B341" s="13"/>
      <c r="C341" s="384" t="s">
        <v>397</v>
      </c>
      <c r="D341" s="246" t="s">
        <v>17</v>
      </c>
      <c r="E341" s="248">
        <v>3</v>
      </c>
      <c r="F341" s="856">
        <f>F119</f>
        <v>3000</v>
      </c>
      <c r="G341" s="190">
        <f>E341*F341</f>
        <v>9000</v>
      </c>
    </row>
    <row r="342" spans="1:7" ht="18" customHeight="1">
      <c r="A342" s="13"/>
      <c r="B342" s="13"/>
      <c r="C342" s="1028" t="s">
        <v>47</v>
      </c>
      <c r="D342" s="246" t="s">
        <v>55</v>
      </c>
      <c r="E342" s="248"/>
      <c r="F342" s="856"/>
      <c r="G342" s="391">
        <f>G343</f>
        <v>2384312</v>
      </c>
    </row>
    <row r="343" spans="1:7" ht="18" customHeight="1">
      <c r="A343" s="13"/>
      <c r="B343" s="13"/>
      <c r="C343" s="458" t="s">
        <v>398</v>
      </c>
      <c r="D343" s="246" t="s">
        <v>30</v>
      </c>
      <c r="E343" s="248">
        <v>14</v>
      </c>
      <c r="F343" s="856">
        <f>F121</f>
        <v>170308</v>
      </c>
      <c r="G343" s="190">
        <f>E343*F343</f>
        <v>2384312</v>
      </c>
    </row>
    <row r="344" spans="1:7" ht="35.25" customHeight="1">
      <c r="A344" s="13">
        <f>DTCT!A102</f>
        <v>3</v>
      </c>
      <c r="B344" s="13" t="str">
        <f>DTCT!B102</f>
        <v>QLD.10340</v>
      </c>
      <c r="C344" s="289" t="str">
        <f>DTCT!C102</f>
        <v>Kiểm tra định kỳ, khẩn cấp, cập nhật số liệu cầu đường và tình hình bão lũ</v>
      </c>
      <c r="D344" s="13" t="str">
        <f>DTCT!D102</f>
        <v>1km/1lần</v>
      </c>
      <c r="E344" s="137"/>
      <c r="F344" s="856"/>
      <c r="G344" s="138"/>
    </row>
    <row r="345" spans="1:7" ht="18" customHeight="1">
      <c r="A345" s="13"/>
      <c r="B345" s="13"/>
      <c r="C345" s="1028" t="s">
        <v>48</v>
      </c>
      <c r="D345" s="246" t="s">
        <v>55</v>
      </c>
      <c r="E345" s="247"/>
      <c r="F345" s="856"/>
      <c r="G345" s="391">
        <f>G346</f>
        <v>445.67500000000001</v>
      </c>
    </row>
    <row r="346" spans="1:7" ht="18" customHeight="1">
      <c r="A346" s="13"/>
      <c r="B346" s="13"/>
      <c r="C346" s="384" t="s">
        <v>393</v>
      </c>
      <c r="D346" s="246" t="s">
        <v>32</v>
      </c>
      <c r="E346" s="248">
        <v>2.5000000000000001E-2</v>
      </c>
      <c r="F346" s="856">
        <f>F124</f>
        <v>17827</v>
      </c>
      <c r="G346" s="190">
        <f>E346*F346</f>
        <v>445.67500000000001</v>
      </c>
    </row>
    <row r="347" spans="1:7" ht="18" customHeight="1">
      <c r="A347" s="13"/>
      <c r="B347" s="13"/>
      <c r="C347" s="1028" t="s">
        <v>47</v>
      </c>
      <c r="D347" s="246" t="s">
        <v>55</v>
      </c>
      <c r="E347" s="248"/>
      <c r="F347" s="856"/>
      <c r="G347" s="391">
        <f>G348</f>
        <v>7439.1459999999997</v>
      </c>
    </row>
    <row r="348" spans="1:7" ht="18" customHeight="1">
      <c r="A348" s="13"/>
      <c r="B348" s="13"/>
      <c r="C348" s="458" t="s">
        <v>399</v>
      </c>
      <c r="D348" s="246" t="s">
        <v>30</v>
      </c>
      <c r="E348" s="248">
        <v>3.6999999999999998E-2</v>
      </c>
      <c r="F348" s="856">
        <f>F126</f>
        <v>201058</v>
      </c>
      <c r="G348" s="190">
        <f>E348*F348</f>
        <v>7439.1459999999997</v>
      </c>
    </row>
    <row r="349" spans="1:7" ht="18" customHeight="1">
      <c r="A349" s="13">
        <f>DTCT!A103</f>
        <v>4</v>
      </c>
      <c r="B349" s="13" t="str">
        <f>DTCT!B103</f>
        <v>QLD.10410</v>
      </c>
      <c r="C349" s="289" t="str">
        <f>DTCT!C103</f>
        <v>Trực bão lũ</v>
      </c>
      <c r="D349" s="13" t="str">
        <f>DTCT!D103</f>
        <v>40km/năm</v>
      </c>
      <c r="E349" s="137"/>
      <c r="F349" s="856"/>
      <c r="G349" s="138"/>
    </row>
    <row r="350" spans="1:7" ht="18" customHeight="1">
      <c r="A350" s="13"/>
      <c r="B350" s="13"/>
      <c r="C350" s="1028" t="s">
        <v>47</v>
      </c>
      <c r="D350" s="246" t="s">
        <v>55</v>
      </c>
      <c r="E350" s="248"/>
      <c r="F350" s="856"/>
      <c r="G350" s="391">
        <f>G351</f>
        <v>30655360</v>
      </c>
    </row>
    <row r="351" spans="1:7" ht="18" customHeight="1">
      <c r="A351" s="13"/>
      <c r="B351" s="13"/>
      <c r="C351" s="458" t="s">
        <v>292</v>
      </c>
      <c r="D351" s="246" t="s">
        <v>30</v>
      </c>
      <c r="E351" s="248">
        <v>160</v>
      </c>
      <c r="F351" s="856">
        <f>F129</f>
        <v>191596</v>
      </c>
      <c r="G351" s="190">
        <f>E351*F351</f>
        <v>30655360</v>
      </c>
    </row>
    <row r="352" spans="1:7" ht="30.75" customHeight="1">
      <c r="A352" s="13">
        <f>DTCT!A104</f>
        <v>5</v>
      </c>
      <c r="B352" s="13" t="str">
        <f>DTCT!B104</f>
        <v>QLD.10610</v>
      </c>
      <c r="C352" s="289" t="str">
        <f>DTCT!C104</f>
        <v>Quản lý hành lang an toàn đường bộ và đấu nối</v>
      </c>
      <c r="D352" s="13" t="str">
        <f>DTCT!D104</f>
        <v>1km/năm</v>
      </c>
      <c r="E352" s="137"/>
      <c r="F352" s="856"/>
      <c r="G352" s="138"/>
    </row>
    <row r="353" spans="1:7" ht="18" customHeight="1">
      <c r="A353" s="13"/>
      <c r="B353" s="13"/>
      <c r="C353" s="1028" t="s">
        <v>47</v>
      </c>
      <c r="D353" s="246" t="s">
        <v>55</v>
      </c>
      <c r="E353" s="248"/>
      <c r="F353" s="856"/>
      <c r="G353" s="391">
        <f>G354</f>
        <v>402116</v>
      </c>
    </row>
    <row r="354" spans="1:7" ht="18" customHeight="1">
      <c r="A354" s="13"/>
      <c r="B354" s="13"/>
      <c r="C354" s="458" t="s">
        <v>399</v>
      </c>
      <c r="D354" s="246" t="s">
        <v>30</v>
      </c>
      <c r="E354" s="248">
        <v>2</v>
      </c>
      <c r="F354" s="856">
        <f>F132</f>
        <v>201058</v>
      </c>
      <c r="G354" s="190">
        <f>E354*F354</f>
        <v>402116</v>
      </c>
    </row>
    <row r="355" spans="1:7" ht="18" customHeight="1">
      <c r="A355" s="13">
        <f>DTCT!A105</f>
        <v>6</v>
      </c>
      <c r="B355" s="13" t="str">
        <f>DTCT!B105</f>
        <v>BDD.20410</v>
      </c>
      <c r="C355" s="289" t="str">
        <f>DTCT!C105</f>
        <v>Cắt cỏ bằng máy</v>
      </c>
      <c r="D355" s="13" t="str">
        <f>DTCT!D105</f>
        <v>1km/1lần</v>
      </c>
      <c r="E355" s="137"/>
      <c r="F355" s="856"/>
      <c r="G355" s="138"/>
    </row>
    <row r="356" spans="1:7" ht="18" customHeight="1">
      <c r="A356" s="13"/>
      <c r="B356" s="13"/>
      <c r="C356" s="1028" t="s">
        <v>48</v>
      </c>
      <c r="D356" s="246" t="s">
        <v>55</v>
      </c>
      <c r="E356" s="247"/>
      <c r="F356" s="856"/>
      <c r="G356" s="391">
        <f>G357</f>
        <v>8000</v>
      </c>
    </row>
    <row r="357" spans="1:7" ht="18" customHeight="1">
      <c r="A357" s="13"/>
      <c r="B357" s="13"/>
      <c r="C357" s="384" t="s">
        <v>400</v>
      </c>
      <c r="D357" s="246" t="s">
        <v>411</v>
      </c>
      <c r="E357" s="248">
        <v>0.2</v>
      </c>
      <c r="F357" s="856">
        <f>F135</f>
        <v>40000</v>
      </c>
      <c r="G357" s="190">
        <f>E357*F357</f>
        <v>8000</v>
      </c>
    </row>
    <row r="358" spans="1:7" ht="18" customHeight="1">
      <c r="A358" s="13"/>
      <c r="B358" s="13"/>
      <c r="C358" s="1028" t="s">
        <v>49</v>
      </c>
      <c r="D358" s="246" t="s">
        <v>55</v>
      </c>
      <c r="E358" s="247"/>
      <c r="F358" s="856"/>
      <c r="G358" s="391">
        <f>G359</f>
        <v>49341.599999999999</v>
      </c>
    </row>
    <row r="359" spans="1:7" ht="18" customHeight="1">
      <c r="A359" s="13"/>
      <c r="B359" s="13"/>
      <c r="C359" s="384" t="s">
        <v>1017</v>
      </c>
      <c r="D359" s="246" t="s">
        <v>291</v>
      </c>
      <c r="E359" s="248">
        <v>0.9</v>
      </c>
      <c r="F359" s="856">
        <f>F137</f>
        <v>54824</v>
      </c>
      <c r="G359" s="190">
        <f>E359*F359</f>
        <v>49341.599999999999</v>
      </c>
    </row>
    <row r="360" spans="1:7" ht="18" customHeight="1">
      <c r="A360" s="13">
        <f>DTCT!A106</f>
        <v>7</v>
      </c>
      <c r="B360" s="13" t="str">
        <f>DTCT!B106</f>
        <v>BDD.20510</v>
      </c>
      <c r="C360" s="289" t="str">
        <f>DTCT!C106</f>
        <v>Phát quang cây cỏ bằng thủ công</v>
      </c>
      <c r="D360" s="13" t="str">
        <f>DTCT!D106</f>
        <v>1km/1lần</v>
      </c>
      <c r="E360" s="137"/>
      <c r="F360" s="856"/>
      <c r="G360" s="138"/>
    </row>
    <row r="361" spans="1:7" ht="18" customHeight="1">
      <c r="A361" s="13"/>
      <c r="B361" s="13"/>
      <c r="C361" s="1028" t="s">
        <v>47</v>
      </c>
      <c r="D361" s="246" t="s">
        <v>55</v>
      </c>
      <c r="E361" s="248"/>
      <c r="F361" s="856"/>
      <c r="G361" s="391">
        <f>G362</f>
        <v>899226.24</v>
      </c>
    </row>
    <row r="362" spans="1:7" ht="18" customHeight="1">
      <c r="A362" s="13"/>
      <c r="B362" s="13"/>
      <c r="C362" s="1029" t="s">
        <v>398</v>
      </c>
      <c r="D362" s="1025" t="s">
        <v>30</v>
      </c>
      <c r="E362" s="1026">
        <v>5.28</v>
      </c>
      <c r="F362" s="856">
        <f>F140</f>
        <v>170308</v>
      </c>
      <c r="G362" s="190">
        <f>E362*F362</f>
        <v>899226.24</v>
      </c>
    </row>
    <row r="363" spans="1:7" ht="18" customHeight="1">
      <c r="A363" s="13">
        <f>DTCT!A107</f>
        <v>8</v>
      </c>
      <c r="B363" s="13" t="str">
        <f>DTCT!B107</f>
        <v>BDD.22310</v>
      </c>
      <c r="C363" s="289" t="str">
        <f>DTCT!C107</f>
        <v>Nắn sửa cọc tiêu, cọc MLG</v>
      </c>
      <c r="D363" s="13" t="str">
        <f>DTCT!D107</f>
        <v>1 cọc</v>
      </c>
      <c r="E363" s="137"/>
      <c r="F363" s="856"/>
      <c r="G363" s="138"/>
    </row>
    <row r="364" spans="1:7" ht="18" customHeight="1">
      <c r="A364" s="13"/>
      <c r="B364" s="13"/>
      <c r="C364" s="1028" t="s">
        <v>47</v>
      </c>
      <c r="D364" s="246" t="s">
        <v>55</v>
      </c>
      <c r="E364" s="248"/>
      <c r="F364" s="856"/>
      <c r="G364" s="391">
        <f>G365</f>
        <v>10218.48</v>
      </c>
    </row>
    <row r="365" spans="1:7" ht="18" customHeight="1">
      <c r="A365" s="13"/>
      <c r="B365" s="13"/>
      <c r="C365" s="458" t="s">
        <v>398</v>
      </c>
      <c r="D365" s="246" t="s">
        <v>30</v>
      </c>
      <c r="E365" s="248">
        <v>0.06</v>
      </c>
      <c r="F365" s="856">
        <f>F143</f>
        <v>170308</v>
      </c>
      <c r="G365" s="190">
        <f>E365*F365</f>
        <v>10218.48</v>
      </c>
    </row>
    <row r="366" spans="1:7" ht="18" customHeight="1">
      <c r="A366" s="13">
        <f>DTCT!A108</f>
        <v>9</v>
      </c>
      <c r="B366" s="13" t="str">
        <f>DTCT!B108</f>
        <v>BDD.22410</v>
      </c>
      <c r="C366" s="289" t="str">
        <f>DTCT!C108</f>
        <v>Nắn sửa cột Km</v>
      </c>
      <c r="D366" s="13" t="str">
        <f>DTCT!D108</f>
        <v>1 cột</v>
      </c>
      <c r="E366" s="137"/>
      <c r="F366" s="856"/>
      <c r="G366" s="138"/>
    </row>
    <row r="367" spans="1:7" ht="18" customHeight="1">
      <c r="A367" s="13"/>
      <c r="B367" s="13"/>
      <c r="C367" s="1028" t="s">
        <v>47</v>
      </c>
      <c r="D367" s="246" t="s">
        <v>55</v>
      </c>
      <c r="E367" s="248"/>
      <c r="F367" s="856"/>
      <c r="G367" s="391">
        <f>G368</f>
        <v>20436.96</v>
      </c>
    </row>
    <row r="368" spans="1:7" ht="18" customHeight="1">
      <c r="A368" s="13"/>
      <c r="B368" s="13"/>
      <c r="C368" s="458" t="s">
        <v>398</v>
      </c>
      <c r="D368" s="246" t="s">
        <v>30</v>
      </c>
      <c r="E368" s="248">
        <v>0.12</v>
      </c>
      <c r="F368" s="856">
        <f>F146</f>
        <v>170308</v>
      </c>
      <c r="G368" s="190">
        <f>E368*F368</f>
        <v>20436.96</v>
      </c>
    </row>
    <row r="369" spans="1:7" ht="18" customHeight="1">
      <c r="A369" s="13">
        <f>DTCT!A109</f>
        <v>10</v>
      </c>
      <c r="B369" s="13" t="str">
        <f>DTCT!B109</f>
        <v>BDD.22510</v>
      </c>
      <c r="C369" s="289" t="str">
        <f>DTCT!C109</f>
        <v>Nắn chỉnh, tu sửa biển báo</v>
      </c>
      <c r="D369" s="13" t="str">
        <f>DTCT!D109</f>
        <v>1 cột</v>
      </c>
      <c r="E369" s="137"/>
      <c r="F369" s="856"/>
      <c r="G369" s="138"/>
    </row>
    <row r="370" spans="1:7" ht="18" customHeight="1">
      <c r="A370" s="13"/>
      <c r="B370" s="13"/>
      <c r="C370" s="1028" t="s">
        <v>47</v>
      </c>
      <c r="D370" s="246" t="s">
        <v>55</v>
      </c>
      <c r="E370" s="248"/>
      <c r="F370" s="856"/>
      <c r="G370" s="391">
        <f>G371</f>
        <v>38319.300000000003</v>
      </c>
    </row>
    <row r="371" spans="1:7" ht="18" customHeight="1">
      <c r="A371" s="13"/>
      <c r="B371" s="13"/>
      <c r="C371" s="458" t="s">
        <v>398</v>
      </c>
      <c r="D371" s="246" t="s">
        <v>30</v>
      </c>
      <c r="E371" s="248">
        <v>0.22500000000000001</v>
      </c>
      <c r="F371" s="856">
        <f>F149</f>
        <v>170308</v>
      </c>
      <c r="G371" s="190">
        <f>E371*F371</f>
        <v>38319.300000000003</v>
      </c>
    </row>
    <row r="372" spans="1:7" ht="28.5" customHeight="1">
      <c r="A372" s="13">
        <f>+DTCT!A110</f>
        <v>11</v>
      </c>
      <c r="B372" s="13" t="str">
        <f>+DTCT!B110</f>
        <v>BDD.203210</v>
      </c>
      <c r="C372" s="289" t="str">
        <f>+DTCT!C110</f>
        <v>Bạt lề đường bằng máy</v>
      </c>
      <c r="D372" s="13" t="str">
        <f>+DTCT!D110</f>
        <v>100md</v>
      </c>
      <c r="E372" s="392"/>
      <c r="F372" s="856"/>
      <c r="G372" s="392"/>
    </row>
    <row r="373" spans="1:7" ht="18" customHeight="1">
      <c r="A373" s="13"/>
      <c r="B373" s="13"/>
      <c r="C373" s="1028" t="s">
        <v>49</v>
      </c>
      <c r="D373" s="13"/>
      <c r="E373" s="248"/>
      <c r="F373" s="856"/>
      <c r="G373" s="393">
        <f>+G374</f>
        <v>3154.1489999999999</v>
      </c>
    </row>
    <row r="374" spans="1:7" ht="18" customHeight="1">
      <c r="A374" s="13"/>
      <c r="B374" s="13"/>
      <c r="C374" s="384" t="s">
        <v>504</v>
      </c>
      <c r="D374" s="13" t="s">
        <v>1018</v>
      </c>
      <c r="E374" s="248">
        <v>3.0000000000000001E-3</v>
      </c>
      <c r="F374" s="856">
        <f>F152</f>
        <v>1051383</v>
      </c>
      <c r="G374" s="190">
        <f>+E374*F374</f>
        <v>3154.1489999999999</v>
      </c>
    </row>
    <row r="375" spans="1:7" ht="18" customHeight="1">
      <c r="A375" s="13">
        <f>+DTCT!A111</f>
        <v>12</v>
      </c>
      <c r="B375" s="13" t="str">
        <f>+DTCT!B111</f>
        <v>BDD.21312</v>
      </c>
      <c r="C375" s="289" t="str">
        <f>+DTCT!C111</f>
        <v>Vệ sinh mặt đường bằng thủ công</v>
      </c>
      <c r="D375" s="13" t="str">
        <f>+DTCT!D111</f>
        <v>lần/km</v>
      </c>
      <c r="E375" s="248"/>
      <c r="F375" s="856">
        <f>F153</f>
        <v>0</v>
      </c>
      <c r="G375" s="190"/>
    </row>
    <row r="376" spans="1:7" ht="18" customHeight="1">
      <c r="A376" s="13"/>
      <c r="B376" s="13"/>
      <c r="C376" s="1028" t="s">
        <v>48</v>
      </c>
      <c r="D376" s="246" t="s">
        <v>55</v>
      </c>
      <c r="E376" s="247"/>
      <c r="F376" s="856"/>
      <c r="G376" s="391">
        <f>G377</f>
        <v>2000</v>
      </c>
    </row>
    <row r="377" spans="1:7" ht="18" customHeight="1">
      <c r="A377" s="13"/>
      <c r="B377" s="13"/>
      <c r="C377" s="384" t="s">
        <v>401</v>
      </c>
      <c r="D377" s="246" t="s">
        <v>402</v>
      </c>
      <c r="E377" s="248">
        <v>0.1</v>
      </c>
      <c r="F377" s="856">
        <f>F155</f>
        <v>20000</v>
      </c>
      <c r="G377" s="266">
        <f>E377*F377</f>
        <v>2000</v>
      </c>
    </row>
    <row r="378" spans="1:7" ht="18" customHeight="1">
      <c r="A378" s="13"/>
      <c r="B378" s="13"/>
      <c r="C378" s="1028" t="s">
        <v>47</v>
      </c>
      <c r="D378" s="246" t="s">
        <v>55</v>
      </c>
      <c r="E378" s="248"/>
      <c r="F378" s="856"/>
      <c r="G378" s="391">
        <f>G379</f>
        <v>697788.75</v>
      </c>
    </row>
    <row r="379" spans="1:7" ht="18" customHeight="1">
      <c r="A379" s="13"/>
      <c r="B379" s="13"/>
      <c r="C379" s="458" t="s">
        <v>403</v>
      </c>
      <c r="D379" s="246" t="s">
        <v>30</v>
      </c>
      <c r="E379" s="248">
        <v>3.75</v>
      </c>
      <c r="F379" s="856">
        <f>F157</f>
        <v>186077</v>
      </c>
      <c r="G379" s="190">
        <f>E379*F379</f>
        <v>697788.75</v>
      </c>
    </row>
    <row r="380" spans="1:7" ht="18" customHeight="1">
      <c r="A380" s="13">
        <f>+DTCT!A112</f>
        <v>13</v>
      </c>
      <c r="B380" s="13" t="str">
        <f>+DTCT!B112</f>
        <v>BDD.22910</v>
      </c>
      <c r="C380" s="289" t="str">
        <f>+DTCT!C112</f>
        <v>Vệ sinh mặt biển phản quang</v>
      </c>
      <c r="D380" s="13" t="str">
        <f>+DTCT!D112</f>
        <v>m2</v>
      </c>
      <c r="E380" s="248"/>
      <c r="F380" s="856"/>
      <c r="G380" s="190"/>
    </row>
    <row r="381" spans="1:7" ht="18" customHeight="1">
      <c r="A381" s="13"/>
      <c r="B381" s="13"/>
      <c r="C381" s="1028" t="s">
        <v>47</v>
      </c>
      <c r="D381" s="246" t="s">
        <v>55</v>
      </c>
      <c r="E381" s="248"/>
      <c r="F381" s="856"/>
      <c r="G381" s="391">
        <f>G382</f>
        <v>9579.8000000000011</v>
      </c>
    </row>
    <row r="382" spans="1:7" ht="18" customHeight="1">
      <c r="A382" s="13"/>
      <c r="B382" s="13"/>
      <c r="C382" s="458" t="s">
        <v>292</v>
      </c>
      <c r="D382" s="246" t="s">
        <v>30</v>
      </c>
      <c r="E382" s="248">
        <v>0.05</v>
      </c>
      <c r="F382" s="856">
        <f>F160</f>
        <v>191596</v>
      </c>
      <c r="G382" s="190">
        <f>E382*F382</f>
        <v>9579.8000000000011</v>
      </c>
    </row>
    <row r="383" spans="1:7" ht="32.25" customHeight="1">
      <c r="A383" s="13"/>
      <c r="B383" s="13"/>
      <c r="C383" s="287" t="str">
        <f>DTCT!C113</f>
        <v>CÔNG TÁC BẢO DƯỠNG CẦU L &lt;= 300M</v>
      </c>
      <c r="D383" s="13"/>
      <c r="E383" s="137"/>
      <c r="F383" s="856"/>
      <c r="G383" s="138"/>
    </row>
    <row r="384" spans="1:7" ht="18" customHeight="1">
      <c r="A384" s="13">
        <f>DTCT!A114</f>
        <v>14</v>
      </c>
      <c r="B384" s="13" t="str">
        <f>DTCT!B114</f>
        <v>BDC.20610</v>
      </c>
      <c r="C384" s="289" t="str">
        <f>DTCT!C114</f>
        <v>Vệ sinh mặt cầu, ống thoát nước</v>
      </c>
      <c r="D384" s="13" t="str">
        <f>DTCT!D114</f>
        <v>10m2</v>
      </c>
      <c r="E384" s="137"/>
      <c r="F384" s="856"/>
      <c r="G384" s="138"/>
    </row>
    <row r="385" spans="1:7" ht="18" customHeight="1">
      <c r="A385" s="13"/>
      <c r="B385" s="13"/>
      <c r="C385" s="1028" t="s">
        <v>48</v>
      </c>
      <c r="D385" s="246" t="s">
        <v>55</v>
      </c>
      <c r="E385" s="247"/>
      <c r="F385" s="856"/>
      <c r="G385" s="391">
        <f>G386</f>
        <v>2</v>
      </c>
    </row>
    <row r="386" spans="1:7" ht="18" customHeight="1">
      <c r="A386" s="13"/>
      <c r="B386" s="13"/>
      <c r="C386" s="384" t="s">
        <v>401</v>
      </c>
      <c r="D386" s="246" t="s">
        <v>402</v>
      </c>
      <c r="E386" s="248">
        <v>1E-4</v>
      </c>
      <c r="F386" s="856">
        <f>F164</f>
        <v>20000</v>
      </c>
      <c r="G386" s="190">
        <f>E386*F386</f>
        <v>2</v>
      </c>
    </row>
    <row r="387" spans="1:7" ht="18" customHeight="1">
      <c r="A387" s="13"/>
      <c r="B387" s="13"/>
      <c r="C387" s="1028" t="s">
        <v>47</v>
      </c>
      <c r="D387" s="246" t="s">
        <v>55</v>
      </c>
      <c r="E387" s="248"/>
      <c r="F387" s="856"/>
      <c r="G387" s="391">
        <f>G388</f>
        <v>8931.6959999999999</v>
      </c>
    </row>
    <row r="388" spans="1:7" ht="18" customHeight="1">
      <c r="A388" s="13"/>
      <c r="B388" s="13"/>
      <c r="C388" s="458" t="s">
        <v>403</v>
      </c>
      <c r="D388" s="246" t="s">
        <v>30</v>
      </c>
      <c r="E388" s="248">
        <v>4.8000000000000001E-2</v>
      </c>
      <c r="F388" s="856">
        <f>F166</f>
        <v>186077</v>
      </c>
      <c r="G388" s="190">
        <f>E388*F388</f>
        <v>8931.6959999999999</v>
      </c>
    </row>
    <row r="389" spans="1:7" ht="18" customHeight="1">
      <c r="A389" s="13">
        <f>DTCT!A115</f>
        <v>15</v>
      </c>
      <c r="B389" s="13" t="str">
        <f>DTCT!B115</f>
        <v>BDC.20910</v>
      </c>
      <c r="C389" s="289" t="str">
        <f>DTCT!C115</f>
        <v>Vệ sinh khe co dãn cao su</v>
      </c>
      <c r="D389" s="13" t="str">
        <f>DTCT!D115</f>
        <v>1md</v>
      </c>
      <c r="E389" s="137"/>
      <c r="F389" s="856"/>
      <c r="G389" s="138"/>
    </row>
    <row r="390" spans="1:7" ht="18" customHeight="1">
      <c r="A390" s="13"/>
      <c r="B390" s="13"/>
      <c r="C390" s="1028" t="s">
        <v>47</v>
      </c>
      <c r="D390" s="246" t="s">
        <v>55</v>
      </c>
      <c r="E390" s="248"/>
      <c r="F390" s="856"/>
      <c r="G390" s="391">
        <f>G391</f>
        <v>11580.944000000001</v>
      </c>
    </row>
    <row r="391" spans="1:7" ht="18" customHeight="1">
      <c r="A391" s="13"/>
      <c r="B391" s="13"/>
      <c r="C391" s="458" t="s">
        <v>398</v>
      </c>
      <c r="D391" s="246" t="s">
        <v>30</v>
      </c>
      <c r="E391" s="248">
        <v>6.8000000000000005E-2</v>
      </c>
      <c r="F391" s="856">
        <f>F169</f>
        <v>170308</v>
      </c>
      <c r="G391" s="190">
        <f>E391*F391</f>
        <v>11580.944000000001</v>
      </c>
    </row>
    <row r="392" spans="1:7" ht="18" customHeight="1">
      <c r="A392" s="13">
        <f>DTCT!A116</f>
        <v>16</v>
      </c>
      <c r="B392" s="13" t="str">
        <f>DTCT!B116</f>
        <v>BDC.21010</v>
      </c>
      <c r="C392" s="289" t="str">
        <f>DTCT!C116</f>
        <v>Vệ sinh mố cầu</v>
      </c>
      <c r="D392" s="13" t="str">
        <f>DTCT!D116</f>
        <v>m2</v>
      </c>
      <c r="E392" s="137"/>
      <c r="F392" s="856"/>
      <c r="G392" s="138"/>
    </row>
    <row r="393" spans="1:7" ht="18" customHeight="1">
      <c r="A393" s="13"/>
      <c r="B393" s="13"/>
      <c r="C393" s="1028" t="s">
        <v>47</v>
      </c>
      <c r="D393" s="246" t="s">
        <v>55</v>
      </c>
      <c r="E393" s="248"/>
      <c r="F393" s="856"/>
      <c r="G393" s="391">
        <f>G394</f>
        <v>86218.2</v>
      </c>
    </row>
    <row r="394" spans="1:7" ht="18" customHeight="1">
      <c r="A394" s="13"/>
      <c r="B394" s="13"/>
      <c r="C394" s="458" t="s">
        <v>292</v>
      </c>
      <c r="D394" s="246" t="s">
        <v>30</v>
      </c>
      <c r="E394" s="248">
        <v>0.45</v>
      </c>
      <c r="F394" s="856">
        <f>F172</f>
        <v>191596</v>
      </c>
      <c r="G394" s="190">
        <f>E394*F394</f>
        <v>86218.2</v>
      </c>
    </row>
    <row r="395" spans="1:7" ht="18" customHeight="1">
      <c r="A395" s="13">
        <f>DTCT!A117</f>
        <v>17</v>
      </c>
      <c r="B395" s="13" t="str">
        <f>DTCT!B117</f>
        <v>BDC.21710</v>
      </c>
      <c r="C395" s="289" t="str">
        <f>DTCT!C117</f>
        <v>Phát quang cây dại</v>
      </c>
      <c r="D395" s="13" t="str">
        <f>DTCT!D117</f>
        <v>100m2</v>
      </c>
      <c r="E395" s="137"/>
      <c r="F395" s="856"/>
      <c r="G395" s="138"/>
    </row>
    <row r="396" spans="1:7" ht="18" customHeight="1">
      <c r="A396" s="13"/>
      <c r="B396" s="13"/>
      <c r="C396" s="1028" t="s">
        <v>47</v>
      </c>
      <c r="D396" s="246" t="s">
        <v>55</v>
      </c>
      <c r="E396" s="248"/>
      <c r="F396" s="856"/>
      <c r="G396" s="391">
        <f>G397</f>
        <v>729940.08799999987</v>
      </c>
    </row>
    <row r="397" spans="1:7" ht="18" customHeight="1">
      <c r="A397" s="13"/>
      <c r="B397" s="13"/>
      <c r="C397" s="458" t="s">
        <v>398</v>
      </c>
      <c r="D397" s="246" t="s">
        <v>30</v>
      </c>
      <c r="E397" s="248">
        <v>4.2859999999999996</v>
      </c>
      <c r="F397" s="856">
        <f>F175</f>
        <v>170308</v>
      </c>
      <c r="G397" s="190">
        <f>E397*F397</f>
        <v>729940.08799999987</v>
      </c>
    </row>
    <row r="398" spans="1:7" ht="40.5" customHeight="1">
      <c r="A398" s="13"/>
      <c r="B398" s="13"/>
      <c r="C398" s="287" t="str">
        <f>DTCT!C118</f>
        <v>CÔNG TÁC QUẢN LÝ CẦU CẦU L &lt;= 300M</v>
      </c>
      <c r="D398" s="13"/>
      <c r="E398" s="137"/>
      <c r="F398" s="856"/>
      <c r="G398" s="138"/>
    </row>
    <row r="399" spans="1:7" ht="18" customHeight="1">
      <c r="A399" s="13"/>
      <c r="B399" s="13"/>
      <c r="C399" s="287" t="str">
        <f>DTCT!C119</f>
        <v>Cầu &lt; 50m</v>
      </c>
      <c r="D399" s="13"/>
      <c r="E399" s="137"/>
      <c r="F399" s="856"/>
      <c r="G399" s="138"/>
    </row>
    <row r="400" spans="1:7" ht="18" customHeight="1">
      <c r="A400" s="13">
        <f>DTCT!A120</f>
        <v>18</v>
      </c>
      <c r="B400" s="13" t="str">
        <f>DTCT!B120</f>
        <v>QLC.10140</v>
      </c>
      <c r="C400" s="289" t="str">
        <f>DTCT!C120</f>
        <v>Kiểm tra cầu</v>
      </c>
      <c r="D400" s="13" t="str">
        <f>DTCT!D120</f>
        <v>cầu/năm</v>
      </c>
      <c r="E400" s="137"/>
      <c r="F400" s="856"/>
      <c r="G400" s="138"/>
    </row>
    <row r="401" spans="1:7" ht="18" customHeight="1">
      <c r="A401" s="13"/>
      <c r="B401" s="13"/>
      <c r="C401" s="1028" t="s">
        <v>48</v>
      </c>
      <c r="D401" s="246" t="s">
        <v>55</v>
      </c>
      <c r="E401" s="247"/>
      <c r="F401" s="856"/>
      <c r="G401" s="391">
        <f>G402+G403</f>
        <v>39000</v>
      </c>
    </row>
    <row r="402" spans="1:7" ht="18" customHeight="1">
      <c r="A402" s="13"/>
      <c r="B402" s="13"/>
      <c r="C402" s="384" t="s">
        <v>404</v>
      </c>
      <c r="D402" s="246" t="s">
        <v>405</v>
      </c>
      <c r="E402" s="248">
        <v>1</v>
      </c>
      <c r="F402" s="856">
        <f>F180</f>
        <v>3000</v>
      </c>
      <c r="G402" s="190">
        <f>E402*F402</f>
        <v>3000</v>
      </c>
    </row>
    <row r="403" spans="1:7" ht="18" customHeight="1">
      <c r="A403" s="13"/>
      <c r="B403" s="13"/>
      <c r="C403" s="384" t="s">
        <v>406</v>
      </c>
      <c r="D403" s="246" t="s">
        <v>17</v>
      </c>
      <c r="E403" s="248">
        <v>12</v>
      </c>
      <c r="F403" s="856">
        <f>F181</f>
        <v>3000</v>
      </c>
      <c r="G403" s="190">
        <f>E403*F403</f>
        <v>36000</v>
      </c>
    </row>
    <row r="404" spans="1:7" ht="18" customHeight="1">
      <c r="A404" s="13"/>
      <c r="B404" s="13"/>
      <c r="C404" s="1028" t="s">
        <v>47</v>
      </c>
      <c r="D404" s="246" t="s">
        <v>55</v>
      </c>
      <c r="E404" s="248"/>
      <c r="F404" s="856"/>
      <c r="G404" s="391">
        <f>G405</f>
        <v>804232</v>
      </c>
    </row>
    <row r="405" spans="1:7" ht="18" customHeight="1">
      <c r="A405" s="13"/>
      <c r="B405" s="13"/>
      <c r="C405" s="458" t="s">
        <v>399</v>
      </c>
      <c r="D405" s="246" t="s">
        <v>30</v>
      </c>
      <c r="E405" s="248">
        <v>4</v>
      </c>
      <c r="F405" s="856">
        <f>F183</f>
        <v>201058</v>
      </c>
      <c r="G405" s="190">
        <f>E405*F405</f>
        <v>804232</v>
      </c>
    </row>
    <row r="406" spans="1:7" ht="18" customHeight="1">
      <c r="A406" s="13">
        <f>DTCT!A121</f>
        <v>19</v>
      </c>
      <c r="B406" s="13" t="str">
        <f>DTCT!B121</f>
        <v>QLC.10340</v>
      </c>
      <c r="C406" s="289" t="str">
        <f>DTCT!C121</f>
        <v>Kiểm tra trước và sau mùa mưa bão</v>
      </c>
      <c r="D406" s="13" t="str">
        <f>DTCT!D121</f>
        <v>cầu/năm</v>
      </c>
      <c r="E406" s="137"/>
      <c r="F406" s="856"/>
      <c r="G406" s="138"/>
    </row>
    <row r="407" spans="1:7" ht="18" customHeight="1">
      <c r="A407" s="13"/>
      <c r="B407" s="13"/>
      <c r="C407" s="1028" t="s">
        <v>48</v>
      </c>
      <c r="D407" s="246" t="s">
        <v>55</v>
      </c>
      <c r="E407" s="247"/>
      <c r="F407" s="856"/>
      <c r="G407" s="391">
        <f>G408+G409</f>
        <v>6501</v>
      </c>
    </row>
    <row r="408" spans="1:7" ht="18" customHeight="1">
      <c r="A408" s="13"/>
      <c r="B408" s="13"/>
      <c r="C408" s="384" t="s">
        <v>404</v>
      </c>
      <c r="D408" s="246" t="s">
        <v>405</v>
      </c>
      <c r="E408" s="248">
        <v>0.16700000000000001</v>
      </c>
      <c r="F408" s="856">
        <f>F186</f>
        <v>3000</v>
      </c>
      <c r="G408" s="190">
        <f>E408*F408</f>
        <v>501.00000000000006</v>
      </c>
    </row>
    <row r="409" spans="1:7" ht="18" customHeight="1">
      <c r="A409" s="13"/>
      <c r="B409" s="13"/>
      <c r="C409" s="384" t="s">
        <v>406</v>
      </c>
      <c r="D409" s="246" t="s">
        <v>17</v>
      </c>
      <c r="E409" s="248">
        <v>2</v>
      </c>
      <c r="F409" s="856">
        <f>F187</f>
        <v>3000</v>
      </c>
      <c r="G409" s="190">
        <f>E409*F409</f>
        <v>6000</v>
      </c>
    </row>
    <row r="410" spans="1:7" ht="18" customHeight="1">
      <c r="A410" s="13"/>
      <c r="B410" s="13"/>
      <c r="C410" s="1028" t="s">
        <v>47</v>
      </c>
      <c r="D410" s="246" t="s">
        <v>55</v>
      </c>
      <c r="E410" s="248"/>
      <c r="F410" s="856"/>
      <c r="G410" s="391">
        <f>G411</f>
        <v>201058</v>
      </c>
    </row>
    <row r="411" spans="1:7" ht="18" customHeight="1">
      <c r="A411" s="13"/>
      <c r="B411" s="13"/>
      <c r="C411" s="458" t="s">
        <v>399</v>
      </c>
      <c r="D411" s="246" t="s">
        <v>30</v>
      </c>
      <c r="E411" s="248">
        <v>1</v>
      </c>
      <c r="F411" s="856">
        <f>F189</f>
        <v>201058</v>
      </c>
      <c r="G411" s="190">
        <f>E411*F411</f>
        <v>201058</v>
      </c>
    </row>
    <row r="412" spans="1:7" ht="18" customHeight="1">
      <c r="A412" s="13">
        <f>DTCT!A122</f>
        <v>20</v>
      </c>
      <c r="B412" s="13" t="str">
        <f>DTCT!B122</f>
        <v>QLC.10440</v>
      </c>
      <c r="C412" s="289" t="str">
        <f>DTCT!C122</f>
        <v>Quản lý hồ sơ trên vi tính</v>
      </c>
      <c r="D412" s="13" t="str">
        <f>DTCT!D122</f>
        <v>cầu/năm</v>
      </c>
      <c r="E412" s="137"/>
      <c r="F412" s="856"/>
      <c r="G412" s="138"/>
    </row>
    <row r="413" spans="1:7" ht="18" customHeight="1">
      <c r="A413" s="13"/>
      <c r="B413" s="13"/>
      <c r="C413" s="1028" t="s">
        <v>47</v>
      </c>
      <c r="D413" s="246" t="s">
        <v>55</v>
      </c>
      <c r="E413" s="248"/>
      <c r="F413" s="856"/>
      <c r="G413" s="391">
        <f>G414</f>
        <v>237327</v>
      </c>
    </row>
    <row r="414" spans="1:7" ht="18" customHeight="1">
      <c r="A414" s="13"/>
      <c r="B414" s="13"/>
      <c r="C414" s="458" t="s">
        <v>394</v>
      </c>
      <c r="D414" s="246" t="s">
        <v>30</v>
      </c>
      <c r="E414" s="248">
        <v>1</v>
      </c>
      <c r="F414" s="856">
        <f>F192</f>
        <v>237327</v>
      </c>
      <c r="G414" s="190">
        <f>E414*F414</f>
        <v>237327</v>
      </c>
    </row>
    <row r="415" spans="1:7" ht="18" customHeight="1">
      <c r="A415" s="13"/>
      <c r="B415" s="13"/>
      <c r="C415" s="287" t="str">
        <f>DTCT!C123</f>
        <v>Cầu 50m - 100m</v>
      </c>
      <c r="D415" s="13"/>
      <c r="E415" s="137"/>
      <c r="F415" s="856"/>
      <c r="G415" s="138"/>
    </row>
    <row r="416" spans="1:7" ht="18" customHeight="1">
      <c r="A416" s="13">
        <f>DTCT!A124</f>
        <v>21</v>
      </c>
      <c r="B416" s="13" t="str">
        <f>DTCT!B124</f>
        <v>QLC.10130</v>
      </c>
      <c r="C416" s="289" t="str">
        <f>DTCT!C124</f>
        <v>Kiểm tra cầu</v>
      </c>
      <c r="D416" s="13" t="str">
        <f>DTCT!D124</f>
        <v>cầu/năm</v>
      </c>
      <c r="E416" s="137"/>
      <c r="F416" s="856"/>
      <c r="G416" s="138"/>
    </row>
    <row r="417" spans="1:7" ht="18" customHeight="1">
      <c r="A417" s="13"/>
      <c r="B417" s="13"/>
      <c r="C417" s="1028" t="s">
        <v>48</v>
      </c>
      <c r="D417" s="246" t="s">
        <v>55</v>
      </c>
      <c r="E417" s="247"/>
      <c r="F417" s="856"/>
      <c r="G417" s="391">
        <f>G418+G419</f>
        <v>45000</v>
      </c>
    </row>
    <row r="418" spans="1:7" ht="18" customHeight="1">
      <c r="A418" s="13"/>
      <c r="B418" s="13"/>
      <c r="C418" s="384" t="s">
        <v>404</v>
      </c>
      <c r="D418" s="246" t="s">
        <v>405</v>
      </c>
      <c r="E418" s="248">
        <v>3</v>
      </c>
      <c r="F418" s="856">
        <f>F196</f>
        <v>3000</v>
      </c>
      <c r="G418" s="190">
        <f>E418*F418</f>
        <v>9000</v>
      </c>
    </row>
    <row r="419" spans="1:7" ht="18" customHeight="1">
      <c r="A419" s="13"/>
      <c r="B419" s="13"/>
      <c r="C419" s="384" t="s">
        <v>406</v>
      </c>
      <c r="D419" s="246" t="s">
        <v>17</v>
      </c>
      <c r="E419" s="248">
        <v>12</v>
      </c>
      <c r="F419" s="856">
        <f>F197</f>
        <v>3000</v>
      </c>
      <c r="G419" s="190">
        <f>E419*F419</f>
        <v>36000</v>
      </c>
    </row>
    <row r="420" spans="1:7" ht="18" customHeight="1">
      <c r="A420" s="13"/>
      <c r="B420" s="13"/>
      <c r="C420" s="1028" t="s">
        <v>47</v>
      </c>
      <c r="D420" s="246" t="s">
        <v>55</v>
      </c>
      <c r="E420" s="248"/>
      <c r="F420" s="856"/>
      <c r="G420" s="391">
        <f>G421</f>
        <v>2412696</v>
      </c>
    </row>
    <row r="421" spans="1:7" ht="18" customHeight="1">
      <c r="A421" s="13"/>
      <c r="B421" s="13"/>
      <c r="C421" s="458" t="s">
        <v>399</v>
      </c>
      <c r="D421" s="246" t="s">
        <v>30</v>
      </c>
      <c r="E421" s="248">
        <v>12</v>
      </c>
      <c r="F421" s="856">
        <f>F199</f>
        <v>201058</v>
      </c>
      <c r="G421" s="190">
        <f>E421*F421</f>
        <v>2412696</v>
      </c>
    </row>
    <row r="422" spans="1:7" ht="18" customHeight="1">
      <c r="A422" s="13">
        <f>DTCT!A125</f>
        <v>22</v>
      </c>
      <c r="B422" s="13" t="str">
        <f>DTCT!B125</f>
        <v>QLC.10330</v>
      </c>
      <c r="C422" s="289" t="str">
        <f>DTCT!C125</f>
        <v>Kiểm tra trước và sau mùa mưa bão</v>
      </c>
      <c r="D422" s="13" t="str">
        <f>DTCT!D125</f>
        <v>cầu/năm</v>
      </c>
      <c r="E422" s="137"/>
      <c r="F422" s="856"/>
      <c r="G422" s="138"/>
    </row>
    <row r="423" spans="1:7" ht="18" customHeight="1">
      <c r="A423" s="13"/>
      <c r="B423" s="13"/>
      <c r="C423" s="1028" t="s">
        <v>48</v>
      </c>
      <c r="D423" s="246" t="s">
        <v>55</v>
      </c>
      <c r="E423" s="247"/>
      <c r="F423" s="856"/>
      <c r="G423" s="391">
        <f>G424+G425</f>
        <v>7500</v>
      </c>
    </row>
    <row r="424" spans="1:7" ht="18" customHeight="1">
      <c r="A424" s="13"/>
      <c r="B424" s="13"/>
      <c r="C424" s="384" t="s">
        <v>404</v>
      </c>
      <c r="D424" s="246" t="s">
        <v>405</v>
      </c>
      <c r="E424" s="248">
        <v>0.5</v>
      </c>
      <c r="F424" s="856">
        <f>F202</f>
        <v>3000</v>
      </c>
      <c r="G424" s="190">
        <f>E424*F424</f>
        <v>1500</v>
      </c>
    </row>
    <row r="425" spans="1:7" ht="18" customHeight="1">
      <c r="A425" s="13"/>
      <c r="B425" s="13"/>
      <c r="C425" s="384" t="s">
        <v>406</v>
      </c>
      <c r="D425" s="246" t="s">
        <v>17</v>
      </c>
      <c r="E425" s="248">
        <v>2</v>
      </c>
      <c r="F425" s="856">
        <f>F203</f>
        <v>3000</v>
      </c>
      <c r="G425" s="190">
        <f>E425*F425</f>
        <v>6000</v>
      </c>
    </row>
    <row r="426" spans="1:7" ht="18" customHeight="1">
      <c r="A426" s="13"/>
      <c r="B426" s="13"/>
      <c r="C426" s="1028" t="s">
        <v>47</v>
      </c>
      <c r="D426" s="246" t="s">
        <v>55</v>
      </c>
      <c r="E426" s="248"/>
      <c r="F426" s="856"/>
      <c r="G426" s="391">
        <f>G427</f>
        <v>402116</v>
      </c>
    </row>
    <row r="427" spans="1:7" ht="18" customHeight="1">
      <c r="A427" s="13"/>
      <c r="B427" s="13"/>
      <c r="C427" s="458" t="s">
        <v>399</v>
      </c>
      <c r="D427" s="246" t="s">
        <v>30</v>
      </c>
      <c r="E427" s="248">
        <v>2</v>
      </c>
      <c r="F427" s="856">
        <f>F205</f>
        <v>201058</v>
      </c>
      <c r="G427" s="190">
        <f>E427*F427</f>
        <v>402116</v>
      </c>
    </row>
    <row r="428" spans="1:7" ht="18" customHeight="1">
      <c r="A428" s="13"/>
      <c r="B428" s="13"/>
      <c r="C428" s="1028" t="s">
        <v>49</v>
      </c>
      <c r="D428" s="246" t="s">
        <v>55</v>
      </c>
      <c r="E428" s="247"/>
      <c r="F428" s="856"/>
      <c r="G428" s="391">
        <f>G429</f>
        <v>378931</v>
      </c>
    </row>
    <row r="429" spans="1:7" ht="18" customHeight="1">
      <c r="A429" s="13"/>
      <c r="B429" s="13"/>
      <c r="C429" s="384" t="s">
        <v>407</v>
      </c>
      <c r="D429" s="246" t="s">
        <v>291</v>
      </c>
      <c r="E429" s="248">
        <v>1</v>
      </c>
      <c r="F429" s="856">
        <f>F207</f>
        <v>378931</v>
      </c>
      <c r="G429" s="190">
        <f>E429*F429</f>
        <v>378931</v>
      </c>
    </row>
    <row r="430" spans="1:7" ht="18" customHeight="1">
      <c r="A430" s="13">
        <f>DTCT!A126</f>
        <v>23</v>
      </c>
      <c r="B430" s="13" t="str">
        <f>DTCT!B126</f>
        <v>QLC.10430</v>
      </c>
      <c r="C430" s="289" t="str">
        <f>DTCT!C126</f>
        <v>Quản lý hồ sơ trên vi tính</v>
      </c>
      <c r="D430" s="13" t="str">
        <f>DTCT!D126</f>
        <v>cầu/năm</v>
      </c>
      <c r="E430" s="137"/>
      <c r="F430" s="856"/>
      <c r="G430" s="138"/>
    </row>
    <row r="431" spans="1:7" ht="18" customHeight="1">
      <c r="A431" s="13"/>
      <c r="B431" s="13"/>
      <c r="C431" s="1028" t="s">
        <v>47</v>
      </c>
      <c r="D431" s="246" t="s">
        <v>55</v>
      </c>
      <c r="E431" s="248"/>
      <c r="F431" s="856"/>
      <c r="G431" s="391">
        <f>G432</f>
        <v>237327</v>
      </c>
    </row>
    <row r="432" spans="1:7" ht="18" customHeight="1">
      <c r="A432" s="13"/>
      <c r="B432" s="13"/>
      <c r="C432" s="458" t="s">
        <v>394</v>
      </c>
      <c r="D432" s="246" t="s">
        <v>30</v>
      </c>
      <c r="E432" s="248">
        <v>1</v>
      </c>
      <c r="F432" s="856">
        <f>F210</f>
        <v>237327</v>
      </c>
      <c r="G432" s="190">
        <f>E432*F432</f>
        <v>237327</v>
      </c>
    </row>
    <row r="433" spans="1:7" ht="18" customHeight="1">
      <c r="A433" s="13"/>
      <c r="B433" s="13"/>
      <c r="C433" s="287" t="str">
        <f>DTCT!C127</f>
        <v>Cầu 100m - 200m</v>
      </c>
      <c r="D433" s="13"/>
      <c r="E433" s="137"/>
      <c r="F433" s="856"/>
      <c r="G433" s="138"/>
    </row>
    <row r="434" spans="1:7" ht="18" customHeight="1">
      <c r="A434" s="13">
        <f>DTCT!A128</f>
        <v>24</v>
      </c>
      <c r="B434" s="13" t="str">
        <f>DTCT!B128</f>
        <v>QLC.10120</v>
      </c>
      <c r="C434" s="289" t="str">
        <f>DTCT!C128</f>
        <v>Kiểm tra cầu</v>
      </c>
      <c r="D434" s="13" t="str">
        <f>DTCT!D128</f>
        <v>cầu/năm</v>
      </c>
      <c r="E434" s="137"/>
      <c r="F434" s="856"/>
      <c r="G434" s="138"/>
    </row>
    <row r="435" spans="1:7" ht="18" customHeight="1">
      <c r="A435" s="13"/>
      <c r="B435" s="13"/>
      <c r="C435" s="1028" t="s">
        <v>48</v>
      </c>
      <c r="D435" s="246" t="s">
        <v>55</v>
      </c>
      <c r="E435" s="247"/>
      <c r="G435" s="391">
        <f>G436+G437</f>
        <v>51000</v>
      </c>
    </row>
    <row r="436" spans="1:7" ht="18" customHeight="1">
      <c r="A436" s="13"/>
      <c r="B436" s="13"/>
      <c r="C436" s="384" t="s">
        <v>404</v>
      </c>
      <c r="D436" s="246" t="s">
        <v>405</v>
      </c>
      <c r="E436" s="248">
        <v>5</v>
      </c>
      <c r="F436" s="856">
        <f>F214</f>
        <v>3000</v>
      </c>
      <c r="G436" s="190">
        <f>E436*F436</f>
        <v>15000</v>
      </c>
    </row>
    <row r="437" spans="1:7" ht="18" customHeight="1">
      <c r="A437" s="13"/>
      <c r="B437" s="13"/>
      <c r="C437" s="384" t="s">
        <v>406</v>
      </c>
      <c r="D437" s="246" t="s">
        <v>17</v>
      </c>
      <c r="E437" s="248">
        <v>12</v>
      </c>
      <c r="F437" s="856">
        <f>F215</f>
        <v>3000</v>
      </c>
      <c r="G437" s="190">
        <f>E437*F437</f>
        <v>36000</v>
      </c>
    </row>
    <row r="438" spans="1:7" ht="18" customHeight="1">
      <c r="A438" s="13"/>
      <c r="B438" s="13"/>
      <c r="C438" s="1028" t="s">
        <v>47</v>
      </c>
      <c r="D438" s="246" t="s">
        <v>55</v>
      </c>
      <c r="E438" s="248"/>
      <c r="F438" s="856"/>
      <c r="G438" s="391">
        <f>G439</f>
        <v>7238088</v>
      </c>
    </row>
    <row r="439" spans="1:7" ht="18" customHeight="1">
      <c r="A439" s="13"/>
      <c r="B439" s="13"/>
      <c r="C439" s="458" t="s">
        <v>399</v>
      </c>
      <c r="D439" s="246" t="s">
        <v>30</v>
      </c>
      <c r="E439" s="248">
        <v>36</v>
      </c>
      <c r="F439" s="856">
        <f>F217</f>
        <v>201058</v>
      </c>
      <c r="G439" s="190">
        <f>E439*F439</f>
        <v>7238088</v>
      </c>
    </row>
    <row r="440" spans="1:7" ht="18" customHeight="1">
      <c r="A440" s="13">
        <f>DTCT!A129</f>
        <v>25</v>
      </c>
      <c r="B440" s="13" t="str">
        <f>DTCT!B129</f>
        <v>QLC.10320</v>
      </c>
      <c r="C440" s="289" t="str">
        <f>DTCT!C129</f>
        <v>Kiểm tra trước và sau mùa mưa bão</v>
      </c>
      <c r="D440" s="13" t="str">
        <f>DTCT!D129</f>
        <v>cầu/năm</v>
      </c>
      <c r="E440" s="137"/>
      <c r="F440" s="856"/>
      <c r="G440" s="138"/>
    </row>
    <row r="441" spans="1:7" ht="18" customHeight="1">
      <c r="A441" s="13"/>
      <c r="B441" s="13"/>
      <c r="C441" s="1028" t="s">
        <v>48</v>
      </c>
      <c r="D441" s="246" t="s">
        <v>55</v>
      </c>
      <c r="E441" s="247"/>
      <c r="F441" s="856"/>
      <c r="G441" s="391">
        <f>G442+G443</f>
        <v>8499</v>
      </c>
    </row>
    <row r="442" spans="1:7" ht="18" customHeight="1">
      <c r="A442" s="13"/>
      <c r="B442" s="13"/>
      <c r="C442" s="384" t="s">
        <v>404</v>
      </c>
      <c r="D442" s="246" t="s">
        <v>405</v>
      </c>
      <c r="E442" s="248">
        <v>0.83299999999999996</v>
      </c>
      <c r="F442" s="856">
        <f>F220</f>
        <v>3000</v>
      </c>
      <c r="G442" s="190">
        <f>E442*F442</f>
        <v>2499</v>
      </c>
    </row>
    <row r="443" spans="1:7" ht="18" customHeight="1">
      <c r="A443" s="13"/>
      <c r="B443" s="13"/>
      <c r="C443" s="384" t="s">
        <v>406</v>
      </c>
      <c r="D443" s="246" t="s">
        <v>17</v>
      </c>
      <c r="E443" s="248">
        <v>2</v>
      </c>
      <c r="F443" s="856">
        <f>F221</f>
        <v>3000</v>
      </c>
      <c r="G443" s="190">
        <f>E443*F443</f>
        <v>6000</v>
      </c>
    </row>
    <row r="444" spans="1:7" ht="18" customHeight="1">
      <c r="A444" s="13"/>
      <c r="B444" s="13"/>
      <c r="C444" s="1028" t="s">
        <v>47</v>
      </c>
      <c r="D444" s="246" t="s">
        <v>55</v>
      </c>
      <c r="E444" s="248"/>
      <c r="F444" s="856"/>
      <c r="G444" s="391">
        <f>G445</f>
        <v>804232</v>
      </c>
    </row>
    <row r="445" spans="1:7" ht="18" customHeight="1">
      <c r="A445" s="13"/>
      <c r="B445" s="13"/>
      <c r="C445" s="458" t="s">
        <v>399</v>
      </c>
      <c r="D445" s="246" t="s">
        <v>30</v>
      </c>
      <c r="E445" s="248">
        <v>4</v>
      </c>
      <c r="F445" s="856">
        <f>F223</f>
        <v>201058</v>
      </c>
      <c r="G445" s="190">
        <f>E445*F445</f>
        <v>804232</v>
      </c>
    </row>
    <row r="446" spans="1:7" ht="18" customHeight="1">
      <c r="A446" s="13"/>
      <c r="B446" s="13"/>
      <c r="C446" s="1028" t="s">
        <v>49</v>
      </c>
      <c r="D446" s="246" t="s">
        <v>55</v>
      </c>
      <c r="E446" s="247"/>
      <c r="F446" s="856"/>
      <c r="G446" s="391">
        <f>G447</f>
        <v>2107028</v>
      </c>
    </row>
    <row r="447" spans="1:7" ht="18" customHeight="1">
      <c r="A447" s="13"/>
      <c r="B447" s="13"/>
      <c r="C447" s="384" t="s">
        <v>407</v>
      </c>
      <c r="D447" s="246" t="s">
        <v>291</v>
      </c>
      <c r="E447" s="248">
        <v>2</v>
      </c>
      <c r="F447" s="856">
        <f>F225</f>
        <v>1053514</v>
      </c>
      <c r="G447" s="190">
        <f>E447*F447</f>
        <v>2107028</v>
      </c>
    </row>
    <row r="448" spans="1:7" ht="18" customHeight="1">
      <c r="A448" s="13">
        <f>DTCT!A130</f>
        <v>26</v>
      </c>
      <c r="B448" s="13" t="str">
        <f>DTCT!B130</f>
        <v>QLC.10420</v>
      </c>
      <c r="C448" s="289" t="str">
        <f>DTCT!C130</f>
        <v>Quản lý hồ sơ trên vi tính</v>
      </c>
      <c r="D448" s="13" t="str">
        <f>DTCT!D130</f>
        <v>cầu/năm</v>
      </c>
      <c r="E448" s="137"/>
      <c r="F448" s="856"/>
      <c r="G448" s="138"/>
    </row>
    <row r="449" spans="1:7" ht="18" customHeight="1">
      <c r="A449" s="13"/>
      <c r="B449" s="13"/>
      <c r="C449" s="1028" t="s">
        <v>47</v>
      </c>
      <c r="D449" s="246" t="s">
        <v>55</v>
      </c>
      <c r="E449" s="248"/>
      <c r="F449" s="856"/>
      <c r="G449" s="391">
        <f>G450</f>
        <v>474654</v>
      </c>
    </row>
    <row r="450" spans="1:7" ht="18" customHeight="1">
      <c r="A450" s="290"/>
      <c r="B450" s="290"/>
      <c r="C450" s="1030" t="s">
        <v>394</v>
      </c>
      <c r="D450" s="250" t="s">
        <v>30</v>
      </c>
      <c r="E450" s="302">
        <v>2</v>
      </c>
      <c r="F450" s="858">
        <f>F228</f>
        <v>237327</v>
      </c>
      <c r="G450" s="191">
        <f>E450*F450</f>
        <v>474654</v>
      </c>
    </row>
    <row r="451" spans="1:7" ht="31.5" customHeight="1">
      <c r="A451" s="297" t="str">
        <f>DTCT!A131</f>
        <v>V</v>
      </c>
      <c r="B451" s="297"/>
      <c r="C451" s="1031" t="str">
        <f>DTCT!C131</f>
        <v>ĐƯỜNG TỈNH 905 - HUYỆN TAM BÌNH</v>
      </c>
      <c r="D451" s="299"/>
      <c r="E451" s="300"/>
      <c r="F451" s="859"/>
      <c r="G451" s="301"/>
    </row>
    <row r="452" spans="1:7" ht="32.25" customHeight="1">
      <c r="A452" s="13"/>
      <c r="B452" s="13"/>
      <c r="C452" s="287" t="str">
        <f>DTCT!C132</f>
        <v>CÔNG TÁC QUẢN LÝ BDTX ĐƯỜNG BỘ</v>
      </c>
      <c r="D452" s="13"/>
      <c r="E452" s="137"/>
      <c r="F452" s="856"/>
      <c r="G452" s="138"/>
    </row>
    <row r="453" spans="1:7" ht="18" customHeight="1">
      <c r="A453" s="13">
        <f>DTCT!A133</f>
        <v>1</v>
      </c>
      <c r="B453" s="13" t="str">
        <f>DTCT!B133</f>
        <v>QLD.10150</v>
      </c>
      <c r="C453" s="289" t="str">
        <f>DTCT!C133</f>
        <v>Tuần đường</v>
      </c>
      <c r="D453" s="13" t="str">
        <f>DTCT!D133</f>
        <v>1km/năm</v>
      </c>
      <c r="E453" s="137"/>
      <c r="F453" s="856"/>
      <c r="G453" s="138"/>
    </row>
    <row r="454" spans="1:7" ht="18" customHeight="1">
      <c r="A454" s="13"/>
      <c r="B454" s="13"/>
      <c r="C454" s="1028" t="s">
        <v>48</v>
      </c>
      <c r="D454" s="246" t="s">
        <v>55</v>
      </c>
      <c r="E454" s="247"/>
      <c r="F454" s="856"/>
      <c r="G454" s="391">
        <f>G455</f>
        <v>162671.375</v>
      </c>
    </row>
    <row r="455" spans="1:7" ht="18" customHeight="1">
      <c r="A455" s="13"/>
      <c r="B455" s="13"/>
      <c r="C455" s="384" t="s">
        <v>393</v>
      </c>
      <c r="D455" s="246" t="s">
        <v>32</v>
      </c>
      <c r="E455" s="248">
        <v>9.125</v>
      </c>
      <c r="F455" s="856">
        <f>F233</f>
        <v>17827</v>
      </c>
      <c r="G455" s="190">
        <f>E455*F455</f>
        <v>162671.375</v>
      </c>
    </row>
    <row r="456" spans="1:7" ht="18" customHeight="1">
      <c r="A456" s="13"/>
      <c r="B456" s="13"/>
      <c r="C456" s="1028" t="s">
        <v>47</v>
      </c>
      <c r="D456" s="246" t="s">
        <v>55</v>
      </c>
      <c r="E456" s="248"/>
      <c r="F456" s="856"/>
      <c r="G456" s="391">
        <f>G457</f>
        <v>2038164.2759999998</v>
      </c>
    </row>
    <row r="457" spans="1:7" ht="18" customHeight="1">
      <c r="A457" s="13"/>
      <c r="B457" s="13"/>
      <c r="C457" s="458" t="s">
        <v>394</v>
      </c>
      <c r="D457" s="246" t="s">
        <v>30</v>
      </c>
      <c r="E457" s="248">
        <v>8.5879999999999992</v>
      </c>
      <c r="F457" s="856">
        <f>F235</f>
        <v>237327</v>
      </c>
      <c r="G457" s="190">
        <f>E457*F457</f>
        <v>2038164.2759999998</v>
      </c>
    </row>
    <row r="458" spans="1:7" ht="24.75" customHeight="1">
      <c r="A458" s="13">
        <f>DTCT!A134</f>
        <v>2</v>
      </c>
      <c r="B458" s="13" t="str">
        <f>DTCT!B134</f>
        <v>QLD.10230</v>
      </c>
      <c r="C458" s="289" t="str">
        <f>DTCT!C134</f>
        <v>Đếm xe bằng thủ công</v>
      </c>
      <c r="D458" s="13" t="str">
        <f>DTCT!D134</f>
        <v>1lần/trạmđếm</v>
      </c>
      <c r="E458" s="137"/>
      <c r="F458" s="856"/>
      <c r="G458" s="138"/>
    </row>
    <row r="459" spans="1:7" ht="18" customHeight="1">
      <c r="A459" s="13"/>
      <c r="B459" s="13"/>
      <c r="C459" s="1028" t="s">
        <v>48</v>
      </c>
      <c r="D459" s="246" t="s">
        <v>55</v>
      </c>
      <c r="E459" s="247"/>
      <c r="F459" s="856"/>
      <c r="G459" s="391">
        <f>G461+G460</f>
        <v>15300</v>
      </c>
    </row>
    <row r="460" spans="1:7" ht="18" customHeight="1">
      <c r="A460" s="13"/>
      <c r="B460" s="13"/>
      <c r="C460" s="384" t="s">
        <v>395</v>
      </c>
      <c r="D460" s="246" t="s">
        <v>396</v>
      </c>
      <c r="E460" s="248">
        <v>42</v>
      </c>
      <c r="F460" s="856">
        <f>F238</f>
        <v>150</v>
      </c>
      <c r="G460" s="190">
        <f>E460*F460</f>
        <v>6300</v>
      </c>
    </row>
    <row r="461" spans="1:7" ht="18" customHeight="1">
      <c r="A461" s="13"/>
      <c r="B461" s="13"/>
      <c r="C461" s="384" t="s">
        <v>397</v>
      </c>
      <c r="D461" s="246" t="s">
        <v>17</v>
      </c>
      <c r="E461" s="248">
        <v>3</v>
      </c>
      <c r="F461" s="856">
        <f>F239</f>
        <v>3000</v>
      </c>
      <c r="G461" s="190">
        <f>E461*F461</f>
        <v>9000</v>
      </c>
    </row>
    <row r="462" spans="1:7" ht="18" customHeight="1">
      <c r="A462" s="13"/>
      <c r="B462" s="13"/>
      <c r="C462" s="1028" t="s">
        <v>47</v>
      </c>
      <c r="D462" s="246" t="s">
        <v>55</v>
      </c>
      <c r="E462" s="248"/>
      <c r="F462" s="856"/>
      <c r="G462" s="391">
        <f>G463</f>
        <v>2384312</v>
      </c>
    </row>
    <row r="463" spans="1:7" ht="18" customHeight="1">
      <c r="A463" s="13"/>
      <c r="B463" s="13"/>
      <c r="C463" s="458" t="s">
        <v>398</v>
      </c>
      <c r="D463" s="246" t="s">
        <v>30</v>
      </c>
      <c r="E463" s="248">
        <v>14</v>
      </c>
      <c r="F463" s="856">
        <f>F241</f>
        <v>170308</v>
      </c>
      <c r="G463" s="190">
        <f>E463*F463</f>
        <v>2384312</v>
      </c>
    </row>
    <row r="464" spans="1:7" ht="28.5" customHeight="1">
      <c r="A464" s="13">
        <f>DTCT!A135</f>
        <v>3</v>
      </c>
      <c r="B464" s="13" t="str">
        <f>DTCT!B135</f>
        <v>QLD.10340</v>
      </c>
      <c r="C464" s="289" t="str">
        <f>DTCT!C135</f>
        <v>Kiểm tra định kỳ, khẩn cấp, cập nhật số liệu cầu đường và tình hình bão lũ</v>
      </c>
      <c r="D464" s="13" t="str">
        <f>DTCT!D135</f>
        <v>1km/1lần</v>
      </c>
      <c r="E464" s="137"/>
      <c r="F464" s="856"/>
      <c r="G464" s="138"/>
    </row>
    <row r="465" spans="1:7" ht="18" customHeight="1">
      <c r="A465" s="13"/>
      <c r="B465" s="13"/>
      <c r="C465" s="1028" t="s">
        <v>48</v>
      </c>
      <c r="D465" s="246" t="s">
        <v>55</v>
      </c>
      <c r="E465" s="247"/>
      <c r="F465" s="856"/>
      <c r="G465" s="391">
        <f>G466</f>
        <v>445.67500000000001</v>
      </c>
    </row>
    <row r="466" spans="1:7" ht="18" customHeight="1">
      <c r="A466" s="13"/>
      <c r="B466" s="13"/>
      <c r="C466" s="384" t="s">
        <v>393</v>
      </c>
      <c r="D466" s="246" t="s">
        <v>32</v>
      </c>
      <c r="E466" s="248">
        <v>2.5000000000000001E-2</v>
      </c>
      <c r="F466" s="856">
        <f>F244</f>
        <v>17827</v>
      </c>
      <c r="G466" s="190">
        <f>E466*F466</f>
        <v>445.67500000000001</v>
      </c>
    </row>
    <row r="467" spans="1:7" ht="18" customHeight="1">
      <c r="A467" s="13"/>
      <c r="B467" s="13"/>
      <c r="C467" s="1028" t="s">
        <v>47</v>
      </c>
      <c r="D467" s="246" t="s">
        <v>55</v>
      </c>
      <c r="E467" s="248"/>
      <c r="F467" s="856"/>
      <c r="G467" s="391">
        <f>G468</f>
        <v>7439.1459999999997</v>
      </c>
    </row>
    <row r="468" spans="1:7" ht="18" customHeight="1">
      <c r="A468" s="13"/>
      <c r="B468" s="13"/>
      <c r="C468" s="458" t="s">
        <v>399</v>
      </c>
      <c r="D468" s="246" t="s">
        <v>30</v>
      </c>
      <c r="E468" s="248">
        <v>3.6999999999999998E-2</v>
      </c>
      <c r="F468" s="856">
        <f>F246</f>
        <v>201058</v>
      </c>
      <c r="G468" s="190">
        <f>E468*F468</f>
        <v>7439.1459999999997</v>
      </c>
    </row>
    <row r="469" spans="1:7" ht="18" customHeight="1">
      <c r="A469" s="13">
        <f>DTCT!A136</f>
        <v>4</v>
      </c>
      <c r="B469" s="13" t="str">
        <f>DTCT!B136</f>
        <v>QLD.10410</v>
      </c>
      <c r="C469" s="289" t="str">
        <f>DTCT!C136</f>
        <v>Trực bão lũ</v>
      </c>
      <c r="D469" s="13" t="str">
        <f>DTCT!D136</f>
        <v>40km/năm</v>
      </c>
      <c r="E469" s="137"/>
      <c r="F469" s="856">
        <f>F247</f>
        <v>0</v>
      </c>
      <c r="G469" s="138"/>
    </row>
    <row r="470" spans="1:7" ht="18" customHeight="1">
      <c r="A470" s="13"/>
      <c r="B470" s="13"/>
      <c r="C470" s="1028" t="s">
        <v>47</v>
      </c>
      <c r="D470" s="246" t="s">
        <v>55</v>
      </c>
      <c r="E470" s="248"/>
      <c r="F470" s="856">
        <f>F248</f>
        <v>0</v>
      </c>
      <c r="G470" s="391">
        <f>G471</f>
        <v>30655360</v>
      </c>
    </row>
    <row r="471" spans="1:7" ht="18" customHeight="1">
      <c r="A471" s="13"/>
      <c r="B471" s="13"/>
      <c r="C471" s="458" t="s">
        <v>292</v>
      </c>
      <c r="D471" s="246" t="s">
        <v>30</v>
      </c>
      <c r="E471" s="248">
        <v>160</v>
      </c>
      <c r="F471" s="856">
        <f>F249</f>
        <v>191596</v>
      </c>
      <c r="G471" s="190">
        <f>E471*F471</f>
        <v>30655360</v>
      </c>
    </row>
    <row r="472" spans="1:7" ht="37.5" customHeight="1">
      <c r="A472" s="13">
        <f>DTCT!A137</f>
        <v>5</v>
      </c>
      <c r="B472" s="13" t="str">
        <f>DTCT!B137</f>
        <v>QLD.10610</v>
      </c>
      <c r="C472" s="289" t="str">
        <f>DTCT!C137</f>
        <v>Quản lý hành lang an toàn đường bộ và đấu nối</v>
      </c>
      <c r="D472" s="13" t="str">
        <f>DTCT!D137</f>
        <v>1km/năm</v>
      </c>
      <c r="E472" s="137"/>
      <c r="F472" s="856"/>
      <c r="G472" s="138"/>
    </row>
    <row r="473" spans="1:7" ht="18" customHeight="1">
      <c r="A473" s="13"/>
      <c r="B473" s="13"/>
      <c r="C473" s="1028" t="s">
        <v>47</v>
      </c>
      <c r="D473" s="246" t="s">
        <v>55</v>
      </c>
      <c r="E473" s="248"/>
      <c r="F473" s="856"/>
      <c r="G473" s="391">
        <f>G474</f>
        <v>402116</v>
      </c>
    </row>
    <row r="474" spans="1:7" ht="18" customHeight="1">
      <c r="A474" s="13"/>
      <c r="B474" s="13"/>
      <c r="C474" s="458" t="s">
        <v>399</v>
      </c>
      <c r="D474" s="246" t="s">
        <v>30</v>
      </c>
      <c r="E474" s="248">
        <v>2</v>
      </c>
      <c r="F474" s="856">
        <f>F252</f>
        <v>201058</v>
      </c>
      <c r="G474" s="190">
        <f>E474*F474</f>
        <v>402116</v>
      </c>
    </row>
    <row r="475" spans="1:7" ht="18" customHeight="1">
      <c r="A475" s="13">
        <f>DTCT!A138</f>
        <v>6</v>
      </c>
      <c r="B475" s="13" t="str">
        <f>DTCT!B138</f>
        <v>BDD.20410</v>
      </c>
      <c r="C475" s="289" t="str">
        <f>DTCT!C138</f>
        <v>Cắt cỏ bằng máy</v>
      </c>
      <c r="D475" s="13" t="str">
        <f>DTCT!D138</f>
        <v>1km/1lần</v>
      </c>
      <c r="E475" s="137"/>
      <c r="F475" s="856"/>
      <c r="G475" s="138"/>
    </row>
    <row r="476" spans="1:7" ht="18" customHeight="1">
      <c r="A476" s="13"/>
      <c r="B476" s="13"/>
      <c r="C476" s="1028" t="s">
        <v>48</v>
      </c>
      <c r="D476" s="246" t="s">
        <v>55</v>
      </c>
      <c r="E476" s="247"/>
      <c r="F476" s="856"/>
      <c r="G476" s="391">
        <f>G477</f>
        <v>8000</v>
      </c>
    </row>
    <row r="477" spans="1:7" ht="18" customHeight="1">
      <c r="A477" s="13"/>
      <c r="B477" s="13"/>
      <c r="C477" s="384" t="s">
        <v>400</v>
      </c>
      <c r="D477" s="246" t="s">
        <v>411</v>
      </c>
      <c r="E477" s="248">
        <v>0.2</v>
      </c>
      <c r="F477" s="856">
        <f>F255</f>
        <v>40000</v>
      </c>
      <c r="G477" s="190">
        <f>E477*F477</f>
        <v>8000</v>
      </c>
    </row>
    <row r="478" spans="1:7" ht="18" customHeight="1">
      <c r="A478" s="13"/>
      <c r="B478" s="13"/>
      <c r="C478" s="1028" t="s">
        <v>49</v>
      </c>
      <c r="D478" s="246" t="s">
        <v>55</v>
      </c>
      <c r="E478" s="247"/>
      <c r="F478" s="856">
        <f>F256</f>
        <v>0</v>
      </c>
      <c r="G478" s="391">
        <f>G479</f>
        <v>49341.599999999999</v>
      </c>
    </row>
    <row r="479" spans="1:7" ht="18" customHeight="1">
      <c r="A479" s="13"/>
      <c r="B479" s="13"/>
      <c r="C479" s="384" t="s">
        <v>1017</v>
      </c>
      <c r="D479" s="246" t="s">
        <v>291</v>
      </c>
      <c r="E479" s="248">
        <v>0.9</v>
      </c>
      <c r="F479" s="856">
        <f>F257</f>
        <v>54824</v>
      </c>
      <c r="G479" s="190">
        <f>E479*F479</f>
        <v>49341.599999999999</v>
      </c>
    </row>
    <row r="480" spans="1:7" ht="18" customHeight="1">
      <c r="A480" s="13">
        <f>DTCT!A139</f>
        <v>7</v>
      </c>
      <c r="B480" s="13" t="str">
        <f>DTCT!B139</f>
        <v>BDD.20510</v>
      </c>
      <c r="C480" s="289" t="str">
        <f>DTCT!C139</f>
        <v>Phát quang cây cỏ bằng thủ công</v>
      </c>
      <c r="D480" s="13" t="str">
        <f>DTCT!D139</f>
        <v>1km/lần</v>
      </c>
      <c r="E480" s="137"/>
      <c r="F480" s="856"/>
      <c r="G480" s="138"/>
    </row>
    <row r="481" spans="1:7" ht="18" customHeight="1">
      <c r="A481" s="13"/>
      <c r="B481" s="13"/>
      <c r="C481" s="1028" t="s">
        <v>47</v>
      </c>
      <c r="D481" s="246" t="s">
        <v>55</v>
      </c>
      <c r="E481" s="248"/>
      <c r="F481" s="856"/>
      <c r="G481" s="391">
        <f>G482</f>
        <v>899226.24</v>
      </c>
    </row>
    <row r="482" spans="1:7" ht="18" customHeight="1">
      <c r="A482" s="13"/>
      <c r="B482" s="13"/>
      <c r="C482" s="1029" t="s">
        <v>398</v>
      </c>
      <c r="D482" s="1025" t="s">
        <v>30</v>
      </c>
      <c r="E482" s="1026">
        <v>5.28</v>
      </c>
      <c r="F482" s="856">
        <f>F260</f>
        <v>170308</v>
      </c>
      <c r="G482" s="190">
        <f>E482*F482</f>
        <v>899226.24</v>
      </c>
    </row>
    <row r="483" spans="1:7" ht="18" customHeight="1">
      <c r="A483" s="13">
        <f>DTCT!A140</f>
        <v>8</v>
      </c>
      <c r="B483" s="13" t="str">
        <f>DTCT!B140</f>
        <v>BDD.22310</v>
      </c>
      <c r="C483" s="289" t="str">
        <f>DTCT!C140</f>
        <v>Nắn sửa cọc tiêu, cọc MLG</v>
      </c>
      <c r="D483" s="13" t="str">
        <f>DTCT!D140</f>
        <v>1 cọc</v>
      </c>
      <c r="E483" s="137"/>
      <c r="F483" s="856"/>
      <c r="G483" s="138"/>
    </row>
    <row r="484" spans="1:7" ht="18" customHeight="1">
      <c r="A484" s="13"/>
      <c r="B484" s="13"/>
      <c r="C484" s="1028" t="s">
        <v>47</v>
      </c>
      <c r="D484" s="246" t="s">
        <v>55</v>
      </c>
      <c r="E484" s="248"/>
      <c r="F484" s="856"/>
      <c r="G484" s="391">
        <f>G485</f>
        <v>10218.48</v>
      </c>
    </row>
    <row r="485" spans="1:7" ht="18" customHeight="1">
      <c r="A485" s="13"/>
      <c r="B485" s="13"/>
      <c r="C485" s="458" t="s">
        <v>398</v>
      </c>
      <c r="D485" s="246" t="s">
        <v>30</v>
      </c>
      <c r="E485" s="248">
        <v>0.06</v>
      </c>
      <c r="F485" s="856">
        <f>F263</f>
        <v>170308</v>
      </c>
      <c r="G485" s="190">
        <f>E485*F485</f>
        <v>10218.48</v>
      </c>
    </row>
    <row r="486" spans="1:7" ht="18" customHeight="1">
      <c r="A486" s="13">
        <f>DTCT!A141</f>
        <v>9</v>
      </c>
      <c r="B486" s="13" t="str">
        <f>DTCT!B141</f>
        <v>BDD.22410</v>
      </c>
      <c r="C486" s="289" t="str">
        <f>DTCT!C141</f>
        <v>Nắn sửa cột Km</v>
      </c>
      <c r="D486" s="13" t="str">
        <f>DTCT!D141</f>
        <v>1 cột</v>
      </c>
      <c r="E486" s="137"/>
      <c r="F486" s="856"/>
      <c r="G486" s="138"/>
    </row>
    <row r="487" spans="1:7" ht="18" customHeight="1">
      <c r="A487" s="13"/>
      <c r="B487" s="13"/>
      <c r="C487" s="1028" t="s">
        <v>47</v>
      </c>
      <c r="D487" s="246" t="s">
        <v>55</v>
      </c>
      <c r="E487" s="248"/>
      <c r="F487" s="856"/>
      <c r="G487" s="391">
        <f>G488</f>
        <v>20436.96</v>
      </c>
    </row>
    <row r="488" spans="1:7" ht="18" customHeight="1">
      <c r="A488" s="13"/>
      <c r="B488" s="13"/>
      <c r="C488" s="458" t="s">
        <v>398</v>
      </c>
      <c r="D488" s="246" t="s">
        <v>30</v>
      </c>
      <c r="E488" s="248">
        <v>0.12</v>
      </c>
      <c r="F488" s="856">
        <f>F266</f>
        <v>170308</v>
      </c>
      <c r="G488" s="190">
        <f>E488*F488</f>
        <v>20436.96</v>
      </c>
    </row>
    <row r="489" spans="1:7" ht="18" customHeight="1">
      <c r="A489" s="13">
        <f>DTCT!A142</f>
        <v>10</v>
      </c>
      <c r="B489" s="13" t="str">
        <f>DTCT!B142</f>
        <v>BDD.22510</v>
      </c>
      <c r="C489" s="289" t="str">
        <f>DTCT!C142</f>
        <v>Nắn chỉnh, tu sửa biển báo</v>
      </c>
      <c r="D489" s="13" t="str">
        <f>DTCT!D142</f>
        <v>1 cột</v>
      </c>
      <c r="E489" s="137"/>
      <c r="F489" s="856"/>
      <c r="G489" s="138"/>
    </row>
    <row r="490" spans="1:7" ht="18" customHeight="1">
      <c r="A490" s="13"/>
      <c r="B490" s="13"/>
      <c r="C490" s="1028" t="s">
        <v>47</v>
      </c>
      <c r="D490" s="246" t="s">
        <v>55</v>
      </c>
      <c r="E490" s="248"/>
      <c r="F490" s="856"/>
      <c r="G490" s="391">
        <f>G491</f>
        <v>38319.300000000003</v>
      </c>
    </row>
    <row r="491" spans="1:7" ht="18" customHeight="1">
      <c r="A491" s="13"/>
      <c r="B491" s="13"/>
      <c r="C491" s="458" t="s">
        <v>398</v>
      </c>
      <c r="D491" s="246" t="s">
        <v>30</v>
      </c>
      <c r="E491" s="248">
        <v>0.22500000000000001</v>
      </c>
      <c r="F491" s="856">
        <f>F269</f>
        <v>170308</v>
      </c>
      <c r="G491" s="190">
        <f>E491*F491</f>
        <v>38319.300000000003</v>
      </c>
    </row>
    <row r="492" spans="1:7" ht="18" customHeight="1">
      <c r="A492" s="13">
        <f>+DTCT!A143</f>
        <v>11</v>
      </c>
      <c r="B492" s="13" t="str">
        <f>+DTCT!B143</f>
        <v>BDD.203210</v>
      </c>
      <c r="C492" s="289" t="str">
        <f>+DTCT!C143</f>
        <v>Bạt lề đường bằng máy</v>
      </c>
      <c r="D492" s="13" t="str">
        <f>+DTCT!D143</f>
        <v>100md</v>
      </c>
      <c r="E492" s="392"/>
      <c r="F492" s="856"/>
      <c r="G492" s="392"/>
    </row>
    <row r="493" spans="1:7" ht="18" customHeight="1">
      <c r="A493" s="13"/>
      <c r="B493" s="13"/>
      <c r="C493" s="1028" t="s">
        <v>49</v>
      </c>
      <c r="D493" s="13"/>
      <c r="E493" s="248"/>
      <c r="F493" s="856"/>
      <c r="G493" s="393">
        <f>+G494</f>
        <v>3154.1489999999999</v>
      </c>
    </row>
    <row r="494" spans="1:7" ht="18" customHeight="1">
      <c r="A494" s="13"/>
      <c r="B494" s="13"/>
      <c r="C494" s="384" t="s">
        <v>504</v>
      </c>
      <c r="D494" s="13" t="s">
        <v>1018</v>
      </c>
      <c r="E494" s="248">
        <v>3.0000000000000001E-3</v>
      </c>
      <c r="F494" s="856">
        <f>F272</f>
        <v>1051383</v>
      </c>
      <c r="G494" s="190">
        <f>+E494*F494</f>
        <v>3154.1489999999999</v>
      </c>
    </row>
    <row r="495" spans="1:7" ht="18" customHeight="1">
      <c r="A495" s="13">
        <f>+DTCT!A144</f>
        <v>12</v>
      </c>
      <c r="B495" s="13" t="str">
        <f>+DTCT!B144</f>
        <v>BDD.21312</v>
      </c>
      <c r="C495" s="289" t="str">
        <f>+DTCT!C144</f>
        <v>Vệ sinh mặt đường bằng thủ công</v>
      </c>
      <c r="D495" s="13" t="str">
        <f>+DTCT!D144</f>
        <v>lần/km</v>
      </c>
      <c r="E495" s="248"/>
      <c r="F495" s="856"/>
      <c r="G495" s="190"/>
    </row>
    <row r="496" spans="1:7" ht="18" customHeight="1">
      <c r="A496" s="13"/>
      <c r="B496" s="13"/>
      <c r="C496" s="1028" t="s">
        <v>48</v>
      </c>
      <c r="D496" s="246" t="s">
        <v>55</v>
      </c>
      <c r="E496" s="247"/>
      <c r="F496" s="856"/>
      <c r="G496" s="391">
        <f>G497</f>
        <v>2000</v>
      </c>
    </row>
    <row r="497" spans="1:7" ht="18" customHeight="1">
      <c r="A497" s="13"/>
      <c r="B497" s="13"/>
      <c r="C497" s="384" t="s">
        <v>401</v>
      </c>
      <c r="D497" s="246" t="s">
        <v>402</v>
      </c>
      <c r="E497" s="248">
        <v>0.1</v>
      </c>
      <c r="F497" s="856">
        <f>F275</f>
        <v>20000</v>
      </c>
      <c r="G497" s="266">
        <f>E497*F497</f>
        <v>2000</v>
      </c>
    </row>
    <row r="498" spans="1:7" ht="18" customHeight="1">
      <c r="A498" s="13"/>
      <c r="B498" s="13"/>
      <c r="C498" s="1028" t="s">
        <v>47</v>
      </c>
      <c r="D498" s="246" t="s">
        <v>55</v>
      </c>
      <c r="E498" s="248"/>
      <c r="F498" s="856"/>
      <c r="G498" s="391">
        <f>G499</f>
        <v>697788.75</v>
      </c>
    </row>
    <row r="499" spans="1:7" ht="18" customHeight="1">
      <c r="A499" s="13"/>
      <c r="B499" s="13"/>
      <c r="C499" s="458" t="s">
        <v>403</v>
      </c>
      <c r="D499" s="246" t="s">
        <v>30</v>
      </c>
      <c r="E499" s="248">
        <v>3.75</v>
      </c>
      <c r="F499" s="856">
        <f>F277</f>
        <v>186077</v>
      </c>
      <c r="G499" s="190">
        <f>E499*F499</f>
        <v>697788.75</v>
      </c>
    </row>
    <row r="500" spans="1:7" ht="18" customHeight="1">
      <c r="A500" s="13">
        <f>+DTCT!A145</f>
        <v>13</v>
      </c>
      <c r="B500" s="13" t="str">
        <f>+DTCT!B145</f>
        <v>BDD.22910</v>
      </c>
      <c r="C500" s="289" t="str">
        <f>+DTCT!C145</f>
        <v>Vệ sinh mặt biển phản quang</v>
      </c>
      <c r="D500" s="13" t="str">
        <f>+DTCT!D145</f>
        <v>m2</v>
      </c>
      <c r="E500" s="248"/>
      <c r="F500" s="856"/>
      <c r="G500" s="190"/>
    </row>
    <row r="501" spans="1:7" ht="18" customHeight="1">
      <c r="A501" s="13"/>
      <c r="B501" s="13"/>
      <c r="C501" s="1028" t="s">
        <v>47</v>
      </c>
      <c r="D501" s="246" t="s">
        <v>55</v>
      </c>
      <c r="E501" s="248"/>
      <c r="F501" s="856"/>
      <c r="G501" s="391">
        <f>G502</f>
        <v>9579.8000000000011</v>
      </c>
    </row>
    <row r="502" spans="1:7" ht="18" customHeight="1">
      <c r="A502" s="13"/>
      <c r="B502" s="13"/>
      <c r="C502" s="458" t="s">
        <v>292</v>
      </c>
      <c r="D502" s="246" t="s">
        <v>30</v>
      </c>
      <c r="E502" s="248">
        <v>0.05</v>
      </c>
      <c r="F502" s="856">
        <f>F280</f>
        <v>191596</v>
      </c>
      <c r="G502" s="190">
        <f>E502*F502</f>
        <v>9579.8000000000011</v>
      </c>
    </row>
    <row r="503" spans="1:7" ht="34.5" customHeight="1">
      <c r="A503" s="13"/>
      <c r="B503" s="13"/>
      <c r="C503" s="287" t="str">
        <f>DTCT!C146</f>
        <v>CÔNG TÁC BẢO DƯỠNG CẦU L &lt;= 300M</v>
      </c>
      <c r="D503" s="13"/>
      <c r="E503" s="137"/>
      <c r="F503" s="856"/>
      <c r="G503" s="138"/>
    </row>
    <row r="504" spans="1:7" ht="18" customHeight="1">
      <c r="A504" s="13">
        <f>DTCT!A147</f>
        <v>14</v>
      </c>
      <c r="B504" s="13" t="str">
        <f>DTCT!B147</f>
        <v>BDC.20610</v>
      </c>
      <c r="C504" s="289" t="str">
        <f>DTCT!C147</f>
        <v>Vệ sinh mặt cầu, ống thoát nước</v>
      </c>
      <c r="D504" s="13" t="str">
        <f>DTCT!D147</f>
        <v>10m2</v>
      </c>
      <c r="E504" s="137"/>
      <c r="F504" s="856"/>
      <c r="G504" s="138"/>
    </row>
    <row r="505" spans="1:7" ht="18" customHeight="1">
      <c r="A505" s="13"/>
      <c r="B505" s="13"/>
      <c r="C505" s="1028" t="s">
        <v>48</v>
      </c>
      <c r="D505" s="246" t="s">
        <v>55</v>
      </c>
      <c r="E505" s="247"/>
      <c r="F505" s="856"/>
      <c r="G505" s="391">
        <f>G506</f>
        <v>2</v>
      </c>
    </row>
    <row r="506" spans="1:7" ht="18" customHeight="1">
      <c r="A506" s="13"/>
      <c r="B506" s="13"/>
      <c r="C506" s="384" t="s">
        <v>401</v>
      </c>
      <c r="D506" s="246" t="s">
        <v>402</v>
      </c>
      <c r="E506" s="248">
        <v>1E-4</v>
      </c>
      <c r="F506" s="856">
        <f>F284</f>
        <v>20000</v>
      </c>
      <c r="G506" s="190">
        <f>E506*F506</f>
        <v>2</v>
      </c>
    </row>
    <row r="507" spans="1:7" ht="18" customHeight="1">
      <c r="A507" s="13"/>
      <c r="B507" s="13"/>
      <c r="C507" s="1028" t="s">
        <v>47</v>
      </c>
      <c r="D507" s="246" t="s">
        <v>55</v>
      </c>
      <c r="E507" s="248"/>
      <c r="F507" s="856"/>
      <c r="G507" s="391">
        <f>G508</f>
        <v>8931.6959999999999</v>
      </c>
    </row>
    <row r="508" spans="1:7" ht="18" customHeight="1">
      <c r="A508" s="13"/>
      <c r="B508" s="13"/>
      <c r="C508" s="458" t="s">
        <v>403</v>
      </c>
      <c r="D508" s="246" t="s">
        <v>30</v>
      </c>
      <c r="E508" s="248">
        <v>4.8000000000000001E-2</v>
      </c>
      <c r="F508" s="856">
        <f>F286</f>
        <v>186077</v>
      </c>
      <c r="G508" s="190">
        <f>E508*F508</f>
        <v>8931.6959999999999</v>
      </c>
    </row>
    <row r="509" spans="1:7" ht="18" customHeight="1">
      <c r="A509" s="13">
        <f>DTCT!A148</f>
        <v>15</v>
      </c>
      <c r="B509" s="13" t="str">
        <f>DTCT!B148</f>
        <v>BDC.20910</v>
      </c>
      <c r="C509" s="289" t="str">
        <f>DTCT!C148</f>
        <v>Vệ sinh khe co dãn cao su</v>
      </c>
      <c r="D509" s="13" t="str">
        <f>DTCT!D148</f>
        <v>1md</v>
      </c>
      <c r="E509" s="137"/>
      <c r="F509" s="856"/>
      <c r="G509" s="138"/>
    </row>
    <row r="510" spans="1:7" ht="18" customHeight="1">
      <c r="A510" s="13"/>
      <c r="B510" s="13"/>
      <c r="C510" s="1028" t="s">
        <v>47</v>
      </c>
      <c r="D510" s="246" t="s">
        <v>55</v>
      </c>
      <c r="E510" s="248"/>
      <c r="F510" s="856"/>
      <c r="G510" s="391">
        <f>G511</f>
        <v>11580.944000000001</v>
      </c>
    </row>
    <row r="511" spans="1:7" ht="18" customHeight="1">
      <c r="A511" s="13"/>
      <c r="B511" s="13"/>
      <c r="C511" s="458" t="s">
        <v>398</v>
      </c>
      <c r="D511" s="246" t="s">
        <v>30</v>
      </c>
      <c r="E511" s="248">
        <v>6.8000000000000005E-2</v>
      </c>
      <c r="F511" s="856">
        <f>F289</f>
        <v>170308</v>
      </c>
      <c r="G511" s="190">
        <f>E511*F511</f>
        <v>11580.944000000001</v>
      </c>
    </row>
    <row r="512" spans="1:7" ht="18" customHeight="1">
      <c r="A512" s="13">
        <f>DTCT!A149</f>
        <v>16</v>
      </c>
      <c r="B512" s="13" t="str">
        <f>DTCT!B149</f>
        <v>BDC.21010</v>
      </c>
      <c r="C512" s="289" t="str">
        <f>DTCT!C149</f>
        <v>Vệ sinh mố cầu</v>
      </c>
      <c r="D512" s="13" t="str">
        <f>DTCT!D149</f>
        <v>m2</v>
      </c>
      <c r="E512" s="137"/>
      <c r="F512" s="856"/>
      <c r="G512" s="138"/>
    </row>
    <row r="513" spans="1:7" ht="18" customHeight="1">
      <c r="A513" s="13"/>
      <c r="B513" s="13"/>
      <c r="C513" s="1028" t="s">
        <v>47</v>
      </c>
      <c r="D513" s="246" t="s">
        <v>55</v>
      </c>
      <c r="E513" s="248"/>
      <c r="F513" s="856"/>
      <c r="G513" s="391">
        <f>G514</f>
        <v>86218.2</v>
      </c>
    </row>
    <row r="514" spans="1:7" ht="18" customHeight="1">
      <c r="A514" s="13"/>
      <c r="B514" s="13"/>
      <c r="C514" s="458" t="s">
        <v>292</v>
      </c>
      <c r="D514" s="246" t="s">
        <v>30</v>
      </c>
      <c r="E514" s="248">
        <v>0.45</v>
      </c>
      <c r="F514" s="856">
        <f>F292</f>
        <v>191596</v>
      </c>
      <c r="G514" s="190">
        <f>E514*F514</f>
        <v>86218.2</v>
      </c>
    </row>
    <row r="515" spans="1:7" ht="18" customHeight="1">
      <c r="A515" s="13">
        <f>DTCT!A150</f>
        <v>17</v>
      </c>
      <c r="B515" s="13" t="str">
        <f>DTCT!B150</f>
        <v>BDC.21710</v>
      </c>
      <c r="C515" s="289" t="str">
        <f>DTCT!C150</f>
        <v>Phát quang cây dại</v>
      </c>
      <c r="D515" s="13" t="str">
        <f>DTCT!D150</f>
        <v>100m2</v>
      </c>
      <c r="E515" s="137"/>
      <c r="F515" s="856"/>
      <c r="G515" s="138"/>
    </row>
    <row r="516" spans="1:7" ht="18" customHeight="1">
      <c r="A516" s="13"/>
      <c r="B516" s="13"/>
      <c r="C516" s="1028" t="s">
        <v>47</v>
      </c>
      <c r="D516" s="246" t="s">
        <v>55</v>
      </c>
      <c r="E516" s="248"/>
      <c r="F516" s="856"/>
      <c r="G516" s="391">
        <f>G517</f>
        <v>729940.08799999987</v>
      </c>
    </row>
    <row r="517" spans="1:7" ht="18" customHeight="1">
      <c r="A517" s="13"/>
      <c r="B517" s="13"/>
      <c r="C517" s="458" t="s">
        <v>398</v>
      </c>
      <c r="D517" s="246" t="s">
        <v>30</v>
      </c>
      <c r="E517" s="248">
        <v>4.2859999999999996</v>
      </c>
      <c r="F517" s="856">
        <f>F295</f>
        <v>170308</v>
      </c>
      <c r="G517" s="190">
        <f>E517*F517</f>
        <v>729940.08799999987</v>
      </c>
    </row>
    <row r="518" spans="1:7" ht="27" customHeight="1">
      <c r="A518" s="13"/>
      <c r="B518" s="13"/>
      <c r="C518" s="287" t="str">
        <f>DTCT!C151</f>
        <v>CÔNG TÁC QUẢN LÝ CẦU CẦU L &lt;= 300M</v>
      </c>
      <c r="D518" s="13"/>
      <c r="E518" s="137"/>
      <c r="F518" s="856"/>
      <c r="G518" s="138"/>
    </row>
    <row r="519" spans="1:7" ht="18" customHeight="1">
      <c r="A519" s="13"/>
      <c r="B519" s="13"/>
      <c r="C519" s="287" t="str">
        <f>DTCT!C152</f>
        <v>Cầu &lt; 50m</v>
      </c>
      <c r="D519" s="13"/>
      <c r="E519" s="137"/>
      <c r="F519" s="856"/>
      <c r="G519" s="138"/>
    </row>
    <row r="520" spans="1:7" ht="18" customHeight="1">
      <c r="A520" s="13">
        <f>DTCT!A153</f>
        <v>18</v>
      </c>
      <c r="B520" s="13" t="str">
        <f>DTCT!B153</f>
        <v>QLC.10140</v>
      </c>
      <c r="C520" s="289" t="str">
        <f>DTCT!C153</f>
        <v>Kiểm tra cầu</v>
      </c>
      <c r="D520" s="13" t="str">
        <f>DTCT!D153</f>
        <v>cầu/năm</v>
      </c>
      <c r="E520" s="137"/>
      <c r="F520" s="856"/>
      <c r="G520" s="138"/>
    </row>
    <row r="521" spans="1:7" ht="18" customHeight="1">
      <c r="A521" s="13"/>
      <c r="B521" s="13"/>
      <c r="C521" s="1028" t="s">
        <v>48</v>
      </c>
      <c r="D521" s="246" t="s">
        <v>55</v>
      </c>
      <c r="E521" s="247"/>
      <c r="F521" s="856"/>
      <c r="G521" s="391">
        <f>G522+G523</f>
        <v>39000</v>
      </c>
    </row>
    <row r="522" spans="1:7" ht="18" customHeight="1">
      <c r="A522" s="13"/>
      <c r="B522" s="13"/>
      <c r="C522" s="384" t="s">
        <v>404</v>
      </c>
      <c r="D522" s="246" t="s">
        <v>405</v>
      </c>
      <c r="E522" s="248">
        <v>1</v>
      </c>
      <c r="F522" s="856">
        <f>F300</f>
        <v>3000</v>
      </c>
      <c r="G522" s="190">
        <f>E522*F522</f>
        <v>3000</v>
      </c>
    </row>
    <row r="523" spans="1:7" ht="18" customHeight="1">
      <c r="A523" s="13"/>
      <c r="B523" s="13"/>
      <c r="C523" s="384" t="s">
        <v>406</v>
      </c>
      <c r="D523" s="246" t="s">
        <v>17</v>
      </c>
      <c r="E523" s="248">
        <v>12</v>
      </c>
      <c r="F523" s="856">
        <f>F301</f>
        <v>3000</v>
      </c>
      <c r="G523" s="190">
        <f>E523*F523</f>
        <v>36000</v>
      </c>
    </row>
    <row r="524" spans="1:7" ht="18" customHeight="1">
      <c r="A524" s="13"/>
      <c r="B524" s="13"/>
      <c r="C524" s="1028" t="s">
        <v>47</v>
      </c>
      <c r="D524" s="246" t="s">
        <v>55</v>
      </c>
      <c r="E524" s="248"/>
      <c r="F524" s="856"/>
      <c r="G524" s="391">
        <f>G525</f>
        <v>804232</v>
      </c>
    </row>
    <row r="525" spans="1:7" ht="18" customHeight="1">
      <c r="A525" s="13"/>
      <c r="B525" s="13"/>
      <c r="C525" s="458" t="s">
        <v>399</v>
      </c>
      <c r="D525" s="246" t="s">
        <v>30</v>
      </c>
      <c r="E525" s="248">
        <v>4</v>
      </c>
      <c r="F525" s="856">
        <f>F303</f>
        <v>201058</v>
      </c>
      <c r="G525" s="190">
        <f>E525*F525</f>
        <v>804232</v>
      </c>
    </row>
    <row r="526" spans="1:7" ht="18" customHeight="1">
      <c r="A526" s="13">
        <f>DTCT!A154</f>
        <v>19</v>
      </c>
      <c r="B526" s="13" t="str">
        <f>DTCT!B154</f>
        <v>QLC.10340</v>
      </c>
      <c r="C526" s="289" t="str">
        <f>DTCT!C154</f>
        <v>Kiểm tra trước và sau mùa mưa bão</v>
      </c>
      <c r="D526" s="13" t="str">
        <f>DTCT!D154</f>
        <v>cầu/năm</v>
      </c>
      <c r="E526" s="137"/>
      <c r="F526" s="856"/>
      <c r="G526" s="138"/>
    </row>
    <row r="527" spans="1:7" ht="18" customHeight="1">
      <c r="A527" s="13"/>
      <c r="B527" s="13"/>
      <c r="C527" s="1028" t="s">
        <v>48</v>
      </c>
      <c r="D527" s="246" t="s">
        <v>55</v>
      </c>
      <c r="E527" s="247"/>
      <c r="F527" s="856"/>
      <c r="G527" s="391">
        <f>G528+G529</f>
        <v>6501</v>
      </c>
    </row>
    <row r="528" spans="1:7" ht="18" customHeight="1">
      <c r="A528" s="13"/>
      <c r="B528" s="13"/>
      <c r="C528" s="384" t="s">
        <v>404</v>
      </c>
      <c r="D528" s="246" t="s">
        <v>405</v>
      </c>
      <c r="E528" s="248">
        <v>0.16700000000000001</v>
      </c>
      <c r="F528" s="856">
        <f>F306</f>
        <v>3000</v>
      </c>
      <c r="G528" s="190">
        <f>E528*F528</f>
        <v>501.00000000000006</v>
      </c>
    </row>
    <row r="529" spans="1:7" ht="18" customHeight="1">
      <c r="A529" s="13"/>
      <c r="B529" s="13"/>
      <c r="C529" s="384" t="s">
        <v>406</v>
      </c>
      <c r="D529" s="246" t="s">
        <v>17</v>
      </c>
      <c r="E529" s="248">
        <v>2</v>
      </c>
      <c r="F529" s="856">
        <f>F307</f>
        <v>3000</v>
      </c>
      <c r="G529" s="190">
        <f>E529*F529</f>
        <v>6000</v>
      </c>
    </row>
    <row r="530" spans="1:7" ht="18" customHeight="1">
      <c r="A530" s="13"/>
      <c r="B530" s="13"/>
      <c r="C530" s="1028" t="s">
        <v>47</v>
      </c>
      <c r="D530" s="246" t="s">
        <v>55</v>
      </c>
      <c r="E530" s="248"/>
      <c r="F530" s="856"/>
      <c r="G530" s="391">
        <f>G531</f>
        <v>201058</v>
      </c>
    </row>
    <row r="531" spans="1:7" ht="18" customHeight="1">
      <c r="A531" s="13"/>
      <c r="B531" s="13"/>
      <c r="C531" s="458" t="s">
        <v>399</v>
      </c>
      <c r="D531" s="246" t="s">
        <v>30</v>
      </c>
      <c r="E531" s="248">
        <v>1</v>
      </c>
      <c r="F531" s="856">
        <f>F309</f>
        <v>201058</v>
      </c>
      <c r="G531" s="190">
        <f>E531*F531</f>
        <v>201058</v>
      </c>
    </row>
    <row r="532" spans="1:7" ht="18" customHeight="1">
      <c r="A532" s="13">
        <f>DTCT!A155</f>
        <v>20</v>
      </c>
      <c r="B532" s="13" t="str">
        <f>DTCT!B155</f>
        <v>QLC.10440</v>
      </c>
      <c r="C532" s="289" t="str">
        <f>DTCT!C155</f>
        <v>Quản lý hồ sơ trên vi tính</v>
      </c>
      <c r="D532" s="13" t="str">
        <f>DTCT!D155</f>
        <v>cầu/năm</v>
      </c>
      <c r="E532" s="137"/>
      <c r="F532" s="856"/>
      <c r="G532" s="138"/>
    </row>
    <row r="533" spans="1:7" ht="18" customHeight="1">
      <c r="A533" s="13"/>
      <c r="B533" s="13"/>
      <c r="C533" s="1028" t="s">
        <v>47</v>
      </c>
      <c r="D533" s="246" t="s">
        <v>55</v>
      </c>
      <c r="E533" s="248"/>
      <c r="F533" s="856"/>
      <c r="G533" s="391">
        <f>G534</f>
        <v>237327</v>
      </c>
    </row>
    <row r="534" spans="1:7" ht="18" customHeight="1">
      <c r="A534" s="13"/>
      <c r="B534" s="13"/>
      <c r="C534" s="458" t="s">
        <v>394</v>
      </c>
      <c r="D534" s="246" t="s">
        <v>30</v>
      </c>
      <c r="E534" s="248">
        <v>1</v>
      </c>
      <c r="F534" s="856">
        <f>F312</f>
        <v>237327</v>
      </c>
      <c r="G534" s="190">
        <f>E534*F534</f>
        <v>237327</v>
      </c>
    </row>
    <row r="535" spans="1:7" ht="18" customHeight="1">
      <c r="A535" s="13"/>
      <c r="B535" s="13"/>
      <c r="C535" s="287" t="str">
        <f>DTCT!C156</f>
        <v>Cầu 50m - 100m</v>
      </c>
      <c r="D535" s="13"/>
      <c r="E535" s="137"/>
      <c r="F535" s="856"/>
      <c r="G535" s="138"/>
    </row>
    <row r="536" spans="1:7" ht="18" customHeight="1">
      <c r="A536" s="13">
        <f>DTCT!A157</f>
        <v>21</v>
      </c>
      <c r="B536" s="13" t="str">
        <f>DTCT!B157</f>
        <v>QLC.10130</v>
      </c>
      <c r="C536" s="289" t="str">
        <f>DTCT!C157</f>
        <v>Kiểm tra cầu</v>
      </c>
      <c r="D536" s="13" t="str">
        <f>DTCT!D157</f>
        <v>cầu/năm</v>
      </c>
      <c r="E536" s="137"/>
      <c r="F536" s="856"/>
      <c r="G536" s="138"/>
    </row>
    <row r="537" spans="1:7" ht="18" customHeight="1">
      <c r="A537" s="13"/>
      <c r="B537" s="13"/>
      <c r="C537" s="1028" t="s">
        <v>48</v>
      </c>
      <c r="D537" s="246" t="s">
        <v>55</v>
      </c>
      <c r="E537" s="247"/>
      <c r="F537" s="856"/>
      <c r="G537" s="1143">
        <f>SUM(G538:G539)</f>
        <v>45000</v>
      </c>
    </row>
    <row r="538" spans="1:7" ht="18" customHeight="1">
      <c r="A538" s="13"/>
      <c r="B538" s="13"/>
      <c r="C538" s="384" t="s">
        <v>404</v>
      </c>
      <c r="D538" s="246" t="s">
        <v>405</v>
      </c>
      <c r="E538" s="248">
        <v>3</v>
      </c>
      <c r="F538" s="856">
        <f>F316</f>
        <v>3000</v>
      </c>
      <c r="G538" s="1144">
        <f>E538*F538</f>
        <v>9000</v>
      </c>
    </row>
    <row r="539" spans="1:7" ht="18" customHeight="1">
      <c r="A539" s="13"/>
      <c r="B539" s="13"/>
      <c r="C539" s="384" t="s">
        <v>406</v>
      </c>
      <c r="D539" s="246" t="s">
        <v>17</v>
      </c>
      <c r="E539" s="248">
        <v>12</v>
      </c>
      <c r="F539" s="856">
        <f>F317</f>
        <v>3000</v>
      </c>
      <c r="G539" s="1144">
        <f>E539*F539</f>
        <v>36000</v>
      </c>
    </row>
    <row r="540" spans="1:7" ht="18" customHeight="1">
      <c r="A540" s="13"/>
      <c r="B540" s="13"/>
      <c r="C540" s="1028" t="s">
        <v>47</v>
      </c>
      <c r="D540" s="246" t="s">
        <v>55</v>
      </c>
      <c r="E540" s="248"/>
      <c r="F540" s="856"/>
      <c r="G540" s="391">
        <f>G541</f>
        <v>2412696</v>
      </c>
    </row>
    <row r="541" spans="1:7" ht="18" customHeight="1">
      <c r="A541" s="13"/>
      <c r="B541" s="13"/>
      <c r="C541" s="458" t="s">
        <v>399</v>
      </c>
      <c r="D541" s="246" t="s">
        <v>30</v>
      </c>
      <c r="E541" s="248">
        <v>12</v>
      </c>
      <c r="F541" s="856">
        <f>F319</f>
        <v>201058</v>
      </c>
      <c r="G541" s="190">
        <f>E541*F541</f>
        <v>2412696</v>
      </c>
    </row>
    <row r="542" spans="1:7" ht="18" customHeight="1">
      <c r="A542" s="13">
        <f>DTCT!A158</f>
        <v>22</v>
      </c>
      <c r="B542" s="13" t="str">
        <f>DTCT!B158</f>
        <v>QLC.10330</v>
      </c>
      <c r="C542" s="289" t="str">
        <f>DTCT!C158</f>
        <v>Kiểm tra trước và sau mùa mưa bão</v>
      </c>
      <c r="D542" s="13" t="str">
        <f>DTCT!D158</f>
        <v>cầu/năm</v>
      </c>
      <c r="E542" s="137"/>
      <c r="F542" s="856"/>
      <c r="G542" s="138"/>
    </row>
    <row r="543" spans="1:7" ht="18" customHeight="1">
      <c r="A543" s="13"/>
      <c r="B543" s="13"/>
      <c r="C543" s="1028" t="s">
        <v>48</v>
      </c>
      <c r="D543" s="246" t="s">
        <v>55</v>
      </c>
      <c r="E543" s="247"/>
      <c r="F543" s="856"/>
      <c r="G543" s="391">
        <f>G544+G545</f>
        <v>7500</v>
      </c>
    </row>
    <row r="544" spans="1:7" ht="18" customHeight="1">
      <c r="A544" s="13"/>
      <c r="B544" s="13"/>
      <c r="C544" s="384" t="s">
        <v>404</v>
      </c>
      <c r="D544" s="246" t="s">
        <v>405</v>
      </c>
      <c r="E544" s="248">
        <v>0.5</v>
      </c>
      <c r="F544" s="856">
        <f>F322</f>
        <v>3000</v>
      </c>
      <c r="G544" s="190">
        <f>E544*F544</f>
        <v>1500</v>
      </c>
    </row>
    <row r="545" spans="1:7" ht="18" customHeight="1">
      <c r="A545" s="13"/>
      <c r="B545" s="13"/>
      <c r="C545" s="384" t="s">
        <v>406</v>
      </c>
      <c r="D545" s="246" t="s">
        <v>17</v>
      </c>
      <c r="E545" s="248">
        <v>2</v>
      </c>
      <c r="F545" s="856">
        <f>F323</f>
        <v>3000</v>
      </c>
      <c r="G545" s="190">
        <f>E545*F545</f>
        <v>6000</v>
      </c>
    </row>
    <row r="546" spans="1:7" ht="18" customHeight="1">
      <c r="A546" s="13"/>
      <c r="B546" s="13"/>
      <c r="C546" s="1028" t="s">
        <v>47</v>
      </c>
      <c r="D546" s="246" t="s">
        <v>55</v>
      </c>
      <c r="E546" s="248"/>
      <c r="F546" s="856"/>
      <c r="G546" s="391">
        <f>G547</f>
        <v>402116</v>
      </c>
    </row>
    <row r="547" spans="1:7" ht="18" customHeight="1">
      <c r="A547" s="13"/>
      <c r="B547" s="13"/>
      <c r="C547" s="458" t="s">
        <v>399</v>
      </c>
      <c r="D547" s="246" t="s">
        <v>30</v>
      </c>
      <c r="E547" s="248">
        <v>2</v>
      </c>
      <c r="F547" s="856">
        <f>F325</f>
        <v>201058</v>
      </c>
      <c r="G547" s="190">
        <f>E547*F547</f>
        <v>402116</v>
      </c>
    </row>
    <row r="548" spans="1:7" ht="18" customHeight="1">
      <c r="A548" s="13"/>
      <c r="B548" s="13"/>
      <c r="C548" s="1028" t="s">
        <v>49</v>
      </c>
      <c r="D548" s="246" t="s">
        <v>55</v>
      </c>
      <c r="E548" s="247"/>
      <c r="F548" s="856"/>
      <c r="G548" s="391">
        <f>G549</f>
        <v>378931</v>
      </c>
    </row>
    <row r="549" spans="1:7" ht="18" customHeight="1">
      <c r="A549" s="13"/>
      <c r="B549" s="13"/>
      <c r="C549" s="384" t="s">
        <v>407</v>
      </c>
      <c r="D549" s="246" t="s">
        <v>291</v>
      </c>
      <c r="E549" s="248">
        <v>1</v>
      </c>
      <c r="F549" s="856">
        <f>F327</f>
        <v>378931</v>
      </c>
      <c r="G549" s="190">
        <f>E549*F549</f>
        <v>378931</v>
      </c>
    </row>
    <row r="550" spans="1:7" ht="18" customHeight="1">
      <c r="A550" s="13">
        <f>DTCT!A159</f>
        <v>23</v>
      </c>
      <c r="B550" s="13" t="str">
        <f>DTCT!B159</f>
        <v>QLC.10430</v>
      </c>
      <c r="C550" s="289" t="str">
        <f>DTCT!C159</f>
        <v>Quản lý hồ sơ trên vi tính</v>
      </c>
      <c r="D550" s="13" t="str">
        <f>DTCT!D159</f>
        <v>cầu/năm</v>
      </c>
      <c r="E550" s="137"/>
      <c r="F550" s="856"/>
      <c r="G550" s="138"/>
    </row>
    <row r="551" spans="1:7" ht="18" customHeight="1">
      <c r="A551" s="13"/>
      <c r="B551" s="13"/>
      <c r="C551" s="1028" t="s">
        <v>47</v>
      </c>
      <c r="D551" s="246" t="s">
        <v>55</v>
      </c>
      <c r="E551" s="248"/>
      <c r="F551" s="856"/>
      <c r="G551" s="391">
        <f>G552</f>
        <v>237327</v>
      </c>
    </row>
    <row r="552" spans="1:7" ht="18" customHeight="1">
      <c r="A552" s="290"/>
      <c r="B552" s="290"/>
      <c r="C552" s="1030" t="s">
        <v>394</v>
      </c>
      <c r="D552" s="250" t="s">
        <v>30</v>
      </c>
      <c r="E552" s="302">
        <v>1</v>
      </c>
      <c r="F552" s="858">
        <f>F330</f>
        <v>237327</v>
      </c>
      <c r="G552" s="191">
        <f>E552*F552</f>
        <v>237327</v>
      </c>
    </row>
    <row r="553" spans="1:7" ht="30.75" customHeight="1">
      <c r="A553" s="12" t="str">
        <f>DTCT!A160</f>
        <v>VI</v>
      </c>
      <c r="B553" s="12"/>
      <c r="C553" s="507" t="str">
        <f>DTCT!C160</f>
        <v>ĐƯỜNG TỈNH 906 - HUYỆN VŨNG LIÊM</v>
      </c>
      <c r="D553" s="304"/>
      <c r="E553" s="97"/>
      <c r="F553" s="1039"/>
      <c r="G553" s="98"/>
    </row>
    <row r="554" spans="1:7" ht="33" customHeight="1">
      <c r="A554" s="13"/>
      <c r="B554" s="13"/>
      <c r="C554" s="287" t="str">
        <f>DTCT!C161</f>
        <v>CÔNG TÁC QUẢN LÝ BDTX ĐƯỜNG BỘ</v>
      </c>
      <c r="D554" s="13"/>
      <c r="E554" s="137"/>
      <c r="F554" s="856"/>
      <c r="G554" s="138"/>
    </row>
    <row r="555" spans="1:7" ht="18" customHeight="1">
      <c r="A555" s="13">
        <f>DTCT!A162</f>
        <v>1</v>
      </c>
      <c r="B555" s="13" t="str">
        <f>DTCT!B162</f>
        <v>QLD.10150</v>
      </c>
      <c r="C555" s="289" t="str">
        <f>DTCT!C162</f>
        <v>Tuần đường</v>
      </c>
      <c r="D555" s="13" t="str">
        <f>DTCT!D162</f>
        <v>1km/năm</v>
      </c>
      <c r="E555" s="137"/>
      <c r="F555" s="856"/>
      <c r="G555" s="138"/>
    </row>
    <row r="556" spans="1:7" ht="18" customHeight="1">
      <c r="A556" s="13"/>
      <c r="B556" s="13"/>
      <c r="C556" s="1028" t="s">
        <v>48</v>
      </c>
      <c r="D556" s="246" t="s">
        <v>55</v>
      </c>
      <c r="E556" s="247"/>
      <c r="F556" s="856"/>
      <c r="G556" s="391">
        <f>G557</f>
        <v>162671.375</v>
      </c>
    </row>
    <row r="557" spans="1:7" ht="18" customHeight="1">
      <c r="A557" s="13"/>
      <c r="B557" s="13"/>
      <c r="C557" s="384" t="s">
        <v>393</v>
      </c>
      <c r="D557" s="246" t="s">
        <v>32</v>
      </c>
      <c r="E557" s="248">
        <v>9.125</v>
      </c>
      <c r="F557" s="856">
        <f>F335</f>
        <v>17827</v>
      </c>
      <c r="G557" s="190">
        <f>E557*F557</f>
        <v>162671.375</v>
      </c>
    </row>
    <row r="558" spans="1:7" ht="18" customHeight="1">
      <c r="A558" s="13"/>
      <c r="B558" s="13"/>
      <c r="C558" s="1028" t="s">
        <v>47</v>
      </c>
      <c r="D558" s="246" t="s">
        <v>55</v>
      </c>
      <c r="E558" s="248"/>
      <c r="F558" s="856"/>
      <c r="G558" s="391">
        <f>G559</f>
        <v>2038164.2759999998</v>
      </c>
    </row>
    <row r="559" spans="1:7" ht="18" customHeight="1">
      <c r="A559" s="13"/>
      <c r="B559" s="13"/>
      <c r="C559" s="458" t="s">
        <v>394</v>
      </c>
      <c r="D559" s="246" t="s">
        <v>30</v>
      </c>
      <c r="E559" s="248">
        <v>8.5879999999999992</v>
      </c>
      <c r="F559" s="856">
        <f>F337</f>
        <v>237327</v>
      </c>
      <c r="G559" s="190">
        <f>E559*F559</f>
        <v>2038164.2759999998</v>
      </c>
    </row>
    <row r="560" spans="1:7" ht="29.25" customHeight="1">
      <c r="A560" s="13">
        <f>DTCT!A163</f>
        <v>2</v>
      </c>
      <c r="B560" s="13" t="str">
        <f>DTCT!B163</f>
        <v>QLD.10230</v>
      </c>
      <c r="C560" s="289" t="str">
        <f>DTCT!C163</f>
        <v>Đếm xe bằng thủ công</v>
      </c>
      <c r="D560" s="13" t="str">
        <f>DTCT!D163</f>
        <v>1lần/trạmđếm</v>
      </c>
      <c r="E560" s="137"/>
      <c r="F560" s="856"/>
      <c r="G560" s="138"/>
    </row>
    <row r="561" spans="1:7" ht="18" customHeight="1">
      <c r="A561" s="13"/>
      <c r="B561" s="13"/>
      <c r="C561" s="1028" t="s">
        <v>48</v>
      </c>
      <c r="D561" s="246" t="s">
        <v>55</v>
      </c>
      <c r="E561" s="247"/>
      <c r="F561" s="856"/>
      <c r="G561" s="391">
        <f>G563+G562</f>
        <v>15300</v>
      </c>
    </row>
    <row r="562" spans="1:7" ht="18" customHeight="1">
      <c r="A562" s="13"/>
      <c r="B562" s="13"/>
      <c r="C562" s="384" t="s">
        <v>395</v>
      </c>
      <c r="D562" s="246" t="s">
        <v>396</v>
      </c>
      <c r="E562" s="248">
        <v>42</v>
      </c>
      <c r="F562" s="856">
        <f>F340</f>
        <v>150</v>
      </c>
      <c r="G562" s="190">
        <f>E562*F562</f>
        <v>6300</v>
      </c>
    </row>
    <row r="563" spans="1:7" ht="18" customHeight="1">
      <c r="A563" s="13"/>
      <c r="B563" s="13"/>
      <c r="C563" s="384" t="s">
        <v>397</v>
      </c>
      <c r="D563" s="246" t="s">
        <v>17</v>
      </c>
      <c r="E563" s="248">
        <v>3</v>
      </c>
      <c r="F563" s="856">
        <f>F341</f>
        <v>3000</v>
      </c>
      <c r="G563" s="190">
        <f>E563*F563</f>
        <v>9000</v>
      </c>
    </row>
    <row r="564" spans="1:7" ht="18" customHeight="1">
      <c r="A564" s="13"/>
      <c r="B564" s="13"/>
      <c r="C564" s="1028" t="s">
        <v>47</v>
      </c>
      <c r="D564" s="246" t="s">
        <v>55</v>
      </c>
      <c r="E564" s="248"/>
      <c r="F564" s="856"/>
      <c r="G564" s="391">
        <f>G565</f>
        <v>2384312</v>
      </c>
    </row>
    <row r="565" spans="1:7" ht="18" customHeight="1">
      <c r="A565" s="13"/>
      <c r="B565" s="13"/>
      <c r="C565" s="458" t="s">
        <v>398</v>
      </c>
      <c r="D565" s="246" t="s">
        <v>30</v>
      </c>
      <c r="E565" s="248">
        <v>14</v>
      </c>
      <c r="F565" s="856">
        <f>F343</f>
        <v>170308</v>
      </c>
      <c r="G565" s="190">
        <f>E565*F565</f>
        <v>2384312</v>
      </c>
    </row>
    <row r="566" spans="1:7" ht="31.5" customHeight="1">
      <c r="A566" s="13">
        <f>DTCT!A164</f>
        <v>3</v>
      </c>
      <c r="B566" s="13" t="str">
        <f>DTCT!B164</f>
        <v>QLD.10340</v>
      </c>
      <c r="C566" s="289" t="str">
        <f>DTCT!C164</f>
        <v>Kiểm tra định kỳ, khẩn cấp, cập nhật số liệu cầu đường và tình hình bão lũ</v>
      </c>
      <c r="D566" s="13" t="str">
        <f>DTCT!D164</f>
        <v>1km/1lần</v>
      </c>
      <c r="E566" s="137"/>
      <c r="F566" s="856"/>
      <c r="G566" s="138"/>
    </row>
    <row r="567" spans="1:7" ht="18" customHeight="1">
      <c r="A567" s="13"/>
      <c r="B567" s="13"/>
      <c r="C567" s="1028" t="s">
        <v>48</v>
      </c>
      <c r="D567" s="246" t="s">
        <v>55</v>
      </c>
      <c r="E567" s="247"/>
      <c r="F567" s="856"/>
      <c r="G567" s="391">
        <f>G568</f>
        <v>445.67500000000001</v>
      </c>
    </row>
    <row r="568" spans="1:7" ht="18" customHeight="1">
      <c r="A568" s="13"/>
      <c r="B568" s="13"/>
      <c r="C568" s="384" t="s">
        <v>393</v>
      </c>
      <c r="D568" s="246" t="s">
        <v>32</v>
      </c>
      <c r="E568" s="248">
        <v>2.5000000000000001E-2</v>
      </c>
      <c r="F568" s="856">
        <f>F346</f>
        <v>17827</v>
      </c>
      <c r="G568" s="190">
        <f>E568*F568</f>
        <v>445.67500000000001</v>
      </c>
    </row>
    <row r="569" spans="1:7" ht="18" customHeight="1">
      <c r="A569" s="13"/>
      <c r="B569" s="13"/>
      <c r="C569" s="1028" t="s">
        <v>47</v>
      </c>
      <c r="D569" s="246" t="s">
        <v>55</v>
      </c>
      <c r="E569" s="248"/>
      <c r="F569" s="856">
        <f>F347</f>
        <v>0</v>
      </c>
      <c r="G569" s="391">
        <f>G570</f>
        <v>7439.1459999999997</v>
      </c>
    </row>
    <row r="570" spans="1:7" ht="18" customHeight="1">
      <c r="A570" s="13"/>
      <c r="B570" s="13"/>
      <c r="C570" s="458" t="s">
        <v>399</v>
      </c>
      <c r="D570" s="246" t="s">
        <v>30</v>
      </c>
      <c r="E570" s="248">
        <v>3.6999999999999998E-2</v>
      </c>
      <c r="F570" s="856">
        <f>F348</f>
        <v>201058</v>
      </c>
      <c r="G570" s="190">
        <f>E570*F570</f>
        <v>7439.1459999999997</v>
      </c>
    </row>
    <row r="571" spans="1:7" ht="18" customHeight="1">
      <c r="A571" s="13">
        <f>DTCT!A165</f>
        <v>4</v>
      </c>
      <c r="B571" s="13" t="str">
        <f>DTCT!B165</f>
        <v>QLD.10410</v>
      </c>
      <c r="C571" s="289" t="str">
        <f>DTCT!C165</f>
        <v>Trực bão lũ</v>
      </c>
      <c r="D571" s="13" t="str">
        <f>DTCT!D165</f>
        <v>40km/năm</v>
      </c>
      <c r="E571" s="137"/>
      <c r="F571" s="856"/>
      <c r="G571" s="138"/>
    </row>
    <row r="572" spans="1:7" ht="18" customHeight="1">
      <c r="A572" s="13"/>
      <c r="B572" s="13"/>
      <c r="C572" s="1028" t="s">
        <v>47</v>
      </c>
      <c r="D572" s="246" t="s">
        <v>55</v>
      </c>
      <c r="E572" s="248"/>
      <c r="F572" s="856"/>
      <c r="G572" s="391">
        <f>G573</f>
        <v>30655360</v>
      </c>
    </row>
    <row r="573" spans="1:7" ht="18" customHeight="1">
      <c r="A573" s="13"/>
      <c r="B573" s="13"/>
      <c r="C573" s="458" t="s">
        <v>292</v>
      </c>
      <c r="D573" s="246" t="s">
        <v>30</v>
      </c>
      <c r="E573" s="248">
        <v>160</v>
      </c>
      <c r="F573" s="856">
        <f>F351</f>
        <v>191596</v>
      </c>
      <c r="G573" s="190">
        <f>E573*F573</f>
        <v>30655360</v>
      </c>
    </row>
    <row r="574" spans="1:7" ht="30" customHeight="1">
      <c r="A574" s="13">
        <f>DTCT!A166</f>
        <v>5</v>
      </c>
      <c r="B574" s="13" t="str">
        <f>DTCT!B166</f>
        <v>QLD.10610</v>
      </c>
      <c r="C574" s="289" t="str">
        <f>DTCT!C166</f>
        <v>Quản lý hành lang an toàn đường bộ và đấu nối</v>
      </c>
      <c r="D574" s="13" t="str">
        <f>DTCT!D166</f>
        <v>1km/năm</v>
      </c>
      <c r="E574" s="137"/>
      <c r="F574" s="856"/>
      <c r="G574" s="138"/>
    </row>
    <row r="575" spans="1:7" ht="18" customHeight="1">
      <c r="A575" s="13"/>
      <c r="B575" s="13"/>
      <c r="C575" s="1028" t="s">
        <v>47</v>
      </c>
      <c r="D575" s="246" t="s">
        <v>55</v>
      </c>
      <c r="E575" s="248"/>
      <c r="F575" s="856"/>
      <c r="G575" s="391">
        <f>G576</f>
        <v>402116</v>
      </c>
    </row>
    <row r="576" spans="1:7" ht="18" customHeight="1">
      <c r="A576" s="13"/>
      <c r="B576" s="13"/>
      <c r="C576" s="458" t="s">
        <v>399</v>
      </c>
      <c r="D576" s="246" t="s">
        <v>30</v>
      </c>
      <c r="E576" s="248">
        <v>2</v>
      </c>
      <c r="F576" s="856">
        <f>F354</f>
        <v>201058</v>
      </c>
      <c r="G576" s="190">
        <f>E576*F576</f>
        <v>402116</v>
      </c>
    </row>
    <row r="577" spans="1:7" ht="18" customHeight="1">
      <c r="A577" s="13">
        <f>DTCT!A167</f>
        <v>6</v>
      </c>
      <c r="B577" s="13" t="str">
        <f>DTCT!B167</f>
        <v>BDD.20410</v>
      </c>
      <c r="C577" s="289" t="str">
        <f>DTCT!C167</f>
        <v>Cắt cỏ bằng máy</v>
      </c>
      <c r="D577" s="13" t="str">
        <f>DTCT!D167</f>
        <v>1km/1lần</v>
      </c>
      <c r="E577" s="137"/>
      <c r="F577" s="856"/>
      <c r="G577" s="138"/>
    </row>
    <row r="578" spans="1:7" ht="18" customHeight="1">
      <c r="A578" s="13"/>
      <c r="B578" s="13"/>
      <c r="C578" s="1028" t="s">
        <v>48</v>
      </c>
      <c r="D578" s="246" t="s">
        <v>55</v>
      </c>
      <c r="E578" s="247"/>
      <c r="F578" s="856"/>
      <c r="G578" s="391">
        <f>G579</f>
        <v>8000</v>
      </c>
    </row>
    <row r="579" spans="1:7" ht="18" customHeight="1">
      <c r="A579" s="13"/>
      <c r="B579" s="13"/>
      <c r="C579" s="384" t="s">
        <v>400</v>
      </c>
      <c r="D579" s="246" t="s">
        <v>411</v>
      </c>
      <c r="E579" s="248">
        <v>0.2</v>
      </c>
      <c r="F579" s="856">
        <f>F357</f>
        <v>40000</v>
      </c>
      <c r="G579" s="190">
        <f>E579*F579</f>
        <v>8000</v>
      </c>
    </row>
    <row r="580" spans="1:7" ht="18" customHeight="1">
      <c r="A580" s="13"/>
      <c r="B580" s="13"/>
      <c r="C580" s="1028" t="s">
        <v>49</v>
      </c>
      <c r="D580" s="246" t="s">
        <v>55</v>
      </c>
      <c r="E580" s="247"/>
      <c r="F580" s="856"/>
      <c r="G580" s="391">
        <f>G581</f>
        <v>49341.599999999999</v>
      </c>
    </row>
    <row r="581" spans="1:7" ht="18" customHeight="1">
      <c r="A581" s="13"/>
      <c r="B581" s="13"/>
      <c r="C581" s="384" t="s">
        <v>1017</v>
      </c>
      <c r="D581" s="246" t="s">
        <v>291</v>
      </c>
      <c r="E581" s="248">
        <v>0.9</v>
      </c>
      <c r="F581" s="856">
        <f>F359</f>
        <v>54824</v>
      </c>
      <c r="G581" s="190">
        <f>E581*F581</f>
        <v>49341.599999999999</v>
      </c>
    </row>
    <row r="582" spans="1:7" ht="18" customHeight="1">
      <c r="A582" s="13">
        <f>DTCT!A168</f>
        <v>7</v>
      </c>
      <c r="B582" s="13" t="str">
        <f>DTCT!B168</f>
        <v>BDD.20510</v>
      </c>
      <c r="C582" s="289" t="str">
        <f>DTCT!C168</f>
        <v>Phát quang cây cỏ bằng thủ công</v>
      </c>
      <c r="D582" s="13" t="str">
        <f>DTCT!D168</f>
        <v>1km/1lần</v>
      </c>
      <c r="E582" s="137"/>
      <c r="F582" s="856"/>
      <c r="G582" s="138"/>
    </row>
    <row r="583" spans="1:7" ht="18" customHeight="1">
      <c r="A583" s="13"/>
      <c r="B583" s="13"/>
      <c r="C583" s="1028" t="s">
        <v>47</v>
      </c>
      <c r="D583" s="246" t="s">
        <v>55</v>
      </c>
      <c r="E583" s="248"/>
      <c r="F583" s="856"/>
      <c r="G583" s="391">
        <f>G584</f>
        <v>899226.24</v>
      </c>
    </row>
    <row r="584" spans="1:7" ht="18" customHeight="1">
      <c r="A584" s="13"/>
      <c r="B584" s="13"/>
      <c r="C584" s="1029" t="s">
        <v>398</v>
      </c>
      <c r="D584" s="1025" t="s">
        <v>30</v>
      </c>
      <c r="E584" s="1026">
        <v>5.28</v>
      </c>
      <c r="F584" s="856">
        <f>F362</f>
        <v>170308</v>
      </c>
      <c r="G584" s="190">
        <f>E584*F584</f>
        <v>899226.24</v>
      </c>
    </row>
    <row r="585" spans="1:7" ht="18" customHeight="1">
      <c r="A585" s="13">
        <f>DTCT!A169</f>
        <v>8</v>
      </c>
      <c r="B585" s="13" t="str">
        <f>DTCT!B169</f>
        <v>BDD.22310</v>
      </c>
      <c r="C585" s="289" t="str">
        <f>DTCT!C169</f>
        <v>Nắn sửa cọc tiêu, cọc MLG</v>
      </c>
      <c r="D585" s="13" t="str">
        <f>DTCT!D169</f>
        <v>1 cọc</v>
      </c>
      <c r="E585" s="137"/>
      <c r="F585" s="856"/>
      <c r="G585" s="138"/>
    </row>
    <row r="586" spans="1:7" ht="18" customHeight="1">
      <c r="A586" s="13"/>
      <c r="B586" s="13"/>
      <c r="C586" s="1028" t="s">
        <v>47</v>
      </c>
      <c r="D586" s="246" t="s">
        <v>55</v>
      </c>
      <c r="E586" s="248"/>
      <c r="F586" s="856"/>
      <c r="G586" s="391">
        <f>G587</f>
        <v>10218.48</v>
      </c>
    </row>
    <row r="587" spans="1:7" ht="18" customHeight="1">
      <c r="A587" s="13"/>
      <c r="B587" s="13"/>
      <c r="C587" s="458" t="s">
        <v>398</v>
      </c>
      <c r="D587" s="246" t="s">
        <v>30</v>
      </c>
      <c r="E587" s="248">
        <v>0.06</v>
      </c>
      <c r="F587" s="856">
        <f>F365</f>
        <v>170308</v>
      </c>
      <c r="G587" s="190">
        <f>E587*F587</f>
        <v>10218.48</v>
      </c>
    </row>
    <row r="588" spans="1:7" ht="18" customHeight="1">
      <c r="A588" s="13">
        <f>DTCT!A170</f>
        <v>9</v>
      </c>
      <c r="B588" s="13" t="str">
        <f>DTCT!B170</f>
        <v>BDD.22410</v>
      </c>
      <c r="C588" s="289" t="str">
        <f>DTCT!C170</f>
        <v>Nắn sửa cột Km</v>
      </c>
      <c r="D588" s="13" t="str">
        <f>DTCT!D170</f>
        <v>1 cột</v>
      </c>
      <c r="E588" s="137"/>
      <c r="F588" s="856"/>
      <c r="G588" s="138"/>
    </row>
    <row r="589" spans="1:7" ht="18" customHeight="1">
      <c r="A589" s="13"/>
      <c r="B589" s="13"/>
      <c r="C589" s="1028" t="s">
        <v>47</v>
      </c>
      <c r="D589" s="246" t="s">
        <v>55</v>
      </c>
      <c r="E589" s="248"/>
      <c r="F589" s="856"/>
      <c r="G589" s="391">
        <f>G590</f>
        <v>20436.96</v>
      </c>
    </row>
    <row r="590" spans="1:7" ht="18" customHeight="1">
      <c r="A590" s="13"/>
      <c r="B590" s="13"/>
      <c r="C590" s="458" t="s">
        <v>398</v>
      </c>
      <c r="D590" s="246" t="s">
        <v>30</v>
      </c>
      <c r="E590" s="248">
        <v>0.12</v>
      </c>
      <c r="F590" s="856">
        <f>F368</f>
        <v>170308</v>
      </c>
      <c r="G590" s="190">
        <f>E590*F590</f>
        <v>20436.96</v>
      </c>
    </row>
    <row r="591" spans="1:7" ht="18" customHeight="1">
      <c r="A591" s="13">
        <f>DTCT!A171</f>
        <v>10</v>
      </c>
      <c r="B591" s="13" t="str">
        <f>DTCT!B171</f>
        <v>BDD.22510</v>
      </c>
      <c r="C591" s="289" t="str">
        <f>DTCT!C171</f>
        <v>Nắn chỉnh, tu sửa biển báo</v>
      </c>
      <c r="D591" s="13" t="str">
        <f>DTCT!D171</f>
        <v>1 cột</v>
      </c>
      <c r="E591" s="137"/>
      <c r="F591" s="856"/>
      <c r="G591" s="138"/>
    </row>
    <row r="592" spans="1:7" ht="18" customHeight="1">
      <c r="A592" s="13"/>
      <c r="B592" s="13"/>
      <c r="C592" s="1028" t="s">
        <v>47</v>
      </c>
      <c r="D592" s="246" t="s">
        <v>55</v>
      </c>
      <c r="E592" s="248"/>
      <c r="F592" s="856"/>
      <c r="G592" s="391">
        <f>G593</f>
        <v>38319.300000000003</v>
      </c>
    </row>
    <row r="593" spans="1:7" ht="18" customHeight="1">
      <c r="A593" s="13"/>
      <c r="B593" s="13"/>
      <c r="C593" s="458" t="s">
        <v>398</v>
      </c>
      <c r="D593" s="246" t="s">
        <v>30</v>
      </c>
      <c r="E593" s="248">
        <v>0.22500000000000001</v>
      </c>
      <c r="F593" s="856">
        <f>F371</f>
        <v>170308</v>
      </c>
      <c r="G593" s="190">
        <f>E593*F593</f>
        <v>38319.300000000003</v>
      </c>
    </row>
    <row r="594" spans="1:7" ht="21" customHeight="1">
      <c r="A594" s="13">
        <f>+DTCT!A172</f>
        <v>11</v>
      </c>
      <c r="B594" s="13" t="str">
        <f>+DTCT!B172</f>
        <v>BDD.203210</v>
      </c>
      <c r="C594" s="289" t="str">
        <f>+DTCT!C172</f>
        <v>Bạt lề đường bằng máy</v>
      </c>
      <c r="D594" s="13" t="str">
        <f>+DTCT!D172</f>
        <v>100md</v>
      </c>
      <c r="E594" s="392"/>
      <c r="F594" s="856"/>
      <c r="G594" s="392"/>
    </row>
    <row r="595" spans="1:7" ht="18" customHeight="1">
      <c r="A595" s="13"/>
      <c r="B595" s="13"/>
      <c r="C595" s="1028" t="s">
        <v>49</v>
      </c>
      <c r="D595" s="13"/>
      <c r="E595" s="248"/>
      <c r="F595" s="856"/>
      <c r="G595" s="393">
        <f>+G596</f>
        <v>3154.1489999999999</v>
      </c>
    </row>
    <row r="596" spans="1:7" ht="18" customHeight="1">
      <c r="A596" s="13"/>
      <c r="B596" s="13"/>
      <c r="C596" s="384" t="s">
        <v>504</v>
      </c>
      <c r="D596" s="13" t="s">
        <v>1018</v>
      </c>
      <c r="E596" s="248">
        <v>3.0000000000000001E-3</v>
      </c>
      <c r="F596" s="856">
        <f>F374</f>
        <v>1051383</v>
      </c>
      <c r="G596" s="190">
        <f>+E596*F596</f>
        <v>3154.1489999999999</v>
      </c>
    </row>
    <row r="597" spans="1:7" ht="18" customHeight="1">
      <c r="A597" s="13">
        <f>+DTCT!A173</f>
        <v>12</v>
      </c>
      <c r="B597" s="13" t="str">
        <f>+DTCT!B173</f>
        <v>BDD.21312</v>
      </c>
      <c r="C597" s="289" t="str">
        <f>+DTCT!C173</f>
        <v>Vệ sinh mặt đường bằng thủ công</v>
      </c>
      <c r="D597" s="13" t="str">
        <f>+DTCT!D173</f>
        <v>lần/km</v>
      </c>
      <c r="E597" s="248"/>
      <c r="F597" s="856"/>
      <c r="G597" s="190"/>
    </row>
    <row r="598" spans="1:7" ht="18" customHeight="1">
      <c r="A598" s="13"/>
      <c r="B598" s="13"/>
      <c r="C598" s="1028" t="s">
        <v>48</v>
      </c>
      <c r="D598" s="246" t="s">
        <v>55</v>
      </c>
      <c r="E598" s="247"/>
      <c r="F598" s="856"/>
      <c r="G598" s="391">
        <f>G599</f>
        <v>2000</v>
      </c>
    </row>
    <row r="599" spans="1:7" ht="18" customHeight="1">
      <c r="A599" s="13"/>
      <c r="B599" s="13"/>
      <c r="C599" s="384" t="s">
        <v>401</v>
      </c>
      <c r="D599" s="246" t="s">
        <v>402</v>
      </c>
      <c r="E599" s="248">
        <v>0.1</v>
      </c>
      <c r="F599" s="856">
        <f>F377</f>
        <v>20000</v>
      </c>
      <c r="G599" s="266">
        <f>E599*F599</f>
        <v>2000</v>
      </c>
    </row>
    <row r="600" spans="1:7" ht="18" customHeight="1">
      <c r="A600" s="13"/>
      <c r="B600" s="13"/>
      <c r="C600" s="1028" t="s">
        <v>47</v>
      </c>
      <c r="D600" s="246" t="s">
        <v>55</v>
      </c>
      <c r="E600" s="248"/>
      <c r="F600" s="856">
        <f>F378</f>
        <v>0</v>
      </c>
      <c r="G600" s="391">
        <f>G601</f>
        <v>697788.75</v>
      </c>
    </row>
    <row r="601" spans="1:7" ht="18" customHeight="1">
      <c r="A601" s="13"/>
      <c r="B601" s="13"/>
      <c r="C601" s="458" t="s">
        <v>403</v>
      </c>
      <c r="D601" s="246" t="s">
        <v>30</v>
      </c>
      <c r="E601" s="248">
        <v>3.75</v>
      </c>
      <c r="F601" s="856">
        <f>F379</f>
        <v>186077</v>
      </c>
      <c r="G601" s="190">
        <f>E601*F601</f>
        <v>697788.75</v>
      </c>
    </row>
    <row r="602" spans="1:7" ht="18" customHeight="1">
      <c r="A602" s="13">
        <f>+DTCT!A174</f>
        <v>13</v>
      </c>
      <c r="B602" s="13" t="str">
        <f>+DTCT!B174</f>
        <v>BDD.22910</v>
      </c>
      <c r="C602" s="289" t="str">
        <f>+DTCT!C174</f>
        <v>Vệ sinh mặt biển phản quang</v>
      </c>
      <c r="D602" s="13" t="str">
        <f>+DTCT!D174</f>
        <v>m2</v>
      </c>
      <c r="E602" s="248"/>
      <c r="F602" s="856"/>
      <c r="G602" s="190"/>
    </row>
    <row r="603" spans="1:7" ht="18" customHeight="1">
      <c r="A603" s="13"/>
      <c r="B603" s="13"/>
      <c r="C603" s="1028" t="s">
        <v>47</v>
      </c>
      <c r="D603" s="246" t="s">
        <v>55</v>
      </c>
      <c r="E603" s="248"/>
      <c r="F603" s="856"/>
      <c r="G603" s="391">
        <f>G604</f>
        <v>9579.8000000000011</v>
      </c>
    </row>
    <row r="604" spans="1:7" ht="18" customHeight="1">
      <c r="A604" s="13"/>
      <c r="B604" s="13"/>
      <c r="C604" s="458" t="s">
        <v>292</v>
      </c>
      <c r="D604" s="246" t="s">
        <v>30</v>
      </c>
      <c r="E604" s="248">
        <v>0.05</v>
      </c>
      <c r="F604" s="856">
        <f>F382</f>
        <v>191596</v>
      </c>
      <c r="G604" s="190">
        <f>E604*F604</f>
        <v>9579.8000000000011</v>
      </c>
    </row>
    <row r="605" spans="1:7" ht="30.75" customHeight="1">
      <c r="A605" s="13"/>
      <c r="B605" s="13"/>
      <c r="C605" s="287" t="str">
        <f>DTCT!C175</f>
        <v>CÔNG TÁC BẢO DƯỠNG CẦU L &lt;= 300M</v>
      </c>
      <c r="D605" s="13"/>
      <c r="E605" s="137"/>
      <c r="F605" s="856"/>
      <c r="G605" s="138"/>
    </row>
    <row r="606" spans="1:7" ht="18" customHeight="1">
      <c r="A606" s="13">
        <f>DTCT!A176</f>
        <v>14</v>
      </c>
      <c r="B606" s="13" t="str">
        <f>DTCT!B176</f>
        <v>BDC.20610</v>
      </c>
      <c r="C606" s="289" t="str">
        <f>DTCT!C176</f>
        <v>Vệ sinh mặt cầu, ống thoát nước</v>
      </c>
      <c r="D606" s="13" t="str">
        <f>DTCT!D176</f>
        <v>10m2</v>
      </c>
      <c r="E606" s="137"/>
      <c r="F606" s="856"/>
      <c r="G606" s="138"/>
    </row>
    <row r="607" spans="1:7" ht="18" customHeight="1">
      <c r="A607" s="13"/>
      <c r="B607" s="13"/>
      <c r="C607" s="1028" t="s">
        <v>48</v>
      </c>
      <c r="D607" s="246" t="s">
        <v>55</v>
      </c>
      <c r="E607" s="247"/>
      <c r="F607" s="856"/>
      <c r="G607" s="391">
        <f>G608</f>
        <v>2</v>
      </c>
    </row>
    <row r="608" spans="1:7" ht="18" customHeight="1">
      <c r="A608" s="13"/>
      <c r="B608" s="13"/>
      <c r="C608" s="384" t="s">
        <v>401</v>
      </c>
      <c r="D608" s="246" t="s">
        <v>402</v>
      </c>
      <c r="E608" s="248">
        <v>1E-4</v>
      </c>
      <c r="F608" s="856">
        <f>F386</f>
        <v>20000</v>
      </c>
      <c r="G608" s="190">
        <f>E608*F608</f>
        <v>2</v>
      </c>
    </row>
    <row r="609" spans="1:7" ht="18" customHeight="1">
      <c r="A609" s="13"/>
      <c r="B609" s="13"/>
      <c r="C609" s="1028" t="s">
        <v>47</v>
      </c>
      <c r="D609" s="246" t="s">
        <v>55</v>
      </c>
      <c r="E609" s="248"/>
      <c r="F609" s="856"/>
      <c r="G609" s="391">
        <f>G610</f>
        <v>8931.6959999999999</v>
      </c>
    </row>
    <row r="610" spans="1:7" ht="18" customHeight="1">
      <c r="A610" s="13"/>
      <c r="B610" s="13"/>
      <c r="C610" s="458" t="s">
        <v>403</v>
      </c>
      <c r="D610" s="246" t="s">
        <v>30</v>
      </c>
      <c r="E610" s="248">
        <v>4.8000000000000001E-2</v>
      </c>
      <c r="F610" s="856">
        <f>F388</f>
        <v>186077</v>
      </c>
      <c r="G610" s="190">
        <f>E610*F610</f>
        <v>8931.6959999999999</v>
      </c>
    </row>
    <row r="611" spans="1:7" ht="18" customHeight="1">
      <c r="A611" s="13">
        <f>DTCT!A177</f>
        <v>15</v>
      </c>
      <c r="B611" s="13" t="str">
        <f>DTCT!B177</f>
        <v>BDC.20910</v>
      </c>
      <c r="C611" s="289" t="str">
        <f>DTCT!C177</f>
        <v>Vệ sinh khe co dãn cao su</v>
      </c>
      <c r="D611" s="13" t="str">
        <f>DTCT!D177</f>
        <v>1md</v>
      </c>
      <c r="E611" s="137"/>
      <c r="F611" s="856"/>
      <c r="G611" s="138"/>
    </row>
    <row r="612" spans="1:7" ht="18" customHeight="1">
      <c r="A612" s="13"/>
      <c r="B612" s="13"/>
      <c r="C612" s="1028" t="s">
        <v>47</v>
      </c>
      <c r="D612" s="246" t="s">
        <v>55</v>
      </c>
      <c r="E612" s="248"/>
      <c r="F612" s="856"/>
      <c r="G612" s="391">
        <f>G613</f>
        <v>11580.944000000001</v>
      </c>
    </row>
    <row r="613" spans="1:7" ht="18" customHeight="1">
      <c r="A613" s="13"/>
      <c r="B613" s="13"/>
      <c r="C613" s="458" t="s">
        <v>398</v>
      </c>
      <c r="D613" s="246" t="s">
        <v>30</v>
      </c>
      <c r="E613" s="248">
        <v>6.8000000000000005E-2</v>
      </c>
      <c r="F613" s="856">
        <f>F391</f>
        <v>170308</v>
      </c>
      <c r="G613" s="190">
        <f>E613*F613</f>
        <v>11580.944000000001</v>
      </c>
    </row>
    <row r="614" spans="1:7" ht="18" customHeight="1">
      <c r="A614" s="13">
        <f>DTCT!A178</f>
        <v>16</v>
      </c>
      <c r="B614" s="13" t="str">
        <f>DTCT!B178</f>
        <v>BDC.21010</v>
      </c>
      <c r="C614" s="289" t="str">
        <f>DTCT!C178</f>
        <v>Vệ sinh mố cầu</v>
      </c>
      <c r="D614" s="13" t="str">
        <f>DTCT!D178</f>
        <v>m2</v>
      </c>
      <c r="E614" s="137"/>
      <c r="F614" s="856"/>
      <c r="G614" s="138"/>
    </row>
    <row r="615" spans="1:7" ht="18" customHeight="1">
      <c r="A615" s="13"/>
      <c r="B615" s="13"/>
      <c r="C615" s="1028" t="s">
        <v>47</v>
      </c>
      <c r="D615" s="246" t="s">
        <v>55</v>
      </c>
      <c r="E615" s="248"/>
      <c r="F615" s="856"/>
      <c r="G615" s="391">
        <f>G616</f>
        <v>86218.2</v>
      </c>
    </row>
    <row r="616" spans="1:7" ht="18" customHeight="1">
      <c r="A616" s="13"/>
      <c r="B616" s="13"/>
      <c r="C616" s="458" t="s">
        <v>292</v>
      </c>
      <c r="D616" s="246" t="s">
        <v>30</v>
      </c>
      <c r="E616" s="248">
        <v>0.45</v>
      </c>
      <c r="F616" s="856">
        <f>F394</f>
        <v>191596</v>
      </c>
      <c r="G616" s="190">
        <f>E616*F616</f>
        <v>86218.2</v>
      </c>
    </row>
    <row r="617" spans="1:7" ht="18" customHeight="1">
      <c r="A617" s="13">
        <f>DTCT!A179</f>
        <v>17</v>
      </c>
      <c r="B617" s="13" t="str">
        <f>DTCT!B179</f>
        <v>BDC.21710</v>
      </c>
      <c r="C617" s="289" t="str">
        <f>DTCT!C179</f>
        <v>Phát quang cây dại</v>
      </c>
      <c r="D617" s="13" t="str">
        <f>DTCT!D179</f>
        <v>100m2</v>
      </c>
      <c r="E617" s="137"/>
      <c r="F617" s="856"/>
      <c r="G617" s="138"/>
    </row>
    <row r="618" spans="1:7" ht="18" customHeight="1">
      <c r="A618" s="13"/>
      <c r="B618" s="13"/>
      <c r="C618" s="1028" t="s">
        <v>47</v>
      </c>
      <c r="D618" s="246" t="s">
        <v>55</v>
      </c>
      <c r="E618" s="248"/>
      <c r="F618" s="856"/>
      <c r="G618" s="391">
        <f>G619</f>
        <v>729940.08799999987</v>
      </c>
    </row>
    <row r="619" spans="1:7" ht="18" customHeight="1">
      <c r="A619" s="13"/>
      <c r="B619" s="13"/>
      <c r="C619" s="458" t="s">
        <v>398</v>
      </c>
      <c r="D619" s="246" t="s">
        <v>30</v>
      </c>
      <c r="E619" s="248">
        <v>4.2859999999999996</v>
      </c>
      <c r="F619" s="856">
        <f>F397</f>
        <v>170308</v>
      </c>
      <c r="G619" s="190">
        <f>E619*F619</f>
        <v>729940.08799999987</v>
      </c>
    </row>
    <row r="620" spans="1:7" ht="27.75" customHeight="1">
      <c r="A620" s="13"/>
      <c r="B620" s="13"/>
      <c r="C620" s="287" t="str">
        <f>DTCT!C180</f>
        <v>CÔNG TÁC QUẢN LÝ CẦU CẦU L &lt;= 300M</v>
      </c>
      <c r="D620" s="13"/>
      <c r="E620" s="137"/>
      <c r="F620" s="856"/>
      <c r="G620" s="138"/>
    </row>
    <row r="621" spans="1:7" ht="18" customHeight="1">
      <c r="A621" s="13"/>
      <c r="B621" s="13"/>
      <c r="C621" s="287" t="str">
        <f>DTCT!C181</f>
        <v>Cầu &lt; 50m</v>
      </c>
      <c r="D621" s="13"/>
      <c r="E621" s="137"/>
      <c r="F621" s="856"/>
      <c r="G621" s="138"/>
    </row>
    <row r="622" spans="1:7" ht="18" customHeight="1">
      <c r="A622" s="13">
        <f>DTCT!A182</f>
        <v>18</v>
      </c>
      <c r="B622" s="13" t="str">
        <f>DTCT!B182</f>
        <v>QLC.10140</v>
      </c>
      <c r="C622" s="289" t="str">
        <f>DTCT!C182</f>
        <v>Kiểm tra cầu</v>
      </c>
      <c r="D622" s="13" t="str">
        <f>DTCT!D182</f>
        <v>cầu/năm</v>
      </c>
      <c r="E622" s="137"/>
      <c r="F622" s="856"/>
      <c r="G622" s="138"/>
    </row>
    <row r="623" spans="1:7" ht="18" customHeight="1">
      <c r="A623" s="13"/>
      <c r="B623" s="13"/>
      <c r="C623" s="1028" t="s">
        <v>48</v>
      </c>
      <c r="D623" s="246" t="s">
        <v>55</v>
      </c>
      <c r="E623" s="247"/>
      <c r="F623" s="856"/>
      <c r="G623" s="391">
        <f>G624+G625</f>
        <v>39000</v>
      </c>
    </row>
    <row r="624" spans="1:7" ht="18" customHeight="1">
      <c r="A624" s="13"/>
      <c r="B624" s="13"/>
      <c r="C624" s="384" t="s">
        <v>404</v>
      </c>
      <c r="D624" s="246" t="s">
        <v>405</v>
      </c>
      <c r="E624" s="248">
        <v>1</v>
      </c>
      <c r="F624" s="856">
        <f>F402</f>
        <v>3000</v>
      </c>
      <c r="G624" s="190">
        <f>E624*F624</f>
        <v>3000</v>
      </c>
    </row>
    <row r="625" spans="1:7" ht="18" customHeight="1">
      <c r="A625" s="13"/>
      <c r="B625" s="13"/>
      <c r="C625" s="384" t="s">
        <v>406</v>
      </c>
      <c r="D625" s="246" t="s">
        <v>17</v>
      </c>
      <c r="E625" s="248">
        <v>12</v>
      </c>
      <c r="F625" s="856">
        <f>F403</f>
        <v>3000</v>
      </c>
      <c r="G625" s="190">
        <f>E625*F625</f>
        <v>36000</v>
      </c>
    </row>
    <row r="626" spans="1:7" ht="18" customHeight="1">
      <c r="A626" s="13"/>
      <c r="B626" s="13"/>
      <c r="C626" s="1028" t="s">
        <v>47</v>
      </c>
      <c r="D626" s="246" t="s">
        <v>55</v>
      </c>
      <c r="E626" s="248"/>
      <c r="F626" s="856"/>
      <c r="G626" s="391">
        <f>G627</f>
        <v>804232</v>
      </c>
    </row>
    <row r="627" spans="1:7" ht="18" customHeight="1">
      <c r="A627" s="13"/>
      <c r="B627" s="13"/>
      <c r="C627" s="458" t="s">
        <v>399</v>
      </c>
      <c r="D627" s="246" t="s">
        <v>30</v>
      </c>
      <c r="E627" s="248">
        <v>4</v>
      </c>
      <c r="F627" s="856">
        <f>F405</f>
        <v>201058</v>
      </c>
      <c r="G627" s="190">
        <f>E627*F627</f>
        <v>804232</v>
      </c>
    </row>
    <row r="628" spans="1:7" ht="18" customHeight="1">
      <c r="A628" s="13">
        <f>DTCT!A183</f>
        <v>19</v>
      </c>
      <c r="B628" s="13" t="str">
        <f>DTCT!B183</f>
        <v>QLC.10340</v>
      </c>
      <c r="C628" s="289" t="str">
        <f>DTCT!C183</f>
        <v>Kiểm tra trước và sau mùa mưa bão</v>
      </c>
      <c r="D628" s="13" t="str">
        <f>DTCT!D183</f>
        <v>cầu/năm</v>
      </c>
      <c r="E628" s="137"/>
      <c r="F628" s="856"/>
      <c r="G628" s="138"/>
    </row>
    <row r="629" spans="1:7" ht="18" customHeight="1">
      <c r="A629" s="13"/>
      <c r="B629" s="13"/>
      <c r="C629" s="1028" t="s">
        <v>48</v>
      </c>
      <c r="D629" s="246" t="s">
        <v>55</v>
      </c>
      <c r="E629" s="247"/>
      <c r="F629" s="856"/>
      <c r="G629" s="391">
        <f>G630+G631</f>
        <v>6501</v>
      </c>
    </row>
    <row r="630" spans="1:7" ht="18" customHeight="1">
      <c r="A630" s="13"/>
      <c r="B630" s="13"/>
      <c r="C630" s="384" t="s">
        <v>404</v>
      </c>
      <c r="D630" s="246" t="s">
        <v>405</v>
      </c>
      <c r="E630" s="248">
        <v>0.16700000000000001</v>
      </c>
      <c r="F630" s="856">
        <f>F408</f>
        <v>3000</v>
      </c>
      <c r="G630" s="190">
        <f>E630*F630</f>
        <v>501.00000000000006</v>
      </c>
    </row>
    <row r="631" spans="1:7" ht="18" customHeight="1">
      <c r="A631" s="13"/>
      <c r="B631" s="13"/>
      <c r="C631" s="384" t="s">
        <v>406</v>
      </c>
      <c r="D631" s="246" t="s">
        <v>17</v>
      </c>
      <c r="E631" s="248">
        <v>2</v>
      </c>
      <c r="F631" s="856">
        <f>F409</f>
        <v>3000</v>
      </c>
      <c r="G631" s="190">
        <f>E631*F631</f>
        <v>6000</v>
      </c>
    </row>
    <row r="632" spans="1:7" ht="18" customHeight="1">
      <c r="A632" s="13"/>
      <c r="B632" s="13"/>
      <c r="C632" s="1028" t="s">
        <v>47</v>
      </c>
      <c r="D632" s="246" t="s">
        <v>55</v>
      </c>
      <c r="E632" s="248"/>
      <c r="F632" s="856"/>
      <c r="G632" s="391">
        <f>G633</f>
        <v>201058</v>
      </c>
    </row>
    <row r="633" spans="1:7" ht="18" customHeight="1">
      <c r="A633" s="13"/>
      <c r="B633" s="13"/>
      <c r="C633" s="458" t="s">
        <v>399</v>
      </c>
      <c r="D633" s="246" t="s">
        <v>30</v>
      </c>
      <c r="E633" s="248">
        <v>1</v>
      </c>
      <c r="F633" s="856">
        <f>F411</f>
        <v>201058</v>
      </c>
      <c r="G633" s="190">
        <f>E633*F633</f>
        <v>201058</v>
      </c>
    </row>
    <row r="634" spans="1:7" ht="18" customHeight="1">
      <c r="A634" s="13">
        <f>DTCT!A184</f>
        <v>20</v>
      </c>
      <c r="B634" s="13" t="str">
        <f>DTCT!B184</f>
        <v>QLC.10440</v>
      </c>
      <c r="C634" s="289" t="str">
        <f>DTCT!C184</f>
        <v>Quản lý hồ sơ trên vi tính</v>
      </c>
      <c r="D634" s="13" t="str">
        <f>DTCT!D184</f>
        <v>cầu/năm</v>
      </c>
      <c r="E634" s="137"/>
      <c r="F634" s="856"/>
      <c r="G634" s="138"/>
    </row>
    <row r="635" spans="1:7" ht="18" customHeight="1">
      <c r="A635" s="13"/>
      <c r="B635" s="13"/>
      <c r="C635" s="1028" t="s">
        <v>47</v>
      </c>
      <c r="D635" s="246" t="s">
        <v>55</v>
      </c>
      <c r="E635" s="248"/>
      <c r="F635" s="856"/>
      <c r="G635" s="391">
        <f>G636</f>
        <v>237327</v>
      </c>
    </row>
    <row r="636" spans="1:7" ht="18" customHeight="1">
      <c r="A636" s="290"/>
      <c r="B636" s="290"/>
      <c r="C636" s="1030" t="s">
        <v>394</v>
      </c>
      <c r="D636" s="250" t="s">
        <v>30</v>
      </c>
      <c r="E636" s="302">
        <v>1</v>
      </c>
      <c r="F636" s="858">
        <f>F414</f>
        <v>237327</v>
      </c>
      <c r="G636" s="191">
        <f>E636*F636</f>
        <v>237327</v>
      </c>
    </row>
    <row r="637" spans="1:7" ht="31.5" customHeight="1">
      <c r="A637" s="1040" t="str">
        <f>DTCT!A185</f>
        <v>VII</v>
      </c>
      <c r="B637" s="1040"/>
      <c r="C637" s="1041" t="str">
        <f>DTCT!C185</f>
        <v>ĐƯỜNG TỈNH 907 - HUYỆN VŨNG LIÊM</v>
      </c>
      <c r="D637" s="1042"/>
      <c r="E637" s="1043"/>
      <c r="F637" s="1044"/>
      <c r="G637" s="1045"/>
    </row>
    <row r="638" spans="1:7" ht="32.25" customHeight="1">
      <c r="A638" s="1046"/>
      <c r="B638" s="1046"/>
      <c r="C638" s="1047" t="str">
        <f>DTCT!C186</f>
        <v>CÔNG TÁC QUẢN LÝ BDTX ĐƯỜNG BỘ</v>
      </c>
      <c r="D638" s="1046"/>
      <c r="E638" s="1048"/>
      <c r="F638" s="1049"/>
      <c r="G638" s="1050"/>
    </row>
    <row r="639" spans="1:7" ht="18" customHeight="1">
      <c r="A639" s="1046">
        <f>DTCT!A187</f>
        <v>1</v>
      </c>
      <c r="B639" s="1046" t="str">
        <f>DTCT!B187</f>
        <v>QLD.10150</v>
      </c>
      <c r="C639" s="1051" t="str">
        <f>DTCT!C187</f>
        <v>Tuần đường</v>
      </c>
      <c r="D639" s="1046" t="str">
        <f>DTCT!D187</f>
        <v>1km/năm</v>
      </c>
      <c r="E639" s="1048"/>
      <c r="F639" s="1049"/>
      <c r="G639" s="1050"/>
    </row>
    <row r="640" spans="1:7" ht="18" customHeight="1">
      <c r="A640" s="1046"/>
      <c r="B640" s="1046"/>
      <c r="C640" s="1052" t="s">
        <v>48</v>
      </c>
      <c r="D640" s="1053" t="s">
        <v>55</v>
      </c>
      <c r="E640" s="1054"/>
      <c r="F640" s="1049"/>
      <c r="G640" s="1055">
        <f>G641</f>
        <v>162671.375</v>
      </c>
    </row>
    <row r="641" spans="1:7" ht="18" customHeight="1">
      <c r="A641" s="1046"/>
      <c r="B641" s="1046"/>
      <c r="C641" s="1056" t="s">
        <v>393</v>
      </c>
      <c r="D641" s="1053" t="s">
        <v>32</v>
      </c>
      <c r="E641" s="1057">
        <v>9.125</v>
      </c>
      <c r="F641" s="1049">
        <f>F557</f>
        <v>17827</v>
      </c>
      <c r="G641" s="1058">
        <f>E641*F641</f>
        <v>162671.375</v>
      </c>
    </row>
    <row r="642" spans="1:7" ht="18" customHeight="1">
      <c r="A642" s="1046"/>
      <c r="B642" s="1046"/>
      <c r="C642" s="1052" t="s">
        <v>47</v>
      </c>
      <c r="D642" s="1053" t="s">
        <v>55</v>
      </c>
      <c r="E642" s="1057"/>
      <c r="F642" s="1049"/>
      <c r="G642" s="1055">
        <f>G643</f>
        <v>2038164.2759999998</v>
      </c>
    </row>
    <row r="643" spans="1:7" ht="18" customHeight="1">
      <c r="A643" s="1046"/>
      <c r="B643" s="1046"/>
      <c r="C643" s="1059" t="s">
        <v>394</v>
      </c>
      <c r="D643" s="1053" t="s">
        <v>30</v>
      </c>
      <c r="E643" s="1057">
        <v>8.5879999999999992</v>
      </c>
      <c r="F643" s="1049">
        <f>F559</f>
        <v>237327</v>
      </c>
      <c r="G643" s="1058">
        <f>E643*F643</f>
        <v>2038164.2759999998</v>
      </c>
    </row>
    <row r="644" spans="1:7" ht="27.75" customHeight="1">
      <c r="A644" s="1046">
        <f>DTCT!A188</f>
        <v>2</v>
      </c>
      <c r="B644" s="1046" t="str">
        <f>DTCT!B188</f>
        <v>QLD.10230</v>
      </c>
      <c r="C644" s="1051" t="str">
        <f>DTCT!C188</f>
        <v>Đếm xe bằng thủ công</v>
      </c>
      <c r="D644" s="1046" t="str">
        <f>DTCT!D188</f>
        <v>1lần/trạmđếm</v>
      </c>
      <c r="E644" s="1048"/>
      <c r="F644" s="1049"/>
      <c r="G644" s="1050"/>
    </row>
    <row r="645" spans="1:7" ht="18" customHeight="1">
      <c r="A645" s="1046"/>
      <c r="B645" s="1046"/>
      <c r="C645" s="1052" t="s">
        <v>48</v>
      </c>
      <c r="D645" s="1053" t="s">
        <v>55</v>
      </c>
      <c r="E645" s="1054"/>
      <c r="F645" s="1049"/>
      <c r="G645" s="1055">
        <f>G647+G646</f>
        <v>15300</v>
      </c>
    </row>
    <row r="646" spans="1:7" ht="18" customHeight="1">
      <c r="A646" s="1046"/>
      <c r="B646" s="1046"/>
      <c r="C646" s="1056" t="s">
        <v>395</v>
      </c>
      <c r="D646" s="1053" t="s">
        <v>396</v>
      </c>
      <c r="E646" s="1057">
        <v>42</v>
      </c>
      <c r="F646" s="1049">
        <f>F562</f>
        <v>150</v>
      </c>
      <c r="G646" s="1058">
        <f>E646*F646</f>
        <v>6300</v>
      </c>
    </row>
    <row r="647" spans="1:7" ht="18" customHeight="1">
      <c r="A647" s="1046"/>
      <c r="B647" s="1046"/>
      <c r="C647" s="1056" t="s">
        <v>397</v>
      </c>
      <c r="D647" s="1053" t="s">
        <v>17</v>
      </c>
      <c r="E647" s="1057">
        <v>3</v>
      </c>
      <c r="F647" s="1049">
        <f>F563</f>
        <v>3000</v>
      </c>
      <c r="G647" s="1058">
        <f>E647*F647</f>
        <v>9000</v>
      </c>
    </row>
    <row r="648" spans="1:7" ht="18" customHeight="1">
      <c r="A648" s="1046"/>
      <c r="B648" s="1046"/>
      <c r="C648" s="1052" t="s">
        <v>47</v>
      </c>
      <c r="D648" s="1053" t="s">
        <v>55</v>
      </c>
      <c r="E648" s="1057"/>
      <c r="F648" s="1049"/>
      <c r="G648" s="1055">
        <f>G649</f>
        <v>2384312</v>
      </c>
    </row>
    <row r="649" spans="1:7" ht="18" customHeight="1">
      <c r="A649" s="1046"/>
      <c r="B649" s="1046"/>
      <c r="C649" s="1059" t="s">
        <v>398</v>
      </c>
      <c r="D649" s="1053" t="s">
        <v>30</v>
      </c>
      <c r="E649" s="1057">
        <v>14</v>
      </c>
      <c r="F649" s="1049">
        <f>F565</f>
        <v>170308</v>
      </c>
      <c r="G649" s="1058">
        <f>E649*F649</f>
        <v>2384312</v>
      </c>
    </row>
    <row r="650" spans="1:7" ht="34.5" customHeight="1">
      <c r="A650" s="1046">
        <f>DTCT!A189</f>
        <v>3</v>
      </c>
      <c r="B650" s="1046" t="str">
        <f>DTCT!B189</f>
        <v>QLD.10340</v>
      </c>
      <c r="C650" s="1051" t="str">
        <f>DTCT!C189</f>
        <v>Kiểm tra định kỳ, khẩn cấp, cập nhật số liệu cầu đường và tình hình bão lũ</v>
      </c>
      <c r="D650" s="1046" t="str">
        <f>DTCT!D189</f>
        <v>1km/1lần</v>
      </c>
      <c r="E650" s="1048"/>
      <c r="F650" s="1049"/>
      <c r="G650" s="1050"/>
    </row>
    <row r="651" spans="1:7" ht="18" customHeight="1">
      <c r="A651" s="1046"/>
      <c r="B651" s="1046"/>
      <c r="C651" s="1052" t="s">
        <v>48</v>
      </c>
      <c r="D651" s="1053" t="s">
        <v>55</v>
      </c>
      <c r="E651" s="1054"/>
      <c r="F651" s="1049"/>
      <c r="G651" s="1055">
        <f>G652</f>
        <v>445.67500000000001</v>
      </c>
    </row>
    <row r="652" spans="1:7" ht="18" customHeight="1">
      <c r="A652" s="1046"/>
      <c r="B652" s="1046"/>
      <c r="C652" s="1056" t="s">
        <v>393</v>
      </c>
      <c r="D652" s="1053" t="s">
        <v>32</v>
      </c>
      <c r="E652" s="1057">
        <v>2.5000000000000001E-2</v>
      </c>
      <c r="F652" s="1049">
        <f>F568</f>
        <v>17827</v>
      </c>
      <c r="G652" s="1058">
        <f>E652*F652</f>
        <v>445.67500000000001</v>
      </c>
    </row>
    <row r="653" spans="1:7" ht="18" customHeight="1">
      <c r="A653" s="1046"/>
      <c r="B653" s="1046"/>
      <c r="C653" s="1052" t="s">
        <v>47</v>
      </c>
      <c r="D653" s="1053" t="s">
        <v>55</v>
      </c>
      <c r="E653" s="1057"/>
      <c r="F653" s="1049"/>
      <c r="G653" s="1055">
        <f>G654</f>
        <v>7439.1459999999997</v>
      </c>
    </row>
    <row r="654" spans="1:7" ht="18" customHeight="1">
      <c r="A654" s="1046"/>
      <c r="B654" s="1046"/>
      <c r="C654" s="1059" t="s">
        <v>399</v>
      </c>
      <c r="D654" s="1053" t="s">
        <v>30</v>
      </c>
      <c r="E654" s="1057">
        <v>3.6999999999999998E-2</v>
      </c>
      <c r="F654" s="1049">
        <f>F570</f>
        <v>201058</v>
      </c>
      <c r="G654" s="1058">
        <f>E654*F654</f>
        <v>7439.1459999999997</v>
      </c>
    </row>
    <row r="655" spans="1:7" ht="18" customHeight="1">
      <c r="A655" s="1046">
        <f>DTCT!A190</f>
        <v>4</v>
      </c>
      <c r="B655" s="1046" t="str">
        <f>DTCT!B190</f>
        <v>QLD.10410</v>
      </c>
      <c r="C655" s="1051" t="str">
        <f>DTCT!C190</f>
        <v>Trực bão lũ</v>
      </c>
      <c r="D655" s="1046" t="str">
        <f>DTCT!D190</f>
        <v>40km/năm</v>
      </c>
      <c r="E655" s="1048"/>
      <c r="F655" s="1049"/>
      <c r="G655" s="1050"/>
    </row>
    <row r="656" spans="1:7" ht="18" customHeight="1">
      <c r="A656" s="1046"/>
      <c r="B656" s="1046"/>
      <c r="C656" s="1052" t="s">
        <v>47</v>
      </c>
      <c r="D656" s="1053" t="s">
        <v>55</v>
      </c>
      <c r="E656" s="1057"/>
      <c r="F656" s="1049"/>
      <c r="G656" s="1055">
        <f>G657</f>
        <v>30655360</v>
      </c>
    </row>
    <row r="657" spans="1:7" ht="18" customHeight="1">
      <c r="A657" s="1046"/>
      <c r="B657" s="1046"/>
      <c r="C657" s="1059" t="s">
        <v>292</v>
      </c>
      <c r="D657" s="1053" t="s">
        <v>30</v>
      </c>
      <c r="E657" s="1057">
        <v>160</v>
      </c>
      <c r="F657" s="1049">
        <f>F573</f>
        <v>191596</v>
      </c>
      <c r="G657" s="1058">
        <f>E657*F657</f>
        <v>30655360</v>
      </c>
    </row>
    <row r="658" spans="1:7" ht="29.25" customHeight="1">
      <c r="A658" s="1046">
        <f>DTCT!A191</f>
        <v>5</v>
      </c>
      <c r="B658" s="1046" t="str">
        <f>DTCT!B191</f>
        <v>QLD.10610</v>
      </c>
      <c r="C658" s="1051" t="str">
        <f>DTCT!C191</f>
        <v>Quản lý hành lang an toàn đường bộ và đấu nối</v>
      </c>
      <c r="D658" s="1046" t="str">
        <f>DTCT!D191</f>
        <v>1km/ năm</v>
      </c>
      <c r="E658" s="1048"/>
      <c r="F658" s="1049"/>
      <c r="G658" s="1050"/>
    </row>
    <row r="659" spans="1:7" ht="18" customHeight="1">
      <c r="A659" s="1046"/>
      <c r="B659" s="1046"/>
      <c r="C659" s="1052" t="s">
        <v>47</v>
      </c>
      <c r="D659" s="1053" t="s">
        <v>55</v>
      </c>
      <c r="E659" s="1057"/>
      <c r="F659" s="1049"/>
      <c r="G659" s="1055">
        <f>G660</f>
        <v>402116</v>
      </c>
    </row>
    <row r="660" spans="1:7" ht="18" customHeight="1">
      <c r="A660" s="1046"/>
      <c r="B660" s="1046"/>
      <c r="C660" s="1059" t="s">
        <v>399</v>
      </c>
      <c r="D660" s="1053" t="s">
        <v>30</v>
      </c>
      <c r="E660" s="1057">
        <v>2</v>
      </c>
      <c r="F660" s="1049">
        <f>F576</f>
        <v>201058</v>
      </c>
      <c r="G660" s="1058">
        <f>E660*F660</f>
        <v>402116</v>
      </c>
    </row>
    <row r="661" spans="1:7" ht="18" customHeight="1">
      <c r="A661" s="1046">
        <f>DTCT!A192</f>
        <v>6</v>
      </c>
      <c r="B661" s="1046" t="str">
        <f>DTCT!B192</f>
        <v>BDD.20410</v>
      </c>
      <c r="C661" s="1051" t="str">
        <f>DTCT!C192</f>
        <v>Cắt cỏ bằng máy</v>
      </c>
      <c r="D661" s="1046" t="str">
        <f>DTCT!D192</f>
        <v>1km/1lần</v>
      </c>
      <c r="E661" s="1048"/>
      <c r="F661" s="1049"/>
      <c r="G661" s="1050"/>
    </row>
    <row r="662" spans="1:7" ht="18" customHeight="1">
      <c r="A662" s="1046"/>
      <c r="B662" s="1046"/>
      <c r="C662" s="1052" t="s">
        <v>48</v>
      </c>
      <c r="D662" s="1053" t="s">
        <v>55</v>
      </c>
      <c r="E662" s="1054"/>
      <c r="F662" s="1049"/>
      <c r="G662" s="1055">
        <f>G663</f>
        <v>8000</v>
      </c>
    </row>
    <row r="663" spans="1:7" ht="18" customHeight="1">
      <c r="A663" s="1046"/>
      <c r="B663" s="1046"/>
      <c r="C663" s="1056" t="s">
        <v>400</v>
      </c>
      <c r="D663" s="1053" t="s">
        <v>411</v>
      </c>
      <c r="E663" s="1057">
        <v>0.2</v>
      </c>
      <c r="F663" s="1049">
        <f>F579</f>
        <v>40000</v>
      </c>
      <c r="G663" s="1058">
        <f>E663*F663</f>
        <v>8000</v>
      </c>
    </row>
    <row r="664" spans="1:7" ht="18" customHeight="1">
      <c r="A664" s="1046"/>
      <c r="B664" s="1046"/>
      <c r="C664" s="1052" t="s">
        <v>49</v>
      </c>
      <c r="D664" s="1053" t="s">
        <v>55</v>
      </c>
      <c r="E664" s="1054"/>
      <c r="F664" s="1049"/>
      <c r="G664" s="1055">
        <f>G665</f>
        <v>49341.599999999999</v>
      </c>
    </row>
    <row r="665" spans="1:7" ht="18" customHeight="1">
      <c r="A665" s="1046"/>
      <c r="B665" s="1046"/>
      <c r="C665" s="1056" t="s">
        <v>1017</v>
      </c>
      <c r="D665" s="1053" t="s">
        <v>291</v>
      </c>
      <c r="E665" s="1057">
        <v>0.9</v>
      </c>
      <c r="F665" s="1049">
        <f>F581</f>
        <v>54824</v>
      </c>
      <c r="G665" s="1058">
        <f>E665*F665</f>
        <v>49341.599999999999</v>
      </c>
    </row>
    <row r="666" spans="1:7" ht="18" customHeight="1">
      <c r="A666" s="1046">
        <f>DTCT!A193</f>
        <v>7</v>
      </c>
      <c r="B666" s="1046" t="str">
        <f>DTCT!B193</f>
        <v>BDD.20510</v>
      </c>
      <c r="C666" s="1051" t="str">
        <f>DTCT!C193</f>
        <v>Phát quang cây cỏ bằng thủ công</v>
      </c>
      <c r="D666" s="1046" t="str">
        <f>DTCT!D193</f>
        <v>1km/1lần</v>
      </c>
      <c r="E666" s="1048"/>
      <c r="F666" s="1049"/>
      <c r="G666" s="1050"/>
    </row>
    <row r="667" spans="1:7" ht="18" customHeight="1">
      <c r="A667" s="1046"/>
      <c r="B667" s="1046"/>
      <c r="C667" s="1052" t="s">
        <v>47</v>
      </c>
      <c r="D667" s="1053" t="s">
        <v>55</v>
      </c>
      <c r="E667" s="1057"/>
      <c r="F667" s="1049"/>
      <c r="G667" s="1055">
        <f>G668</f>
        <v>899226.24</v>
      </c>
    </row>
    <row r="668" spans="1:7" ht="18" customHeight="1">
      <c r="A668" s="1046"/>
      <c r="B668" s="1046"/>
      <c r="C668" s="1060" t="s">
        <v>398</v>
      </c>
      <c r="D668" s="1061" t="s">
        <v>30</v>
      </c>
      <c r="E668" s="1062">
        <v>5.28</v>
      </c>
      <c r="F668" s="1049">
        <f>F584</f>
        <v>170308</v>
      </c>
      <c r="G668" s="1058">
        <f>E668*F668</f>
        <v>899226.24</v>
      </c>
    </row>
    <row r="669" spans="1:7" ht="18" customHeight="1">
      <c r="A669" s="1046">
        <f>DTCT!A194</f>
        <v>8</v>
      </c>
      <c r="B669" s="1046" t="str">
        <f>DTCT!B194</f>
        <v>BDD.22310</v>
      </c>
      <c r="C669" s="1051" t="str">
        <f>DTCT!C194</f>
        <v>Nắn sửa cọc tiêu, cọc MLG</v>
      </c>
      <c r="D669" s="1046" t="str">
        <f>DTCT!D194</f>
        <v>1 cọc</v>
      </c>
      <c r="E669" s="1048"/>
      <c r="F669" s="1049"/>
      <c r="G669" s="1050"/>
    </row>
    <row r="670" spans="1:7" ht="18" customHeight="1">
      <c r="A670" s="1046"/>
      <c r="B670" s="1046"/>
      <c r="C670" s="1052" t="s">
        <v>47</v>
      </c>
      <c r="D670" s="1053" t="s">
        <v>55</v>
      </c>
      <c r="E670" s="1057"/>
      <c r="F670" s="1049"/>
      <c r="G670" s="1055">
        <f>G671</f>
        <v>10218.48</v>
      </c>
    </row>
    <row r="671" spans="1:7" ht="18" customHeight="1">
      <c r="A671" s="1046"/>
      <c r="B671" s="1046"/>
      <c r="C671" s="1059" t="s">
        <v>398</v>
      </c>
      <c r="D671" s="1053" t="s">
        <v>30</v>
      </c>
      <c r="E671" s="1057">
        <v>0.06</v>
      </c>
      <c r="F671" s="1049">
        <f>F587</f>
        <v>170308</v>
      </c>
      <c r="G671" s="1058">
        <f>E671*F671</f>
        <v>10218.48</v>
      </c>
    </row>
    <row r="672" spans="1:7" ht="18" customHeight="1">
      <c r="A672" s="1046">
        <f>DTCT!A195</f>
        <v>9</v>
      </c>
      <c r="B672" s="1046" t="str">
        <f>DTCT!B195</f>
        <v>BDD.22410</v>
      </c>
      <c r="C672" s="1051" t="str">
        <f>DTCT!C195</f>
        <v>Nắn sửa cột Km</v>
      </c>
      <c r="D672" s="1046" t="str">
        <f>DTCT!D195</f>
        <v>1 cột</v>
      </c>
      <c r="E672" s="1048"/>
      <c r="F672" s="1049"/>
      <c r="G672" s="1050"/>
    </row>
    <row r="673" spans="1:7" ht="18" customHeight="1">
      <c r="A673" s="1046"/>
      <c r="B673" s="1046"/>
      <c r="C673" s="1052" t="s">
        <v>47</v>
      </c>
      <c r="D673" s="1053" t="s">
        <v>55</v>
      </c>
      <c r="E673" s="1057"/>
      <c r="F673" s="1049"/>
      <c r="G673" s="1055">
        <f>G674</f>
        <v>20436.96</v>
      </c>
    </row>
    <row r="674" spans="1:7" ht="18" customHeight="1">
      <c r="A674" s="1046"/>
      <c r="B674" s="1046"/>
      <c r="C674" s="1059" t="s">
        <v>398</v>
      </c>
      <c r="D674" s="1053" t="s">
        <v>30</v>
      </c>
      <c r="E674" s="1057">
        <v>0.12</v>
      </c>
      <c r="F674" s="1049">
        <f>F590</f>
        <v>170308</v>
      </c>
      <c r="G674" s="1058">
        <f>E674*F674</f>
        <v>20436.96</v>
      </c>
    </row>
    <row r="675" spans="1:7" ht="18" customHeight="1">
      <c r="A675" s="1046">
        <f>DTCT!A196</f>
        <v>10</v>
      </c>
      <c r="B675" s="1046" t="str">
        <f>DTCT!B196</f>
        <v>BDD.22510</v>
      </c>
      <c r="C675" s="1051" t="str">
        <f>DTCT!C196</f>
        <v>Nắn chỉnh, tu sửa biển báo</v>
      </c>
      <c r="D675" s="1046" t="str">
        <f>DTCT!D196</f>
        <v>1 cột</v>
      </c>
      <c r="E675" s="1048"/>
      <c r="F675" s="1049"/>
      <c r="G675" s="1050"/>
    </row>
    <row r="676" spans="1:7" ht="18" customHeight="1">
      <c r="A676" s="1046"/>
      <c r="B676" s="1046"/>
      <c r="C676" s="1052" t="s">
        <v>47</v>
      </c>
      <c r="D676" s="1053" t="s">
        <v>55</v>
      </c>
      <c r="E676" s="1057"/>
      <c r="F676" s="1049"/>
      <c r="G676" s="1055">
        <f>G677</f>
        <v>38319.300000000003</v>
      </c>
    </row>
    <row r="677" spans="1:7" ht="18" customHeight="1">
      <c r="A677" s="1046"/>
      <c r="B677" s="1046"/>
      <c r="C677" s="1059" t="s">
        <v>398</v>
      </c>
      <c r="D677" s="1053" t="s">
        <v>30</v>
      </c>
      <c r="E677" s="1057">
        <v>0.22500000000000001</v>
      </c>
      <c r="F677" s="1049">
        <f>F593</f>
        <v>170308</v>
      </c>
      <c r="G677" s="1058">
        <f>E677*F677</f>
        <v>38319.300000000003</v>
      </c>
    </row>
    <row r="678" spans="1:7" ht="30" customHeight="1">
      <c r="A678" s="1046">
        <f>+DTCT!A197</f>
        <v>11</v>
      </c>
      <c r="B678" s="1046" t="str">
        <f>+DTCT!B197</f>
        <v>BDD.203210</v>
      </c>
      <c r="C678" s="1051" t="str">
        <f>+DTCT!C197</f>
        <v>Bạt lề đường bằng máy</v>
      </c>
      <c r="D678" s="1046" t="str">
        <f>+DTCT!D197</f>
        <v>100md</v>
      </c>
      <c r="E678" s="1063"/>
      <c r="F678" s="1049"/>
      <c r="G678" s="1063"/>
    </row>
    <row r="679" spans="1:7" ht="18" customHeight="1">
      <c r="A679" s="1046"/>
      <c r="B679" s="1046"/>
      <c r="C679" s="1052" t="s">
        <v>49</v>
      </c>
      <c r="D679" s="1046"/>
      <c r="E679" s="1057"/>
      <c r="F679" s="1049"/>
      <c r="G679" s="1064">
        <f>+G680</f>
        <v>3154.1489999999999</v>
      </c>
    </row>
    <row r="680" spans="1:7" ht="18" customHeight="1">
      <c r="A680" s="1046"/>
      <c r="B680" s="1046"/>
      <c r="C680" s="1056" t="s">
        <v>504</v>
      </c>
      <c r="D680" s="1046" t="s">
        <v>1018</v>
      </c>
      <c r="E680" s="1057">
        <v>3.0000000000000001E-3</v>
      </c>
      <c r="F680" s="1049">
        <f>F596</f>
        <v>1051383</v>
      </c>
      <c r="G680" s="1058">
        <f>+E680*F680</f>
        <v>3154.1489999999999</v>
      </c>
    </row>
    <row r="681" spans="1:7" ht="18" customHeight="1">
      <c r="A681" s="1046">
        <f>+DTCT!A198</f>
        <v>12</v>
      </c>
      <c r="B681" s="1046" t="str">
        <f>+DTCT!B198</f>
        <v>BDD.21312</v>
      </c>
      <c r="C681" s="1051" t="str">
        <f>+DTCT!C198</f>
        <v>Vệ sinh mặt đường bằng thủ công</v>
      </c>
      <c r="D681" s="1046" t="str">
        <f>+DTCT!D198</f>
        <v>lần/km</v>
      </c>
      <c r="E681" s="1057"/>
      <c r="F681" s="1049"/>
      <c r="G681" s="1058"/>
    </row>
    <row r="682" spans="1:7" ht="18" customHeight="1">
      <c r="A682" s="1046"/>
      <c r="B682" s="1046"/>
      <c r="C682" s="1052" t="s">
        <v>48</v>
      </c>
      <c r="D682" s="1053" t="s">
        <v>55</v>
      </c>
      <c r="E682" s="1054"/>
      <c r="F682" s="1049"/>
      <c r="G682" s="1055">
        <f>G683</f>
        <v>2000</v>
      </c>
    </row>
    <row r="683" spans="1:7" ht="18" customHeight="1">
      <c r="A683" s="1046"/>
      <c r="B683" s="1046"/>
      <c r="C683" s="1056" t="s">
        <v>401</v>
      </c>
      <c r="D683" s="1053" t="s">
        <v>402</v>
      </c>
      <c r="E683" s="1057">
        <v>0.1</v>
      </c>
      <c r="F683" s="1049">
        <f>F599</f>
        <v>20000</v>
      </c>
      <c r="G683" s="1065">
        <f>E683*F683</f>
        <v>2000</v>
      </c>
    </row>
    <row r="684" spans="1:7" ht="18" customHeight="1">
      <c r="A684" s="1046"/>
      <c r="B684" s="1046"/>
      <c r="C684" s="1052" t="s">
        <v>47</v>
      </c>
      <c r="D684" s="1053" t="s">
        <v>55</v>
      </c>
      <c r="E684" s="1057"/>
      <c r="F684" s="1049"/>
      <c r="G684" s="1055">
        <f>G685</f>
        <v>697788.75</v>
      </c>
    </row>
    <row r="685" spans="1:7" ht="18" customHeight="1">
      <c r="A685" s="1046"/>
      <c r="B685" s="1046"/>
      <c r="C685" s="1059" t="s">
        <v>403</v>
      </c>
      <c r="D685" s="1053" t="s">
        <v>30</v>
      </c>
      <c r="E685" s="1057">
        <v>3.75</v>
      </c>
      <c r="F685" s="1049">
        <f>F601</f>
        <v>186077</v>
      </c>
      <c r="G685" s="1058">
        <f>E685*F685</f>
        <v>697788.75</v>
      </c>
    </row>
    <row r="686" spans="1:7" ht="18" customHeight="1">
      <c r="A686" s="1046">
        <f>+DTCT!A199</f>
        <v>13</v>
      </c>
      <c r="B686" s="1046" t="str">
        <f>+DTCT!B199</f>
        <v>BDD.22910</v>
      </c>
      <c r="C686" s="1051" t="str">
        <f>+DTCT!C199</f>
        <v>Vệ sinh mặt biển phản quang</v>
      </c>
      <c r="D686" s="1046" t="str">
        <f>+DTCT!D199</f>
        <v>m2</v>
      </c>
      <c r="E686" s="1057"/>
      <c r="F686" s="1049"/>
      <c r="G686" s="1058"/>
    </row>
    <row r="687" spans="1:7" ht="18" customHeight="1">
      <c r="A687" s="1046"/>
      <c r="B687" s="1046"/>
      <c r="C687" s="1052" t="s">
        <v>47</v>
      </c>
      <c r="D687" s="1053" t="s">
        <v>55</v>
      </c>
      <c r="E687" s="1057"/>
      <c r="F687" s="1049"/>
      <c r="G687" s="1055">
        <f>G688</f>
        <v>9579.8000000000011</v>
      </c>
    </row>
    <row r="688" spans="1:7" ht="18" customHeight="1">
      <c r="A688" s="1046"/>
      <c r="B688" s="1046"/>
      <c r="C688" s="1059" t="s">
        <v>292</v>
      </c>
      <c r="D688" s="1053" t="s">
        <v>30</v>
      </c>
      <c r="E688" s="1057">
        <v>0.05</v>
      </c>
      <c r="F688" s="1049">
        <f>F604</f>
        <v>191596</v>
      </c>
      <c r="G688" s="1058">
        <f>E688*F688</f>
        <v>9579.8000000000011</v>
      </c>
    </row>
    <row r="689" spans="1:7" ht="27.75" customHeight="1">
      <c r="A689" s="1046"/>
      <c r="B689" s="1046"/>
      <c r="C689" s="1047" t="str">
        <f>DTCT!C200</f>
        <v>CÔNG TÁC BẢO DƯỠNG CẦU L &lt;= 300M</v>
      </c>
      <c r="D689" s="1046">
        <f>DTCT!D200</f>
        <v>0</v>
      </c>
      <c r="E689" s="1048"/>
      <c r="F689" s="1049"/>
      <c r="G689" s="1050"/>
    </row>
    <row r="690" spans="1:7" ht="18" customHeight="1">
      <c r="A690" s="1046">
        <f>DTCT!A201</f>
        <v>14</v>
      </c>
      <c r="B690" s="1046" t="str">
        <f>DTCT!B201</f>
        <v>BDC.20610</v>
      </c>
      <c r="C690" s="1051" t="str">
        <f>DTCT!C201</f>
        <v>Vệ sinh mặt cầu, ống thoát nước</v>
      </c>
      <c r="D690" s="1046" t="str">
        <f>DTCT!D201</f>
        <v>10m2</v>
      </c>
      <c r="E690" s="1048"/>
      <c r="F690" s="1049"/>
      <c r="G690" s="1050"/>
    </row>
    <row r="691" spans="1:7" ht="18" customHeight="1">
      <c r="A691" s="1046"/>
      <c r="B691" s="1046"/>
      <c r="C691" s="1052" t="s">
        <v>48</v>
      </c>
      <c r="D691" s="1053" t="s">
        <v>55</v>
      </c>
      <c r="E691" s="1054"/>
      <c r="F691" s="1049"/>
      <c r="G691" s="1055">
        <f>G692</f>
        <v>2</v>
      </c>
    </row>
    <row r="692" spans="1:7" ht="18" customHeight="1">
      <c r="A692" s="1046"/>
      <c r="B692" s="1046"/>
      <c r="C692" s="1056" t="s">
        <v>401</v>
      </c>
      <c r="D692" s="1053" t="s">
        <v>402</v>
      </c>
      <c r="E692" s="1057">
        <v>1E-4</v>
      </c>
      <c r="F692" s="1049">
        <f>F608</f>
        <v>20000</v>
      </c>
      <c r="G692" s="1058">
        <f>E692*F692</f>
        <v>2</v>
      </c>
    </row>
    <row r="693" spans="1:7" ht="18" customHeight="1">
      <c r="A693" s="1046"/>
      <c r="B693" s="1046"/>
      <c r="C693" s="1052" t="s">
        <v>47</v>
      </c>
      <c r="D693" s="1053" t="s">
        <v>55</v>
      </c>
      <c r="E693" s="1057"/>
      <c r="F693" s="1049"/>
      <c r="G693" s="1055">
        <f>G694</f>
        <v>8931.6959999999999</v>
      </c>
    </row>
    <row r="694" spans="1:7" ht="18" customHeight="1">
      <c r="A694" s="1046"/>
      <c r="B694" s="1046"/>
      <c r="C694" s="1059" t="s">
        <v>403</v>
      </c>
      <c r="D694" s="1053" t="s">
        <v>30</v>
      </c>
      <c r="E694" s="1057">
        <v>4.8000000000000001E-2</v>
      </c>
      <c r="F694" s="1049">
        <f>F610</f>
        <v>186077</v>
      </c>
      <c r="G694" s="1058">
        <f>E694*F694</f>
        <v>8931.6959999999999</v>
      </c>
    </row>
    <row r="695" spans="1:7" ht="18" customHeight="1">
      <c r="A695" s="1046">
        <f>DTCT!A202</f>
        <v>15</v>
      </c>
      <c r="B695" s="1046" t="str">
        <f>DTCT!B202</f>
        <v>BDC.20910</v>
      </c>
      <c r="C695" s="1051" t="str">
        <f>DTCT!C202</f>
        <v>Vệ sinh khe co dãn cao su</v>
      </c>
      <c r="D695" s="1046" t="str">
        <f>DTCT!D202</f>
        <v>1md</v>
      </c>
      <c r="E695" s="1048"/>
      <c r="F695" s="1049"/>
      <c r="G695" s="1050"/>
    </row>
    <row r="696" spans="1:7" ht="18" customHeight="1">
      <c r="A696" s="1046"/>
      <c r="B696" s="1046"/>
      <c r="C696" s="1052" t="s">
        <v>47</v>
      </c>
      <c r="D696" s="1053" t="s">
        <v>55</v>
      </c>
      <c r="E696" s="1057"/>
      <c r="F696" s="1049"/>
      <c r="G696" s="1055">
        <f>G697</f>
        <v>11580.944000000001</v>
      </c>
    </row>
    <row r="697" spans="1:7" ht="18" customHeight="1">
      <c r="A697" s="1046"/>
      <c r="B697" s="1046"/>
      <c r="C697" s="1059" t="s">
        <v>398</v>
      </c>
      <c r="D697" s="1053" t="s">
        <v>30</v>
      </c>
      <c r="E697" s="1057">
        <v>6.8000000000000005E-2</v>
      </c>
      <c r="F697" s="1049">
        <f>F613</f>
        <v>170308</v>
      </c>
      <c r="G697" s="1058">
        <f>E697*F697</f>
        <v>11580.944000000001</v>
      </c>
    </row>
    <row r="698" spans="1:7" ht="18" customHeight="1">
      <c r="A698" s="1046">
        <f>DTCT!A203</f>
        <v>16</v>
      </c>
      <c r="B698" s="1046" t="str">
        <f>DTCT!B203</f>
        <v>BDC.21010</v>
      </c>
      <c r="C698" s="1051" t="str">
        <f>DTCT!C203</f>
        <v>Vệ sinh mố cầu</v>
      </c>
      <c r="D698" s="1046" t="str">
        <f>DTCT!D203</f>
        <v>m2</v>
      </c>
      <c r="E698" s="1048"/>
      <c r="F698" s="1049"/>
      <c r="G698" s="1050"/>
    </row>
    <row r="699" spans="1:7" ht="18" customHeight="1">
      <c r="A699" s="1046"/>
      <c r="B699" s="1046"/>
      <c r="C699" s="1052" t="s">
        <v>47</v>
      </c>
      <c r="D699" s="1053" t="s">
        <v>55</v>
      </c>
      <c r="E699" s="1057"/>
      <c r="F699" s="1049"/>
      <c r="G699" s="1055">
        <f>G700</f>
        <v>86218.2</v>
      </c>
    </row>
    <row r="700" spans="1:7" ht="18" customHeight="1">
      <c r="A700" s="1046"/>
      <c r="B700" s="1046"/>
      <c r="C700" s="1059" t="s">
        <v>292</v>
      </c>
      <c r="D700" s="1053" t="s">
        <v>30</v>
      </c>
      <c r="E700" s="1057">
        <v>0.45</v>
      </c>
      <c r="F700" s="1049">
        <f>F616</f>
        <v>191596</v>
      </c>
      <c r="G700" s="1058">
        <f>E700*F700</f>
        <v>86218.2</v>
      </c>
    </row>
    <row r="701" spans="1:7" ht="18" customHeight="1">
      <c r="A701" s="1046">
        <f>DTCT!A204</f>
        <v>17</v>
      </c>
      <c r="B701" s="1046" t="str">
        <f>DTCT!B204</f>
        <v>BDC.21710</v>
      </c>
      <c r="C701" s="1051" t="str">
        <f>DTCT!C204</f>
        <v>Phát quang cây dại</v>
      </c>
      <c r="D701" s="1046" t="str">
        <f>DTCT!D204</f>
        <v>100m2</v>
      </c>
      <c r="E701" s="1048"/>
      <c r="F701" s="1049"/>
      <c r="G701" s="1050"/>
    </row>
    <row r="702" spans="1:7" ht="18" customHeight="1">
      <c r="A702" s="1046"/>
      <c r="B702" s="1046"/>
      <c r="C702" s="1052" t="s">
        <v>47</v>
      </c>
      <c r="D702" s="1053" t="s">
        <v>55</v>
      </c>
      <c r="E702" s="1057"/>
      <c r="F702" s="1049"/>
      <c r="G702" s="1055">
        <f>G703</f>
        <v>729940.08799999987</v>
      </c>
    </row>
    <row r="703" spans="1:7" ht="18" customHeight="1">
      <c r="A703" s="1046"/>
      <c r="B703" s="1046"/>
      <c r="C703" s="1059" t="s">
        <v>398</v>
      </c>
      <c r="D703" s="1053" t="s">
        <v>30</v>
      </c>
      <c r="E703" s="1057">
        <v>4.2859999999999996</v>
      </c>
      <c r="F703" s="1049">
        <f>F619</f>
        <v>170308</v>
      </c>
      <c r="G703" s="1058">
        <f>E703*F703</f>
        <v>729940.08799999987</v>
      </c>
    </row>
    <row r="704" spans="1:7" ht="33.75" customHeight="1">
      <c r="A704" s="1046"/>
      <c r="B704" s="1046"/>
      <c r="C704" s="1047" t="str">
        <f>DTCT!C205</f>
        <v>CÔNG TÁC QUẢN LÝ CẦU CẦU L &lt;= 300M</v>
      </c>
      <c r="D704" s="1046">
        <f>DTCT!D205</f>
        <v>0</v>
      </c>
      <c r="E704" s="1048"/>
      <c r="F704" s="1049"/>
      <c r="G704" s="1050"/>
    </row>
    <row r="705" spans="1:7" ht="18" customHeight="1">
      <c r="A705" s="1046"/>
      <c r="B705" s="1046"/>
      <c r="C705" s="1047" t="str">
        <f>DTCT!C206</f>
        <v>Cầu &lt; 50m</v>
      </c>
      <c r="D705" s="1046">
        <f>DTCT!D206</f>
        <v>0</v>
      </c>
      <c r="E705" s="1048"/>
      <c r="F705" s="1049"/>
      <c r="G705" s="1050"/>
    </row>
    <row r="706" spans="1:7" ht="18" customHeight="1">
      <c r="A706" s="1046">
        <f>DTCT!A207</f>
        <v>18</v>
      </c>
      <c r="B706" s="1046" t="str">
        <f>DTCT!B207</f>
        <v>QLC.10140</v>
      </c>
      <c r="C706" s="1051" t="str">
        <f>DTCT!C207</f>
        <v>Kiểm tra cầu</v>
      </c>
      <c r="D706" s="1046" t="str">
        <f>DTCT!D207</f>
        <v>cầu/năm</v>
      </c>
      <c r="E706" s="1048"/>
      <c r="F706" s="1049"/>
      <c r="G706" s="1050"/>
    </row>
    <row r="707" spans="1:7" ht="18" customHeight="1">
      <c r="A707" s="1046"/>
      <c r="B707" s="1046"/>
      <c r="C707" s="1052" t="s">
        <v>48</v>
      </c>
      <c r="D707" s="1053" t="s">
        <v>55</v>
      </c>
      <c r="E707" s="1054"/>
      <c r="F707" s="1049"/>
      <c r="G707" s="1055">
        <f>G708+G709</f>
        <v>39000</v>
      </c>
    </row>
    <row r="708" spans="1:7" ht="18" customHeight="1">
      <c r="A708" s="1046"/>
      <c r="B708" s="1046"/>
      <c r="C708" s="1056" t="s">
        <v>404</v>
      </c>
      <c r="D708" s="1053" t="s">
        <v>405</v>
      </c>
      <c r="E708" s="1057">
        <v>1</v>
      </c>
      <c r="F708" s="1049">
        <f>F624</f>
        <v>3000</v>
      </c>
      <c r="G708" s="1058">
        <f>E708*F708</f>
        <v>3000</v>
      </c>
    </row>
    <row r="709" spans="1:7" ht="18" customHeight="1">
      <c r="A709" s="1046"/>
      <c r="B709" s="1046"/>
      <c r="C709" s="1056" t="s">
        <v>406</v>
      </c>
      <c r="D709" s="1053" t="s">
        <v>17</v>
      </c>
      <c r="E709" s="1057">
        <v>12</v>
      </c>
      <c r="F709" s="1049">
        <f>F625</f>
        <v>3000</v>
      </c>
      <c r="G709" s="1058">
        <f>E709*F709</f>
        <v>36000</v>
      </c>
    </row>
    <row r="710" spans="1:7" ht="18" customHeight="1">
      <c r="A710" s="1046"/>
      <c r="B710" s="1046"/>
      <c r="C710" s="1052" t="s">
        <v>47</v>
      </c>
      <c r="D710" s="1053" t="s">
        <v>55</v>
      </c>
      <c r="E710" s="1057"/>
      <c r="F710" s="1049"/>
      <c r="G710" s="1055">
        <f>G711</f>
        <v>804232</v>
      </c>
    </row>
    <row r="711" spans="1:7" ht="18" customHeight="1">
      <c r="A711" s="1046"/>
      <c r="B711" s="1046"/>
      <c r="C711" s="1059" t="s">
        <v>399</v>
      </c>
      <c r="D711" s="1053" t="s">
        <v>30</v>
      </c>
      <c r="E711" s="1057">
        <v>4</v>
      </c>
      <c r="F711" s="1049">
        <f>F627</f>
        <v>201058</v>
      </c>
      <c r="G711" s="1058">
        <f>E711*F711</f>
        <v>804232</v>
      </c>
    </row>
    <row r="712" spans="1:7" ht="18" customHeight="1">
      <c r="A712" s="1046">
        <f>DTCT!A208</f>
        <v>19</v>
      </c>
      <c r="B712" s="1046" t="str">
        <f>DTCT!B208</f>
        <v>QLC.10340</v>
      </c>
      <c r="C712" s="1051" t="str">
        <f>DTCT!C208</f>
        <v>Kiểm tra trước và sau mùa mưa bão</v>
      </c>
      <c r="D712" s="1046" t="str">
        <f>DTCT!D208</f>
        <v>cầu/năm</v>
      </c>
      <c r="E712" s="1048"/>
      <c r="F712" s="1049"/>
      <c r="G712" s="1050"/>
    </row>
    <row r="713" spans="1:7" ht="18" customHeight="1">
      <c r="A713" s="1046"/>
      <c r="B713" s="1046"/>
      <c r="C713" s="1052" t="s">
        <v>48</v>
      </c>
      <c r="D713" s="1053" t="s">
        <v>55</v>
      </c>
      <c r="E713" s="1054"/>
      <c r="F713" s="1049"/>
      <c r="G713" s="1055">
        <f>G714+G715</f>
        <v>6501</v>
      </c>
    </row>
    <row r="714" spans="1:7" ht="18" customHeight="1">
      <c r="A714" s="1046"/>
      <c r="B714" s="1046"/>
      <c r="C714" s="1056" t="s">
        <v>404</v>
      </c>
      <c r="D714" s="1053" t="s">
        <v>405</v>
      </c>
      <c r="E714" s="1057">
        <v>0.16700000000000001</v>
      </c>
      <c r="F714" s="1049">
        <f>F630</f>
        <v>3000</v>
      </c>
      <c r="G714" s="1058">
        <f>E714*F714</f>
        <v>501.00000000000006</v>
      </c>
    </row>
    <row r="715" spans="1:7" ht="18" customHeight="1">
      <c r="A715" s="1046"/>
      <c r="B715" s="1046"/>
      <c r="C715" s="1056" t="s">
        <v>406</v>
      </c>
      <c r="D715" s="1053" t="s">
        <v>17</v>
      </c>
      <c r="E715" s="1057">
        <v>2</v>
      </c>
      <c r="F715" s="1049">
        <f>F631</f>
        <v>3000</v>
      </c>
      <c r="G715" s="1058">
        <f>E715*F715</f>
        <v>6000</v>
      </c>
    </row>
    <row r="716" spans="1:7" ht="18" customHeight="1">
      <c r="A716" s="1046"/>
      <c r="B716" s="1046"/>
      <c r="C716" s="1052" t="s">
        <v>47</v>
      </c>
      <c r="D716" s="1053" t="s">
        <v>55</v>
      </c>
      <c r="E716" s="1057"/>
      <c r="F716" s="1049"/>
      <c r="G716" s="1055">
        <f>G717</f>
        <v>201058</v>
      </c>
    </row>
    <row r="717" spans="1:7" ht="18" customHeight="1">
      <c r="A717" s="1046"/>
      <c r="B717" s="1046"/>
      <c r="C717" s="1059" t="s">
        <v>399</v>
      </c>
      <c r="D717" s="1053" t="s">
        <v>30</v>
      </c>
      <c r="E717" s="1057">
        <v>1</v>
      </c>
      <c r="F717" s="1049">
        <f>F633</f>
        <v>201058</v>
      </c>
      <c r="G717" s="1058">
        <f>E717*F717</f>
        <v>201058</v>
      </c>
    </row>
    <row r="718" spans="1:7" ht="18" customHeight="1">
      <c r="A718" s="1046">
        <f>DTCT!A209</f>
        <v>20</v>
      </c>
      <c r="B718" s="1046" t="str">
        <f>DTCT!B209</f>
        <v>QLC.10440</v>
      </c>
      <c r="C718" s="1051" t="str">
        <f>DTCT!C209</f>
        <v>Quản lý hồ sơ trên vi tính</v>
      </c>
      <c r="D718" s="1046" t="str">
        <f>DTCT!D209</f>
        <v>cầu/năm</v>
      </c>
      <c r="E718" s="1048"/>
      <c r="F718" s="1049"/>
      <c r="G718" s="1050"/>
    </row>
    <row r="719" spans="1:7" ht="18" customHeight="1">
      <c r="A719" s="1046"/>
      <c r="B719" s="1046"/>
      <c r="C719" s="1052" t="s">
        <v>47</v>
      </c>
      <c r="D719" s="1053" t="s">
        <v>55</v>
      </c>
      <c r="E719" s="1057"/>
      <c r="F719" s="1049"/>
      <c r="G719" s="1055">
        <f>G720</f>
        <v>237327</v>
      </c>
    </row>
    <row r="720" spans="1:7" ht="18" customHeight="1">
      <c r="A720" s="1046"/>
      <c r="B720" s="1046"/>
      <c r="C720" s="1059" t="s">
        <v>394</v>
      </c>
      <c r="D720" s="1053" t="s">
        <v>30</v>
      </c>
      <c r="E720" s="1057">
        <v>1</v>
      </c>
      <c r="F720" s="1049">
        <f>F636</f>
        <v>237327</v>
      </c>
      <c r="G720" s="1058">
        <f>E720*F720</f>
        <v>237327</v>
      </c>
    </row>
    <row r="721" spans="1:7" ht="18" customHeight="1">
      <c r="A721" s="1046"/>
      <c r="B721" s="1046"/>
      <c r="C721" s="1047" t="str">
        <f>DTCT!C210</f>
        <v>Cầu 50m - 100m</v>
      </c>
      <c r="D721" s="1046">
        <f>DTCT!D210</f>
        <v>0</v>
      </c>
      <c r="E721" s="1048"/>
      <c r="F721" s="1049"/>
      <c r="G721" s="1050"/>
    </row>
    <row r="722" spans="1:7" ht="18" customHeight="1">
      <c r="A722" s="1046">
        <f>DTCT!A211</f>
        <v>21</v>
      </c>
      <c r="B722" s="1046" t="str">
        <f>DTCT!B211</f>
        <v>QLC.10130</v>
      </c>
      <c r="C722" s="1051" t="str">
        <f>DTCT!C211</f>
        <v>Kiểm tra cầu</v>
      </c>
      <c r="D722" s="1046" t="str">
        <f>DTCT!D211</f>
        <v>cầu/năm</v>
      </c>
      <c r="E722" s="1048"/>
      <c r="F722" s="1049"/>
      <c r="G722" s="1050"/>
    </row>
    <row r="723" spans="1:7" ht="18" customHeight="1">
      <c r="A723" s="1046"/>
      <c r="B723" s="1046"/>
      <c r="C723" s="1052" t="s">
        <v>48</v>
      </c>
      <c r="D723" s="1053" t="s">
        <v>55</v>
      </c>
      <c r="E723" s="1054"/>
      <c r="F723" s="1049"/>
      <c r="G723" s="1055">
        <f>G724+G725</f>
        <v>45000</v>
      </c>
    </row>
    <row r="724" spans="1:7" ht="18" customHeight="1">
      <c r="A724" s="1046"/>
      <c r="B724" s="1046"/>
      <c r="C724" s="1056" t="s">
        <v>404</v>
      </c>
      <c r="D724" s="1053" t="s">
        <v>405</v>
      </c>
      <c r="E724" s="1057">
        <v>3</v>
      </c>
      <c r="F724" s="1049">
        <f t="shared" ref="F724:F738" si="0">F538</f>
        <v>3000</v>
      </c>
      <c r="G724" s="1058">
        <f>E724*F724</f>
        <v>9000</v>
      </c>
    </row>
    <row r="725" spans="1:7" ht="18" customHeight="1">
      <c r="A725" s="1046"/>
      <c r="B725" s="1046"/>
      <c r="C725" s="1056" t="s">
        <v>406</v>
      </c>
      <c r="D725" s="1053" t="s">
        <v>17</v>
      </c>
      <c r="E725" s="1057">
        <v>12</v>
      </c>
      <c r="F725" s="1049">
        <f t="shared" si="0"/>
        <v>3000</v>
      </c>
      <c r="G725" s="1058">
        <f>E725*F725</f>
        <v>36000</v>
      </c>
    </row>
    <row r="726" spans="1:7" ht="18" customHeight="1">
      <c r="A726" s="1046"/>
      <c r="B726" s="1046"/>
      <c r="C726" s="1052" t="s">
        <v>47</v>
      </c>
      <c r="D726" s="1053" t="s">
        <v>55</v>
      </c>
      <c r="E726" s="1057"/>
      <c r="F726" s="1049"/>
      <c r="G726" s="1055">
        <f>G727</f>
        <v>2412696</v>
      </c>
    </row>
    <row r="727" spans="1:7" ht="18" customHeight="1">
      <c r="A727" s="1046"/>
      <c r="B727" s="1046"/>
      <c r="C727" s="1059" t="s">
        <v>399</v>
      </c>
      <c r="D727" s="1053" t="s">
        <v>30</v>
      </c>
      <c r="E727" s="1057">
        <v>12</v>
      </c>
      <c r="F727" s="1049">
        <f t="shared" si="0"/>
        <v>201058</v>
      </c>
      <c r="G727" s="1058">
        <f>E727*F727</f>
        <v>2412696</v>
      </c>
    </row>
    <row r="728" spans="1:7" ht="18" customHeight="1">
      <c r="A728" s="1046">
        <f>DTCT!A212</f>
        <v>22</v>
      </c>
      <c r="B728" s="1046" t="str">
        <f>DTCT!B212</f>
        <v>QLC.10330</v>
      </c>
      <c r="C728" s="1051" t="str">
        <f>DTCT!C212</f>
        <v>Kiểm tra trước và sau mùa mưa bão</v>
      </c>
      <c r="D728" s="1046" t="str">
        <f>DTCT!D212</f>
        <v>cầu/năm</v>
      </c>
      <c r="E728" s="1048"/>
      <c r="F728" s="1049"/>
      <c r="G728" s="1050"/>
    </row>
    <row r="729" spans="1:7" ht="18" customHeight="1">
      <c r="A729" s="1046"/>
      <c r="B729" s="1046"/>
      <c r="C729" s="1052" t="s">
        <v>48</v>
      </c>
      <c r="D729" s="1053" t="s">
        <v>55</v>
      </c>
      <c r="E729" s="1054"/>
      <c r="F729" s="1049"/>
      <c r="G729" s="1055">
        <f>G730+G731</f>
        <v>7500</v>
      </c>
    </row>
    <row r="730" spans="1:7" ht="18" customHeight="1">
      <c r="A730" s="1046"/>
      <c r="B730" s="1046"/>
      <c r="C730" s="1056" t="s">
        <v>404</v>
      </c>
      <c r="D730" s="1053" t="s">
        <v>405</v>
      </c>
      <c r="E730" s="1057">
        <v>0.5</v>
      </c>
      <c r="F730" s="1049">
        <f t="shared" si="0"/>
        <v>3000</v>
      </c>
      <c r="G730" s="1058">
        <f>E730*F730</f>
        <v>1500</v>
      </c>
    </row>
    <row r="731" spans="1:7" ht="18" customHeight="1">
      <c r="A731" s="1046"/>
      <c r="B731" s="1046"/>
      <c r="C731" s="1056" t="s">
        <v>406</v>
      </c>
      <c r="D731" s="1053" t="s">
        <v>17</v>
      </c>
      <c r="E731" s="1057">
        <v>2</v>
      </c>
      <c r="F731" s="1049">
        <f t="shared" si="0"/>
        <v>3000</v>
      </c>
      <c r="G731" s="1058">
        <f>E731*F731</f>
        <v>6000</v>
      </c>
    </row>
    <row r="732" spans="1:7" ht="18" customHeight="1">
      <c r="A732" s="1046"/>
      <c r="B732" s="1046"/>
      <c r="C732" s="1052" t="s">
        <v>47</v>
      </c>
      <c r="D732" s="1053" t="s">
        <v>55</v>
      </c>
      <c r="E732" s="1057"/>
      <c r="F732" s="1049"/>
      <c r="G732" s="1055">
        <f>G733</f>
        <v>402116</v>
      </c>
    </row>
    <row r="733" spans="1:7" ht="18" customHeight="1">
      <c r="A733" s="1046"/>
      <c r="B733" s="1046"/>
      <c r="C733" s="1059" t="s">
        <v>399</v>
      </c>
      <c r="D733" s="1053" t="s">
        <v>30</v>
      </c>
      <c r="E733" s="1057">
        <v>2</v>
      </c>
      <c r="F733" s="1049">
        <f t="shared" si="0"/>
        <v>201058</v>
      </c>
      <c r="G733" s="1058">
        <f>E733*F733</f>
        <v>402116</v>
      </c>
    </row>
    <row r="734" spans="1:7" ht="18" customHeight="1">
      <c r="A734" s="1046"/>
      <c r="B734" s="1046"/>
      <c r="C734" s="1052" t="s">
        <v>49</v>
      </c>
      <c r="D734" s="1053" t="s">
        <v>55</v>
      </c>
      <c r="E734" s="1054"/>
      <c r="F734" s="1049"/>
      <c r="G734" s="1055">
        <f>G735</f>
        <v>378931</v>
      </c>
    </row>
    <row r="735" spans="1:7" ht="18" customHeight="1">
      <c r="A735" s="1046"/>
      <c r="B735" s="1046"/>
      <c r="C735" s="1056" t="s">
        <v>407</v>
      </c>
      <c r="D735" s="1053" t="s">
        <v>291</v>
      </c>
      <c r="E735" s="1057">
        <v>1</v>
      </c>
      <c r="F735" s="1049">
        <f t="shared" si="0"/>
        <v>378931</v>
      </c>
      <c r="G735" s="1058">
        <f>E735*F735</f>
        <v>378931</v>
      </c>
    </row>
    <row r="736" spans="1:7" ht="18" customHeight="1">
      <c r="A736" s="1046">
        <f>DTCT!A213</f>
        <v>23</v>
      </c>
      <c r="B736" s="1046" t="str">
        <f>DTCT!B213</f>
        <v>QLC.10430</v>
      </c>
      <c r="C736" s="1051" t="str">
        <f>DTCT!C213</f>
        <v>Quản lý hồ sơ trên vi tính</v>
      </c>
      <c r="D736" s="1046" t="str">
        <f>DTCT!D213</f>
        <v>cầu/năm</v>
      </c>
      <c r="E736" s="1048"/>
      <c r="F736" s="1049"/>
      <c r="G736" s="1050"/>
    </row>
    <row r="737" spans="1:7" ht="18" customHeight="1">
      <c r="A737" s="1046"/>
      <c r="B737" s="1046"/>
      <c r="C737" s="1052" t="s">
        <v>47</v>
      </c>
      <c r="D737" s="1053" t="s">
        <v>55</v>
      </c>
      <c r="E737" s="1057"/>
      <c r="F737" s="1049"/>
      <c r="G737" s="1055">
        <f>G738</f>
        <v>237327</v>
      </c>
    </row>
    <row r="738" spans="1:7" ht="18" customHeight="1">
      <c r="A738" s="1066"/>
      <c r="B738" s="1066"/>
      <c r="C738" s="1067" t="s">
        <v>394</v>
      </c>
      <c r="D738" s="1068" t="s">
        <v>30</v>
      </c>
      <c r="E738" s="1069">
        <v>1</v>
      </c>
      <c r="F738" s="1071">
        <f t="shared" si="0"/>
        <v>237327</v>
      </c>
      <c r="G738" s="1070">
        <f>E738*F738</f>
        <v>237327</v>
      </c>
    </row>
    <row r="739" spans="1:7" ht="40.5" customHeight="1">
      <c r="A739" s="12" t="str">
        <f>DTCT!A214</f>
        <v>VIII</v>
      </c>
      <c r="B739" s="12"/>
      <c r="C739" s="507" t="str">
        <f>DTCT!C214</f>
        <v>ĐƯỜNG TỈNH 908 - HUYỆN BÌNH TÂN</v>
      </c>
      <c r="D739" s="304"/>
      <c r="E739" s="97"/>
      <c r="F739" s="1044"/>
      <c r="G739" s="98"/>
    </row>
    <row r="740" spans="1:7" ht="29.25" customHeight="1">
      <c r="A740" s="13"/>
      <c r="B740" s="13"/>
      <c r="C740" s="287" t="str">
        <f>DTCT!C215</f>
        <v>CÔNG TÁC QUẢN LÝ BDTX ĐƯỜNG BỘ</v>
      </c>
      <c r="D740" s="13"/>
      <c r="E740" s="137"/>
      <c r="F740" s="1049"/>
      <c r="G740" s="138"/>
    </row>
    <row r="741" spans="1:7" ht="18" customHeight="1">
      <c r="A741" s="13">
        <f>DTCT!A216</f>
        <v>1</v>
      </c>
      <c r="B741" s="13" t="str">
        <f>DTCT!B216</f>
        <v>QLD.10150</v>
      </c>
      <c r="C741" s="289" t="str">
        <f>DTCT!C216</f>
        <v>Tuần đường</v>
      </c>
      <c r="D741" s="13" t="str">
        <f>DTCT!D216</f>
        <v>1km/năm</v>
      </c>
      <c r="E741" s="137"/>
      <c r="F741" s="1049"/>
      <c r="G741" s="138"/>
    </row>
    <row r="742" spans="1:7" ht="18" customHeight="1">
      <c r="A742" s="13"/>
      <c r="B742" s="13"/>
      <c r="C742" s="1028" t="s">
        <v>48</v>
      </c>
      <c r="D742" s="246" t="s">
        <v>55</v>
      </c>
      <c r="E742" s="247"/>
      <c r="F742" s="1049"/>
      <c r="G742" s="391">
        <f>G743</f>
        <v>162671.375</v>
      </c>
    </row>
    <row r="743" spans="1:7" ht="18" customHeight="1">
      <c r="A743" s="13"/>
      <c r="B743" s="13"/>
      <c r="C743" s="384" t="s">
        <v>393</v>
      </c>
      <c r="D743" s="246" t="s">
        <v>32</v>
      </c>
      <c r="E743" s="248">
        <v>9.125</v>
      </c>
      <c r="F743" s="1049">
        <f>F641</f>
        <v>17827</v>
      </c>
      <c r="G743" s="190">
        <f>E743*F743</f>
        <v>162671.375</v>
      </c>
    </row>
    <row r="744" spans="1:7" ht="18" customHeight="1">
      <c r="A744" s="13"/>
      <c r="B744" s="13"/>
      <c r="C744" s="1028" t="s">
        <v>47</v>
      </c>
      <c r="D744" s="246" t="s">
        <v>55</v>
      </c>
      <c r="E744" s="248"/>
      <c r="F744" s="1049"/>
      <c r="G744" s="391">
        <f>G745</f>
        <v>2038164.2759999998</v>
      </c>
    </row>
    <row r="745" spans="1:7" ht="18" customHeight="1">
      <c r="A745" s="13"/>
      <c r="B745" s="13"/>
      <c r="C745" s="458" t="s">
        <v>394</v>
      </c>
      <c r="D745" s="246" t="s">
        <v>30</v>
      </c>
      <c r="E745" s="248">
        <v>8.5879999999999992</v>
      </c>
      <c r="F745" s="1049">
        <f>F643</f>
        <v>237327</v>
      </c>
      <c r="G745" s="190">
        <f>E745*F745</f>
        <v>2038164.2759999998</v>
      </c>
    </row>
    <row r="746" spans="1:7" ht="18" customHeight="1">
      <c r="A746" s="13">
        <f>DTCT!A217</f>
        <v>2</v>
      </c>
      <c r="B746" s="13" t="str">
        <f>DTCT!B217</f>
        <v>QLD.10230</v>
      </c>
      <c r="C746" s="289" t="str">
        <f>DTCT!C217</f>
        <v>Đếm xe bằng thủ công</v>
      </c>
      <c r="D746" s="13" t="str">
        <f>DTCT!D217</f>
        <v>1lần/trạmđếm</v>
      </c>
      <c r="E746" s="137"/>
      <c r="F746" s="1049"/>
      <c r="G746" s="138"/>
    </row>
    <row r="747" spans="1:7" ht="18" customHeight="1">
      <c r="A747" s="13"/>
      <c r="B747" s="13"/>
      <c r="C747" s="1028" t="s">
        <v>48</v>
      </c>
      <c r="D747" s="246" t="s">
        <v>55</v>
      </c>
      <c r="E747" s="247"/>
      <c r="F747" s="1049"/>
      <c r="G747" s="391">
        <f>G749+G748</f>
        <v>15300</v>
      </c>
    </row>
    <row r="748" spans="1:7" ht="18" customHeight="1">
      <c r="A748" s="13"/>
      <c r="B748" s="13"/>
      <c r="C748" s="384" t="s">
        <v>395</v>
      </c>
      <c r="D748" s="246" t="s">
        <v>396</v>
      </c>
      <c r="E748" s="248">
        <v>42</v>
      </c>
      <c r="F748" s="1049">
        <f>F646</f>
        <v>150</v>
      </c>
      <c r="G748" s="190">
        <f>E748*F748</f>
        <v>6300</v>
      </c>
    </row>
    <row r="749" spans="1:7" ht="18" customHeight="1">
      <c r="A749" s="13"/>
      <c r="B749" s="13"/>
      <c r="C749" s="384" t="s">
        <v>397</v>
      </c>
      <c r="D749" s="246" t="s">
        <v>17</v>
      </c>
      <c r="E749" s="248">
        <v>3</v>
      </c>
      <c r="F749" s="1049">
        <f>F647</f>
        <v>3000</v>
      </c>
      <c r="G749" s="190">
        <f>E749*F749</f>
        <v>9000</v>
      </c>
    </row>
    <row r="750" spans="1:7" ht="18" customHeight="1">
      <c r="A750" s="13"/>
      <c r="B750" s="13"/>
      <c r="C750" s="1028" t="s">
        <v>47</v>
      </c>
      <c r="D750" s="246" t="s">
        <v>55</v>
      </c>
      <c r="E750" s="248"/>
      <c r="F750" s="1049"/>
      <c r="G750" s="391">
        <f>G751</f>
        <v>2384312</v>
      </c>
    </row>
    <row r="751" spans="1:7" ht="18" customHeight="1">
      <c r="A751" s="13"/>
      <c r="B751" s="13"/>
      <c r="C751" s="458" t="s">
        <v>398</v>
      </c>
      <c r="D751" s="246" t="s">
        <v>30</v>
      </c>
      <c r="E751" s="248">
        <v>14</v>
      </c>
      <c r="F751" s="1049">
        <f>F649</f>
        <v>170308</v>
      </c>
      <c r="G751" s="190">
        <f>E751*F751</f>
        <v>2384312</v>
      </c>
    </row>
    <row r="752" spans="1:7" ht="33" customHeight="1">
      <c r="A752" s="13">
        <f>DTCT!A218</f>
        <v>3</v>
      </c>
      <c r="B752" s="13" t="str">
        <f>DTCT!B218</f>
        <v>QLD.10340</v>
      </c>
      <c r="C752" s="289" t="str">
        <f>DTCT!C218</f>
        <v>Kiểm tra định kỳ, khẩn cấp, cập nhật số liệu cầu đường và tình hình bão lũ</v>
      </c>
      <c r="D752" s="13" t="str">
        <f>DTCT!D218</f>
        <v>1km/1lần</v>
      </c>
      <c r="E752" s="137"/>
      <c r="F752" s="1049"/>
      <c r="G752" s="138"/>
    </row>
    <row r="753" spans="1:7" ht="18" customHeight="1">
      <c r="A753" s="13"/>
      <c r="B753" s="13"/>
      <c r="C753" s="1028" t="s">
        <v>48</v>
      </c>
      <c r="D753" s="246" t="s">
        <v>55</v>
      </c>
      <c r="E753" s="247"/>
      <c r="F753" s="1049"/>
      <c r="G753" s="391">
        <f>G754</f>
        <v>445.67500000000001</v>
      </c>
    </row>
    <row r="754" spans="1:7" ht="18" customHeight="1">
      <c r="A754" s="13"/>
      <c r="B754" s="13"/>
      <c r="C754" s="384" t="s">
        <v>393</v>
      </c>
      <c r="D754" s="246" t="s">
        <v>32</v>
      </c>
      <c r="E754" s="248">
        <v>2.5000000000000001E-2</v>
      </c>
      <c r="F754" s="1049">
        <f>F652</f>
        <v>17827</v>
      </c>
      <c r="G754" s="190">
        <f>E754*F754</f>
        <v>445.67500000000001</v>
      </c>
    </row>
    <row r="755" spans="1:7" ht="18" customHeight="1">
      <c r="A755" s="13"/>
      <c r="B755" s="13"/>
      <c r="C755" s="1028" t="s">
        <v>47</v>
      </c>
      <c r="D755" s="246" t="s">
        <v>55</v>
      </c>
      <c r="E755" s="248"/>
      <c r="F755" s="1049"/>
      <c r="G755" s="391">
        <f>G756</f>
        <v>7439.1459999999997</v>
      </c>
    </row>
    <row r="756" spans="1:7" ht="18" customHeight="1">
      <c r="A756" s="13"/>
      <c r="B756" s="13"/>
      <c r="C756" s="458" t="s">
        <v>399</v>
      </c>
      <c r="D756" s="246" t="s">
        <v>30</v>
      </c>
      <c r="E756" s="248">
        <v>3.6999999999999998E-2</v>
      </c>
      <c r="F756" s="1049">
        <f>F654</f>
        <v>201058</v>
      </c>
      <c r="G756" s="190">
        <f>E756*F756</f>
        <v>7439.1459999999997</v>
      </c>
    </row>
    <row r="757" spans="1:7" ht="18" customHeight="1">
      <c r="A757" s="13">
        <f>DTCT!A219</f>
        <v>4</v>
      </c>
      <c r="B757" s="13" t="str">
        <f>DTCT!B219</f>
        <v>QLD.10410</v>
      </c>
      <c r="C757" s="289" t="str">
        <f>DTCT!C219</f>
        <v>Trực bão lũ</v>
      </c>
      <c r="D757" s="13" t="str">
        <f>DTCT!D219</f>
        <v>40km/năm</v>
      </c>
      <c r="E757" s="137"/>
      <c r="F757" s="1049"/>
      <c r="G757" s="138"/>
    </row>
    <row r="758" spans="1:7" ht="18" customHeight="1">
      <c r="A758" s="13"/>
      <c r="B758" s="13"/>
      <c r="C758" s="1028" t="s">
        <v>47</v>
      </c>
      <c r="D758" s="246" t="s">
        <v>55</v>
      </c>
      <c r="E758" s="248"/>
      <c r="F758" s="1049"/>
      <c r="G758" s="391">
        <f>G759</f>
        <v>30655360</v>
      </c>
    </row>
    <row r="759" spans="1:7" ht="18" customHeight="1">
      <c r="A759" s="13"/>
      <c r="B759" s="13"/>
      <c r="C759" s="458" t="s">
        <v>292</v>
      </c>
      <c r="D759" s="246" t="s">
        <v>30</v>
      </c>
      <c r="E759" s="248">
        <v>160</v>
      </c>
      <c r="F759" s="1049">
        <f>F657</f>
        <v>191596</v>
      </c>
      <c r="G759" s="190">
        <f>E759*F759</f>
        <v>30655360</v>
      </c>
    </row>
    <row r="760" spans="1:7" ht="31.5" customHeight="1">
      <c r="A760" s="13">
        <f>DTCT!A220</f>
        <v>5</v>
      </c>
      <c r="B760" s="13" t="str">
        <f>DTCT!B220</f>
        <v>QLD.10610</v>
      </c>
      <c r="C760" s="289" t="str">
        <f>DTCT!C220</f>
        <v>Quản lý hành lang an toàn đường bộ và đấu nối</v>
      </c>
      <c r="D760" s="13" t="str">
        <f>DTCT!D220</f>
        <v>1km/năm</v>
      </c>
      <c r="E760" s="137"/>
      <c r="F760" s="1049"/>
      <c r="G760" s="138"/>
    </row>
    <row r="761" spans="1:7" ht="18" customHeight="1">
      <c r="A761" s="13"/>
      <c r="B761" s="13"/>
      <c r="C761" s="1028" t="s">
        <v>47</v>
      </c>
      <c r="D761" s="246" t="s">
        <v>55</v>
      </c>
      <c r="E761" s="248"/>
      <c r="F761" s="1049"/>
      <c r="G761" s="391">
        <f>G762</f>
        <v>402116</v>
      </c>
    </row>
    <row r="762" spans="1:7" ht="18" customHeight="1">
      <c r="A762" s="13"/>
      <c r="B762" s="13"/>
      <c r="C762" s="458" t="s">
        <v>399</v>
      </c>
      <c r="D762" s="246" t="s">
        <v>30</v>
      </c>
      <c r="E762" s="248">
        <v>2</v>
      </c>
      <c r="F762" s="1049">
        <f>F660</f>
        <v>201058</v>
      </c>
      <c r="G762" s="190">
        <f>E762*F762</f>
        <v>402116</v>
      </c>
    </row>
    <row r="763" spans="1:7" ht="18" customHeight="1">
      <c r="A763" s="13">
        <f>DTCT!A221</f>
        <v>6</v>
      </c>
      <c r="B763" s="13" t="str">
        <f>DTCT!B221</f>
        <v>BDD.20410</v>
      </c>
      <c r="C763" s="289" t="str">
        <f>DTCT!C221</f>
        <v>Cắt cỏ bằng máy</v>
      </c>
      <c r="D763" s="13" t="str">
        <f>DTCT!D221</f>
        <v>1km/1lần</v>
      </c>
      <c r="E763" s="137"/>
      <c r="F763" s="1049"/>
      <c r="G763" s="138"/>
    </row>
    <row r="764" spans="1:7" ht="18" customHeight="1">
      <c r="A764" s="13"/>
      <c r="B764" s="13"/>
      <c r="C764" s="1028" t="s">
        <v>48</v>
      </c>
      <c r="D764" s="246" t="s">
        <v>55</v>
      </c>
      <c r="E764" s="247"/>
      <c r="F764" s="1049"/>
      <c r="G764" s="391">
        <f>G765</f>
        <v>8000</v>
      </c>
    </row>
    <row r="765" spans="1:7" ht="18" customHeight="1">
      <c r="A765" s="13"/>
      <c r="B765" s="13"/>
      <c r="C765" s="384" t="s">
        <v>400</v>
      </c>
      <c r="D765" s="246" t="s">
        <v>411</v>
      </c>
      <c r="E765" s="248">
        <v>0.2</v>
      </c>
      <c r="F765" s="1049">
        <f>F663</f>
        <v>40000</v>
      </c>
      <c r="G765" s="190">
        <f>E765*F765</f>
        <v>8000</v>
      </c>
    </row>
    <row r="766" spans="1:7" ht="18" customHeight="1">
      <c r="A766" s="13"/>
      <c r="B766" s="13"/>
      <c r="C766" s="1028" t="s">
        <v>49</v>
      </c>
      <c r="D766" s="246" t="s">
        <v>55</v>
      </c>
      <c r="E766" s="247"/>
      <c r="F766" s="1049"/>
      <c r="G766" s="391">
        <f>G767</f>
        <v>49341.599999999999</v>
      </c>
    </row>
    <row r="767" spans="1:7" ht="18" customHeight="1">
      <c r="A767" s="13"/>
      <c r="B767" s="13"/>
      <c r="C767" s="384" t="s">
        <v>1017</v>
      </c>
      <c r="D767" s="246" t="s">
        <v>291</v>
      </c>
      <c r="E767" s="248">
        <v>0.9</v>
      </c>
      <c r="F767" s="1049">
        <f>F665</f>
        <v>54824</v>
      </c>
      <c r="G767" s="190">
        <f>E767*F767</f>
        <v>49341.599999999999</v>
      </c>
    </row>
    <row r="768" spans="1:7" ht="18" customHeight="1">
      <c r="A768" s="13">
        <f>DTCT!A222</f>
        <v>7</v>
      </c>
      <c r="B768" s="13" t="str">
        <f>DTCT!B222</f>
        <v>BDD.20510</v>
      </c>
      <c r="C768" s="289" t="str">
        <f>DTCT!C222</f>
        <v>Phát quang cây cỏ bằng thủ công</v>
      </c>
      <c r="D768" s="13" t="str">
        <f>DTCT!D222</f>
        <v>1km/1lần</v>
      </c>
      <c r="E768" s="137"/>
      <c r="F768" s="1049"/>
      <c r="G768" s="138"/>
    </row>
    <row r="769" spans="1:7" ht="18" customHeight="1">
      <c r="A769" s="13"/>
      <c r="B769" s="13"/>
      <c r="C769" s="1028" t="s">
        <v>47</v>
      </c>
      <c r="D769" s="246" t="s">
        <v>55</v>
      </c>
      <c r="E769" s="248"/>
      <c r="F769" s="1049"/>
      <c r="G769" s="391">
        <f>G770</f>
        <v>899226.24</v>
      </c>
    </row>
    <row r="770" spans="1:7" ht="18" customHeight="1">
      <c r="A770" s="13"/>
      <c r="B770" s="13"/>
      <c r="C770" s="1029" t="s">
        <v>398</v>
      </c>
      <c r="D770" s="1025" t="s">
        <v>30</v>
      </c>
      <c r="E770" s="1026">
        <v>5.28</v>
      </c>
      <c r="F770" s="1049">
        <f>F668</f>
        <v>170308</v>
      </c>
      <c r="G770" s="190">
        <f>E770*F770</f>
        <v>899226.24</v>
      </c>
    </row>
    <row r="771" spans="1:7" ht="18" customHeight="1">
      <c r="A771" s="13">
        <f>DTCT!A223</f>
        <v>8</v>
      </c>
      <c r="B771" s="13" t="str">
        <f>DTCT!B223</f>
        <v>BDD.22310</v>
      </c>
      <c r="C771" s="289" t="str">
        <f>DTCT!C223</f>
        <v>Nắn sửa cọc tiêu, cọc MLG</v>
      </c>
      <c r="D771" s="13" t="str">
        <f>DTCT!D223</f>
        <v>1 cọc</v>
      </c>
      <c r="E771" s="137"/>
      <c r="F771" s="1049"/>
      <c r="G771" s="138"/>
    </row>
    <row r="772" spans="1:7" ht="18" customHeight="1">
      <c r="A772" s="13"/>
      <c r="B772" s="13"/>
      <c r="C772" s="1028" t="s">
        <v>47</v>
      </c>
      <c r="D772" s="246" t="s">
        <v>55</v>
      </c>
      <c r="E772" s="248"/>
      <c r="F772" s="1049"/>
      <c r="G772" s="391">
        <f>G773</f>
        <v>10218.48</v>
      </c>
    </row>
    <row r="773" spans="1:7" ht="18" customHeight="1">
      <c r="A773" s="13"/>
      <c r="B773" s="13"/>
      <c r="C773" s="458" t="s">
        <v>398</v>
      </c>
      <c r="D773" s="246" t="s">
        <v>30</v>
      </c>
      <c r="E773" s="248">
        <v>0.06</v>
      </c>
      <c r="F773" s="1049">
        <f>F671</f>
        <v>170308</v>
      </c>
      <c r="G773" s="190">
        <f>E773*F773</f>
        <v>10218.48</v>
      </c>
    </row>
    <row r="774" spans="1:7" ht="18" customHeight="1">
      <c r="A774" s="13">
        <f>DTCT!A224</f>
        <v>9</v>
      </c>
      <c r="B774" s="13" t="str">
        <f>DTCT!B224</f>
        <v>BDD.22410</v>
      </c>
      <c r="C774" s="289" t="str">
        <f>DTCT!C224</f>
        <v>Nắn sửa cột Km</v>
      </c>
      <c r="D774" s="13" t="str">
        <f>DTCT!D224</f>
        <v>1 cột</v>
      </c>
      <c r="E774" s="137"/>
      <c r="F774" s="1049"/>
      <c r="G774" s="138"/>
    </row>
    <row r="775" spans="1:7" ht="18" customHeight="1">
      <c r="A775" s="13"/>
      <c r="B775" s="13"/>
      <c r="C775" s="1028" t="s">
        <v>47</v>
      </c>
      <c r="D775" s="246" t="s">
        <v>55</v>
      </c>
      <c r="E775" s="248"/>
      <c r="F775" s="1049"/>
      <c r="G775" s="391">
        <f>G776</f>
        <v>20436.96</v>
      </c>
    </row>
    <row r="776" spans="1:7" ht="18" customHeight="1">
      <c r="A776" s="13"/>
      <c r="B776" s="13"/>
      <c r="C776" s="458" t="s">
        <v>398</v>
      </c>
      <c r="D776" s="246" t="s">
        <v>30</v>
      </c>
      <c r="E776" s="248">
        <v>0.12</v>
      </c>
      <c r="F776" s="1049">
        <f>F674</f>
        <v>170308</v>
      </c>
      <c r="G776" s="190">
        <f>E776*F776</f>
        <v>20436.96</v>
      </c>
    </row>
    <row r="777" spans="1:7" ht="18" customHeight="1">
      <c r="A777" s="13">
        <f>DTCT!A225</f>
        <v>10</v>
      </c>
      <c r="B777" s="13" t="str">
        <f>DTCT!B225</f>
        <v>BDD.22510</v>
      </c>
      <c r="C777" s="289" t="str">
        <f>DTCT!C225</f>
        <v>Nắn chỉnh, tu sửa biển báo</v>
      </c>
      <c r="D777" s="13" t="str">
        <f>DTCT!D225</f>
        <v>1 cột</v>
      </c>
      <c r="E777" s="137"/>
      <c r="F777" s="1049"/>
      <c r="G777" s="138"/>
    </row>
    <row r="778" spans="1:7" ht="18" customHeight="1">
      <c r="A778" s="13"/>
      <c r="B778" s="13"/>
      <c r="C778" s="1028" t="s">
        <v>47</v>
      </c>
      <c r="D778" s="246" t="s">
        <v>55</v>
      </c>
      <c r="E778" s="248"/>
      <c r="F778" s="1049"/>
      <c r="G778" s="391">
        <f>G779</f>
        <v>38319.300000000003</v>
      </c>
    </row>
    <row r="779" spans="1:7" ht="18" customHeight="1">
      <c r="A779" s="13"/>
      <c r="B779" s="13"/>
      <c r="C779" s="458" t="s">
        <v>398</v>
      </c>
      <c r="D779" s="246" t="s">
        <v>30</v>
      </c>
      <c r="E779" s="248">
        <v>0.22500000000000001</v>
      </c>
      <c r="F779" s="1049">
        <f>F677</f>
        <v>170308</v>
      </c>
      <c r="G779" s="190">
        <f>E779*F779</f>
        <v>38319.300000000003</v>
      </c>
    </row>
    <row r="780" spans="1:7" ht="24.75" customHeight="1">
      <c r="A780" s="13">
        <f>+DTCT!A226</f>
        <v>11</v>
      </c>
      <c r="B780" s="13" t="str">
        <f>+DTCT!B226</f>
        <v>BDD.203210</v>
      </c>
      <c r="C780" s="289" t="str">
        <f>+DTCT!C226</f>
        <v>Bạt lề đường bằng máy</v>
      </c>
      <c r="D780" s="13" t="str">
        <f>+DTCT!D226</f>
        <v>100md</v>
      </c>
      <c r="E780" s="392"/>
      <c r="F780" s="1049"/>
      <c r="G780" s="392"/>
    </row>
    <row r="781" spans="1:7" ht="18" customHeight="1">
      <c r="A781" s="13"/>
      <c r="B781" s="13"/>
      <c r="C781" s="1028" t="s">
        <v>49</v>
      </c>
      <c r="D781" s="13"/>
      <c r="E781" s="248"/>
      <c r="F781" s="1049"/>
      <c r="G781" s="393">
        <f>+G782</f>
        <v>3154.1489999999999</v>
      </c>
    </row>
    <row r="782" spans="1:7" ht="18" customHeight="1">
      <c r="A782" s="13"/>
      <c r="B782" s="13"/>
      <c r="C782" s="384" t="s">
        <v>504</v>
      </c>
      <c r="D782" s="13" t="s">
        <v>1018</v>
      </c>
      <c r="E782" s="248">
        <v>3.0000000000000001E-3</v>
      </c>
      <c r="F782" s="1049">
        <f>F680</f>
        <v>1051383</v>
      </c>
      <c r="G782" s="190">
        <f>+E782*F782</f>
        <v>3154.1489999999999</v>
      </c>
    </row>
    <row r="783" spans="1:7" ht="18" customHeight="1">
      <c r="A783" s="13">
        <f>+DTCT!A227</f>
        <v>12</v>
      </c>
      <c r="B783" s="13" t="str">
        <f>+DTCT!B227</f>
        <v>BDD.21312</v>
      </c>
      <c r="C783" s="289" t="str">
        <f>+DTCT!C227</f>
        <v>Vệ sinh mặt đường bằng thủ công</v>
      </c>
      <c r="D783" s="13" t="str">
        <f>+DTCT!D227</f>
        <v>lần/km</v>
      </c>
      <c r="E783" s="248"/>
      <c r="F783" s="1049"/>
      <c r="G783" s="190"/>
    </row>
    <row r="784" spans="1:7" ht="18" customHeight="1">
      <c r="A784" s="13"/>
      <c r="B784" s="13"/>
      <c r="C784" s="1028" t="s">
        <v>48</v>
      </c>
      <c r="D784" s="246" t="s">
        <v>55</v>
      </c>
      <c r="E784" s="247"/>
      <c r="F784" s="1049"/>
      <c r="G784" s="391">
        <f>G785</f>
        <v>2000</v>
      </c>
    </row>
    <row r="785" spans="1:7" ht="18" customHeight="1">
      <c r="A785" s="13"/>
      <c r="B785" s="13"/>
      <c r="C785" s="384" t="s">
        <v>401</v>
      </c>
      <c r="D785" s="246" t="s">
        <v>402</v>
      </c>
      <c r="E785" s="248">
        <v>0.1</v>
      </c>
      <c r="F785" s="1049">
        <f>F683</f>
        <v>20000</v>
      </c>
      <c r="G785" s="266">
        <f>E785*F785</f>
        <v>2000</v>
      </c>
    </row>
    <row r="786" spans="1:7" ht="18" customHeight="1">
      <c r="A786" s="13"/>
      <c r="B786" s="13"/>
      <c r="C786" s="1028" t="s">
        <v>47</v>
      </c>
      <c r="D786" s="246" t="s">
        <v>55</v>
      </c>
      <c r="E786" s="248"/>
      <c r="F786" s="1049"/>
      <c r="G786" s="391">
        <f>G787</f>
        <v>697788.75</v>
      </c>
    </row>
    <row r="787" spans="1:7" ht="18" customHeight="1">
      <c r="A787" s="13"/>
      <c r="B787" s="13"/>
      <c r="C787" s="458" t="s">
        <v>403</v>
      </c>
      <c r="D787" s="246" t="s">
        <v>30</v>
      </c>
      <c r="E787" s="248">
        <v>3.75</v>
      </c>
      <c r="F787" s="1049">
        <f>F685</f>
        <v>186077</v>
      </c>
      <c r="G787" s="190">
        <f>E787*F787</f>
        <v>697788.75</v>
      </c>
    </row>
    <row r="788" spans="1:7" ht="18" customHeight="1">
      <c r="A788" s="13">
        <f>+DTCT!A228</f>
        <v>13</v>
      </c>
      <c r="B788" s="13" t="str">
        <f>+DTCT!B228</f>
        <v>BDD.22910</v>
      </c>
      <c r="C788" s="289" t="str">
        <f>+DTCT!C228</f>
        <v>Vệ sinh mặt biển phản quang</v>
      </c>
      <c r="D788" s="13" t="str">
        <f>+DTCT!D228</f>
        <v>m2</v>
      </c>
      <c r="E788" s="248"/>
      <c r="F788" s="1049"/>
      <c r="G788" s="190"/>
    </row>
    <row r="789" spans="1:7" ht="18" customHeight="1">
      <c r="A789" s="13"/>
      <c r="B789" s="13"/>
      <c r="C789" s="1028" t="s">
        <v>47</v>
      </c>
      <c r="D789" s="246" t="s">
        <v>55</v>
      </c>
      <c r="E789" s="248"/>
      <c r="F789" s="1049"/>
      <c r="G789" s="391">
        <f>G790</f>
        <v>9579.8000000000011</v>
      </c>
    </row>
    <row r="790" spans="1:7" ht="18" customHeight="1">
      <c r="A790" s="13"/>
      <c r="B790" s="13"/>
      <c r="C790" s="458" t="s">
        <v>292</v>
      </c>
      <c r="D790" s="246" t="s">
        <v>30</v>
      </c>
      <c r="E790" s="248">
        <v>0.05</v>
      </c>
      <c r="F790" s="1049">
        <f>F688</f>
        <v>191596</v>
      </c>
      <c r="G790" s="190">
        <f>E790*F790</f>
        <v>9579.8000000000011</v>
      </c>
    </row>
    <row r="791" spans="1:7" ht="28.5" customHeight="1">
      <c r="A791" s="13"/>
      <c r="B791" s="13"/>
      <c r="C791" s="287" t="str">
        <f>DTCT!C229</f>
        <v>CÔNG TÁC BẢO DƯỠNG CẦU L &lt;= 300M</v>
      </c>
      <c r="D791" s="13"/>
      <c r="E791" s="137"/>
      <c r="F791" s="1049"/>
      <c r="G791" s="138"/>
    </row>
    <row r="792" spans="1:7" ht="18" customHeight="1">
      <c r="A792" s="13">
        <f>DTCT!A230</f>
        <v>14</v>
      </c>
      <c r="B792" s="13" t="str">
        <f>DTCT!B230</f>
        <v>BDC.20610</v>
      </c>
      <c r="C792" s="289" t="str">
        <f>DTCT!C230</f>
        <v>Vệ sinh mặt cầu, ống thoát nước</v>
      </c>
      <c r="D792" s="13" t="str">
        <f>DTCT!D230</f>
        <v>10m2</v>
      </c>
      <c r="E792" s="137"/>
      <c r="F792" s="1049"/>
      <c r="G792" s="138"/>
    </row>
    <row r="793" spans="1:7" ht="18" customHeight="1">
      <c r="A793" s="13"/>
      <c r="B793" s="13"/>
      <c r="C793" s="1028" t="s">
        <v>48</v>
      </c>
      <c r="D793" s="246" t="s">
        <v>55</v>
      </c>
      <c r="E793" s="247"/>
      <c r="F793" s="1049"/>
      <c r="G793" s="391">
        <f>G794</f>
        <v>2</v>
      </c>
    </row>
    <row r="794" spans="1:7" ht="18" customHeight="1">
      <c r="A794" s="13"/>
      <c r="B794" s="13"/>
      <c r="C794" s="384" t="s">
        <v>401</v>
      </c>
      <c r="D794" s="246" t="s">
        <v>402</v>
      </c>
      <c r="E794" s="248">
        <v>1E-4</v>
      </c>
      <c r="F794" s="1049">
        <f>F692</f>
        <v>20000</v>
      </c>
      <c r="G794" s="190">
        <f>E794*F794</f>
        <v>2</v>
      </c>
    </row>
    <row r="795" spans="1:7" ht="18" customHeight="1">
      <c r="A795" s="13"/>
      <c r="B795" s="13"/>
      <c r="C795" s="1028" t="s">
        <v>47</v>
      </c>
      <c r="D795" s="246" t="s">
        <v>55</v>
      </c>
      <c r="E795" s="248"/>
      <c r="F795" s="1049"/>
      <c r="G795" s="391">
        <f>G796</f>
        <v>8931.6959999999999</v>
      </c>
    </row>
    <row r="796" spans="1:7" ht="18" customHeight="1">
      <c r="A796" s="13"/>
      <c r="B796" s="13"/>
      <c r="C796" s="458" t="s">
        <v>403</v>
      </c>
      <c r="D796" s="246" t="s">
        <v>30</v>
      </c>
      <c r="E796" s="248">
        <v>4.8000000000000001E-2</v>
      </c>
      <c r="F796" s="1049">
        <f>F694</f>
        <v>186077</v>
      </c>
      <c r="G796" s="190">
        <f>E796*F796</f>
        <v>8931.6959999999999</v>
      </c>
    </row>
    <row r="797" spans="1:7" ht="18" customHeight="1">
      <c r="A797" s="13">
        <f>DTCT!A231</f>
        <v>15</v>
      </c>
      <c r="B797" s="13" t="str">
        <f>DTCT!B231</f>
        <v>BDC.20910</v>
      </c>
      <c r="C797" s="289" t="str">
        <f>DTCT!C231</f>
        <v>Vệ sinh khe co dãn cao su</v>
      </c>
      <c r="D797" s="13" t="str">
        <f>DTCT!D231</f>
        <v>1md</v>
      </c>
      <c r="E797" s="137"/>
      <c r="F797" s="1049"/>
      <c r="G797" s="138"/>
    </row>
    <row r="798" spans="1:7" ht="18" customHeight="1">
      <c r="A798" s="13"/>
      <c r="B798" s="13"/>
      <c r="C798" s="1028" t="s">
        <v>47</v>
      </c>
      <c r="D798" s="246" t="s">
        <v>55</v>
      </c>
      <c r="E798" s="248"/>
      <c r="F798" s="1049"/>
      <c r="G798" s="391">
        <f>G799</f>
        <v>11580.944000000001</v>
      </c>
    </row>
    <row r="799" spans="1:7" ht="18" customHeight="1">
      <c r="A799" s="13"/>
      <c r="B799" s="13"/>
      <c r="C799" s="458" t="s">
        <v>398</v>
      </c>
      <c r="D799" s="246" t="s">
        <v>30</v>
      </c>
      <c r="E799" s="248">
        <v>6.8000000000000005E-2</v>
      </c>
      <c r="F799" s="1049">
        <f>F697</f>
        <v>170308</v>
      </c>
      <c r="G799" s="190">
        <f>E799*F799</f>
        <v>11580.944000000001</v>
      </c>
    </row>
    <row r="800" spans="1:7" ht="18" customHeight="1">
      <c r="A800" s="13">
        <f>DTCT!A232</f>
        <v>16</v>
      </c>
      <c r="B800" s="13" t="str">
        <f>DTCT!B232</f>
        <v>BDC.21010</v>
      </c>
      <c r="C800" s="289" t="str">
        <f>DTCT!C232</f>
        <v>Vệ sinh mố cầu</v>
      </c>
      <c r="D800" s="13" t="str">
        <f>DTCT!D232</f>
        <v>m2</v>
      </c>
      <c r="E800" s="137"/>
      <c r="F800" s="1049"/>
      <c r="G800" s="138"/>
    </row>
    <row r="801" spans="1:7" ht="18" customHeight="1">
      <c r="A801" s="13"/>
      <c r="B801" s="13"/>
      <c r="C801" s="1028" t="s">
        <v>47</v>
      </c>
      <c r="D801" s="246" t="s">
        <v>55</v>
      </c>
      <c r="E801" s="248"/>
      <c r="F801" s="1049"/>
      <c r="G801" s="391">
        <f>G802</f>
        <v>86218.2</v>
      </c>
    </row>
    <row r="802" spans="1:7" ht="18" customHeight="1">
      <c r="A802" s="13"/>
      <c r="B802" s="13"/>
      <c r="C802" s="458" t="s">
        <v>292</v>
      </c>
      <c r="D802" s="246" t="s">
        <v>30</v>
      </c>
      <c r="E802" s="248">
        <v>0.45</v>
      </c>
      <c r="F802" s="1049">
        <f>F700</f>
        <v>191596</v>
      </c>
      <c r="G802" s="190">
        <f>E802*F802</f>
        <v>86218.2</v>
      </c>
    </row>
    <row r="803" spans="1:7" ht="18" customHeight="1">
      <c r="A803" s="13">
        <f>DTCT!A233</f>
        <v>17</v>
      </c>
      <c r="B803" s="13" t="str">
        <f>DTCT!B233</f>
        <v>BDC.21710</v>
      </c>
      <c r="C803" s="289" t="str">
        <f>DTCT!C233</f>
        <v>Phát quang cây dại</v>
      </c>
      <c r="D803" s="13" t="str">
        <f>DTCT!D233</f>
        <v>100m2</v>
      </c>
      <c r="E803" s="137"/>
      <c r="F803" s="1049"/>
      <c r="G803" s="138"/>
    </row>
    <row r="804" spans="1:7" ht="18" customHeight="1">
      <c r="A804" s="13"/>
      <c r="B804" s="13"/>
      <c r="C804" s="1028" t="s">
        <v>47</v>
      </c>
      <c r="D804" s="246" t="s">
        <v>55</v>
      </c>
      <c r="E804" s="248"/>
      <c r="F804" s="1049"/>
      <c r="G804" s="391">
        <f>G805</f>
        <v>729940.08799999987</v>
      </c>
    </row>
    <row r="805" spans="1:7" ht="18" customHeight="1">
      <c r="A805" s="13"/>
      <c r="B805" s="13"/>
      <c r="C805" s="458" t="s">
        <v>398</v>
      </c>
      <c r="D805" s="246" t="s">
        <v>30</v>
      </c>
      <c r="E805" s="248">
        <v>4.2859999999999996</v>
      </c>
      <c r="F805" s="1049">
        <f>F703</f>
        <v>170308</v>
      </c>
      <c r="G805" s="190">
        <f>E805*F805</f>
        <v>729940.08799999987</v>
      </c>
    </row>
    <row r="806" spans="1:7" ht="28.5" customHeight="1">
      <c r="A806" s="13"/>
      <c r="B806" s="13"/>
      <c r="C806" s="287" t="str">
        <f>DTCT!C234</f>
        <v>CÔNG TÁC QUẢN LÝ CẦU CẦU L &lt;= 300M</v>
      </c>
      <c r="D806" s="13">
        <f>DTCT!D234</f>
        <v>0</v>
      </c>
      <c r="E806" s="137"/>
      <c r="F806" s="1049"/>
      <c r="G806" s="138"/>
    </row>
    <row r="807" spans="1:7" ht="18" customHeight="1">
      <c r="A807" s="13"/>
      <c r="B807" s="13"/>
      <c r="C807" s="287" t="str">
        <f>DTCT!C235</f>
        <v>Cầu &lt; 50m</v>
      </c>
      <c r="D807" s="13">
        <f>DTCT!D235</f>
        <v>0</v>
      </c>
      <c r="E807" s="137"/>
      <c r="F807" s="1049"/>
      <c r="G807" s="138"/>
    </row>
    <row r="808" spans="1:7" ht="18" customHeight="1">
      <c r="A808" s="13">
        <f>DTCT!A236</f>
        <v>18</v>
      </c>
      <c r="B808" s="13" t="str">
        <f>DTCT!B236</f>
        <v>QLC.10140</v>
      </c>
      <c r="C808" s="289" t="str">
        <f>DTCT!C236</f>
        <v>Kiểm tra cầu</v>
      </c>
      <c r="D808" s="13" t="str">
        <f>DTCT!D236</f>
        <v>cầu/năm</v>
      </c>
      <c r="E808" s="137"/>
      <c r="F808" s="1049"/>
      <c r="G808" s="138"/>
    </row>
    <row r="809" spans="1:7" ht="18" customHeight="1">
      <c r="A809" s="13"/>
      <c r="B809" s="13"/>
      <c r="C809" s="1028" t="s">
        <v>48</v>
      </c>
      <c r="D809" s="246" t="s">
        <v>55</v>
      </c>
      <c r="E809" s="247"/>
      <c r="F809" s="1049"/>
      <c r="G809" s="391">
        <f>G810+G811</f>
        <v>39000</v>
      </c>
    </row>
    <row r="810" spans="1:7" ht="18" customHeight="1">
      <c r="A810" s="13"/>
      <c r="B810" s="13"/>
      <c r="C810" s="384" t="s">
        <v>404</v>
      </c>
      <c r="D810" s="246" t="s">
        <v>405</v>
      </c>
      <c r="E810" s="248">
        <v>1</v>
      </c>
      <c r="F810" s="1049">
        <f>F708</f>
        <v>3000</v>
      </c>
      <c r="G810" s="190">
        <f>E810*F810</f>
        <v>3000</v>
      </c>
    </row>
    <row r="811" spans="1:7" ht="18" customHeight="1">
      <c r="A811" s="13"/>
      <c r="B811" s="13"/>
      <c r="C811" s="384" t="s">
        <v>406</v>
      </c>
      <c r="D811" s="246" t="s">
        <v>17</v>
      </c>
      <c r="E811" s="248">
        <v>12</v>
      </c>
      <c r="F811" s="1049">
        <f>F709</f>
        <v>3000</v>
      </c>
      <c r="G811" s="190">
        <f>E811*F811</f>
        <v>36000</v>
      </c>
    </row>
    <row r="812" spans="1:7" ht="18" customHeight="1">
      <c r="A812" s="13"/>
      <c r="B812" s="13"/>
      <c r="C812" s="1028" t="s">
        <v>47</v>
      </c>
      <c r="D812" s="246" t="s">
        <v>55</v>
      </c>
      <c r="E812" s="248"/>
      <c r="F812" s="1049"/>
      <c r="G812" s="391">
        <f>G813</f>
        <v>804232</v>
      </c>
    </row>
    <row r="813" spans="1:7" ht="18" customHeight="1">
      <c r="A813" s="13"/>
      <c r="B813" s="13"/>
      <c r="C813" s="458" t="s">
        <v>399</v>
      </c>
      <c r="D813" s="246" t="s">
        <v>30</v>
      </c>
      <c r="E813" s="248">
        <v>4</v>
      </c>
      <c r="F813" s="1049">
        <f>F711</f>
        <v>201058</v>
      </c>
      <c r="G813" s="190">
        <f>E813*F813</f>
        <v>804232</v>
      </c>
    </row>
    <row r="814" spans="1:7" ht="18" customHeight="1">
      <c r="A814" s="13">
        <f>DTCT!A237</f>
        <v>19</v>
      </c>
      <c r="B814" s="13" t="str">
        <f>DTCT!B237</f>
        <v>QLC.10340</v>
      </c>
      <c r="C814" s="289" t="str">
        <f>DTCT!C237</f>
        <v>Kiểm tra trước và sau mùa mưa bão</v>
      </c>
      <c r="D814" s="13" t="str">
        <f>DTCT!D237</f>
        <v>cầu/năm</v>
      </c>
      <c r="E814" s="137"/>
      <c r="F814" s="1049"/>
      <c r="G814" s="138"/>
    </row>
    <row r="815" spans="1:7" ht="18" customHeight="1">
      <c r="A815" s="13"/>
      <c r="B815" s="13"/>
      <c r="C815" s="1028" t="s">
        <v>48</v>
      </c>
      <c r="D815" s="246" t="s">
        <v>55</v>
      </c>
      <c r="E815" s="247"/>
      <c r="F815" s="1049"/>
      <c r="G815" s="391">
        <f>G816+G817</f>
        <v>6501</v>
      </c>
    </row>
    <row r="816" spans="1:7" ht="18" customHeight="1">
      <c r="A816" s="13"/>
      <c r="B816" s="13"/>
      <c r="C816" s="384" t="s">
        <v>404</v>
      </c>
      <c r="D816" s="246" t="s">
        <v>405</v>
      </c>
      <c r="E816" s="248">
        <v>0.16700000000000001</v>
      </c>
      <c r="F816" s="1049">
        <f>F714</f>
        <v>3000</v>
      </c>
      <c r="G816" s="190">
        <f>E816*F816</f>
        <v>501.00000000000006</v>
      </c>
    </row>
    <row r="817" spans="1:7" ht="18" customHeight="1">
      <c r="A817" s="13"/>
      <c r="B817" s="13"/>
      <c r="C817" s="384" t="s">
        <v>406</v>
      </c>
      <c r="D817" s="246" t="s">
        <v>17</v>
      </c>
      <c r="E817" s="248">
        <v>2</v>
      </c>
      <c r="F817" s="1049">
        <f>F715</f>
        <v>3000</v>
      </c>
      <c r="G817" s="190">
        <f>E817*F817</f>
        <v>6000</v>
      </c>
    </row>
    <row r="818" spans="1:7" ht="18" customHeight="1">
      <c r="A818" s="13"/>
      <c r="B818" s="13"/>
      <c r="C818" s="1028" t="s">
        <v>47</v>
      </c>
      <c r="D818" s="246" t="s">
        <v>55</v>
      </c>
      <c r="E818" s="248"/>
      <c r="F818" s="1049"/>
      <c r="G818" s="391">
        <f>G819</f>
        <v>201058</v>
      </c>
    </row>
    <row r="819" spans="1:7" ht="18" customHeight="1">
      <c r="A819" s="13"/>
      <c r="B819" s="13"/>
      <c r="C819" s="458" t="s">
        <v>399</v>
      </c>
      <c r="D819" s="246" t="s">
        <v>30</v>
      </c>
      <c r="E819" s="248">
        <v>1</v>
      </c>
      <c r="F819" s="1049">
        <f>F717</f>
        <v>201058</v>
      </c>
      <c r="G819" s="190">
        <f>E819*F819</f>
        <v>201058</v>
      </c>
    </row>
    <row r="820" spans="1:7" ht="18" customHeight="1">
      <c r="A820" s="13">
        <f>DTCT!A238</f>
        <v>20</v>
      </c>
      <c r="B820" s="13" t="str">
        <f>DTCT!B238</f>
        <v>QLC.10440</v>
      </c>
      <c r="C820" s="289" t="str">
        <f>DTCT!C238</f>
        <v>Quản lý hồ sơ trên vi tính</v>
      </c>
      <c r="D820" s="13" t="str">
        <f>DTCT!D238</f>
        <v>cầu/năm</v>
      </c>
      <c r="E820" s="137"/>
      <c r="F820" s="1049"/>
      <c r="G820" s="138"/>
    </row>
    <row r="821" spans="1:7" ht="18" customHeight="1">
      <c r="A821" s="13"/>
      <c r="B821" s="13"/>
      <c r="C821" s="1028" t="s">
        <v>47</v>
      </c>
      <c r="D821" s="246" t="s">
        <v>55</v>
      </c>
      <c r="E821" s="248"/>
      <c r="F821" s="1049"/>
      <c r="G821" s="391">
        <f>G822</f>
        <v>237327</v>
      </c>
    </row>
    <row r="822" spans="1:7" ht="18" customHeight="1">
      <c r="A822" s="13"/>
      <c r="B822" s="13"/>
      <c r="C822" s="458" t="s">
        <v>394</v>
      </c>
      <c r="D822" s="246" t="s">
        <v>30</v>
      </c>
      <c r="E822" s="248">
        <v>1</v>
      </c>
      <c r="F822" s="1049">
        <f>F720</f>
        <v>237327</v>
      </c>
      <c r="G822" s="190">
        <f>E822*F822</f>
        <v>237327</v>
      </c>
    </row>
    <row r="823" spans="1:7" ht="18" customHeight="1">
      <c r="A823" s="13"/>
      <c r="B823" s="13"/>
      <c r="C823" s="287" t="str">
        <f>DTCT!C239</f>
        <v>Cầu 50m - 100m</v>
      </c>
      <c r="D823" s="13">
        <f>DTCT!D239</f>
        <v>0</v>
      </c>
      <c r="E823" s="137"/>
      <c r="F823" s="1049"/>
      <c r="G823" s="138"/>
    </row>
    <row r="824" spans="1:7" ht="18" customHeight="1">
      <c r="A824" s="13">
        <f>DTCT!A240</f>
        <v>21</v>
      </c>
      <c r="B824" s="13" t="str">
        <f>DTCT!B240</f>
        <v>QLC.10130</v>
      </c>
      <c r="C824" s="289" t="str">
        <f>DTCT!C240</f>
        <v>Kiểm tra cầu</v>
      </c>
      <c r="D824" s="13" t="str">
        <f>DTCT!D240</f>
        <v>cầu/năm</v>
      </c>
      <c r="E824" s="137"/>
      <c r="F824" s="1049"/>
      <c r="G824" s="138"/>
    </row>
    <row r="825" spans="1:7" ht="18" customHeight="1">
      <c r="A825" s="13"/>
      <c r="B825" s="13"/>
      <c r="C825" s="1028" t="s">
        <v>48</v>
      </c>
      <c r="D825" s="246" t="s">
        <v>55</v>
      </c>
      <c r="E825" s="247"/>
      <c r="F825" s="1049"/>
      <c r="G825" s="391">
        <f>G826+G827</f>
        <v>45000</v>
      </c>
    </row>
    <row r="826" spans="1:7" ht="18" customHeight="1">
      <c r="A826" s="13"/>
      <c r="B826" s="13"/>
      <c r="C826" s="384" t="s">
        <v>404</v>
      </c>
      <c r="D826" s="246" t="s">
        <v>405</v>
      </c>
      <c r="E826" s="248">
        <v>3</v>
      </c>
      <c r="F826" s="1049">
        <f>F724</f>
        <v>3000</v>
      </c>
      <c r="G826" s="190">
        <f>E826*F826</f>
        <v>9000</v>
      </c>
    </row>
    <row r="827" spans="1:7" ht="18" customHeight="1">
      <c r="A827" s="13"/>
      <c r="B827" s="13"/>
      <c r="C827" s="384" t="s">
        <v>406</v>
      </c>
      <c r="D827" s="246" t="s">
        <v>17</v>
      </c>
      <c r="E827" s="248">
        <v>12</v>
      </c>
      <c r="F827" s="1049">
        <f>F725</f>
        <v>3000</v>
      </c>
      <c r="G827" s="190">
        <f>E827*F827</f>
        <v>36000</v>
      </c>
    </row>
    <row r="828" spans="1:7" ht="18" customHeight="1">
      <c r="A828" s="13"/>
      <c r="B828" s="13"/>
      <c r="C828" s="1028" t="s">
        <v>47</v>
      </c>
      <c r="D828" s="246" t="s">
        <v>55</v>
      </c>
      <c r="E828" s="248"/>
      <c r="F828" s="1049"/>
      <c r="G828" s="391">
        <f>G829</f>
        <v>2412696</v>
      </c>
    </row>
    <row r="829" spans="1:7" ht="18" customHeight="1">
      <c r="A829" s="13"/>
      <c r="B829" s="13"/>
      <c r="C829" s="458" t="s">
        <v>399</v>
      </c>
      <c r="D829" s="246" t="s">
        <v>30</v>
      </c>
      <c r="E829" s="248">
        <v>12</v>
      </c>
      <c r="F829" s="1049">
        <f>F727</f>
        <v>201058</v>
      </c>
      <c r="G829" s="190">
        <f>E829*F829</f>
        <v>2412696</v>
      </c>
    </row>
    <row r="830" spans="1:7" ht="18" customHeight="1">
      <c r="A830" s="13">
        <f>DTCT!A241</f>
        <v>22</v>
      </c>
      <c r="B830" s="13" t="str">
        <f>DTCT!B241</f>
        <v>QLC.10330</v>
      </c>
      <c r="C830" s="289" t="str">
        <f>DTCT!C241</f>
        <v>Kiểm tra trước và sau mùa mưa bão</v>
      </c>
      <c r="D830" s="13" t="str">
        <f>DTCT!D241</f>
        <v>cầu/năm</v>
      </c>
      <c r="E830" s="137"/>
      <c r="F830" s="1049"/>
      <c r="G830" s="138"/>
    </row>
    <row r="831" spans="1:7" ht="18" customHeight="1">
      <c r="A831" s="13"/>
      <c r="B831" s="13"/>
      <c r="C831" s="1028" t="s">
        <v>48</v>
      </c>
      <c r="D831" s="246" t="s">
        <v>55</v>
      </c>
      <c r="E831" s="247"/>
      <c r="F831" s="1049"/>
      <c r="G831" s="391">
        <f>G832+G833</f>
        <v>7500</v>
      </c>
    </row>
    <row r="832" spans="1:7" ht="18" customHeight="1">
      <c r="A832" s="13"/>
      <c r="B832" s="13"/>
      <c r="C832" s="384" t="s">
        <v>404</v>
      </c>
      <c r="D832" s="246" t="s">
        <v>405</v>
      </c>
      <c r="E832" s="248">
        <v>0.5</v>
      </c>
      <c r="F832" s="1049">
        <f>F730</f>
        <v>3000</v>
      </c>
      <c r="G832" s="190">
        <f>E832*F832</f>
        <v>1500</v>
      </c>
    </row>
    <row r="833" spans="1:7" ht="18" customHeight="1">
      <c r="A833" s="13"/>
      <c r="B833" s="13"/>
      <c r="C833" s="384" t="s">
        <v>406</v>
      </c>
      <c r="D833" s="246" t="s">
        <v>17</v>
      </c>
      <c r="E833" s="248">
        <v>2</v>
      </c>
      <c r="F833" s="1049">
        <f>F731</f>
        <v>3000</v>
      </c>
      <c r="G833" s="190">
        <f>E833*F833</f>
        <v>6000</v>
      </c>
    </row>
    <row r="834" spans="1:7" ht="18" customHeight="1">
      <c r="A834" s="13"/>
      <c r="B834" s="13"/>
      <c r="C834" s="1028" t="s">
        <v>47</v>
      </c>
      <c r="D834" s="246" t="s">
        <v>55</v>
      </c>
      <c r="E834" s="248"/>
      <c r="F834" s="1049"/>
      <c r="G834" s="391">
        <f>G835</f>
        <v>402116</v>
      </c>
    </row>
    <row r="835" spans="1:7" ht="18" customHeight="1">
      <c r="A835" s="13"/>
      <c r="B835" s="13"/>
      <c r="C835" s="458" t="s">
        <v>399</v>
      </c>
      <c r="D835" s="246" t="s">
        <v>30</v>
      </c>
      <c r="E835" s="248">
        <v>2</v>
      </c>
      <c r="F835" s="1049">
        <f>F733</f>
        <v>201058</v>
      </c>
      <c r="G835" s="190">
        <f>E835*F835</f>
        <v>402116</v>
      </c>
    </row>
    <row r="836" spans="1:7" ht="18" customHeight="1">
      <c r="A836" s="13"/>
      <c r="B836" s="13"/>
      <c r="C836" s="1028" t="s">
        <v>49</v>
      </c>
      <c r="D836" s="246" t="s">
        <v>55</v>
      </c>
      <c r="E836" s="247"/>
      <c r="F836" s="1049"/>
      <c r="G836" s="391">
        <f>G837</f>
        <v>378931</v>
      </c>
    </row>
    <row r="837" spans="1:7" ht="18" customHeight="1">
      <c r="A837" s="13"/>
      <c r="B837" s="13"/>
      <c r="C837" s="384" t="s">
        <v>407</v>
      </c>
      <c r="D837" s="246" t="s">
        <v>291</v>
      </c>
      <c r="E837" s="248">
        <v>1</v>
      </c>
      <c r="F837" s="1049">
        <f>F735</f>
        <v>378931</v>
      </c>
      <c r="G837" s="190">
        <f>E837*F837</f>
        <v>378931</v>
      </c>
    </row>
    <row r="838" spans="1:7" ht="18" customHeight="1">
      <c r="A838" s="13">
        <f>DTCT!A242</f>
        <v>23</v>
      </c>
      <c r="B838" s="13" t="str">
        <f>DTCT!B242</f>
        <v>QLC.10430</v>
      </c>
      <c r="C838" s="289" t="str">
        <f>DTCT!C242</f>
        <v>Quản lý hồ sơ trên vi tính</v>
      </c>
      <c r="D838" s="13" t="str">
        <f>DTCT!D242</f>
        <v>cầu/năm</v>
      </c>
      <c r="E838" s="137"/>
      <c r="F838" s="1049"/>
      <c r="G838" s="138"/>
    </row>
    <row r="839" spans="1:7" ht="18" customHeight="1">
      <c r="A839" s="13"/>
      <c r="B839" s="13"/>
      <c r="C839" s="1028" t="s">
        <v>47</v>
      </c>
      <c r="D839" s="246" t="s">
        <v>55</v>
      </c>
      <c r="E839" s="248"/>
      <c r="F839" s="1049"/>
      <c r="G839" s="391">
        <f>G840</f>
        <v>237327</v>
      </c>
    </row>
    <row r="840" spans="1:7" ht="18" customHeight="1">
      <c r="A840" s="290"/>
      <c r="B840" s="290"/>
      <c r="C840" s="1030" t="s">
        <v>394</v>
      </c>
      <c r="D840" s="250" t="s">
        <v>30</v>
      </c>
      <c r="E840" s="302">
        <v>1</v>
      </c>
      <c r="F840" s="1071">
        <f>F738</f>
        <v>237327</v>
      </c>
      <c r="G840" s="191">
        <f>E840*F840</f>
        <v>237327</v>
      </c>
    </row>
    <row r="841" spans="1:7" ht="30.75" customHeight="1">
      <c r="A841" s="12" t="str">
        <f>DTCT!A243</f>
        <v>IX</v>
      </c>
      <c r="B841" s="12"/>
      <c r="C841" s="507" t="str">
        <f>DTCT!C243</f>
        <v>ĐƯỜNG TỈNH 909 - HUYỆN TAM BÌNH</v>
      </c>
      <c r="D841" s="304"/>
      <c r="E841" s="97"/>
      <c r="F841" s="1044"/>
      <c r="G841" s="98"/>
    </row>
    <row r="842" spans="1:7" ht="33.75" customHeight="1">
      <c r="A842" s="13"/>
      <c r="B842" s="13"/>
      <c r="C842" s="287" t="str">
        <f>DTCT!C244</f>
        <v>CÔNG TÁC QUẢN LÝ BDTX ĐƯỜNG BỘ</v>
      </c>
      <c r="D842" s="13"/>
      <c r="E842" s="137"/>
      <c r="F842" s="1049"/>
      <c r="G842" s="138"/>
    </row>
    <row r="843" spans="1:7" ht="18" customHeight="1">
      <c r="A843" s="13">
        <f>DTCT!A245</f>
        <v>1</v>
      </c>
      <c r="B843" s="13" t="str">
        <f>DTCT!B245</f>
        <v>QLD.10150</v>
      </c>
      <c r="C843" s="289" t="str">
        <f>DTCT!C245</f>
        <v>Tuần đường</v>
      </c>
      <c r="D843" s="13" t="str">
        <f>DTCT!D245</f>
        <v>1km/năm</v>
      </c>
      <c r="E843" s="137"/>
      <c r="F843" s="1049"/>
      <c r="G843" s="138"/>
    </row>
    <row r="844" spans="1:7" ht="18" customHeight="1">
      <c r="A844" s="13"/>
      <c r="B844" s="13"/>
      <c r="C844" s="1028" t="s">
        <v>48</v>
      </c>
      <c r="D844" s="246" t="s">
        <v>55</v>
      </c>
      <c r="E844" s="247"/>
      <c r="F844" s="1049"/>
      <c r="G844" s="391">
        <f>G845</f>
        <v>162671.375</v>
      </c>
    </row>
    <row r="845" spans="1:7" ht="18" customHeight="1">
      <c r="A845" s="13"/>
      <c r="B845" s="13"/>
      <c r="C845" s="384" t="s">
        <v>393</v>
      </c>
      <c r="D845" s="246" t="s">
        <v>32</v>
      </c>
      <c r="E845" s="248">
        <v>9.125</v>
      </c>
      <c r="F845" s="1049">
        <f>F743</f>
        <v>17827</v>
      </c>
      <c r="G845" s="190">
        <f>E845*F845</f>
        <v>162671.375</v>
      </c>
    </row>
    <row r="846" spans="1:7" ht="18" customHeight="1">
      <c r="A846" s="13"/>
      <c r="B846" s="13"/>
      <c r="C846" s="1028" t="s">
        <v>47</v>
      </c>
      <c r="D846" s="246" t="s">
        <v>55</v>
      </c>
      <c r="E846" s="248"/>
      <c r="F846" s="1049"/>
      <c r="G846" s="391">
        <f>G847</f>
        <v>2038164.2759999998</v>
      </c>
    </row>
    <row r="847" spans="1:7" ht="18" customHeight="1">
      <c r="A847" s="13"/>
      <c r="B847" s="13"/>
      <c r="C847" s="458" t="s">
        <v>394</v>
      </c>
      <c r="D847" s="246" t="s">
        <v>30</v>
      </c>
      <c r="E847" s="248">
        <v>8.5879999999999992</v>
      </c>
      <c r="F847" s="1049">
        <f>F745</f>
        <v>237327</v>
      </c>
      <c r="G847" s="190">
        <f>E847*F847</f>
        <v>2038164.2759999998</v>
      </c>
    </row>
    <row r="848" spans="1:7" ht="25.5" customHeight="1">
      <c r="A848" s="13">
        <f>DTCT!A246</f>
        <v>2</v>
      </c>
      <c r="B848" s="13" t="str">
        <f>DTCT!B246</f>
        <v>QLD.10230</v>
      </c>
      <c r="C848" s="289" t="str">
        <f>DTCT!C246</f>
        <v>Đếm xe bằng thủ công</v>
      </c>
      <c r="D848" s="13" t="str">
        <f>DTCT!D246</f>
        <v>1lần/trạmđếm</v>
      </c>
      <c r="E848" s="137"/>
      <c r="F848" s="1049"/>
      <c r="G848" s="138"/>
    </row>
    <row r="849" spans="1:7" ht="18" customHeight="1">
      <c r="A849" s="13"/>
      <c r="B849" s="13"/>
      <c r="C849" s="1028" t="s">
        <v>48</v>
      </c>
      <c r="D849" s="246" t="s">
        <v>55</v>
      </c>
      <c r="E849" s="247"/>
      <c r="F849" s="1049"/>
      <c r="G849" s="391">
        <f>G851+G850</f>
        <v>15300</v>
      </c>
    </row>
    <row r="850" spans="1:7" ht="18" customHeight="1">
      <c r="A850" s="13"/>
      <c r="B850" s="13"/>
      <c r="C850" s="384" t="s">
        <v>395</v>
      </c>
      <c r="D850" s="246" t="s">
        <v>396</v>
      </c>
      <c r="E850" s="248">
        <v>42</v>
      </c>
      <c r="F850" s="1049">
        <f>F748</f>
        <v>150</v>
      </c>
      <c r="G850" s="190">
        <f>E850*F850</f>
        <v>6300</v>
      </c>
    </row>
    <row r="851" spans="1:7" ht="18" customHeight="1">
      <c r="A851" s="13"/>
      <c r="B851" s="13"/>
      <c r="C851" s="384" t="s">
        <v>397</v>
      </c>
      <c r="D851" s="246" t="s">
        <v>17</v>
      </c>
      <c r="E851" s="248">
        <v>3</v>
      </c>
      <c r="F851" s="1049">
        <f>F749</f>
        <v>3000</v>
      </c>
      <c r="G851" s="190">
        <f>E851*F851</f>
        <v>9000</v>
      </c>
    </row>
    <row r="852" spans="1:7" ht="18" customHeight="1">
      <c r="A852" s="13"/>
      <c r="B852" s="13"/>
      <c r="C852" s="1028" t="s">
        <v>47</v>
      </c>
      <c r="D852" s="246" t="s">
        <v>55</v>
      </c>
      <c r="E852" s="248"/>
      <c r="F852" s="1049"/>
      <c r="G852" s="391">
        <f>G853</f>
        <v>2384312</v>
      </c>
    </row>
    <row r="853" spans="1:7" ht="18" customHeight="1">
      <c r="A853" s="13"/>
      <c r="B853" s="13"/>
      <c r="C853" s="458" t="s">
        <v>398</v>
      </c>
      <c r="D853" s="246" t="s">
        <v>30</v>
      </c>
      <c r="E853" s="248">
        <v>14</v>
      </c>
      <c r="F853" s="1049">
        <f>F751</f>
        <v>170308</v>
      </c>
      <c r="G853" s="190">
        <f>E853*F853</f>
        <v>2384312</v>
      </c>
    </row>
    <row r="854" spans="1:7" ht="35.25" customHeight="1">
      <c r="A854" s="13">
        <f>DTCT!A247</f>
        <v>3</v>
      </c>
      <c r="B854" s="13" t="str">
        <f>DTCT!B247</f>
        <v>QLD.10340</v>
      </c>
      <c r="C854" s="289" t="str">
        <f>DTCT!C247</f>
        <v>Kiểm tra định kỳ, khẩn cấp, cập nhật số liệu cầu đường và tình hình bão lũ</v>
      </c>
      <c r="D854" s="13" t="str">
        <f>DTCT!D247</f>
        <v>1km/1lần</v>
      </c>
      <c r="E854" s="137"/>
      <c r="F854" s="1049"/>
      <c r="G854" s="138"/>
    </row>
    <row r="855" spans="1:7" ht="18" customHeight="1">
      <c r="A855" s="13"/>
      <c r="B855" s="13"/>
      <c r="C855" s="1028" t="s">
        <v>48</v>
      </c>
      <c r="D855" s="246" t="s">
        <v>55</v>
      </c>
      <c r="E855" s="247"/>
      <c r="F855" s="1049"/>
      <c r="G855" s="391">
        <f>G856</f>
        <v>445.67500000000001</v>
      </c>
    </row>
    <row r="856" spans="1:7" ht="18" customHeight="1">
      <c r="A856" s="13"/>
      <c r="B856" s="13"/>
      <c r="C856" s="384" t="s">
        <v>393</v>
      </c>
      <c r="D856" s="246" t="s">
        <v>32</v>
      </c>
      <c r="E856" s="248">
        <v>2.5000000000000001E-2</v>
      </c>
      <c r="F856" s="1049">
        <f>F754</f>
        <v>17827</v>
      </c>
      <c r="G856" s="190">
        <f>E856*F856</f>
        <v>445.67500000000001</v>
      </c>
    </row>
    <row r="857" spans="1:7" ht="18" customHeight="1">
      <c r="A857" s="13"/>
      <c r="B857" s="13"/>
      <c r="C857" s="1028" t="s">
        <v>47</v>
      </c>
      <c r="D857" s="246" t="s">
        <v>55</v>
      </c>
      <c r="E857" s="248"/>
      <c r="F857" s="1049"/>
      <c r="G857" s="391">
        <f>G858</f>
        <v>7439.1459999999997</v>
      </c>
    </row>
    <row r="858" spans="1:7" ht="18" customHeight="1">
      <c r="A858" s="13"/>
      <c r="B858" s="13"/>
      <c r="C858" s="458" t="s">
        <v>399</v>
      </c>
      <c r="D858" s="246" t="s">
        <v>30</v>
      </c>
      <c r="E858" s="248">
        <v>3.6999999999999998E-2</v>
      </c>
      <c r="F858" s="1049">
        <f>F756</f>
        <v>201058</v>
      </c>
      <c r="G858" s="190">
        <f>E858*F858</f>
        <v>7439.1459999999997</v>
      </c>
    </row>
    <row r="859" spans="1:7" ht="18" customHeight="1">
      <c r="A859" s="13">
        <f>DTCT!A248</f>
        <v>4</v>
      </c>
      <c r="B859" s="13" t="str">
        <f>DTCT!B248</f>
        <v>QLD.10410</v>
      </c>
      <c r="C859" s="289" t="str">
        <f>DTCT!C248</f>
        <v>Trực bão lũ</v>
      </c>
      <c r="D859" s="13" t="str">
        <f>DTCT!D248</f>
        <v>40km/năm</v>
      </c>
      <c r="E859" s="137"/>
      <c r="F859" s="1049"/>
      <c r="G859" s="138"/>
    </row>
    <row r="860" spans="1:7" ht="18" customHeight="1">
      <c r="A860" s="13"/>
      <c r="B860" s="13"/>
      <c r="C860" s="1028" t="s">
        <v>47</v>
      </c>
      <c r="D860" s="246" t="s">
        <v>55</v>
      </c>
      <c r="E860" s="248"/>
      <c r="F860" s="1049"/>
      <c r="G860" s="391">
        <f>G861</f>
        <v>30655360</v>
      </c>
    </row>
    <row r="861" spans="1:7" ht="18" customHeight="1">
      <c r="A861" s="13"/>
      <c r="B861" s="13"/>
      <c r="C861" s="458" t="s">
        <v>292</v>
      </c>
      <c r="D861" s="246" t="s">
        <v>30</v>
      </c>
      <c r="E861" s="248">
        <v>160</v>
      </c>
      <c r="F861" s="1049">
        <f>F759</f>
        <v>191596</v>
      </c>
      <c r="G861" s="190">
        <f>E861*F861</f>
        <v>30655360</v>
      </c>
    </row>
    <row r="862" spans="1:7" ht="30" customHeight="1">
      <c r="A862" s="13">
        <f>DTCT!A249</f>
        <v>5</v>
      </c>
      <c r="B862" s="13" t="str">
        <f>DTCT!B249</f>
        <v>QLD.10610</v>
      </c>
      <c r="C862" s="289" t="str">
        <f>DTCT!C249</f>
        <v>Quản lý hành lang an toàn đường bộ và đấu nối</v>
      </c>
      <c r="D862" s="13" t="str">
        <f>DTCT!D249</f>
        <v>1km/năm</v>
      </c>
      <c r="E862" s="137"/>
      <c r="F862" s="1049"/>
      <c r="G862" s="138"/>
    </row>
    <row r="863" spans="1:7" ht="18" customHeight="1">
      <c r="A863" s="13"/>
      <c r="B863" s="13"/>
      <c r="C863" s="1028" t="s">
        <v>47</v>
      </c>
      <c r="D863" s="246" t="s">
        <v>55</v>
      </c>
      <c r="E863" s="248"/>
      <c r="F863" s="1049"/>
      <c r="G863" s="391">
        <f>G864</f>
        <v>402116</v>
      </c>
    </row>
    <row r="864" spans="1:7" ht="18" customHeight="1">
      <c r="A864" s="13"/>
      <c r="B864" s="13"/>
      <c r="C864" s="458" t="s">
        <v>399</v>
      </c>
      <c r="D864" s="246" t="s">
        <v>30</v>
      </c>
      <c r="E864" s="248">
        <v>2</v>
      </c>
      <c r="F864" s="1049">
        <f>F762</f>
        <v>201058</v>
      </c>
      <c r="G864" s="190">
        <f>E864*F864</f>
        <v>402116</v>
      </c>
    </row>
    <row r="865" spans="1:7" ht="18" customHeight="1">
      <c r="A865" s="13">
        <f>DTCT!A250</f>
        <v>6</v>
      </c>
      <c r="B865" s="13" t="str">
        <f>DTCT!B250</f>
        <v>BDD.20410</v>
      </c>
      <c r="C865" s="289" t="str">
        <f>DTCT!C250</f>
        <v>Cắt cỏ bằng máy</v>
      </c>
      <c r="D865" s="13" t="str">
        <f>DTCT!D250</f>
        <v>1km/1lần</v>
      </c>
      <c r="E865" s="137"/>
      <c r="F865" s="1049"/>
      <c r="G865" s="138"/>
    </row>
    <row r="866" spans="1:7" ht="18" customHeight="1">
      <c r="A866" s="13"/>
      <c r="B866" s="13"/>
      <c r="C866" s="1028" t="s">
        <v>48</v>
      </c>
      <c r="D866" s="246" t="s">
        <v>55</v>
      </c>
      <c r="E866" s="247"/>
      <c r="F866" s="1049"/>
      <c r="G866" s="391">
        <f>G867</f>
        <v>8000</v>
      </c>
    </row>
    <row r="867" spans="1:7" ht="18" customHeight="1">
      <c r="A867" s="13"/>
      <c r="B867" s="13"/>
      <c r="C867" s="384" t="s">
        <v>400</v>
      </c>
      <c r="D867" s="246" t="s">
        <v>411</v>
      </c>
      <c r="E867" s="248">
        <v>0.2</v>
      </c>
      <c r="F867" s="1049">
        <f>F765</f>
        <v>40000</v>
      </c>
      <c r="G867" s="190">
        <f>E867*F867</f>
        <v>8000</v>
      </c>
    </row>
    <row r="868" spans="1:7" ht="18" customHeight="1">
      <c r="A868" s="13"/>
      <c r="B868" s="13"/>
      <c r="C868" s="1028" t="s">
        <v>49</v>
      </c>
      <c r="D868" s="246" t="s">
        <v>55</v>
      </c>
      <c r="E868" s="247"/>
      <c r="F868" s="1049"/>
      <c r="G868" s="391">
        <f>G869</f>
        <v>49341.599999999999</v>
      </c>
    </row>
    <row r="869" spans="1:7" ht="18" customHeight="1">
      <c r="A869" s="13"/>
      <c r="B869" s="13"/>
      <c r="C869" s="384" t="s">
        <v>1017</v>
      </c>
      <c r="D869" s="246" t="s">
        <v>291</v>
      </c>
      <c r="E869" s="248">
        <v>0.9</v>
      </c>
      <c r="F869" s="1049">
        <f>F767</f>
        <v>54824</v>
      </c>
      <c r="G869" s="190">
        <f>E869*F869</f>
        <v>49341.599999999999</v>
      </c>
    </row>
    <row r="870" spans="1:7" ht="18" customHeight="1">
      <c r="A870" s="13">
        <f>DTCT!A251</f>
        <v>7</v>
      </c>
      <c r="B870" s="13" t="str">
        <f>DTCT!B251</f>
        <v>BDD.20510</v>
      </c>
      <c r="C870" s="289" t="str">
        <f>DTCT!C251</f>
        <v>Phát quang cây cỏ bằng thủ công</v>
      </c>
      <c r="D870" s="13" t="str">
        <f>DTCT!D251</f>
        <v>1km/1lần</v>
      </c>
      <c r="E870" s="137"/>
      <c r="F870" s="1049"/>
      <c r="G870" s="138"/>
    </row>
    <row r="871" spans="1:7" ht="18" customHeight="1">
      <c r="A871" s="13"/>
      <c r="B871" s="13"/>
      <c r="C871" s="1028" t="s">
        <v>47</v>
      </c>
      <c r="D871" s="246" t="s">
        <v>55</v>
      </c>
      <c r="E871" s="248"/>
      <c r="F871" s="1049"/>
      <c r="G871" s="391">
        <f>G872</f>
        <v>899226.24</v>
      </c>
    </row>
    <row r="872" spans="1:7" ht="18" customHeight="1">
      <c r="A872" s="13"/>
      <c r="B872" s="13"/>
      <c r="C872" s="1029" t="s">
        <v>398</v>
      </c>
      <c r="D872" s="1025" t="s">
        <v>30</v>
      </c>
      <c r="E872" s="1026">
        <v>5.28</v>
      </c>
      <c r="F872" s="1049">
        <f>F770</f>
        <v>170308</v>
      </c>
      <c r="G872" s="190">
        <f>E872*F872</f>
        <v>899226.24</v>
      </c>
    </row>
    <row r="873" spans="1:7" ht="18" customHeight="1">
      <c r="A873" s="13">
        <f>DTCT!A252</f>
        <v>8</v>
      </c>
      <c r="B873" s="13" t="str">
        <f>DTCT!B252</f>
        <v>BDD.22310</v>
      </c>
      <c r="C873" s="289" t="str">
        <f>DTCT!C252</f>
        <v>Nắn sửa cọc tiêu, cọc MLG</v>
      </c>
      <c r="D873" s="13" t="str">
        <f>DTCT!D252</f>
        <v>1 cọc</v>
      </c>
      <c r="E873" s="137"/>
      <c r="F873" s="1049"/>
      <c r="G873" s="138"/>
    </row>
    <row r="874" spans="1:7" ht="18" customHeight="1">
      <c r="A874" s="13"/>
      <c r="B874" s="13"/>
      <c r="C874" s="1028" t="s">
        <v>47</v>
      </c>
      <c r="D874" s="246" t="s">
        <v>55</v>
      </c>
      <c r="E874" s="248"/>
      <c r="F874" s="1049"/>
      <c r="G874" s="391">
        <f>G875</f>
        <v>10218.48</v>
      </c>
    </row>
    <row r="875" spans="1:7" ht="18" customHeight="1">
      <c r="A875" s="13"/>
      <c r="B875" s="13"/>
      <c r="C875" s="458" t="s">
        <v>398</v>
      </c>
      <c r="D875" s="246" t="s">
        <v>30</v>
      </c>
      <c r="E875" s="248">
        <v>0.06</v>
      </c>
      <c r="F875" s="1049">
        <f>F773</f>
        <v>170308</v>
      </c>
      <c r="G875" s="190">
        <f>E875*F875</f>
        <v>10218.48</v>
      </c>
    </row>
    <row r="876" spans="1:7" ht="18" customHeight="1">
      <c r="A876" s="13">
        <f>DTCT!A253</f>
        <v>9</v>
      </c>
      <c r="B876" s="13" t="str">
        <f>DTCT!B253</f>
        <v>BDD.22410</v>
      </c>
      <c r="C876" s="289" t="str">
        <f>DTCT!C253</f>
        <v>Nắn sửa cột Km</v>
      </c>
      <c r="D876" s="13" t="str">
        <f>DTCT!D253</f>
        <v>1 cột</v>
      </c>
      <c r="E876" s="137"/>
      <c r="F876" s="1049"/>
      <c r="G876" s="138"/>
    </row>
    <row r="877" spans="1:7" ht="18" customHeight="1">
      <c r="A877" s="13"/>
      <c r="B877" s="13"/>
      <c r="C877" s="1028" t="s">
        <v>47</v>
      </c>
      <c r="D877" s="246" t="s">
        <v>55</v>
      </c>
      <c r="E877" s="248"/>
      <c r="F877" s="1049"/>
      <c r="G877" s="391">
        <f>G878</f>
        <v>20436.96</v>
      </c>
    </row>
    <row r="878" spans="1:7" ht="18" customHeight="1">
      <c r="A878" s="13"/>
      <c r="B878" s="13"/>
      <c r="C878" s="458" t="s">
        <v>398</v>
      </c>
      <c r="D878" s="246" t="s">
        <v>30</v>
      </c>
      <c r="E878" s="248">
        <v>0.12</v>
      </c>
      <c r="F878" s="1049">
        <f>F776</f>
        <v>170308</v>
      </c>
      <c r="G878" s="190">
        <f>E878*F878</f>
        <v>20436.96</v>
      </c>
    </row>
    <row r="879" spans="1:7" ht="18" customHeight="1">
      <c r="A879" s="13">
        <f>DTCT!A254</f>
        <v>10</v>
      </c>
      <c r="B879" s="13" t="str">
        <f>DTCT!B254</f>
        <v>BDD.22510</v>
      </c>
      <c r="C879" s="289" t="str">
        <f>DTCT!C254</f>
        <v>Nắn chỉnh, tu sửa biển báo</v>
      </c>
      <c r="D879" s="13" t="str">
        <f>DTCT!D254</f>
        <v>1 cột</v>
      </c>
      <c r="E879" s="137"/>
      <c r="F879" s="1049"/>
      <c r="G879" s="138"/>
    </row>
    <row r="880" spans="1:7" ht="18" customHeight="1">
      <c r="A880" s="13"/>
      <c r="B880" s="13"/>
      <c r="C880" s="1028" t="s">
        <v>47</v>
      </c>
      <c r="D880" s="246" t="s">
        <v>55</v>
      </c>
      <c r="E880" s="248"/>
      <c r="F880" s="1049"/>
      <c r="G880" s="391">
        <f>G881</f>
        <v>38319.300000000003</v>
      </c>
    </row>
    <row r="881" spans="1:7" ht="18" customHeight="1">
      <c r="A881" s="13"/>
      <c r="B881" s="13"/>
      <c r="C881" s="458" t="s">
        <v>398</v>
      </c>
      <c r="D881" s="246" t="s">
        <v>30</v>
      </c>
      <c r="E881" s="248">
        <v>0.22500000000000001</v>
      </c>
      <c r="F881" s="1049">
        <f>F779</f>
        <v>170308</v>
      </c>
      <c r="G881" s="190">
        <f>E881*F881</f>
        <v>38319.300000000003</v>
      </c>
    </row>
    <row r="882" spans="1:7" ht="28.5" customHeight="1">
      <c r="A882" s="13">
        <f>+DTCT!A255</f>
        <v>11</v>
      </c>
      <c r="B882" s="13" t="str">
        <f>+DTCT!B255</f>
        <v>BDD.203210</v>
      </c>
      <c r="C882" s="289" t="str">
        <f>+DTCT!C255</f>
        <v>Bạt lề đường bằng máy</v>
      </c>
      <c r="D882" s="13" t="str">
        <f>+DTCT!D255</f>
        <v>100md</v>
      </c>
      <c r="E882" s="392"/>
      <c r="F882" s="1049"/>
      <c r="G882" s="392"/>
    </row>
    <row r="883" spans="1:7" ht="18" customHeight="1">
      <c r="A883" s="13"/>
      <c r="B883" s="13"/>
      <c r="C883" s="1028" t="s">
        <v>49</v>
      </c>
      <c r="D883" s="13"/>
      <c r="E883" s="248"/>
      <c r="F883" s="1049"/>
      <c r="G883" s="393">
        <f>+G884</f>
        <v>3154.1489999999999</v>
      </c>
    </row>
    <row r="884" spans="1:7" ht="18" customHeight="1">
      <c r="A884" s="13"/>
      <c r="B884" s="13"/>
      <c r="C884" s="384" t="s">
        <v>504</v>
      </c>
      <c r="D884" s="13" t="s">
        <v>1018</v>
      </c>
      <c r="E884" s="248">
        <v>3.0000000000000001E-3</v>
      </c>
      <c r="F884" s="1049">
        <f>F782</f>
        <v>1051383</v>
      </c>
      <c r="G884" s="190">
        <f>+E884*F884</f>
        <v>3154.1489999999999</v>
      </c>
    </row>
    <row r="885" spans="1:7" ht="18" customHeight="1">
      <c r="A885" s="13">
        <f>+DTCT!A256</f>
        <v>12</v>
      </c>
      <c r="B885" s="13" t="str">
        <f>+DTCT!B256</f>
        <v>BDD.21312</v>
      </c>
      <c r="C885" s="289" t="str">
        <f>+DTCT!C256</f>
        <v>Vệ sinh mặt đường bằng thủ công</v>
      </c>
      <c r="D885" s="13" t="str">
        <f>+DTCT!D256</f>
        <v>lần/km</v>
      </c>
      <c r="E885" s="248"/>
      <c r="F885" s="1049"/>
      <c r="G885" s="190"/>
    </row>
    <row r="886" spans="1:7" ht="18" customHeight="1">
      <c r="A886" s="13"/>
      <c r="B886" s="13"/>
      <c r="C886" s="1028" t="s">
        <v>48</v>
      </c>
      <c r="D886" s="246" t="s">
        <v>55</v>
      </c>
      <c r="E886" s="247"/>
      <c r="F886" s="1049"/>
      <c r="G886" s="391">
        <f>G887</f>
        <v>2000</v>
      </c>
    </row>
    <row r="887" spans="1:7" ht="18" customHeight="1">
      <c r="A887" s="13"/>
      <c r="B887" s="13"/>
      <c r="C887" s="384" t="s">
        <v>401</v>
      </c>
      <c r="D887" s="246" t="s">
        <v>402</v>
      </c>
      <c r="E887" s="248">
        <v>0.1</v>
      </c>
      <c r="F887" s="1049">
        <f>F785</f>
        <v>20000</v>
      </c>
      <c r="G887" s="266">
        <f>E887*F887</f>
        <v>2000</v>
      </c>
    </row>
    <row r="888" spans="1:7" ht="18" customHeight="1">
      <c r="A888" s="13"/>
      <c r="B888" s="13"/>
      <c r="C888" s="1028" t="s">
        <v>47</v>
      </c>
      <c r="D888" s="246" t="s">
        <v>55</v>
      </c>
      <c r="E888" s="248"/>
      <c r="F888" s="1049"/>
      <c r="G888" s="391">
        <f>G889</f>
        <v>697788.75</v>
      </c>
    </row>
    <row r="889" spans="1:7" ht="18" customHeight="1">
      <c r="A889" s="13"/>
      <c r="B889" s="13"/>
      <c r="C889" s="458" t="s">
        <v>403</v>
      </c>
      <c r="D889" s="246" t="s">
        <v>30</v>
      </c>
      <c r="E889" s="248">
        <v>3.75</v>
      </c>
      <c r="F889" s="1049">
        <f>F787</f>
        <v>186077</v>
      </c>
      <c r="G889" s="190">
        <f>E889*F889</f>
        <v>697788.75</v>
      </c>
    </row>
    <row r="890" spans="1:7" ht="18" customHeight="1">
      <c r="A890" s="13">
        <f>+DTCT!A257</f>
        <v>13</v>
      </c>
      <c r="B890" s="13" t="str">
        <f>+DTCT!B257</f>
        <v>BDD.22910</v>
      </c>
      <c r="C890" s="289" t="str">
        <f>+DTCT!C257</f>
        <v>Vệ sinh mặt biển phản quang</v>
      </c>
      <c r="D890" s="13" t="str">
        <f>+DTCT!D257</f>
        <v>m2</v>
      </c>
      <c r="E890" s="248"/>
      <c r="F890" s="1049"/>
      <c r="G890" s="190"/>
    </row>
    <row r="891" spans="1:7" ht="18" customHeight="1">
      <c r="A891" s="13"/>
      <c r="B891" s="13"/>
      <c r="C891" s="1028" t="s">
        <v>47</v>
      </c>
      <c r="D891" s="246" t="s">
        <v>55</v>
      </c>
      <c r="E891" s="248"/>
      <c r="F891" s="1049"/>
      <c r="G891" s="391">
        <f>G892</f>
        <v>9579.8000000000011</v>
      </c>
    </row>
    <row r="892" spans="1:7" ht="18" customHeight="1">
      <c r="A892" s="13"/>
      <c r="B892" s="13"/>
      <c r="C892" s="458" t="s">
        <v>292</v>
      </c>
      <c r="D892" s="246" t="s">
        <v>30</v>
      </c>
      <c r="E892" s="248">
        <v>0.05</v>
      </c>
      <c r="F892" s="1049">
        <f>F790</f>
        <v>191596</v>
      </c>
      <c r="G892" s="190">
        <f>E892*F892</f>
        <v>9579.8000000000011</v>
      </c>
    </row>
    <row r="893" spans="1:7" ht="27.75" customHeight="1">
      <c r="A893" s="13"/>
      <c r="B893" s="13"/>
      <c r="C893" s="287" t="str">
        <f>DTCT!C258</f>
        <v>CÔNG TÁC BẢO DƯỠNG CẦU L &lt;= 300M</v>
      </c>
      <c r="D893" s="13"/>
      <c r="E893" s="137"/>
      <c r="F893" s="1049"/>
      <c r="G893" s="138"/>
    </row>
    <row r="894" spans="1:7" ht="18" customHeight="1">
      <c r="A894" s="13">
        <f>DTCT!A259</f>
        <v>14</v>
      </c>
      <c r="B894" s="13" t="str">
        <f>DTCT!B259</f>
        <v>BDC.20610</v>
      </c>
      <c r="C894" s="289" t="str">
        <f>DTCT!C259</f>
        <v>Vệ sinh mặt cầu, ống thoát nước</v>
      </c>
      <c r="D894" s="13" t="str">
        <f>DTCT!D259</f>
        <v>10m2</v>
      </c>
      <c r="E894" s="137"/>
      <c r="F894" s="1049"/>
      <c r="G894" s="138"/>
    </row>
    <row r="895" spans="1:7" ht="18" customHeight="1">
      <c r="A895" s="13"/>
      <c r="B895" s="13"/>
      <c r="C895" s="1028" t="s">
        <v>48</v>
      </c>
      <c r="D895" s="246" t="s">
        <v>55</v>
      </c>
      <c r="E895" s="247"/>
      <c r="F895" s="1049"/>
      <c r="G895" s="391">
        <f>G896</f>
        <v>2</v>
      </c>
    </row>
    <row r="896" spans="1:7" ht="18" customHeight="1">
      <c r="A896" s="13"/>
      <c r="B896" s="13"/>
      <c r="C896" s="384" t="s">
        <v>401</v>
      </c>
      <c r="D896" s="246" t="s">
        <v>402</v>
      </c>
      <c r="E896" s="248">
        <v>1E-4</v>
      </c>
      <c r="F896" s="1049">
        <f>F794</f>
        <v>20000</v>
      </c>
      <c r="G896" s="190">
        <f>E896*F896</f>
        <v>2</v>
      </c>
    </row>
    <row r="897" spans="1:7" ht="18" customHeight="1">
      <c r="A897" s="13"/>
      <c r="B897" s="13"/>
      <c r="C897" s="1028" t="s">
        <v>47</v>
      </c>
      <c r="D897" s="246" t="s">
        <v>55</v>
      </c>
      <c r="E897" s="248"/>
      <c r="F897" s="1049"/>
      <c r="G897" s="391">
        <f>G898</f>
        <v>8931.6959999999999</v>
      </c>
    </row>
    <row r="898" spans="1:7" ht="18" customHeight="1">
      <c r="A898" s="13"/>
      <c r="B898" s="13"/>
      <c r="C898" s="458" t="s">
        <v>403</v>
      </c>
      <c r="D898" s="246" t="s">
        <v>30</v>
      </c>
      <c r="E898" s="248">
        <v>4.8000000000000001E-2</v>
      </c>
      <c r="F898" s="1049">
        <f>F796</f>
        <v>186077</v>
      </c>
      <c r="G898" s="190">
        <f>E898*F898</f>
        <v>8931.6959999999999</v>
      </c>
    </row>
    <row r="899" spans="1:7" ht="18" customHeight="1">
      <c r="A899" s="13">
        <f>DTCT!A260</f>
        <v>15</v>
      </c>
      <c r="B899" s="13" t="str">
        <f>DTCT!B260</f>
        <v>BDC.20910</v>
      </c>
      <c r="C899" s="289" t="str">
        <f>DTCT!C260</f>
        <v>Vệ sinh khe co dãn cao su</v>
      </c>
      <c r="D899" s="13" t="str">
        <f>DTCT!D260</f>
        <v>1md</v>
      </c>
      <c r="E899" s="137"/>
      <c r="F899" s="1049"/>
      <c r="G899" s="138"/>
    </row>
    <row r="900" spans="1:7" ht="18" customHeight="1">
      <c r="A900" s="13"/>
      <c r="B900" s="13"/>
      <c r="C900" s="1028" t="s">
        <v>47</v>
      </c>
      <c r="D900" s="246" t="s">
        <v>55</v>
      </c>
      <c r="E900" s="248"/>
      <c r="F900" s="1049"/>
      <c r="G900" s="391">
        <f>G901</f>
        <v>11580.944000000001</v>
      </c>
    </row>
    <row r="901" spans="1:7" ht="18" customHeight="1">
      <c r="A901" s="13"/>
      <c r="B901" s="13"/>
      <c r="C901" s="458" t="s">
        <v>398</v>
      </c>
      <c r="D901" s="246" t="s">
        <v>30</v>
      </c>
      <c r="E901" s="248">
        <v>6.8000000000000005E-2</v>
      </c>
      <c r="F901" s="1049">
        <f>F799</f>
        <v>170308</v>
      </c>
      <c r="G901" s="190">
        <f>E901*F901</f>
        <v>11580.944000000001</v>
      </c>
    </row>
    <row r="902" spans="1:7" ht="18" customHeight="1">
      <c r="A902" s="13">
        <f>DTCT!A261</f>
        <v>16</v>
      </c>
      <c r="B902" s="13" t="str">
        <f>DTCT!B261</f>
        <v>BDC.21010</v>
      </c>
      <c r="C902" s="289" t="str">
        <f>DTCT!C261</f>
        <v>Vệ sinh mố cầu</v>
      </c>
      <c r="D902" s="13" t="str">
        <f>DTCT!D261</f>
        <v>m2</v>
      </c>
      <c r="E902" s="137"/>
      <c r="F902" s="1049"/>
      <c r="G902" s="138"/>
    </row>
    <row r="903" spans="1:7" ht="18" customHeight="1">
      <c r="A903" s="13"/>
      <c r="B903" s="13"/>
      <c r="C903" s="1028" t="s">
        <v>47</v>
      </c>
      <c r="D903" s="246" t="s">
        <v>55</v>
      </c>
      <c r="E903" s="248"/>
      <c r="F903" s="1049"/>
      <c r="G903" s="391">
        <f>G904</f>
        <v>86218.2</v>
      </c>
    </row>
    <row r="904" spans="1:7" ht="18" customHeight="1">
      <c r="A904" s="13"/>
      <c r="B904" s="13"/>
      <c r="C904" s="458" t="s">
        <v>292</v>
      </c>
      <c r="D904" s="246" t="s">
        <v>30</v>
      </c>
      <c r="E904" s="248">
        <v>0.45</v>
      </c>
      <c r="F904" s="1049">
        <f>F802</f>
        <v>191596</v>
      </c>
      <c r="G904" s="190">
        <f>E904*F904</f>
        <v>86218.2</v>
      </c>
    </row>
    <row r="905" spans="1:7" ht="18" customHeight="1">
      <c r="A905" s="13">
        <f>DTCT!A262</f>
        <v>17</v>
      </c>
      <c r="B905" s="13" t="str">
        <f>DTCT!B262</f>
        <v>BDC.21710</v>
      </c>
      <c r="C905" s="289" t="str">
        <f>DTCT!C262</f>
        <v>Phát quang cây dại</v>
      </c>
      <c r="D905" s="13" t="str">
        <f>DTCT!D262</f>
        <v>100m2</v>
      </c>
      <c r="E905" s="137"/>
      <c r="F905" s="1049"/>
      <c r="G905" s="138"/>
    </row>
    <row r="906" spans="1:7" ht="18" customHeight="1">
      <c r="A906" s="13"/>
      <c r="B906" s="13"/>
      <c r="C906" s="1028" t="s">
        <v>47</v>
      </c>
      <c r="D906" s="246" t="s">
        <v>55</v>
      </c>
      <c r="E906" s="248"/>
      <c r="F906" s="1049"/>
      <c r="G906" s="391">
        <f>G907</f>
        <v>729940.08799999987</v>
      </c>
    </row>
    <row r="907" spans="1:7" ht="18" customHeight="1">
      <c r="A907" s="13"/>
      <c r="B907" s="13"/>
      <c r="C907" s="458" t="s">
        <v>398</v>
      </c>
      <c r="D907" s="246" t="s">
        <v>30</v>
      </c>
      <c r="E907" s="248">
        <v>4.2859999999999996</v>
      </c>
      <c r="F907" s="1049">
        <f>F805</f>
        <v>170308</v>
      </c>
      <c r="G907" s="190">
        <f>E907*F907</f>
        <v>729940.08799999987</v>
      </c>
    </row>
    <row r="908" spans="1:7" ht="31.5" customHeight="1">
      <c r="A908" s="13"/>
      <c r="B908" s="13"/>
      <c r="C908" s="287" t="str">
        <f>DTCT!C263</f>
        <v>CÔNG TÁC QUẢN LÝ CẦU L &lt;= 300M</v>
      </c>
      <c r="D908" s="13"/>
      <c r="E908" s="137"/>
      <c r="F908" s="1049"/>
      <c r="G908" s="138"/>
    </row>
    <row r="909" spans="1:7" ht="18" customHeight="1">
      <c r="A909" s="13"/>
      <c r="B909" s="13"/>
      <c r="C909" s="287" t="str">
        <f>DTCT!C264</f>
        <v>Cầu &lt; 50m</v>
      </c>
      <c r="D909" s="13"/>
      <c r="E909" s="137"/>
      <c r="F909" s="1049"/>
      <c r="G909" s="138"/>
    </row>
    <row r="910" spans="1:7" ht="18" customHeight="1">
      <c r="A910" s="13">
        <f>DTCT!A265</f>
        <v>18</v>
      </c>
      <c r="B910" s="13" t="str">
        <f>DTCT!B265</f>
        <v>QLC.10140</v>
      </c>
      <c r="C910" s="289" t="str">
        <f>DTCT!C265</f>
        <v>Kiểm tra cầu</v>
      </c>
      <c r="D910" s="13" t="str">
        <f>DTCT!D265</f>
        <v>cầu/năm</v>
      </c>
      <c r="E910" s="137"/>
      <c r="F910" s="1049"/>
      <c r="G910" s="138"/>
    </row>
    <row r="911" spans="1:7" ht="18" customHeight="1">
      <c r="A911" s="13"/>
      <c r="B911" s="13"/>
      <c r="C911" s="1028" t="s">
        <v>48</v>
      </c>
      <c r="D911" s="246" t="s">
        <v>55</v>
      </c>
      <c r="E911" s="247"/>
      <c r="F911" s="1049"/>
      <c r="G911" s="391">
        <f>G912+G913</f>
        <v>39000</v>
      </c>
    </row>
    <row r="912" spans="1:7" ht="18" customHeight="1">
      <c r="A912" s="13"/>
      <c r="B912" s="13"/>
      <c r="C912" s="384" t="s">
        <v>404</v>
      </c>
      <c r="D912" s="246" t="s">
        <v>405</v>
      </c>
      <c r="E912" s="248">
        <v>1</v>
      </c>
      <c r="F912" s="1049">
        <f>F810</f>
        <v>3000</v>
      </c>
      <c r="G912" s="190">
        <f>E912*F912</f>
        <v>3000</v>
      </c>
    </row>
    <row r="913" spans="1:7" ht="18" customHeight="1">
      <c r="A913" s="13"/>
      <c r="B913" s="13"/>
      <c r="C913" s="384" t="s">
        <v>406</v>
      </c>
      <c r="D913" s="246" t="s">
        <v>17</v>
      </c>
      <c r="E913" s="248">
        <v>12</v>
      </c>
      <c r="F913" s="1049">
        <f>F811</f>
        <v>3000</v>
      </c>
      <c r="G913" s="190">
        <f>E913*F913</f>
        <v>36000</v>
      </c>
    </row>
    <row r="914" spans="1:7" ht="18" customHeight="1">
      <c r="A914" s="13"/>
      <c r="B914" s="13"/>
      <c r="C914" s="1028" t="s">
        <v>47</v>
      </c>
      <c r="D914" s="246" t="s">
        <v>55</v>
      </c>
      <c r="E914" s="248"/>
      <c r="F914" s="1049"/>
      <c r="G914" s="391">
        <f>G915</f>
        <v>804232</v>
      </c>
    </row>
    <row r="915" spans="1:7" ht="18" customHeight="1">
      <c r="A915" s="13"/>
      <c r="B915" s="13"/>
      <c r="C915" s="458" t="s">
        <v>399</v>
      </c>
      <c r="D915" s="246" t="s">
        <v>30</v>
      </c>
      <c r="E915" s="248">
        <v>4</v>
      </c>
      <c r="F915" s="1049">
        <f>F813</f>
        <v>201058</v>
      </c>
      <c r="G915" s="190">
        <f>E915*F915</f>
        <v>804232</v>
      </c>
    </row>
    <row r="916" spans="1:7" ht="18" customHeight="1">
      <c r="A916" s="13">
        <f>DTCT!A266</f>
        <v>19</v>
      </c>
      <c r="B916" s="13" t="str">
        <f>DTCT!B266</f>
        <v>QLC.10340</v>
      </c>
      <c r="C916" s="289" t="str">
        <f>DTCT!C266</f>
        <v>Kiểm tra trước và sau mùa mưa bão</v>
      </c>
      <c r="D916" s="13" t="str">
        <f>DTCT!D266</f>
        <v>cầu/năm</v>
      </c>
      <c r="E916" s="137"/>
      <c r="F916" s="1049"/>
      <c r="G916" s="138"/>
    </row>
    <row r="917" spans="1:7" ht="18" customHeight="1">
      <c r="A917" s="13"/>
      <c r="B917" s="13"/>
      <c r="C917" s="1028" t="s">
        <v>48</v>
      </c>
      <c r="D917" s="246" t="s">
        <v>55</v>
      </c>
      <c r="E917" s="247"/>
      <c r="F917" s="1049"/>
      <c r="G917" s="391">
        <f>G918+G919</f>
        <v>6501</v>
      </c>
    </row>
    <row r="918" spans="1:7" ht="18" customHeight="1">
      <c r="A918" s="13"/>
      <c r="B918" s="13"/>
      <c r="C918" s="384" t="s">
        <v>404</v>
      </c>
      <c r="D918" s="246" t="s">
        <v>405</v>
      </c>
      <c r="E918" s="248">
        <v>0.16700000000000001</v>
      </c>
      <c r="F918" s="1049">
        <f>F816</f>
        <v>3000</v>
      </c>
      <c r="G918" s="190">
        <f>E918*F918</f>
        <v>501.00000000000006</v>
      </c>
    </row>
    <row r="919" spans="1:7" ht="18" customHeight="1">
      <c r="A919" s="13"/>
      <c r="B919" s="13"/>
      <c r="C919" s="384" t="s">
        <v>406</v>
      </c>
      <c r="D919" s="246" t="s">
        <v>17</v>
      </c>
      <c r="E919" s="248">
        <v>2</v>
      </c>
      <c r="F919" s="1049">
        <f>F817</f>
        <v>3000</v>
      </c>
      <c r="G919" s="190">
        <f>E919*F919</f>
        <v>6000</v>
      </c>
    </row>
    <row r="920" spans="1:7" ht="18" customHeight="1">
      <c r="A920" s="13"/>
      <c r="B920" s="13"/>
      <c r="C920" s="1028" t="s">
        <v>47</v>
      </c>
      <c r="D920" s="246" t="s">
        <v>55</v>
      </c>
      <c r="E920" s="248"/>
      <c r="F920" s="1049"/>
      <c r="G920" s="391">
        <f>G921</f>
        <v>201058</v>
      </c>
    </row>
    <row r="921" spans="1:7" ht="18" customHeight="1">
      <c r="A921" s="13"/>
      <c r="B921" s="13"/>
      <c r="C921" s="458" t="s">
        <v>399</v>
      </c>
      <c r="D921" s="246" t="s">
        <v>30</v>
      </c>
      <c r="E921" s="248">
        <v>1</v>
      </c>
      <c r="F921" s="1049">
        <f>F819</f>
        <v>201058</v>
      </c>
      <c r="G921" s="190">
        <f>E921*F921</f>
        <v>201058</v>
      </c>
    </row>
    <row r="922" spans="1:7" ht="18" customHeight="1">
      <c r="A922" s="13">
        <f>DTCT!A267</f>
        <v>20</v>
      </c>
      <c r="B922" s="13" t="str">
        <f>DTCT!B267</f>
        <v>QLC.10440</v>
      </c>
      <c r="C922" s="289" t="str">
        <f>DTCT!C267</f>
        <v>Quản lý hồ sơ trên vi tính</v>
      </c>
      <c r="D922" s="13" t="str">
        <f>DTCT!D267</f>
        <v>cầu/năm</v>
      </c>
      <c r="E922" s="137"/>
      <c r="F922" s="1049"/>
      <c r="G922" s="138"/>
    </row>
    <row r="923" spans="1:7" ht="18" customHeight="1">
      <c r="A923" s="13"/>
      <c r="B923" s="13"/>
      <c r="C923" s="1028" t="s">
        <v>47</v>
      </c>
      <c r="D923" s="246" t="s">
        <v>55</v>
      </c>
      <c r="E923" s="248"/>
      <c r="F923" s="1049"/>
      <c r="G923" s="391">
        <f>G924</f>
        <v>237327</v>
      </c>
    </row>
    <row r="924" spans="1:7" ht="18" customHeight="1">
      <c r="A924" s="13"/>
      <c r="B924" s="13"/>
      <c r="C924" s="458" t="s">
        <v>394</v>
      </c>
      <c r="D924" s="246" t="s">
        <v>30</v>
      </c>
      <c r="E924" s="248">
        <v>1</v>
      </c>
      <c r="F924" s="1049">
        <f>F822</f>
        <v>237327</v>
      </c>
      <c r="G924" s="190">
        <f>E924*F924</f>
        <v>237327</v>
      </c>
    </row>
    <row r="925" spans="1:7" ht="18" customHeight="1">
      <c r="A925" s="13"/>
      <c r="B925" s="13"/>
      <c r="C925" s="287" t="str">
        <f>DTCT!C268</f>
        <v>Cầu 50m - 100m</v>
      </c>
      <c r="D925" s="13"/>
      <c r="E925" s="137"/>
      <c r="F925" s="1049"/>
      <c r="G925" s="138"/>
    </row>
    <row r="926" spans="1:7" ht="18" customHeight="1">
      <c r="A926" s="13">
        <f>DTCT!A269</f>
        <v>21</v>
      </c>
      <c r="B926" s="13" t="str">
        <f>DTCT!B269</f>
        <v>QLC.10130</v>
      </c>
      <c r="C926" s="289" t="str">
        <f>DTCT!C269</f>
        <v>Kiểm tra cầu</v>
      </c>
      <c r="D926" s="13" t="str">
        <f>DTCT!D269</f>
        <v>cầu/năm</v>
      </c>
      <c r="E926" s="137"/>
      <c r="F926" s="1049"/>
      <c r="G926" s="138"/>
    </row>
    <row r="927" spans="1:7" ht="18" customHeight="1">
      <c r="A927" s="13"/>
      <c r="B927" s="13"/>
      <c r="C927" s="1028" t="s">
        <v>48</v>
      </c>
      <c r="D927" s="246" t="s">
        <v>55</v>
      </c>
      <c r="E927" s="247"/>
      <c r="F927" s="1049"/>
      <c r="G927" s="391">
        <f>G928+G929</f>
        <v>45000</v>
      </c>
    </row>
    <row r="928" spans="1:7" ht="18" customHeight="1">
      <c r="A928" s="13"/>
      <c r="B928" s="13"/>
      <c r="C928" s="384" t="s">
        <v>404</v>
      </c>
      <c r="D928" s="246" t="s">
        <v>405</v>
      </c>
      <c r="E928" s="248">
        <v>3</v>
      </c>
      <c r="F928" s="1049">
        <f>F826</f>
        <v>3000</v>
      </c>
      <c r="G928" s="190">
        <f>E928*F928</f>
        <v>9000</v>
      </c>
    </row>
    <row r="929" spans="1:7" ht="18" customHeight="1">
      <c r="A929" s="13"/>
      <c r="B929" s="13"/>
      <c r="C929" s="384" t="s">
        <v>406</v>
      </c>
      <c r="D929" s="246" t="s">
        <v>17</v>
      </c>
      <c r="E929" s="248">
        <v>12</v>
      </c>
      <c r="F929" s="1049">
        <f>F827</f>
        <v>3000</v>
      </c>
      <c r="G929" s="190">
        <f>E929*F929</f>
        <v>36000</v>
      </c>
    </row>
    <row r="930" spans="1:7" ht="18" customHeight="1">
      <c r="A930" s="13"/>
      <c r="B930" s="13"/>
      <c r="C930" s="1028" t="s">
        <v>47</v>
      </c>
      <c r="D930" s="246" t="s">
        <v>55</v>
      </c>
      <c r="E930" s="248"/>
      <c r="F930" s="1049"/>
      <c r="G930" s="391">
        <f>G931</f>
        <v>2412696</v>
      </c>
    </row>
    <row r="931" spans="1:7" ht="18" customHeight="1">
      <c r="A931" s="13"/>
      <c r="B931" s="13"/>
      <c r="C931" s="458" t="s">
        <v>399</v>
      </c>
      <c r="D931" s="246" t="s">
        <v>30</v>
      </c>
      <c r="E931" s="248">
        <v>12</v>
      </c>
      <c r="F931" s="1049">
        <f>F829</f>
        <v>201058</v>
      </c>
      <c r="G931" s="190">
        <f>E931*F931</f>
        <v>2412696</v>
      </c>
    </row>
    <row r="932" spans="1:7" ht="18" customHeight="1">
      <c r="A932" s="13">
        <f>DTCT!A270</f>
        <v>22</v>
      </c>
      <c r="B932" s="13" t="str">
        <f>DTCT!B270</f>
        <v>QLC.10330</v>
      </c>
      <c r="C932" s="289" t="str">
        <f>DTCT!C270</f>
        <v>Kiểm tra trước và sau mùa mưa bão</v>
      </c>
      <c r="D932" s="13" t="str">
        <f>DTCT!D270</f>
        <v>cầu/năm</v>
      </c>
      <c r="E932" s="137"/>
      <c r="F932" s="1049"/>
      <c r="G932" s="138"/>
    </row>
    <row r="933" spans="1:7" ht="18" customHeight="1">
      <c r="A933" s="13"/>
      <c r="B933" s="13"/>
      <c r="C933" s="1028" t="s">
        <v>48</v>
      </c>
      <c r="D933" s="246" t="s">
        <v>55</v>
      </c>
      <c r="E933" s="247"/>
      <c r="F933" s="1049"/>
      <c r="G933" s="391">
        <f>G934+G935</f>
        <v>7500</v>
      </c>
    </row>
    <row r="934" spans="1:7" ht="18" customHeight="1">
      <c r="A934" s="13"/>
      <c r="B934" s="13"/>
      <c r="C934" s="384" t="s">
        <v>404</v>
      </c>
      <c r="D934" s="246" t="s">
        <v>405</v>
      </c>
      <c r="E934" s="248">
        <v>0.5</v>
      </c>
      <c r="F934" s="1049">
        <f>F832</f>
        <v>3000</v>
      </c>
      <c r="G934" s="190">
        <f>E934*F934</f>
        <v>1500</v>
      </c>
    </row>
    <row r="935" spans="1:7" ht="18" customHeight="1">
      <c r="A935" s="13"/>
      <c r="B935" s="13"/>
      <c r="C935" s="384" t="s">
        <v>406</v>
      </c>
      <c r="D935" s="246" t="s">
        <v>17</v>
      </c>
      <c r="E935" s="248">
        <v>2</v>
      </c>
      <c r="F935" s="1049">
        <f>F833</f>
        <v>3000</v>
      </c>
      <c r="G935" s="190">
        <f>E935*F935</f>
        <v>6000</v>
      </c>
    </row>
    <row r="936" spans="1:7" ht="18" customHeight="1">
      <c r="A936" s="13"/>
      <c r="B936" s="13"/>
      <c r="C936" s="1028" t="s">
        <v>47</v>
      </c>
      <c r="D936" s="246" t="s">
        <v>55</v>
      </c>
      <c r="E936" s="248"/>
      <c r="F936" s="1049"/>
      <c r="G936" s="391">
        <f>G937</f>
        <v>402116</v>
      </c>
    </row>
    <row r="937" spans="1:7" ht="18" customHeight="1">
      <c r="A937" s="13"/>
      <c r="B937" s="13"/>
      <c r="C937" s="458" t="s">
        <v>399</v>
      </c>
      <c r="D937" s="246" t="s">
        <v>30</v>
      </c>
      <c r="E937" s="248">
        <v>2</v>
      </c>
      <c r="F937" s="1049">
        <f>F835</f>
        <v>201058</v>
      </c>
      <c r="G937" s="190">
        <f>E937*F937</f>
        <v>402116</v>
      </c>
    </row>
    <row r="938" spans="1:7" ht="18" customHeight="1">
      <c r="A938" s="13"/>
      <c r="B938" s="13"/>
      <c r="C938" s="1028" t="s">
        <v>49</v>
      </c>
      <c r="D938" s="246" t="s">
        <v>55</v>
      </c>
      <c r="E938" s="247"/>
      <c r="F938" s="1049"/>
      <c r="G938" s="391">
        <f>G939</f>
        <v>378931</v>
      </c>
    </row>
    <row r="939" spans="1:7" ht="18" customHeight="1">
      <c r="A939" s="13"/>
      <c r="B939" s="13"/>
      <c r="C939" s="384" t="s">
        <v>407</v>
      </c>
      <c r="D939" s="246" t="s">
        <v>291</v>
      </c>
      <c r="E939" s="248">
        <v>1</v>
      </c>
      <c r="F939" s="1049">
        <f>F837</f>
        <v>378931</v>
      </c>
      <c r="G939" s="190">
        <f>E939*F939</f>
        <v>378931</v>
      </c>
    </row>
    <row r="940" spans="1:7" ht="18" customHeight="1">
      <c r="A940" s="13">
        <f>DTCT!A271</f>
        <v>23</v>
      </c>
      <c r="B940" s="13" t="str">
        <f>DTCT!B271</f>
        <v>QLC.10430</v>
      </c>
      <c r="C940" s="289" t="str">
        <f>DTCT!C271</f>
        <v>Quản lý hồ sơ trên vi tính</v>
      </c>
      <c r="D940" s="13" t="str">
        <f>DTCT!D271</f>
        <v>cầu/năm</v>
      </c>
      <c r="E940" s="137"/>
      <c r="F940" s="1049"/>
      <c r="G940" s="138"/>
    </row>
    <row r="941" spans="1:7" ht="18" customHeight="1">
      <c r="A941" s="13"/>
      <c r="B941" s="13"/>
      <c r="C941" s="1028" t="s">
        <v>47</v>
      </c>
      <c r="D941" s="246" t="s">
        <v>55</v>
      </c>
      <c r="E941" s="248"/>
      <c r="F941" s="1049"/>
      <c r="G941" s="391">
        <f>G942</f>
        <v>237327</v>
      </c>
    </row>
    <row r="942" spans="1:7" ht="18" customHeight="1">
      <c r="A942" s="13"/>
      <c r="B942" s="13"/>
      <c r="C942" s="458" t="s">
        <v>394</v>
      </c>
      <c r="D942" s="246" t="s">
        <v>30</v>
      </c>
      <c r="E942" s="248">
        <v>1</v>
      </c>
      <c r="F942" s="1049">
        <f>F840</f>
        <v>237327</v>
      </c>
      <c r="G942" s="190">
        <f>E942*F942</f>
        <v>237327</v>
      </c>
    </row>
    <row r="943" spans="1:7" ht="18" customHeight="1">
      <c r="A943" s="299"/>
      <c r="B943" s="299"/>
      <c r="C943" s="1031" t="str">
        <f>DTCT!C272</f>
        <v>Cầu 100m - 200m</v>
      </c>
      <c r="D943" s="299"/>
      <c r="E943" s="300"/>
      <c r="F943" s="859"/>
      <c r="G943" s="301"/>
    </row>
    <row r="944" spans="1:7" ht="18" customHeight="1">
      <c r="A944" s="13">
        <f>DTCT!A273</f>
        <v>24</v>
      </c>
      <c r="B944" s="13" t="str">
        <f>DTCT!B273</f>
        <v>QLC.10120</v>
      </c>
      <c r="C944" s="289" t="str">
        <f>DTCT!C273</f>
        <v>Kiểm tra cầu</v>
      </c>
      <c r="D944" s="13" t="str">
        <f>DTCT!D273</f>
        <v>cầu/năm</v>
      </c>
      <c r="E944" s="137"/>
      <c r="F944" s="856"/>
      <c r="G944" s="138"/>
    </row>
    <row r="945" spans="1:7" ht="18" customHeight="1">
      <c r="A945" s="13"/>
      <c r="B945" s="13"/>
      <c r="C945" s="1028" t="s">
        <v>48</v>
      </c>
      <c r="D945" s="246" t="s">
        <v>55</v>
      </c>
      <c r="E945" s="247"/>
      <c r="F945" s="856"/>
      <c r="G945" s="391">
        <f>G946+G947</f>
        <v>51000</v>
      </c>
    </row>
    <row r="946" spans="1:7" ht="18" customHeight="1">
      <c r="A946" s="13"/>
      <c r="B946" s="13"/>
      <c r="C946" s="384" t="s">
        <v>404</v>
      </c>
      <c r="D946" s="246" t="s">
        <v>405</v>
      </c>
      <c r="E946" s="248">
        <v>5</v>
      </c>
      <c r="F946" s="856">
        <f t="shared" ref="F946:F960" si="1">F214</f>
        <v>3000</v>
      </c>
      <c r="G946" s="190">
        <f>E946*F946</f>
        <v>15000</v>
      </c>
    </row>
    <row r="947" spans="1:7" ht="18" customHeight="1">
      <c r="A947" s="13"/>
      <c r="B947" s="13"/>
      <c r="C947" s="384" t="s">
        <v>406</v>
      </c>
      <c r="D947" s="246" t="s">
        <v>17</v>
      </c>
      <c r="E947" s="248">
        <v>12</v>
      </c>
      <c r="F947" s="856">
        <f t="shared" si="1"/>
        <v>3000</v>
      </c>
      <c r="G947" s="190">
        <f>E947*F947</f>
        <v>36000</v>
      </c>
    </row>
    <row r="948" spans="1:7" ht="18" customHeight="1">
      <c r="A948" s="13"/>
      <c r="B948" s="13"/>
      <c r="C948" s="1028" t="s">
        <v>47</v>
      </c>
      <c r="D948" s="246" t="s">
        <v>55</v>
      </c>
      <c r="E948" s="248"/>
      <c r="F948" s="856"/>
      <c r="G948" s="391">
        <f>G949</f>
        <v>7238088</v>
      </c>
    </row>
    <row r="949" spans="1:7" ht="18" customHeight="1">
      <c r="A949" s="13"/>
      <c r="B949" s="13"/>
      <c r="C949" s="458" t="s">
        <v>399</v>
      </c>
      <c r="D949" s="246" t="s">
        <v>30</v>
      </c>
      <c r="E949" s="248">
        <v>36</v>
      </c>
      <c r="F949" s="856">
        <f t="shared" si="1"/>
        <v>201058</v>
      </c>
      <c r="G949" s="190">
        <f>E949*F949</f>
        <v>7238088</v>
      </c>
    </row>
    <row r="950" spans="1:7" ht="18" customHeight="1">
      <c r="A950" s="13">
        <f>DTCT!A274</f>
        <v>25</v>
      </c>
      <c r="B950" s="13" t="str">
        <f>DTCT!B274</f>
        <v>QLC.10320</v>
      </c>
      <c r="C950" s="289" t="str">
        <f>DTCT!C274</f>
        <v>Kiểm tra trước và sau mùa mưa bão</v>
      </c>
      <c r="D950" s="13" t="str">
        <f>DTCT!D274</f>
        <v>cầu/năm</v>
      </c>
      <c r="E950" s="137"/>
      <c r="F950" s="856"/>
      <c r="G950" s="138"/>
    </row>
    <row r="951" spans="1:7" ht="18" customHeight="1">
      <c r="A951" s="13"/>
      <c r="B951" s="13"/>
      <c r="C951" s="1028" t="s">
        <v>48</v>
      </c>
      <c r="D951" s="246" t="s">
        <v>55</v>
      </c>
      <c r="E951" s="247"/>
      <c r="F951" s="856"/>
      <c r="G951" s="391">
        <f>G952+G953</f>
        <v>8499</v>
      </c>
    </row>
    <row r="952" spans="1:7" ht="18" customHeight="1">
      <c r="A952" s="13"/>
      <c r="B952" s="13"/>
      <c r="C952" s="384" t="s">
        <v>404</v>
      </c>
      <c r="D952" s="246" t="s">
        <v>405</v>
      </c>
      <c r="E952" s="248">
        <v>0.83299999999999996</v>
      </c>
      <c r="F952" s="856">
        <f t="shared" si="1"/>
        <v>3000</v>
      </c>
      <c r="G952" s="190">
        <f>E952*F952</f>
        <v>2499</v>
      </c>
    </row>
    <row r="953" spans="1:7" ht="18" customHeight="1">
      <c r="A953" s="13"/>
      <c r="B953" s="13"/>
      <c r="C953" s="384" t="s">
        <v>406</v>
      </c>
      <c r="D953" s="246" t="s">
        <v>17</v>
      </c>
      <c r="E953" s="248">
        <v>2</v>
      </c>
      <c r="F953" s="856">
        <f t="shared" si="1"/>
        <v>3000</v>
      </c>
      <c r="G953" s="190">
        <f>E953*F953</f>
        <v>6000</v>
      </c>
    </row>
    <row r="954" spans="1:7" ht="18" customHeight="1">
      <c r="A954" s="13"/>
      <c r="B954" s="13"/>
      <c r="C954" s="1028" t="s">
        <v>47</v>
      </c>
      <c r="D954" s="246" t="s">
        <v>55</v>
      </c>
      <c r="E954" s="248"/>
      <c r="F954" s="856"/>
      <c r="G954" s="391">
        <f>G955</f>
        <v>804232</v>
      </c>
    </row>
    <row r="955" spans="1:7" ht="18" customHeight="1">
      <c r="A955" s="13"/>
      <c r="B955" s="13"/>
      <c r="C955" s="458" t="s">
        <v>399</v>
      </c>
      <c r="D955" s="246" t="s">
        <v>30</v>
      </c>
      <c r="E955" s="248">
        <v>4</v>
      </c>
      <c r="F955" s="856">
        <f t="shared" si="1"/>
        <v>201058</v>
      </c>
      <c r="G955" s="190">
        <f>E955*F955</f>
        <v>804232</v>
      </c>
    </row>
    <row r="956" spans="1:7" ht="18" customHeight="1">
      <c r="A956" s="13"/>
      <c r="B956" s="13"/>
      <c r="C956" s="1028" t="s">
        <v>49</v>
      </c>
      <c r="D956" s="246" t="s">
        <v>55</v>
      </c>
      <c r="E956" s="247"/>
      <c r="F956" s="856"/>
      <c r="G956" s="391">
        <f>G957</f>
        <v>2107028</v>
      </c>
    </row>
    <row r="957" spans="1:7" ht="18" customHeight="1">
      <c r="A957" s="13"/>
      <c r="B957" s="13"/>
      <c r="C957" s="384" t="s">
        <v>407</v>
      </c>
      <c r="D957" s="246" t="s">
        <v>291</v>
      </c>
      <c r="E957" s="248">
        <v>2</v>
      </c>
      <c r="F957" s="856">
        <f t="shared" si="1"/>
        <v>1053514</v>
      </c>
      <c r="G957" s="190">
        <f>E957*F957</f>
        <v>2107028</v>
      </c>
    </row>
    <row r="958" spans="1:7" ht="18" customHeight="1">
      <c r="A958" s="13">
        <f>DTCT!A275</f>
        <v>26</v>
      </c>
      <c r="B958" s="13" t="str">
        <f>DTCT!B275</f>
        <v>QLC.10420</v>
      </c>
      <c r="C958" s="289" t="str">
        <f>DTCT!C275</f>
        <v>Quản lý hồ sơ trên vi tính</v>
      </c>
      <c r="D958" s="13" t="str">
        <f>DTCT!D275</f>
        <v>cầu/năm</v>
      </c>
      <c r="E958" s="137"/>
      <c r="F958" s="856"/>
      <c r="G958" s="138"/>
    </row>
    <row r="959" spans="1:7" ht="18" customHeight="1">
      <c r="A959" s="13"/>
      <c r="B959" s="13"/>
      <c r="C959" s="1028" t="s">
        <v>47</v>
      </c>
      <c r="D959" s="246" t="s">
        <v>55</v>
      </c>
      <c r="E959" s="248"/>
      <c r="F959" s="856"/>
      <c r="G959" s="391">
        <f>G960</f>
        <v>474654</v>
      </c>
    </row>
    <row r="960" spans="1:7" ht="18" customHeight="1">
      <c r="A960" s="290"/>
      <c r="B960" s="290"/>
      <c r="C960" s="1030" t="s">
        <v>394</v>
      </c>
      <c r="D960" s="250" t="s">
        <v>30</v>
      </c>
      <c r="E960" s="302">
        <v>2</v>
      </c>
      <c r="F960" s="858">
        <f t="shared" si="1"/>
        <v>237327</v>
      </c>
      <c r="G960" s="191">
        <f>E960*F960</f>
        <v>474654</v>
      </c>
    </row>
    <row r="961" spans="1:7" ht="30" customHeight="1">
      <c r="A961" s="12" t="str">
        <f>DTCT!A276</f>
        <v>X</v>
      </c>
      <c r="B961" s="12"/>
      <c r="C961" s="507" t="str">
        <f>DTCT!C276</f>
        <v>ĐƯỜNG TỈNH 910 - HUYỆN BÌNH MINH</v>
      </c>
      <c r="D961" s="304"/>
      <c r="E961" s="97"/>
      <c r="F961" s="1039"/>
      <c r="G961" s="98"/>
    </row>
    <row r="962" spans="1:7" ht="33" customHeight="1">
      <c r="A962" s="13"/>
      <c r="B962" s="13"/>
      <c r="C962" s="287" t="str">
        <f>DTCT!C277</f>
        <v>CÔNG TÁC QUẢN LÝ BDTX ĐƯỜNG BỘ</v>
      </c>
      <c r="D962" s="13"/>
      <c r="E962" s="137"/>
      <c r="F962" s="856"/>
      <c r="G962" s="138"/>
    </row>
    <row r="963" spans="1:7" ht="18" customHeight="1">
      <c r="A963" s="13">
        <f>DTCT!A278</f>
        <v>1</v>
      </c>
      <c r="B963" s="13" t="str">
        <f>DTCT!B278</f>
        <v>QLD.10150</v>
      </c>
      <c r="C963" s="289" t="str">
        <f>DTCT!C278</f>
        <v>Tuần đường</v>
      </c>
      <c r="D963" s="13" t="str">
        <f>DTCT!D278</f>
        <v>1km/năm</v>
      </c>
      <c r="E963" s="137"/>
      <c r="F963" s="856"/>
      <c r="G963" s="138"/>
    </row>
    <row r="964" spans="1:7" ht="18" customHeight="1">
      <c r="A964" s="13"/>
      <c r="B964" s="13"/>
      <c r="C964" s="1028" t="s">
        <v>48</v>
      </c>
      <c r="D964" s="246" t="s">
        <v>55</v>
      </c>
      <c r="E964" s="247"/>
      <c r="F964" s="856"/>
      <c r="G964" s="391">
        <f>G965</f>
        <v>162671.375</v>
      </c>
    </row>
    <row r="965" spans="1:7" ht="18" customHeight="1">
      <c r="A965" s="13"/>
      <c r="B965" s="13"/>
      <c r="C965" s="384" t="s">
        <v>393</v>
      </c>
      <c r="D965" s="246" t="s">
        <v>32</v>
      </c>
      <c r="E965" s="248">
        <v>9.125</v>
      </c>
      <c r="F965" s="856">
        <f>F845</f>
        <v>17827</v>
      </c>
      <c r="G965" s="190">
        <f>E965*F965</f>
        <v>162671.375</v>
      </c>
    </row>
    <row r="966" spans="1:7" ht="18" customHeight="1">
      <c r="A966" s="13"/>
      <c r="B966" s="13"/>
      <c r="C966" s="1028" t="s">
        <v>47</v>
      </c>
      <c r="D966" s="246" t="s">
        <v>55</v>
      </c>
      <c r="E966" s="248"/>
      <c r="F966" s="856"/>
      <c r="G966" s="391">
        <f>G967</f>
        <v>2038164.2759999998</v>
      </c>
    </row>
    <row r="967" spans="1:7" ht="18" customHeight="1">
      <c r="A967" s="13"/>
      <c r="B967" s="13"/>
      <c r="C967" s="458" t="s">
        <v>394</v>
      </c>
      <c r="D967" s="246" t="s">
        <v>30</v>
      </c>
      <c r="E967" s="248">
        <v>8.5879999999999992</v>
      </c>
      <c r="F967" s="856">
        <f>F847</f>
        <v>237327</v>
      </c>
      <c r="G967" s="190">
        <f>E967*F967</f>
        <v>2038164.2759999998</v>
      </c>
    </row>
    <row r="968" spans="1:7" ht="25.5" customHeight="1">
      <c r="A968" s="13">
        <f>DTCT!A279</f>
        <v>2</v>
      </c>
      <c r="B968" s="13" t="str">
        <f>DTCT!B279</f>
        <v>QLD.10230</v>
      </c>
      <c r="C968" s="289" t="str">
        <f>DTCT!C279</f>
        <v>Đếm xe bằng thủ công</v>
      </c>
      <c r="D968" s="13" t="str">
        <f>DTCT!D279</f>
        <v>1lần/trạmđếm</v>
      </c>
      <c r="E968" s="137"/>
      <c r="F968" s="856"/>
      <c r="G968" s="138"/>
    </row>
    <row r="969" spans="1:7" ht="18" customHeight="1">
      <c r="A969" s="13"/>
      <c r="B969" s="13"/>
      <c r="C969" s="1028" t="s">
        <v>48</v>
      </c>
      <c r="D969" s="246" t="s">
        <v>55</v>
      </c>
      <c r="E969" s="247"/>
      <c r="F969" s="856"/>
      <c r="G969" s="391">
        <f>G971+G970</f>
        <v>15300</v>
      </c>
    </row>
    <row r="970" spans="1:7" ht="18" customHeight="1">
      <c r="A970" s="13"/>
      <c r="B970" s="13"/>
      <c r="C970" s="384" t="s">
        <v>395</v>
      </c>
      <c r="D970" s="246" t="s">
        <v>396</v>
      </c>
      <c r="E970" s="248">
        <v>42</v>
      </c>
      <c r="F970" s="856">
        <f>F850</f>
        <v>150</v>
      </c>
      <c r="G970" s="190">
        <f>E970*F970</f>
        <v>6300</v>
      </c>
    </row>
    <row r="971" spans="1:7" ht="18" customHeight="1">
      <c r="A971" s="13"/>
      <c r="B971" s="13"/>
      <c r="C971" s="384" t="s">
        <v>397</v>
      </c>
      <c r="D971" s="246" t="s">
        <v>17</v>
      </c>
      <c r="E971" s="248">
        <v>3</v>
      </c>
      <c r="F971" s="856">
        <f>F851</f>
        <v>3000</v>
      </c>
      <c r="G971" s="190">
        <f>E971*F971</f>
        <v>9000</v>
      </c>
    </row>
    <row r="972" spans="1:7" ht="18" customHeight="1">
      <c r="A972" s="13"/>
      <c r="B972" s="13"/>
      <c r="C972" s="1028" t="s">
        <v>47</v>
      </c>
      <c r="D972" s="246" t="s">
        <v>55</v>
      </c>
      <c r="E972" s="248"/>
      <c r="F972" s="856"/>
      <c r="G972" s="391">
        <f>G973</f>
        <v>2384312</v>
      </c>
    </row>
    <row r="973" spans="1:7" ht="18" customHeight="1">
      <c r="A973" s="13"/>
      <c r="B973" s="13"/>
      <c r="C973" s="458" t="s">
        <v>398</v>
      </c>
      <c r="D973" s="246" t="s">
        <v>30</v>
      </c>
      <c r="E973" s="248">
        <v>14</v>
      </c>
      <c r="F973" s="856">
        <f>F853</f>
        <v>170308</v>
      </c>
      <c r="G973" s="190">
        <f>E973*F973</f>
        <v>2384312</v>
      </c>
    </row>
    <row r="974" spans="1:7" ht="31.5" customHeight="1">
      <c r="A974" s="13">
        <f>DTCT!A280</f>
        <v>3</v>
      </c>
      <c r="B974" s="13" t="str">
        <f>DTCT!B280</f>
        <v>QLD.10340</v>
      </c>
      <c r="C974" s="289" t="str">
        <f>DTCT!C280</f>
        <v>Kiểm tra định kỳ, khẩn cấp, cập nhật số liệu cầu đường và tình hình bão lũ</v>
      </c>
      <c r="D974" s="13" t="str">
        <f>DTCT!D280</f>
        <v>1km/1lần</v>
      </c>
      <c r="E974" s="137"/>
      <c r="F974" s="856"/>
      <c r="G974" s="138"/>
    </row>
    <row r="975" spans="1:7" ht="18" customHeight="1">
      <c r="A975" s="13"/>
      <c r="B975" s="13"/>
      <c r="C975" s="1028" t="s">
        <v>48</v>
      </c>
      <c r="D975" s="246" t="s">
        <v>55</v>
      </c>
      <c r="E975" s="247"/>
      <c r="F975" s="856"/>
      <c r="G975" s="391">
        <f>G976</f>
        <v>445.67500000000001</v>
      </c>
    </row>
    <row r="976" spans="1:7" ht="18" customHeight="1">
      <c r="A976" s="13"/>
      <c r="B976" s="13"/>
      <c r="C976" s="384" t="s">
        <v>393</v>
      </c>
      <c r="D976" s="246" t="s">
        <v>32</v>
      </c>
      <c r="E976" s="248">
        <v>2.5000000000000001E-2</v>
      </c>
      <c r="F976" s="856">
        <f>F856</f>
        <v>17827</v>
      </c>
      <c r="G976" s="190">
        <f>E976*F976</f>
        <v>445.67500000000001</v>
      </c>
    </row>
    <row r="977" spans="1:7" ht="18" customHeight="1">
      <c r="A977" s="13"/>
      <c r="B977" s="13"/>
      <c r="C977" s="1028" t="s">
        <v>47</v>
      </c>
      <c r="D977" s="246" t="s">
        <v>55</v>
      </c>
      <c r="E977" s="248"/>
      <c r="F977" s="856"/>
      <c r="G977" s="391">
        <f>G978</f>
        <v>7439.1459999999997</v>
      </c>
    </row>
    <row r="978" spans="1:7" ht="18" customHeight="1">
      <c r="A978" s="13"/>
      <c r="B978" s="13"/>
      <c r="C978" s="458" t="s">
        <v>399</v>
      </c>
      <c r="D978" s="246" t="s">
        <v>30</v>
      </c>
      <c r="E978" s="248">
        <v>3.6999999999999998E-2</v>
      </c>
      <c r="F978" s="856">
        <f>F858</f>
        <v>201058</v>
      </c>
      <c r="G978" s="190">
        <f>E978*F978</f>
        <v>7439.1459999999997</v>
      </c>
    </row>
    <row r="979" spans="1:7" ht="18" customHeight="1">
      <c r="A979" s="13">
        <f>DTCT!A281</f>
        <v>4</v>
      </c>
      <c r="B979" s="13" t="str">
        <f>DTCT!B281</f>
        <v>QLD.10410</v>
      </c>
      <c r="C979" s="289" t="str">
        <f>DTCT!C281</f>
        <v>Trực bão lũ</v>
      </c>
      <c r="D979" s="13" t="str">
        <f>DTCT!D281</f>
        <v>40km/năm</v>
      </c>
      <c r="E979" s="137"/>
      <c r="F979" s="856"/>
      <c r="G979" s="138"/>
    </row>
    <row r="980" spans="1:7" ht="18" customHeight="1">
      <c r="A980" s="13"/>
      <c r="B980" s="13"/>
      <c r="C980" s="1028" t="s">
        <v>47</v>
      </c>
      <c r="D980" s="246" t="s">
        <v>55</v>
      </c>
      <c r="E980" s="248"/>
      <c r="F980" s="856"/>
      <c r="G980" s="391">
        <f>G981</f>
        <v>30655360</v>
      </c>
    </row>
    <row r="981" spans="1:7" ht="18" customHeight="1">
      <c r="A981" s="13"/>
      <c r="B981" s="13"/>
      <c r="C981" s="458" t="s">
        <v>292</v>
      </c>
      <c r="D981" s="246" t="s">
        <v>30</v>
      </c>
      <c r="E981" s="248">
        <v>160</v>
      </c>
      <c r="F981" s="856">
        <f>F861</f>
        <v>191596</v>
      </c>
      <c r="G981" s="190">
        <f>E981*F981</f>
        <v>30655360</v>
      </c>
    </row>
    <row r="982" spans="1:7" ht="29.25" customHeight="1">
      <c r="A982" s="13">
        <f>DTCT!A282</f>
        <v>5</v>
      </c>
      <c r="B982" s="13" t="str">
        <f>DTCT!B282</f>
        <v>QLD.10610</v>
      </c>
      <c r="C982" s="289" t="str">
        <f>DTCT!C282</f>
        <v>Quản lý hành lang an toàn đường bộ và đấu nối</v>
      </c>
      <c r="D982" s="13" t="str">
        <f>DTCT!D282</f>
        <v>1km/ năm</v>
      </c>
      <c r="E982" s="137"/>
      <c r="F982" s="856"/>
      <c r="G982" s="138"/>
    </row>
    <row r="983" spans="1:7" ht="18" customHeight="1">
      <c r="A983" s="13"/>
      <c r="B983" s="13"/>
      <c r="C983" s="1028" t="s">
        <v>47</v>
      </c>
      <c r="D983" s="246" t="s">
        <v>55</v>
      </c>
      <c r="E983" s="248"/>
      <c r="F983" s="856"/>
      <c r="G983" s="391">
        <f>G984</f>
        <v>402116</v>
      </c>
    </row>
    <row r="984" spans="1:7" ht="18" customHeight="1">
      <c r="A984" s="13"/>
      <c r="B984" s="13"/>
      <c r="C984" s="458" t="s">
        <v>399</v>
      </c>
      <c r="D984" s="246" t="s">
        <v>30</v>
      </c>
      <c r="E984" s="248">
        <v>2</v>
      </c>
      <c r="F984" s="856">
        <f>F864</f>
        <v>201058</v>
      </c>
      <c r="G984" s="190">
        <f>E984*F984</f>
        <v>402116</v>
      </c>
    </row>
    <row r="985" spans="1:7" ht="18" customHeight="1">
      <c r="A985" s="13">
        <f>DTCT!A283</f>
        <v>6</v>
      </c>
      <c r="B985" s="13" t="str">
        <f>DTCT!B283</f>
        <v>BDD.20410</v>
      </c>
      <c r="C985" s="289" t="str">
        <f>DTCT!C283</f>
        <v>Cắt cỏ bằng máy</v>
      </c>
      <c r="D985" s="13" t="str">
        <f>DTCT!D283</f>
        <v>1km/1lần</v>
      </c>
      <c r="E985" s="137"/>
      <c r="F985" s="856"/>
      <c r="G985" s="138"/>
    </row>
    <row r="986" spans="1:7" ht="18" customHeight="1">
      <c r="A986" s="13"/>
      <c r="B986" s="13"/>
      <c r="C986" s="1028" t="s">
        <v>48</v>
      </c>
      <c r="D986" s="246" t="s">
        <v>55</v>
      </c>
      <c r="E986" s="247"/>
      <c r="F986" s="856"/>
      <c r="G986" s="391">
        <f>G987</f>
        <v>8000</v>
      </c>
    </row>
    <row r="987" spans="1:7" ht="18" customHeight="1">
      <c r="A987" s="13"/>
      <c r="B987" s="13"/>
      <c r="C987" s="384" t="s">
        <v>400</v>
      </c>
      <c r="D987" s="246" t="s">
        <v>411</v>
      </c>
      <c r="E987" s="248">
        <v>0.2</v>
      </c>
      <c r="F987" s="856">
        <f>F867</f>
        <v>40000</v>
      </c>
      <c r="G987" s="190">
        <f>E987*F987</f>
        <v>8000</v>
      </c>
    </row>
    <row r="988" spans="1:7" ht="18" customHeight="1">
      <c r="A988" s="13"/>
      <c r="B988" s="13"/>
      <c r="C988" s="1028" t="s">
        <v>49</v>
      </c>
      <c r="D988" s="246" t="s">
        <v>55</v>
      </c>
      <c r="E988" s="247"/>
      <c r="F988" s="856"/>
      <c r="G988" s="391">
        <f>G989</f>
        <v>49341.599999999999</v>
      </c>
    </row>
    <row r="989" spans="1:7" ht="18" customHeight="1">
      <c r="A989" s="13"/>
      <c r="B989" s="13"/>
      <c r="C989" s="384" t="s">
        <v>1017</v>
      </c>
      <c r="D989" s="246" t="s">
        <v>291</v>
      </c>
      <c r="E989" s="248">
        <v>0.9</v>
      </c>
      <c r="F989" s="856">
        <f>F869</f>
        <v>54824</v>
      </c>
      <c r="G989" s="190">
        <f>E989*F989</f>
        <v>49341.599999999999</v>
      </c>
    </row>
    <row r="990" spans="1:7" ht="18" customHeight="1">
      <c r="A990" s="13">
        <f>DTCT!A284</f>
        <v>7</v>
      </c>
      <c r="B990" s="13" t="str">
        <f>DTCT!B284</f>
        <v>BDD.20510</v>
      </c>
      <c r="C990" s="289" t="str">
        <f>DTCT!C284</f>
        <v>Phát quang cây cỏ bằng thủ công</v>
      </c>
      <c r="D990" s="13" t="str">
        <f>DTCT!D284</f>
        <v>1km/1lần</v>
      </c>
      <c r="E990" s="137"/>
      <c r="F990" s="856"/>
      <c r="G990" s="138"/>
    </row>
    <row r="991" spans="1:7" ht="18" customHeight="1">
      <c r="A991" s="13"/>
      <c r="B991" s="13"/>
      <c r="C991" s="1028" t="s">
        <v>47</v>
      </c>
      <c r="D991" s="246" t="s">
        <v>55</v>
      </c>
      <c r="E991" s="248"/>
      <c r="F991" s="856"/>
      <c r="G991" s="391">
        <f>G992</f>
        <v>899226.24</v>
      </c>
    </row>
    <row r="992" spans="1:7" ht="18" customHeight="1">
      <c r="A992" s="13"/>
      <c r="B992" s="13"/>
      <c r="C992" s="1029" t="s">
        <v>398</v>
      </c>
      <c r="D992" s="1025" t="s">
        <v>30</v>
      </c>
      <c r="E992" s="1026">
        <v>5.28</v>
      </c>
      <c r="F992" s="856">
        <f>F872</f>
        <v>170308</v>
      </c>
      <c r="G992" s="190">
        <f>E992*F992</f>
        <v>899226.24</v>
      </c>
    </row>
    <row r="993" spans="1:7" ht="18" customHeight="1">
      <c r="A993" s="13">
        <f>DTCT!A285</f>
        <v>8</v>
      </c>
      <c r="B993" s="13" t="str">
        <f>DTCT!B285</f>
        <v>BDD.22310</v>
      </c>
      <c r="C993" s="289" t="str">
        <f>DTCT!C285</f>
        <v>Nắn sửa cọc tiêu, cọc MLG</v>
      </c>
      <c r="D993" s="13" t="str">
        <f>DTCT!D285</f>
        <v>1 cọc</v>
      </c>
      <c r="E993" s="137"/>
      <c r="F993" s="856"/>
      <c r="G993" s="138"/>
    </row>
    <row r="994" spans="1:7" ht="18" customHeight="1">
      <c r="A994" s="13"/>
      <c r="B994" s="13"/>
      <c r="C994" s="1028" t="s">
        <v>47</v>
      </c>
      <c r="D994" s="246" t="s">
        <v>55</v>
      </c>
      <c r="E994" s="248"/>
      <c r="F994" s="856"/>
      <c r="G994" s="391">
        <f>G995</f>
        <v>10218.48</v>
      </c>
    </row>
    <row r="995" spans="1:7" ht="18" customHeight="1">
      <c r="A995" s="13"/>
      <c r="B995" s="13"/>
      <c r="C995" s="458" t="s">
        <v>398</v>
      </c>
      <c r="D995" s="246" t="s">
        <v>30</v>
      </c>
      <c r="E995" s="248">
        <v>0.06</v>
      </c>
      <c r="F995" s="856">
        <f>F875</f>
        <v>170308</v>
      </c>
      <c r="G995" s="190">
        <f>E995*F995</f>
        <v>10218.48</v>
      </c>
    </row>
    <row r="996" spans="1:7" ht="18" customHeight="1">
      <c r="A996" s="13">
        <f>DTCT!A286</f>
        <v>9</v>
      </c>
      <c r="B996" s="13" t="str">
        <f>DTCT!B286</f>
        <v>BDD.22510</v>
      </c>
      <c r="C996" s="289" t="str">
        <f>DTCT!C286</f>
        <v>Nắn chỉnh, tu sửa biển báo</v>
      </c>
      <c r="D996" s="13" t="str">
        <f>DTCT!D286</f>
        <v>1 cột</v>
      </c>
      <c r="E996" s="137"/>
      <c r="F996" s="856"/>
      <c r="G996" s="138"/>
    </row>
    <row r="997" spans="1:7" ht="18" customHeight="1">
      <c r="A997" s="13"/>
      <c r="B997" s="13"/>
      <c r="C997" s="1028" t="s">
        <v>47</v>
      </c>
      <c r="D997" s="246" t="s">
        <v>55</v>
      </c>
      <c r="E997" s="248"/>
      <c r="F997" s="856"/>
      <c r="G997" s="391">
        <f>G998</f>
        <v>38319.300000000003</v>
      </c>
    </row>
    <row r="998" spans="1:7" ht="18" customHeight="1">
      <c r="A998" s="13"/>
      <c r="B998" s="13"/>
      <c r="C998" s="458" t="s">
        <v>398</v>
      </c>
      <c r="D998" s="246" t="s">
        <v>30</v>
      </c>
      <c r="E998" s="248">
        <v>0.22500000000000001</v>
      </c>
      <c r="F998" s="856">
        <f>F878</f>
        <v>170308</v>
      </c>
      <c r="G998" s="190">
        <f>E998*F998</f>
        <v>38319.300000000003</v>
      </c>
    </row>
    <row r="999" spans="1:7" ht="18" customHeight="1">
      <c r="A999" s="13">
        <f>+DTCT!A287</f>
        <v>10</v>
      </c>
      <c r="B999" s="13" t="str">
        <f>+DTCT!B287</f>
        <v>BDD.203210</v>
      </c>
      <c r="C999" s="289" t="str">
        <f>+DTCT!C287</f>
        <v>Bạt lề đường bằng máy</v>
      </c>
      <c r="D999" s="13" t="str">
        <f>+DTCT!D287</f>
        <v>100md</v>
      </c>
      <c r="E999" s="392"/>
      <c r="F999" s="856"/>
      <c r="G999" s="392"/>
    </row>
    <row r="1000" spans="1:7" ht="18" customHeight="1">
      <c r="A1000" s="13"/>
      <c r="B1000" s="13"/>
      <c r="C1000" s="1028" t="s">
        <v>49</v>
      </c>
      <c r="D1000" s="13"/>
      <c r="E1000" s="248"/>
      <c r="F1000" s="856"/>
      <c r="G1000" s="393">
        <f>+G1001</f>
        <v>3154.1489999999999</v>
      </c>
    </row>
    <row r="1001" spans="1:7" ht="18" customHeight="1">
      <c r="A1001" s="13"/>
      <c r="B1001" s="13"/>
      <c r="C1001" s="384" t="s">
        <v>504</v>
      </c>
      <c r="D1001" s="13" t="s">
        <v>1018</v>
      </c>
      <c r="E1001" s="248">
        <v>3.0000000000000001E-3</v>
      </c>
      <c r="F1001" s="856">
        <f>F884</f>
        <v>1051383</v>
      </c>
      <c r="G1001" s="190">
        <f>+E1001*F1001</f>
        <v>3154.1489999999999</v>
      </c>
    </row>
    <row r="1002" spans="1:7" ht="18" customHeight="1">
      <c r="A1002" s="13">
        <f>DTCT!A288</f>
        <v>11</v>
      </c>
      <c r="B1002" s="13" t="str">
        <f>DTCT!B288</f>
        <v>BDD.21312</v>
      </c>
      <c r="C1002" s="289" t="str">
        <f>DTCT!C288</f>
        <v>Vệ sinh mặt đường bằng thủ công</v>
      </c>
      <c r="D1002" s="13" t="str">
        <f>DTCT!D288</f>
        <v>lần/km</v>
      </c>
      <c r="E1002" s="248"/>
      <c r="F1002" s="856"/>
      <c r="G1002" s="190"/>
    </row>
    <row r="1003" spans="1:7" ht="18" customHeight="1">
      <c r="A1003" s="13"/>
      <c r="B1003" s="13"/>
      <c r="C1003" s="1028" t="s">
        <v>48</v>
      </c>
      <c r="D1003" s="246" t="s">
        <v>55</v>
      </c>
      <c r="E1003" s="247"/>
      <c r="F1003" s="856"/>
      <c r="G1003" s="391">
        <f>G1004</f>
        <v>2000</v>
      </c>
    </row>
    <row r="1004" spans="1:7" ht="18" customHeight="1">
      <c r="A1004" s="13"/>
      <c r="B1004" s="13"/>
      <c r="C1004" s="384" t="s">
        <v>401</v>
      </c>
      <c r="D1004" s="246" t="s">
        <v>402</v>
      </c>
      <c r="E1004" s="248">
        <v>0.1</v>
      </c>
      <c r="F1004" s="856">
        <f>F887</f>
        <v>20000</v>
      </c>
      <c r="G1004" s="266">
        <f>E1004*F1004</f>
        <v>2000</v>
      </c>
    </row>
    <row r="1005" spans="1:7" ht="18" customHeight="1">
      <c r="A1005" s="13"/>
      <c r="B1005" s="13"/>
      <c r="C1005" s="1028" t="s">
        <v>47</v>
      </c>
      <c r="D1005" s="246" t="s">
        <v>55</v>
      </c>
      <c r="E1005" s="248"/>
      <c r="F1005" s="856"/>
      <c r="G1005" s="391">
        <f>G1006</f>
        <v>697788.75</v>
      </c>
    </row>
    <row r="1006" spans="1:7" ht="18" customHeight="1">
      <c r="A1006" s="13"/>
      <c r="B1006" s="13"/>
      <c r="C1006" s="458" t="s">
        <v>403</v>
      </c>
      <c r="D1006" s="246" t="s">
        <v>30</v>
      </c>
      <c r="E1006" s="248">
        <v>3.75</v>
      </c>
      <c r="F1006" s="856">
        <f>F889</f>
        <v>186077</v>
      </c>
      <c r="G1006" s="190">
        <f>E1006*F1006</f>
        <v>697788.75</v>
      </c>
    </row>
    <row r="1007" spans="1:7" ht="18" customHeight="1">
      <c r="A1007" s="13">
        <f>+DTCT!A313</f>
        <v>12</v>
      </c>
      <c r="B1007" s="13" t="str">
        <f>+DTCT!B313</f>
        <v>BDD.22910</v>
      </c>
      <c r="C1007" s="289" t="str">
        <f>+DTCT!C313</f>
        <v>Vệ sinh mặt biển phản quang</v>
      </c>
      <c r="D1007" s="13" t="str">
        <f>+DTCT!D313</f>
        <v>m2</v>
      </c>
      <c r="E1007" s="248"/>
      <c r="F1007" s="856"/>
      <c r="G1007" s="190"/>
    </row>
    <row r="1008" spans="1:7" ht="18" customHeight="1">
      <c r="A1008" s="13"/>
      <c r="B1008" s="13"/>
      <c r="C1008" s="1028" t="s">
        <v>47</v>
      </c>
      <c r="D1008" s="246" t="s">
        <v>55</v>
      </c>
      <c r="E1008" s="248"/>
      <c r="F1008" s="856"/>
      <c r="G1008" s="391">
        <f>G1009</f>
        <v>9579.8000000000011</v>
      </c>
    </row>
    <row r="1009" spans="1:7" ht="18" customHeight="1">
      <c r="A1009" s="13"/>
      <c r="B1009" s="13"/>
      <c r="C1009" s="458" t="s">
        <v>292</v>
      </c>
      <c r="D1009" s="246" t="s">
        <v>30</v>
      </c>
      <c r="E1009" s="248">
        <v>0.05</v>
      </c>
      <c r="F1009" s="856">
        <f>F892</f>
        <v>191596</v>
      </c>
      <c r="G1009" s="190">
        <f>E1009*F1009</f>
        <v>9579.8000000000011</v>
      </c>
    </row>
    <row r="1010" spans="1:7" ht="31.5" customHeight="1">
      <c r="A1010" s="13"/>
      <c r="B1010" s="13"/>
      <c r="C1010" s="287" t="str">
        <f>DTCT!C290</f>
        <v>CÔNG TÁC BẢO DƯỠNG CẦU L &lt;= 300M</v>
      </c>
      <c r="D1010" s="13"/>
      <c r="E1010" s="137"/>
      <c r="F1010" s="856"/>
      <c r="G1010" s="138"/>
    </row>
    <row r="1011" spans="1:7" ht="18" customHeight="1">
      <c r="A1011" s="13">
        <f>DTCT!A291</f>
        <v>13</v>
      </c>
      <c r="B1011" s="13" t="str">
        <f>DTCT!B291</f>
        <v>BDC.20610</v>
      </c>
      <c r="C1011" s="289" t="str">
        <f>DTCT!C291</f>
        <v>Vệ sinh mặt cầu, ống thoát nước</v>
      </c>
      <c r="D1011" s="13" t="str">
        <f>DTCT!D291</f>
        <v>10m2</v>
      </c>
      <c r="E1011" s="137"/>
      <c r="F1011" s="856"/>
      <c r="G1011" s="138"/>
    </row>
    <row r="1012" spans="1:7" ht="18" customHeight="1">
      <c r="A1012" s="13"/>
      <c r="B1012" s="13"/>
      <c r="C1012" s="1028" t="s">
        <v>48</v>
      </c>
      <c r="D1012" s="246" t="s">
        <v>55</v>
      </c>
      <c r="E1012" s="247"/>
      <c r="F1012" s="856"/>
      <c r="G1012" s="391">
        <f>G1013</f>
        <v>2</v>
      </c>
    </row>
    <row r="1013" spans="1:7" ht="18" customHeight="1">
      <c r="A1013" s="13"/>
      <c r="B1013" s="13"/>
      <c r="C1013" s="384" t="s">
        <v>401</v>
      </c>
      <c r="D1013" s="246" t="s">
        <v>402</v>
      </c>
      <c r="E1013" s="248">
        <v>1E-4</v>
      </c>
      <c r="F1013" s="856">
        <f>F896</f>
        <v>20000</v>
      </c>
      <c r="G1013" s="190">
        <f>E1013*F1013</f>
        <v>2</v>
      </c>
    </row>
    <row r="1014" spans="1:7" ht="18" customHeight="1">
      <c r="A1014" s="13"/>
      <c r="B1014" s="13"/>
      <c r="C1014" s="1028" t="s">
        <v>47</v>
      </c>
      <c r="D1014" s="246" t="s">
        <v>55</v>
      </c>
      <c r="E1014" s="248"/>
      <c r="F1014" s="856"/>
      <c r="G1014" s="391">
        <f>G1015</f>
        <v>8931.6959999999999</v>
      </c>
    </row>
    <row r="1015" spans="1:7" ht="18" customHeight="1">
      <c r="A1015" s="13"/>
      <c r="B1015" s="13"/>
      <c r="C1015" s="458" t="s">
        <v>403</v>
      </c>
      <c r="D1015" s="246" t="s">
        <v>30</v>
      </c>
      <c r="E1015" s="248">
        <v>4.8000000000000001E-2</v>
      </c>
      <c r="F1015" s="856">
        <f>F898</f>
        <v>186077</v>
      </c>
      <c r="G1015" s="190">
        <f>E1015*F1015</f>
        <v>8931.6959999999999</v>
      </c>
    </row>
    <row r="1016" spans="1:7" ht="18" customHeight="1">
      <c r="A1016" s="13">
        <f>DTCT!A292</f>
        <v>14</v>
      </c>
      <c r="B1016" s="13" t="str">
        <f>DTCT!B292</f>
        <v>BDC.20910</v>
      </c>
      <c r="C1016" s="289" t="str">
        <f>DTCT!C292</f>
        <v>Vệ sinh khe co dãn cao su</v>
      </c>
      <c r="D1016" s="13" t="str">
        <f>DTCT!D292</f>
        <v>1md</v>
      </c>
      <c r="E1016" s="137"/>
      <c r="F1016" s="856"/>
      <c r="G1016" s="138"/>
    </row>
    <row r="1017" spans="1:7" ht="18" customHeight="1">
      <c r="A1017" s="13"/>
      <c r="B1017" s="13"/>
      <c r="C1017" s="1028" t="s">
        <v>47</v>
      </c>
      <c r="D1017" s="246" t="s">
        <v>55</v>
      </c>
      <c r="E1017" s="248"/>
      <c r="F1017" s="856"/>
      <c r="G1017" s="391">
        <f>G1018</f>
        <v>11580.944000000001</v>
      </c>
    </row>
    <row r="1018" spans="1:7" ht="18" customHeight="1">
      <c r="A1018" s="13"/>
      <c r="B1018" s="13"/>
      <c r="C1018" s="458" t="s">
        <v>398</v>
      </c>
      <c r="D1018" s="246" t="s">
        <v>30</v>
      </c>
      <c r="E1018" s="248">
        <v>6.8000000000000005E-2</v>
      </c>
      <c r="F1018" s="856">
        <f>F901</f>
        <v>170308</v>
      </c>
      <c r="G1018" s="190">
        <f>E1018*F1018</f>
        <v>11580.944000000001</v>
      </c>
    </row>
    <row r="1019" spans="1:7" ht="18" customHeight="1">
      <c r="A1019" s="13">
        <f>DTCT!A293</f>
        <v>15</v>
      </c>
      <c r="B1019" s="13" t="str">
        <f>DTCT!B293</f>
        <v>BDC.21010</v>
      </c>
      <c r="C1019" s="289" t="str">
        <f>DTCT!C293</f>
        <v>Vệ sinh mố cầu</v>
      </c>
      <c r="D1019" s="13" t="str">
        <f>DTCT!D293</f>
        <v>m2</v>
      </c>
      <c r="E1019" s="137"/>
      <c r="F1019" s="856"/>
      <c r="G1019" s="138"/>
    </row>
    <row r="1020" spans="1:7" ht="18" customHeight="1">
      <c r="A1020" s="13"/>
      <c r="B1020" s="13"/>
      <c r="C1020" s="1028" t="s">
        <v>47</v>
      </c>
      <c r="D1020" s="246" t="s">
        <v>55</v>
      </c>
      <c r="E1020" s="248"/>
      <c r="F1020" s="856"/>
      <c r="G1020" s="391">
        <f>G1021</f>
        <v>86218.2</v>
      </c>
    </row>
    <row r="1021" spans="1:7" ht="18" customHeight="1">
      <c r="A1021" s="13"/>
      <c r="B1021" s="13"/>
      <c r="C1021" s="458" t="s">
        <v>292</v>
      </c>
      <c r="D1021" s="246" t="s">
        <v>30</v>
      </c>
      <c r="E1021" s="248">
        <v>0.45</v>
      </c>
      <c r="F1021" s="856">
        <f>F904</f>
        <v>191596</v>
      </c>
      <c r="G1021" s="190">
        <f>E1021*F1021</f>
        <v>86218.2</v>
      </c>
    </row>
    <row r="1022" spans="1:7" ht="18" customHeight="1">
      <c r="A1022" s="13">
        <f>DTCT!A294</f>
        <v>16</v>
      </c>
      <c r="B1022" s="13" t="str">
        <f>DTCT!B294</f>
        <v>BDC.21710</v>
      </c>
      <c r="C1022" s="289" t="str">
        <f>DTCT!C294</f>
        <v>Phát quang cây dại</v>
      </c>
      <c r="D1022" s="13" t="str">
        <f>DTCT!D294</f>
        <v>100m2</v>
      </c>
      <c r="E1022" s="137"/>
      <c r="F1022" s="856"/>
      <c r="G1022" s="138"/>
    </row>
    <row r="1023" spans="1:7" ht="18" customHeight="1">
      <c r="A1023" s="13"/>
      <c r="B1023" s="13"/>
      <c r="C1023" s="1028" t="s">
        <v>47</v>
      </c>
      <c r="D1023" s="246" t="s">
        <v>55</v>
      </c>
      <c r="E1023" s="248"/>
      <c r="F1023" s="856"/>
      <c r="G1023" s="391">
        <f>G1024</f>
        <v>729940.08799999987</v>
      </c>
    </row>
    <row r="1024" spans="1:7" ht="18" customHeight="1">
      <c r="A1024" s="13"/>
      <c r="B1024" s="13"/>
      <c r="C1024" s="458" t="s">
        <v>398</v>
      </c>
      <c r="D1024" s="246" t="s">
        <v>30</v>
      </c>
      <c r="E1024" s="248">
        <v>4.2859999999999996</v>
      </c>
      <c r="F1024" s="856">
        <f>F907</f>
        <v>170308</v>
      </c>
      <c r="G1024" s="190">
        <f>E1024*F1024</f>
        <v>729940.08799999987</v>
      </c>
    </row>
    <row r="1025" spans="1:7" ht="29.25" customHeight="1">
      <c r="A1025" s="13"/>
      <c r="B1025" s="13"/>
      <c r="C1025" s="287" t="str">
        <f>DTCT!C295</f>
        <v>CÔNG TÁC QUẢN LÝ CẦU L &lt;= 300M</v>
      </c>
      <c r="D1025" s="13"/>
      <c r="E1025" s="137"/>
      <c r="F1025" s="856"/>
      <c r="G1025" s="138"/>
    </row>
    <row r="1026" spans="1:7" ht="18" customHeight="1">
      <c r="A1026" s="13"/>
      <c r="B1026" s="13"/>
      <c r="C1026" s="287" t="str">
        <f>DTCT!C296</f>
        <v>Cầu &lt; 50m</v>
      </c>
      <c r="D1026" s="13"/>
      <c r="E1026" s="137"/>
      <c r="F1026" s="856"/>
      <c r="G1026" s="138"/>
    </row>
    <row r="1027" spans="1:7" ht="18" customHeight="1">
      <c r="A1027" s="13">
        <f>DTCT!A297</f>
        <v>17</v>
      </c>
      <c r="B1027" s="13" t="str">
        <f>DTCT!B297</f>
        <v>QLC.10140</v>
      </c>
      <c r="C1027" s="289" t="str">
        <f>DTCT!C297</f>
        <v>Kiểm tra cầu</v>
      </c>
      <c r="D1027" s="13" t="str">
        <f>DTCT!D297</f>
        <v>cầu/năm</v>
      </c>
      <c r="E1027" s="137"/>
      <c r="F1027" s="856"/>
      <c r="G1027" s="138"/>
    </row>
    <row r="1028" spans="1:7" ht="18" customHeight="1">
      <c r="A1028" s="13"/>
      <c r="B1028" s="13"/>
      <c r="C1028" s="1028" t="s">
        <v>48</v>
      </c>
      <c r="D1028" s="246" t="s">
        <v>55</v>
      </c>
      <c r="E1028" s="247"/>
      <c r="F1028" s="856"/>
      <c r="G1028" s="391">
        <f>G1029+G1030</f>
        <v>39000</v>
      </c>
    </row>
    <row r="1029" spans="1:7" ht="18" customHeight="1">
      <c r="A1029" s="13"/>
      <c r="B1029" s="13"/>
      <c r="C1029" s="384" t="s">
        <v>404</v>
      </c>
      <c r="D1029" s="246" t="s">
        <v>405</v>
      </c>
      <c r="E1029" s="248">
        <v>1</v>
      </c>
      <c r="F1029" s="856">
        <f>F912</f>
        <v>3000</v>
      </c>
      <c r="G1029" s="190">
        <f>E1029*F1029</f>
        <v>3000</v>
      </c>
    </row>
    <row r="1030" spans="1:7" ht="18" customHeight="1">
      <c r="A1030" s="13"/>
      <c r="B1030" s="13"/>
      <c r="C1030" s="384" t="s">
        <v>406</v>
      </c>
      <c r="D1030" s="246" t="s">
        <v>17</v>
      </c>
      <c r="E1030" s="248">
        <v>12</v>
      </c>
      <c r="F1030" s="856">
        <f>F913</f>
        <v>3000</v>
      </c>
      <c r="G1030" s="190">
        <f>E1030*F1030</f>
        <v>36000</v>
      </c>
    </row>
    <row r="1031" spans="1:7" ht="18" customHeight="1">
      <c r="A1031" s="13"/>
      <c r="B1031" s="13"/>
      <c r="C1031" s="1028" t="s">
        <v>47</v>
      </c>
      <c r="D1031" s="246" t="s">
        <v>55</v>
      </c>
      <c r="E1031" s="248"/>
      <c r="F1031" s="856"/>
      <c r="G1031" s="391">
        <f>G1032</f>
        <v>804232</v>
      </c>
    </row>
    <row r="1032" spans="1:7" ht="18" customHeight="1">
      <c r="A1032" s="13"/>
      <c r="B1032" s="13"/>
      <c r="C1032" s="458" t="s">
        <v>399</v>
      </c>
      <c r="D1032" s="246" t="s">
        <v>30</v>
      </c>
      <c r="E1032" s="248">
        <v>4</v>
      </c>
      <c r="F1032" s="856">
        <f>F915</f>
        <v>201058</v>
      </c>
      <c r="G1032" s="190">
        <f>E1032*F1032</f>
        <v>804232</v>
      </c>
    </row>
    <row r="1033" spans="1:7" ht="18" customHeight="1">
      <c r="A1033" s="13">
        <f>DTCT!A298</f>
        <v>18</v>
      </c>
      <c r="B1033" s="13" t="str">
        <f>DTCT!B298</f>
        <v>QLC.10340</v>
      </c>
      <c r="C1033" s="289" t="str">
        <f>DTCT!C298</f>
        <v>Kiểm tra trước và sau mùa mưa bão</v>
      </c>
      <c r="D1033" s="13" t="str">
        <f>DTCT!D298</f>
        <v>cầu/năm</v>
      </c>
      <c r="E1033" s="137"/>
      <c r="F1033" s="856"/>
      <c r="G1033" s="138"/>
    </row>
    <row r="1034" spans="1:7" ht="18" customHeight="1">
      <c r="A1034" s="13"/>
      <c r="B1034" s="13"/>
      <c r="C1034" s="1028" t="s">
        <v>48</v>
      </c>
      <c r="D1034" s="246" t="s">
        <v>55</v>
      </c>
      <c r="E1034" s="247"/>
      <c r="F1034" s="856"/>
      <c r="G1034" s="391">
        <f>G1035+G1036</f>
        <v>6501</v>
      </c>
    </row>
    <row r="1035" spans="1:7" ht="18" customHeight="1">
      <c r="A1035" s="13"/>
      <c r="B1035" s="13"/>
      <c r="C1035" s="384" t="s">
        <v>404</v>
      </c>
      <c r="D1035" s="246" t="s">
        <v>405</v>
      </c>
      <c r="E1035" s="248">
        <v>0.16700000000000001</v>
      </c>
      <c r="F1035" s="856">
        <f>F918</f>
        <v>3000</v>
      </c>
      <c r="G1035" s="190">
        <f>E1035*F1035</f>
        <v>501.00000000000006</v>
      </c>
    </row>
    <row r="1036" spans="1:7" ht="18" customHeight="1">
      <c r="A1036" s="13"/>
      <c r="B1036" s="13"/>
      <c r="C1036" s="384" t="s">
        <v>406</v>
      </c>
      <c r="D1036" s="246" t="s">
        <v>17</v>
      </c>
      <c r="E1036" s="248">
        <v>2</v>
      </c>
      <c r="F1036" s="856">
        <f>F919</f>
        <v>3000</v>
      </c>
      <c r="G1036" s="190">
        <f>E1036*F1036</f>
        <v>6000</v>
      </c>
    </row>
    <row r="1037" spans="1:7" ht="18" customHeight="1">
      <c r="A1037" s="13"/>
      <c r="B1037" s="13"/>
      <c r="C1037" s="1028" t="s">
        <v>47</v>
      </c>
      <c r="D1037" s="246" t="s">
        <v>55</v>
      </c>
      <c r="E1037" s="248"/>
      <c r="F1037" s="856"/>
      <c r="G1037" s="391">
        <f>G1038</f>
        <v>201058</v>
      </c>
    </row>
    <row r="1038" spans="1:7" ht="18" customHeight="1">
      <c r="A1038" s="13"/>
      <c r="B1038" s="13"/>
      <c r="C1038" s="458" t="s">
        <v>399</v>
      </c>
      <c r="D1038" s="246" t="s">
        <v>30</v>
      </c>
      <c r="E1038" s="248">
        <v>1</v>
      </c>
      <c r="F1038" s="856">
        <f>F921</f>
        <v>201058</v>
      </c>
      <c r="G1038" s="190">
        <f>E1038*F1038</f>
        <v>201058</v>
      </c>
    </row>
    <row r="1039" spans="1:7" ht="18" customHeight="1">
      <c r="A1039" s="13">
        <f>DTCT!A299</f>
        <v>19</v>
      </c>
      <c r="B1039" s="13" t="str">
        <f>DTCT!B299</f>
        <v>QLC.10440</v>
      </c>
      <c r="C1039" s="289" t="str">
        <f>DTCT!C299</f>
        <v>Quản lý hồ sơ trên vi tính</v>
      </c>
      <c r="D1039" s="13" t="str">
        <f>DTCT!D299</f>
        <v>cầu/năm</v>
      </c>
      <c r="E1039" s="137"/>
      <c r="F1039" s="856"/>
      <c r="G1039" s="138"/>
    </row>
    <row r="1040" spans="1:7" ht="18" customHeight="1">
      <c r="A1040" s="13"/>
      <c r="B1040" s="13"/>
      <c r="C1040" s="1028" t="s">
        <v>47</v>
      </c>
      <c r="D1040" s="246" t="s">
        <v>55</v>
      </c>
      <c r="E1040" s="248"/>
      <c r="F1040" s="856"/>
      <c r="G1040" s="391">
        <f>G1041</f>
        <v>237327</v>
      </c>
    </row>
    <row r="1041" spans="1:7" ht="18" customHeight="1">
      <c r="A1041" s="290"/>
      <c r="B1041" s="290"/>
      <c r="C1041" s="1030" t="s">
        <v>394</v>
      </c>
      <c r="D1041" s="250" t="s">
        <v>30</v>
      </c>
      <c r="E1041" s="302">
        <v>1</v>
      </c>
      <c r="F1041" s="858">
        <f>F924</f>
        <v>237327</v>
      </c>
      <c r="G1041" s="191">
        <f>E1041*F1041</f>
        <v>237327</v>
      </c>
    </row>
    <row r="1042" spans="1:7" ht="63.75" customHeight="1">
      <c r="A1042" s="297" t="str">
        <f>DTCT!A300</f>
        <v>XI</v>
      </c>
      <c r="B1042" s="297"/>
      <c r="C1042" s="1031" t="str">
        <f>DTCT!C300</f>
        <v xml:space="preserve">QUỐC LỘ 1A, KCN HÒA PHÚ, ĐƯỜNG VÀO KCN BÌNH MINH, CẦU MỸ HÒA TÂY VÀ CÁC ĐƯỜNG TRONG TPVL </v>
      </c>
      <c r="D1042" s="299"/>
      <c r="E1042" s="300"/>
      <c r="F1042" s="859"/>
      <c r="G1042" s="301"/>
    </row>
    <row r="1043" spans="1:7" ht="35.25" customHeight="1">
      <c r="A1043" s="13"/>
      <c r="B1043" s="13"/>
      <c r="C1043" s="287" t="str">
        <f>DTCT!C301</f>
        <v>CÔNG TÁC QUẢN LÝ BDTX ĐƯỜNG BỘ</v>
      </c>
      <c r="D1043" s="13"/>
      <c r="E1043" s="137"/>
      <c r="F1043" s="856"/>
      <c r="G1043" s="138"/>
    </row>
    <row r="1044" spans="1:7" ht="18" customHeight="1">
      <c r="A1044" s="13">
        <f>DTCT!A302</f>
        <v>1</v>
      </c>
      <c r="B1044" s="13" t="str">
        <f>DTCT!B302</f>
        <v>QLD.10150</v>
      </c>
      <c r="C1044" s="289" t="str">
        <f>DTCT!C302</f>
        <v>Tuần đường</v>
      </c>
      <c r="D1044" s="13" t="str">
        <f>DTCT!D302</f>
        <v>1km/năm</v>
      </c>
      <c r="E1044" s="137"/>
      <c r="F1044" s="856"/>
      <c r="G1044" s="138"/>
    </row>
    <row r="1045" spans="1:7" ht="18" customHeight="1">
      <c r="A1045" s="13"/>
      <c r="B1045" s="13"/>
      <c r="C1045" s="1028" t="s">
        <v>48</v>
      </c>
      <c r="D1045" s="246" t="s">
        <v>55</v>
      </c>
      <c r="E1045" s="247"/>
      <c r="F1045" s="856"/>
      <c r="G1045" s="391">
        <f>G1046</f>
        <v>162671.375</v>
      </c>
    </row>
    <row r="1046" spans="1:7" ht="18" customHeight="1">
      <c r="A1046" s="13"/>
      <c r="B1046" s="13"/>
      <c r="C1046" s="384" t="s">
        <v>393</v>
      </c>
      <c r="D1046" s="246" t="s">
        <v>32</v>
      </c>
      <c r="E1046" s="248">
        <v>9.125</v>
      </c>
      <c r="F1046" s="856">
        <f>F965</f>
        <v>17827</v>
      </c>
      <c r="G1046" s="190">
        <f>E1046*F1046</f>
        <v>162671.375</v>
      </c>
    </row>
    <row r="1047" spans="1:7" ht="18" customHeight="1">
      <c r="A1047" s="13"/>
      <c r="B1047" s="13"/>
      <c r="C1047" s="1028" t="s">
        <v>47</v>
      </c>
      <c r="D1047" s="246" t="s">
        <v>55</v>
      </c>
      <c r="E1047" s="248"/>
      <c r="F1047" s="856"/>
      <c r="G1047" s="391">
        <f>G1048</f>
        <v>2038164.2759999998</v>
      </c>
    </row>
    <row r="1048" spans="1:7" ht="18" customHeight="1">
      <c r="A1048" s="13"/>
      <c r="B1048" s="13"/>
      <c r="C1048" s="458" t="s">
        <v>394</v>
      </c>
      <c r="D1048" s="246" t="s">
        <v>30</v>
      </c>
      <c r="E1048" s="248">
        <v>8.5879999999999992</v>
      </c>
      <c r="F1048" s="856">
        <f>F967</f>
        <v>237327</v>
      </c>
      <c r="G1048" s="190">
        <f>E1048*F1048</f>
        <v>2038164.2759999998</v>
      </c>
    </row>
    <row r="1049" spans="1:7" ht="24.75" customHeight="1">
      <c r="A1049" s="13">
        <f>DTCT!A303</f>
        <v>2</v>
      </c>
      <c r="B1049" s="13" t="str">
        <f>DTCT!B303</f>
        <v>QLD.10230</v>
      </c>
      <c r="C1049" s="289" t="str">
        <f>DTCT!C303</f>
        <v>Đếm xe bằng thủ công</v>
      </c>
      <c r="D1049" s="13" t="str">
        <f>DTCT!D303</f>
        <v>1lần/trạmđếm</v>
      </c>
      <c r="E1049" s="137"/>
      <c r="F1049" s="856"/>
      <c r="G1049" s="138"/>
    </row>
    <row r="1050" spans="1:7" ht="18" customHeight="1">
      <c r="A1050" s="13"/>
      <c r="B1050" s="13"/>
      <c r="C1050" s="1028" t="s">
        <v>48</v>
      </c>
      <c r="D1050" s="246" t="s">
        <v>55</v>
      </c>
      <c r="E1050" s="247"/>
      <c r="F1050" s="856"/>
      <c r="G1050" s="391">
        <f>G1052+G1051</f>
        <v>15300</v>
      </c>
    </row>
    <row r="1051" spans="1:7" ht="18" customHeight="1">
      <c r="A1051" s="13"/>
      <c r="B1051" s="13"/>
      <c r="C1051" s="384" t="s">
        <v>395</v>
      </c>
      <c r="D1051" s="246" t="s">
        <v>396</v>
      </c>
      <c r="E1051" s="248">
        <v>42</v>
      </c>
      <c r="F1051" s="856">
        <f>F970</f>
        <v>150</v>
      </c>
      <c r="G1051" s="190">
        <f>E1051*F1051</f>
        <v>6300</v>
      </c>
    </row>
    <row r="1052" spans="1:7" ht="18" customHeight="1">
      <c r="A1052" s="13"/>
      <c r="B1052" s="13"/>
      <c r="C1052" s="384" t="s">
        <v>397</v>
      </c>
      <c r="D1052" s="246" t="s">
        <v>17</v>
      </c>
      <c r="E1052" s="248">
        <v>3</v>
      </c>
      <c r="F1052" s="856">
        <f>F971</f>
        <v>3000</v>
      </c>
      <c r="G1052" s="190">
        <f>E1052*F1052</f>
        <v>9000</v>
      </c>
    </row>
    <row r="1053" spans="1:7" ht="18" customHeight="1">
      <c r="A1053" s="13"/>
      <c r="B1053" s="13"/>
      <c r="C1053" s="1028" t="s">
        <v>47</v>
      </c>
      <c r="D1053" s="246" t="s">
        <v>55</v>
      </c>
      <c r="E1053" s="248"/>
      <c r="F1053" s="856"/>
      <c r="G1053" s="391">
        <f>G1054</f>
        <v>2384312</v>
      </c>
    </row>
    <row r="1054" spans="1:7" ht="18" customHeight="1">
      <c r="A1054" s="13"/>
      <c r="B1054" s="13"/>
      <c r="C1054" s="458" t="s">
        <v>398</v>
      </c>
      <c r="D1054" s="246" t="s">
        <v>30</v>
      </c>
      <c r="E1054" s="248">
        <v>14</v>
      </c>
      <c r="F1054" s="856">
        <f>F973</f>
        <v>170308</v>
      </c>
      <c r="G1054" s="190">
        <f>E1054*F1054</f>
        <v>2384312</v>
      </c>
    </row>
    <row r="1055" spans="1:7" ht="31.5" customHeight="1">
      <c r="A1055" s="13">
        <f>DTCT!A304</f>
        <v>3</v>
      </c>
      <c r="B1055" s="13" t="str">
        <f>DTCT!B304</f>
        <v>QLD.10340</v>
      </c>
      <c r="C1055" s="289" t="str">
        <f>DTCT!C304</f>
        <v>Kiểm tra định kỳ, khẩn cấp, cập nhật số liệu cầu đường và tình hình bão lũ</v>
      </c>
      <c r="D1055" s="13" t="str">
        <f>DTCT!D304</f>
        <v>1km/1lần</v>
      </c>
      <c r="E1055" s="137"/>
      <c r="F1055" s="856"/>
      <c r="G1055" s="138"/>
    </row>
    <row r="1056" spans="1:7" ht="18" customHeight="1">
      <c r="A1056" s="13"/>
      <c r="B1056" s="13"/>
      <c r="C1056" s="1028" t="s">
        <v>48</v>
      </c>
      <c r="D1056" s="246" t="s">
        <v>55</v>
      </c>
      <c r="E1056" s="247"/>
      <c r="F1056" s="856"/>
      <c r="G1056" s="391">
        <f>G1057</f>
        <v>445.67500000000001</v>
      </c>
    </row>
    <row r="1057" spans="1:7" ht="18" customHeight="1">
      <c r="A1057" s="13"/>
      <c r="B1057" s="13"/>
      <c r="C1057" s="384" t="s">
        <v>393</v>
      </c>
      <c r="D1057" s="246" t="s">
        <v>32</v>
      </c>
      <c r="E1057" s="248">
        <v>2.5000000000000001E-2</v>
      </c>
      <c r="F1057" s="856">
        <f>F976</f>
        <v>17827</v>
      </c>
      <c r="G1057" s="190">
        <f>E1057*F1057</f>
        <v>445.67500000000001</v>
      </c>
    </row>
    <row r="1058" spans="1:7" ht="18" customHeight="1">
      <c r="A1058" s="13"/>
      <c r="B1058" s="13"/>
      <c r="C1058" s="1028" t="s">
        <v>47</v>
      </c>
      <c r="D1058" s="246" t="s">
        <v>55</v>
      </c>
      <c r="E1058" s="248"/>
      <c r="F1058" s="856"/>
      <c r="G1058" s="391">
        <f>G1059</f>
        <v>7439.1459999999997</v>
      </c>
    </row>
    <row r="1059" spans="1:7" ht="18" customHeight="1">
      <c r="A1059" s="13"/>
      <c r="B1059" s="13"/>
      <c r="C1059" s="458" t="s">
        <v>399</v>
      </c>
      <c r="D1059" s="246" t="s">
        <v>30</v>
      </c>
      <c r="E1059" s="248">
        <v>3.6999999999999998E-2</v>
      </c>
      <c r="F1059" s="856">
        <f>F978</f>
        <v>201058</v>
      </c>
      <c r="G1059" s="190">
        <f>E1059*F1059</f>
        <v>7439.1459999999997</v>
      </c>
    </row>
    <row r="1060" spans="1:7" ht="18" customHeight="1">
      <c r="A1060" s="13">
        <f>DTCT!A305</f>
        <v>4</v>
      </c>
      <c r="B1060" s="13" t="str">
        <f>DTCT!B305</f>
        <v>QLD.10410</v>
      </c>
      <c r="C1060" s="289" t="str">
        <f>DTCT!C305</f>
        <v>Trực bão lũ</v>
      </c>
      <c r="D1060" s="13" t="str">
        <f>DTCT!D305</f>
        <v>40km/năm</v>
      </c>
      <c r="E1060" s="137"/>
      <c r="F1060" s="856"/>
      <c r="G1060" s="138"/>
    </row>
    <row r="1061" spans="1:7" ht="18" customHeight="1">
      <c r="A1061" s="13"/>
      <c r="B1061" s="13"/>
      <c r="C1061" s="1028" t="s">
        <v>47</v>
      </c>
      <c r="D1061" s="246" t="s">
        <v>55</v>
      </c>
      <c r="E1061" s="248"/>
      <c r="F1061" s="856"/>
      <c r="G1061" s="391">
        <f>G1062</f>
        <v>30655360</v>
      </c>
    </row>
    <row r="1062" spans="1:7" ht="18" customHeight="1">
      <c r="A1062" s="13"/>
      <c r="B1062" s="13"/>
      <c r="C1062" s="458" t="s">
        <v>292</v>
      </c>
      <c r="D1062" s="246" t="s">
        <v>30</v>
      </c>
      <c r="E1062" s="248">
        <v>160</v>
      </c>
      <c r="F1062" s="856">
        <f>F981</f>
        <v>191596</v>
      </c>
      <c r="G1062" s="190">
        <f>E1062*F1062</f>
        <v>30655360</v>
      </c>
    </row>
    <row r="1063" spans="1:7" ht="36" customHeight="1">
      <c r="A1063" s="13">
        <f>DTCT!A306</f>
        <v>5</v>
      </c>
      <c r="B1063" s="13" t="str">
        <f>DTCT!B306</f>
        <v>QLD.10610</v>
      </c>
      <c r="C1063" s="289" t="str">
        <f>DTCT!C306</f>
        <v>Quản lý hành lang an toàn đường bộ và đấu nối</v>
      </c>
      <c r="D1063" s="13" t="str">
        <f>DTCT!D306</f>
        <v>1km/năm</v>
      </c>
      <c r="E1063" s="137"/>
      <c r="F1063" s="856"/>
      <c r="G1063" s="138"/>
    </row>
    <row r="1064" spans="1:7" ht="18" customHeight="1">
      <c r="A1064" s="13"/>
      <c r="B1064" s="13"/>
      <c r="C1064" s="1028" t="s">
        <v>47</v>
      </c>
      <c r="D1064" s="246" t="s">
        <v>55</v>
      </c>
      <c r="E1064" s="248"/>
      <c r="F1064" s="856"/>
      <c r="G1064" s="391">
        <f>G1065</f>
        <v>402116</v>
      </c>
    </row>
    <row r="1065" spans="1:7" ht="18" customHeight="1">
      <c r="A1065" s="13"/>
      <c r="B1065" s="13"/>
      <c r="C1065" s="458" t="s">
        <v>399</v>
      </c>
      <c r="D1065" s="246" t="s">
        <v>30</v>
      </c>
      <c r="E1065" s="248">
        <v>2</v>
      </c>
      <c r="F1065" s="856">
        <f>F984</f>
        <v>201058</v>
      </c>
      <c r="G1065" s="190">
        <f>E1065*F1065</f>
        <v>402116</v>
      </c>
    </row>
    <row r="1066" spans="1:7" ht="18" customHeight="1">
      <c r="A1066" s="13">
        <f>DTCT!A307</f>
        <v>6</v>
      </c>
      <c r="B1066" s="13" t="str">
        <f>DTCT!B307</f>
        <v>BDD.20410</v>
      </c>
      <c r="C1066" s="289" t="str">
        <f>DTCT!C307</f>
        <v>Cắt cỏ bằng máy</v>
      </c>
      <c r="D1066" s="13" t="str">
        <f>DTCT!D307</f>
        <v>1km/1lần</v>
      </c>
      <c r="E1066" s="137"/>
      <c r="F1066" s="856"/>
      <c r="G1066" s="138"/>
    </row>
    <row r="1067" spans="1:7" ht="18" customHeight="1">
      <c r="A1067" s="13"/>
      <c r="B1067" s="13"/>
      <c r="C1067" s="1028" t="s">
        <v>48</v>
      </c>
      <c r="D1067" s="246" t="s">
        <v>55</v>
      </c>
      <c r="E1067" s="247"/>
      <c r="F1067" s="856"/>
      <c r="G1067" s="391">
        <f>G1068</f>
        <v>8000</v>
      </c>
    </row>
    <row r="1068" spans="1:7" ht="18" customHeight="1">
      <c r="A1068" s="13"/>
      <c r="B1068" s="13"/>
      <c r="C1068" s="384" t="s">
        <v>400</v>
      </c>
      <c r="D1068" s="246" t="s">
        <v>411</v>
      </c>
      <c r="E1068" s="248">
        <v>0.2</v>
      </c>
      <c r="F1068" s="856">
        <f>F987</f>
        <v>40000</v>
      </c>
      <c r="G1068" s="190">
        <f>E1068*F1068</f>
        <v>8000</v>
      </c>
    </row>
    <row r="1069" spans="1:7" ht="18" customHeight="1">
      <c r="A1069" s="13"/>
      <c r="B1069" s="13"/>
      <c r="C1069" s="1028" t="s">
        <v>49</v>
      </c>
      <c r="D1069" s="246" t="s">
        <v>55</v>
      </c>
      <c r="E1069" s="247"/>
      <c r="F1069" s="856"/>
      <c r="G1069" s="391">
        <f>G1070</f>
        <v>49341.599999999999</v>
      </c>
    </row>
    <row r="1070" spans="1:7" ht="18" customHeight="1">
      <c r="A1070" s="13"/>
      <c r="B1070" s="13"/>
      <c r="C1070" s="384" t="s">
        <v>1017</v>
      </c>
      <c r="D1070" s="246" t="s">
        <v>291</v>
      </c>
      <c r="E1070" s="248">
        <v>0.9</v>
      </c>
      <c r="F1070" s="856">
        <f>F989</f>
        <v>54824</v>
      </c>
      <c r="G1070" s="190">
        <f>E1070*F1070</f>
        <v>49341.599999999999</v>
      </c>
    </row>
    <row r="1071" spans="1:7" ht="18" customHeight="1">
      <c r="A1071" s="13">
        <f>DTCT!A308</f>
        <v>7</v>
      </c>
      <c r="B1071" s="13" t="str">
        <f>DTCT!B308</f>
        <v>BDD.20510</v>
      </c>
      <c r="C1071" s="289" t="str">
        <f>DTCT!C308</f>
        <v>Phát quang cây cỏ bằng thủ công</v>
      </c>
      <c r="D1071" s="13" t="str">
        <f>DTCT!D308</f>
        <v>1km/1lần</v>
      </c>
      <c r="E1071" s="137"/>
      <c r="F1071" s="856"/>
      <c r="G1071" s="138"/>
    </row>
    <row r="1072" spans="1:7" ht="18" customHeight="1">
      <c r="A1072" s="13"/>
      <c r="B1072" s="13"/>
      <c r="C1072" s="1028" t="s">
        <v>47</v>
      </c>
      <c r="D1072" s="246" t="s">
        <v>55</v>
      </c>
      <c r="E1072" s="248"/>
      <c r="F1072" s="856"/>
      <c r="G1072" s="391">
        <f>G1073</f>
        <v>899226.24</v>
      </c>
    </row>
    <row r="1073" spans="1:7" ht="18" customHeight="1">
      <c r="A1073" s="13"/>
      <c r="B1073" s="13"/>
      <c r="C1073" s="1029" t="s">
        <v>398</v>
      </c>
      <c r="D1073" s="1025" t="s">
        <v>30</v>
      </c>
      <c r="E1073" s="1026">
        <v>5.28</v>
      </c>
      <c r="F1073" s="856">
        <f>F992</f>
        <v>170308</v>
      </c>
      <c r="G1073" s="190">
        <f>E1073*F1073</f>
        <v>899226.24</v>
      </c>
    </row>
    <row r="1074" spans="1:7" ht="18" customHeight="1">
      <c r="A1074" s="13">
        <f>DTCT!A309</f>
        <v>8</v>
      </c>
      <c r="B1074" s="13" t="str">
        <f>DTCT!B309</f>
        <v>BDD.20712</v>
      </c>
      <c r="C1074" s="289" t="str">
        <f>DTCT!C309</f>
        <v>Vét rãnh kín bằng thủ công</v>
      </c>
      <c r="D1074" s="13" t="str">
        <f>DTCT!D309</f>
        <v>10m</v>
      </c>
      <c r="E1074" s="137"/>
      <c r="F1074" s="856"/>
      <c r="G1074" s="138"/>
    </row>
    <row r="1075" spans="1:7" ht="18" customHeight="1">
      <c r="A1075" s="13"/>
      <c r="B1075" s="13"/>
      <c r="C1075" s="1028" t="s">
        <v>47</v>
      </c>
      <c r="D1075" s="246" t="s">
        <v>55</v>
      </c>
      <c r="E1075" s="248"/>
      <c r="F1075" s="856"/>
      <c r="G1075" s="391">
        <f>G1076</f>
        <v>67173.796999999991</v>
      </c>
    </row>
    <row r="1076" spans="1:7" ht="18" customHeight="1">
      <c r="A1076" s="13"/>
      <c r="B1076" s="13"/>
      <c r="C1076" s="458" t="s">
        <v>403</v>
      </c>
      <c r="D1076" s="246" t="s">
        <v>30</v>
      </c>
      <c r="E1076" s="248">
        <v>0.36099999999999999</v>
      </c>
      <c r="F1076" s="856">
        <f>F1015</f>
        <v>186077</v>
      </c>
      <c r="G1076" s="190">
        <f>E1076*F1076</f>
        <v>67173.796999999991</v>
      </c>
    </row>
    <row r="1077" spans="1:7" ht="18" customHeight="1">
      <c r="A1077" s="13">
        <f>DTCT!A310</f>
        <v>9</v>
      </c>
      <c r="B1077" s="13" t="str">
        <f>DTCT!B310</f>
        <v>BDD.22310</v>
      </c>
      <c r="C1077" s="289" t="str">
        <f>DTCT!C310</f>
        <v>Nắn sửa cọc tiêu, cọc MLG</v>
      </c>
      <c r="D1077" s="13" t="str">
        <f>DTCT!D310</f>
        <v>1 cọc</v>
      </c>
      <c r="E1077" s="137"/>
      <c r="F1077" s="856"/>
      <c r="G1077" s="138"/>
    </row>
    <row r="1078" spans="1:7" ht="18" customHeight="1">
      <c r="A1078" s="13"/>
      <c r="B1078" s="13"/>
      <c r="C1078" s="1028" t="s">
        <v>47</v>
      </c>
      <c r="D1078" s="246" t="s">
        <v>55</v>
      </c>
      <c r="E1078" s="248"/>
      <c r="F1078" s="856"/>
      <c r="G1078" s="391">
        <f>G1079</f>
        <v>10218.48</v>
      </c>
    </row>
    <row r="1079" spans="1:7" ht="18" customHeight="1">
      <c r="A1079" s="13"/>
      <c r="B1079" s="13"/>
      <c r="C1079" s="458" t="s">
        <v>398</v>
      </c>
      <c r="D1079" s="246" t="s">
        <v>30</v>
      </c>
      <c r="E1079" s="248">
        <v>0.06</v>
      </c>
      <c r="F1079" s="856">
        <f>F875</f>
        <v>170308</v>
      </c>
      <c r="G1079" s="190">
        <f>E1079*F1079</f>
        <v>10218.48</v>
      </c>
    </row>
    <row r="1080" spans="1:7" ht="18" customHeight="1">
      <c r="A1080" s="13">
        <f>DTCT!A311</f>
        <v>10</v>
      </c>
      <c r="B1080" s="13" t="str">
        <f>DTCT!B311</f>
        <v>BDD.22410</v>
      </c>
      <c r="C1080" s="289" t="str">
        <f>DTCT!C311</f>
        <v>Nắn sửa cột Km</v>
      </c>
      <c r="D1080" s="13" t="str">
        <f>DTCT!D311</f>
        <v>1 cột</v>
      </c>
      <c r="E1080" s="137"/>
      <c r="F1080" s="856"/>
      <c r="G1080" s="138"/>
    </row>
    <row r="1081" spans="1:7" ht="18" customHeight="1">
      <c r="A1081" s="13"/>
      <c r="B1081" s="13"/>
      <c r="C1081" s="1028" t="s">
        <v>47</v>
      </c>
      <c r="D1081" s="246" t="s">
        <v>55</v>
      </c>
      <c r="E1081" s="248"/>
      <c r="F1081" s="856"/>
      <c r="G1081" s="391">
        <f>G1082</f>
        <v>20436.96</v>
      </c>
    </row>
    <row r="1082" spans="1:7" ht="18" customHeight="1">
      <c r="A1082" s="13"/>
      <c r="B1082" s="13"/>
      <c r="C1082" s="458" t="s">
        <v>398</v>
      </c>
      <c r="D1082" s="246" t="s">
        <v>30</v>
      </c>
      <c r="E1082" s="248">
        <v>0.12</v>
      </c>
      <c r="F1082" s="856">
        <f>F878</f>
        <v>170308</v>
      </c>
      <c r="G1082" s="190">
        <f>E1082*F1082</f>
        <v>20436.96</v>
      </c>
    </row>
    <row r="1083" spans="1:7" ht="18" customHeight="1">
      <c r="A1083" s="13">
        <f>DTCT!A312</f>
        <v>11</v>
      </c>
      <c r="B1083" s="13" t="str">
        <f>DTCT!B312</f>
        <v>BDD.22510</v>
      </c>
      <c r="C1083" s="289" t="str">
        <f>DTCT!C312</f>
        <v>Nắn chỉnh, tu sửa biển báo</v>
      </c>
      <c r="D1083" s="13" t="str">
        <f>DTCT!D312</f>
        <v>1 cột</v>
      </c>
      <c r="E1083" s="137"/>
      <c r="F1083" s="856"/>
      <c r="G1083" s="138"/>
    </row>
    <row r="1084" spans="1:7" ht="18" customHeight="1">
      <c r="A1084" s="13"/>
      <c r="B1084" s="13"/>
      <c r="C1084" s="1028" t="s">
        <v>47</v>
      </c>
      <c r="D1084" s="246" t="s">
        <v>55</v>
      </c>
      <c r="E1084" s="248"/>
      <c r="F1084" s="856"/>
      <c r="G1084" s="391">
        <f>G1085</f>
        <v>38319.300000000003</v>
      </c>
    </row>
    <row r="1085" spans="1:7" ht="18" customHeight="1">
      <c r="A1085" s="13"/>
      <c r="B1085" s="13"/>
      <c r="C1085" s="458" t="s">
        <v>398</v>
      </c>
      <c r="D1085" s="246" t="s">
        <v>30</v>
      </c>
      <c r="E1085" s="248">
        <v>0.22500000000000001</v>
      </c>
      <c r="F1085" s="856">
        <f>F881</f>
        <v>170308</v>
      </c>
      <c r="G1085" s="190">
        <f>E1085*F1085</f>
        <v>38319.300000000003</v>
      </c>
    </row>
    <row r="1086" spans="1:7" ht="18" customHeight="1">
      <c r="A1086" s="13">
        <f>+DTCT!A313</f>
        <v>12</v>
      </c>
      <c r="B1086" s="13" t="str">
        <f>+DTCT!B313</f>
        <v>BDD.22910</v>
      </c>
      <c r="C1086" s="289" t="str">
        <f>+DTCT!C313</f>
        <v>Vệ sinh mặt biển phản quang</v>
      </c>
      <c r="D1086" s="13" t="str">
        <f>+DTCT!D313</f>
        <v>m2</v>
      </c>
      <c r="E1086" s="248"/>
      <c r="F1086" s="856"/>
      <c r="G1086" s="190"/>
    </row>
    <row r="1087" spans="1:7" ht="18" customHeight="1">
      <c r="A1087" s="13"/>
      <c r="B1087" s="13"/>
      <c r="C1087" s="1028" t="s">
        <v>47</v>
      </c>
      <c r="D1087" s="246" t="s">
        <v>55</v>
      </c>
      <c r="E1087" s="248"/>
      <c r="F1087" s="856"/>
      <c r="G1087" s="391">
        <f>G1088</f>
        <v>9579.8000000000011</v>
      </c>
    </row>
    <row r="1088" spans="1:7" ht="18" customHeight="1">
      <c r="A1088" s="13"/>
      <c r="B1088" s="13"/>
      <c r="C1088" s="458" t="s">
        <v>292</v>
      </c>
      <c r="D1088" s="246" t="s">
        <v>30</v>
      </c>
      <c r="E1088" s="248">
        <v>0.05</v>
      </c>
      <c r="F1088" s="856">
        <f>F1009</f>
        <v>191596</v>
      </c>
      <c r="G1088" s="190">
        <f>E1088*F1088</f>
        <v>9579.8000000000011</v>
      </c>
    </row>
    <row r="1089" spans="1:7" ht="30" customHeight="1">
      <c r="A1089" s="13"/>
      <c r="B1089" s="13"/>
      <c r="C1089" s="287" t="str">
        <f>DTCT!C314</f>
        <v>CÔNG TÁC BẢO DƯỠNG CẦU L &lt;= 300M</v>
      </c>
      <c r="D1089" s="13"/>
      <c r="E1089" s="137"/>
      <c r="F1089" s="856"/>
      <c r="G1089" s="138"/>
    </row>
    <row r="1090" spans="1:7" ht="18" customHeight="1">
      <c r="A1090" s="13">
        <f>DTCT!A315</f>
        <v>13</v>
      </c>
      <c r="B1090" s="13" t="str">
        <f>DTCT!B315</f>
        <v>BDC.20610</v>
      </c>
      <c r="C1090" s="289" t="str">
        <f>DTCT!C315</f>
        <v>Vệ sinh mặt cầu, ống thoát nước</v>
      </c>
      <c r="D1090" s="13" t="str">
        <f>DTCT!D315</f>
        <v>10m2</v>
      </c>
      <c r="E1090" s="137"/>
      <c r="F1090" s="856"/>
      <c r="G1090" s="138"/>
    </row>
    <row r="1091" spans="1:7" ht="18" customHeight="1">
      <c r="A1091" s="13"/>
      <c r="B1091" s="13"/>
      <c r="C1091" s="1028" t="s">
        <v>48</v>
      </c>
      <c r="D1091" s="246" t="s">
        <v>55</v>
      </c>
      <c r="E1091" s="247"/>
      <c r="F1091" s="856"/>
      <c r="G1091" s="391">
        <f>G1092</f>
        <v>2</v>
      </c>
    </row>
    <row r="1092" spans="1:7" ht="18" customHeight="1">
      <c r="A1092" s="13"/>
      <c r="B1092" s="13"/>
      <c r="C1092" s="384" t="s">
        <v>401</v>
      </c>
      <c r="D1092" s="246" t="s">
        <v>402</v>
      </c>
      <c r="E1092" s="248">
        <v>1E-4</v>
      </c>
      <c r="F1092" s="856">
        <f>F1013</f>
        <v>20000</v>
      </c>
      <c r="G1092" s="190">
        <f>E1092*F1092</f>
        <v>2</v>
      </c>
    </row>
    <row r="1093" spans="1:7" ht="18" customHeight="1">
      <c r="A1093" s="13"/>
      <c r="B1093" s="13"/>
      <c r="C1093" s="1028" t="s">
        <v>47</v>
      </c>
      <c r="D1093" s="246" t="s">
        <v>55</v>
      </c>
      <c r="E1093" s="248"/>
      <c r="F1093" s="856"/>
      <c r="G1093" s="391">
        <f>G1094</f>
        <v>8931.6959999999999</v>
      </c>
    </row>
    <row r="1094" spans="1:7" ht="18" customHeight="1">
      <c r="A1094" s="13"/>
      <c r="B1094" s="13"/>
      <c r="C1094" s="458" t="s">
        <v>403</v>
      </c>
      <c r="D1094" s="246" t="s">
        <v>30</v>
      </c>
      <c r="E1094" s="248">
        <v>4.8000000000000001E-2</v>
      </c>
      <c r="F1094" s="856">
        <f>F1015</f>
        <v>186077</v>
      </c>
      <c r="G1094" s="190">
        <f>E1094*F1094</f>
        <v>8931.6959999999999</v>
      </c>
    </row>
    <row r="1095" spans="1:7" ht="18" customHeight="1">
      <c r="A1095" s="13">
        <f>DTCT!A316</f>
        <v>14</v>
      </c>
      <c r="B1095" s="13" t="str">
        <f>DTCT!B316</f>
        <v>BDC.20910</v>
      </c>
      <c r="C1095" s="289" t="str">
        <f>DTCT!C316</f>
        <v>Vệ sinh khe co dãn cao su</v>
      </c>
      <c r="D1095" s="13" t="str">
        <f>DTCT!D316</f>
        <v>1md</v>
      </c>
      <c r="E1095" s="137"/>
      <c r="F1095" s="856"/>
      <c r="G1095" s="138"/>
    </row>
    <row r="1096" spans="1:7" ht="18" customHeight="1">
      <c r="A1096" s="13"/>
      <c r="B1096" s="13"/>
      <c r="C1096" s="1028" t="s">
        <v>47</v>
      </c>
      <c r="D1096" s="246" t="s">
        <v>55</v>
      </c>
      <c r="E1096" s="248"/>
      <c r="F1096" s="856"/>
      <c r="G1096" s="391">
        <f>G1097</f>
        <v>11580.944000000001</v>
      </c>
    </row>
    <row r="1097" spans="1:7" ht="18" customHeight="1">
      <c r="A1097" s="13"/>
      <c r="B1097" s="13"/>
      <c r="C1097" s="458" t="s">
        <v>398</v>
      </c>
      <c r="D1097" s="246" t="s">
        <v>30</v>
      </c>
      <c r="E1097" s="248">
        <v>6.8000000000000005E-2</v>
      </c>
      <c r="F1097" s="856">
        <f>F1018</f>
        <v>170308</v>
      </c>
      <c r="G1097" s="190">
        <f>E1097*F1097</f>
        <v>11580.944000000001</v>
      </c>
    </row>
    <row r="1098" spans="1:7" ht="18" customHeight="1">
      <c r="A1098" s="13">
        <f>DTCT!A317</f>
        <v>15</v>
      </c>
      <c r="B1098" s="13" t="str">
        <f>DTCT!B317</f>
        <v>BDC.21010</v>
      </c>
      <c r="C1098" s="289" t="str">
        <f>DTCT!C317</f>
        <v>Vệ sinh mố cầu</v>
      </c>
      <c r="D1098" s="13" t="str">
        <f>DTCT!D317</f>
        <v>m2</v>
      </c>
      <c r="E1098" s="137"/>
      <c r="F1098" s="856"/>
      <c r="G1098" s="138"/>
    </row>
    <row r="1099" spans="1:7" ht="18" customHeight="1">
      <c r="A1099" s="13"/>
      <c r="B1099" s="13"/>
      <c r="C1099" s="1028" t="s">
        <v>47</v>
      </c>
      <c r="D1099" s="246" t="s">
        <v>55</v>
      </c>
      <c r="E1099" s="248"/>
      <c r="F1099" s="856"/>
      <c r="G1099" s="391">
        <f>G1100</f>
        <v>86218.2</v>
      </c>
    </row>
    <row r="1100" spans="1:7" ht="18" customHeight="1">
      <c r="A1100" s="13"/>
      <c r="B1100" s="13"/>
      <c r="C1100" s="458" t="s">
        <v>292</v>
      </c>
      <c r="D1100" s="246" t="s">
        <v>30</v>
      </c>
      <c r="E1100" s="248">
        <v>0.45</v>
      </c>
      <c r="F1100" s="856">
        <f>F1021</f>
        <v>191596</v>
      </c>
      <c r="G1100" s="190">
        <f>E1100*F1100</f>
        <v>86218.2</v>
      </c>
    </row>
    <row r="1101" spans="1:7" ht="18" customHeight="1">
      <c r="A1101" s="13">
        <f>DTCT!A318</f>
        <v>16</v>
      </c>
      <c r="B1101" s="13" t="str">
        <f>DTCT!B318</f>
        <v>BDC.21710</v>
      </c>
      <c r="C1101" s="289" t="str">
        <f>DTCT!C318</f>
        <v>Phát quang cây dại</v>
      </c>
      <c r="D1101" s="13" t="str">
        <f>DTCT!D318</f>
        <v>100m2</v>
      </c>
      <c r="E1101" s="137"/>
      <c r="F1101" s="856"/>
      <c r="G1101" s="138"/>
    </row>
    <row r="1102" spans="1:7" ht="18" customHeight="1">
      <c r="A1102" s="13"/>
      <c r="B1102" s="13"/>
      <c r="C1102" s="1028" t="s">
        <v>47</v>
      </c>
      <c r="D1102" s="246" t="s">
        <v>55</v>
      </c>
      <c r="E1102" s="248"/>
      <c r="F1102" s="856"/>
      <c r="G1102" s="391">
        <f>G1103</f>
        <v>729940.08799999987</v>
      </c>
    </row>
    <row r="1103" spans="1:7" ht="18" customHeight="1">
      <c r="A1103" s="13"/>
      <c r="B1103" s="13"/>
      <c r="C1103" s="458" t="s">
        <v>398</v>
      </c>
      <c r="D1103" s="246" t="s">
        <v>30</v>
      </c>
      <c r="E1103" s="248">
        <v>4.2859999999999996</v>
      </c>
      <c r="F1103" s="856">
        <f>F1024</f>
        <v>170308</v>
      </c>
      <c r="G1103" s="190">
        <f>E1103*F1103</f>
        <v>729940.08799999987</v>
      </c>
    </row>
    <row r="1104" spans="1:7" ht="30" customHeight="1">
      <c r="A1104" s="13"/>
      <c r="B1104" s="13"/>
      <c r="C1104" s="287" t="str">
        <f>DTCT!C319</f>
        <v>CÔNG TÁC QUẢN LÝ CẦU L &lt;= 300M</v>
      </c>
      <c r="D1104" s="13"/>
      <c r="E1104" s="137"/>
      <c r="F1104" s="856"/>
      <c r="G1104" s="138"/>
    </row>
    <row r="1105" spans="1:7" ht="18" customHeight="1">
      <c r="A1105" s="13"/>
      <c r="B1105" s="13"/>
      <c r="C1105" s="287" t="str">
        <f>DTCT!C320</f>
        <v>Cầu &lt; 50m</v>
      </c>
      <c r="D1105" s="13"/>
      <c r="E1105" s="137"/>
      <c r="F1105" s="856"/>
      <c r="G1105" s="138"/>
    </row>
    <row r="1106" spans="1:7" ht="18" customHeight="1">
      <c r="A1106" s="13">
        <f>DTCT!A321</f>
        <v>17</v>
      </c>
      <c r="B1106" s="13" t="str">
        <f>DTCT!B321</f>
        <v>QLC.10140</v>
      </c>
      <c r="C1106" s="289" t="str">
        <f>DTCT!C321</f>
        <v>Kiểm tra cầu</v>
      </c>
      <c r="D1106" s="13" t="str">
        <f>DTCT!D321</f>
        <v>cầu/năm</v>
      </c>
      <c r="E1106" s="137"/>
      <c r="F1106" s="856"/>
      <c r="G1106" s="138"/>
    </row>
    <row r="1107" spans="1:7" ht="18" customHeight="1">
      <c r="A1107" s="13"/>
      <c r="B1107" s="13"/>
      <c r="C1107" s="1028" t="s">
        <v>48</v>
      </c>
      <c r="D1107" s="246" t="s">
        <v>55</v>
      </c>
      <c r="E1107" s="247"/>
      <c r="F1107" s="856"/>
      <c r="G1107" s="391">
        <f>G1108+G1109</f>
        <v>39000</v>
      </c>
    </row>
    <row r="1108" spans="1:7" ht="18" customHeight="1">
      <c r="A1108" s="13"/>
      <c r="B1108" s="13"/>
      <c r="C1108" s="384" t="s">
        <v>404</v>
      </c>
      <c r="D1108" s="246" t="s">
        <v>405</v>
      </c>
      <c r="E1108" s="248">
        <v>1</v>
      </c>
      <c r="F1108" s="856">
        <f>F180</f>
        <v>3000</v>
      </c>
      <c r="G1108" s="190">
        <f>E1108*F1108</f>
        <v>3000</v>
      </c>
    </row>
    <row r="1109" spans="1:7" ht="18" customHeight="1">
      <c r="A1109" s="13"/>
      <c r="B1109" s="13"/>
      <c r="C1109" s="384" t="s">
        <v>406</v>
      </c>
      <c r="D1109" s="246" t="s">
        <v>17</v>
      </c>
      <c r="E1109" s="248">
        <v>12</v>
      </c>
      <c r="F1109" s="856">
        <f>F181</f>
        <v>3000</v>
      </c>
      <c r="G1109" s="190">
        <f>E1109*F1109</f>
        <v>36000</v>
      </c>
    </row>
    <row r="1110" spans="1:7" ht="18" customHeight="1">
      <c r="A1110" s="13"/>
      <c r="B1110" s="13"/>
      <c r="C1110" s="1028" t="s">
        <v>47</v>
      </c>
      <c r="D1110" s="246" t="s">
        <v>55</v>
      </c>
      <c r="E1110" s="248"/>
      <c r="F1110" s="856"/>
      <c r="G1110" s="391">
        <f>G1111</f>
        <v>804232</v>
      </c>
    </row>
    <row r="1111" spans="1:7" ht="18" customHeight="1">
      <c r="A1111" s="13"/>
      <c r="B1111" s="13"/>
      <c r="C1111" s="458" t="s">
        <v>399</v>
      </c>
      <c r="D1111" s="246" t="s">
        <v>30</v>
      </c>
      <c r="E1111" s="248">
        <v>4</v>
      </c>
      <c r="F1111" s="856">
        <f>F183</f>
        <v>201058</v>
      </c>
      <c r="G1111" s="190">
        <f>E1111*F1111</f>
        <v>804232</v>
      </c>
    </row>
    <row r="1112" spans="1:7" ht="18" customHeight="1">
      <c r="A1112" s="13">
        <f>DTCT!A322</f>
        <v>18</v>
      </c>
      <c r="B1112" s="13" t="str">
        <f>DTCT!B322</f>
        <v>QLC.10340</v>
      </c>
      <c r="C1112" s="289" t="str">
        <f>DTCT!C322</f>
        <v>Kiểm tra trước và sau mùa mưa bão</v>
      </c>
      <c r="D1112" s="13" t="str">
        <f>DTCT!D322</f>
        <v>cầu/năm</v>
      </c>
      <c r="E1112" s="137"/>
      <c r="F1112" s="856"/>
      <c r="G1112" s="138"/>
    </row>
    <row r="1113" spans="1:7" ht="18" customHeight="1">
      <c r="A1113" s="13"/>
      <c r="B1113" s="13"/>
      <c r="C1113" s="1028" t="s">
        <v>48</v>
      </c>
      <c r="D1113" s="246" t="s">
        <v>55</v>
      </c>
      <c r="E1113" s="247"/>
      <c r="F1113" s="856"/>
      <c r="G1113" s="391">
        <f>G1114+G1115</f>
        <v>6501</v>
      </c>
    </row>
    <row r="1114" spans="1:7" ht="18" customHeight="1">
      <c r="A1114" s="13"/>
      <c r="B1114" s="13"/>
      <c r="C1114" s="384" t="s">
        <v>404</v>
      </c>
      <c r="D1114" s="246" t="s">
        <v>405</v>
      </c>
      <c r="E1114" s="248">
        <v>0.16700000000000001</v>
      </c>
      <c r="F1114" s="856">
        <f>F186</f>
        <v>3000</v>
      </c>
      <c r="G1114" s="190">
        <f>E1114*F1114</f>
        <v>501.00000000000006</v>
      </c>
    </row>
    <row r="1115" spans="1:7" ht="18" customHeight="1">
      <c r="A1115" s="13"/>
      <c r="B1115" s="13"/>
      <c r="C1115" s="384" t="s">
        <v>406</v>
      </c>
      <c r="D1115" s="246" t="s">
        <v>17</v>
      </c>
      <c r="E1115" s="248">
        <v>2</v>
      </c>
      <c r="F1115" s="856">
        <f>F187</f>
        <v>3000</v>
      </c>
      <c r="G1115" s="190">
        <f>E1115*F1115</f>
        <v>6000</v>
      </c>
    </row>
    <row r="1116" spans="1:7" ht="18" customHeight="1">
      <c r="A1116" s="13"/>
      <c r="B1116" s="13"/>
      <c r="C1116" s="1028" t="s">
        <v>47</v>
      </c>
      <c r="D1116" s="246" t="s">
        <v>55</v>
      </c>
      <c r="E1116" s="248"/>
      <c r="F1116" s="856"/>
      <c r="G1116" s="391">
        <f>G1117</f>
        <v>201058</v>
      </c>
    </row>
    <row r="1117" spans="1:7" ht="18" customHeight="1">
      <c r="A1117" s="13"/>
      <c r="B1117" s="13"/>
      <c r="C1117" s="458" t="s">
        <v>399</v>
      </c>
      <c r="D1117" s="246" t="s">
        <v>30</v>
      </c>
      <c r="E1117" s="248">
        <v>1</v>
      </c>
      <c r="F1117" s="856">
        <f>F189</f>
        <v>201058</v>
      </c>
      <c r="G1117" s="190">
        <f>E1117*F1117</f>
        <v>201058</v>
      </c>
    </row>
    <row r="1118" spans="1:7" ht="18" customHeight="1">
      <c r="A1118" s="13">
        <f>DTCT!A323</f>
        <v>19</v>
      </c>
      <c r="B1118" s="13" t="str">
        <f>DTCT!B323</f>
        <v>QLC.10440</v>
      </c>
      <c r="C1118" s="289" t="str">
        <f>DTCT!C323</f>
        <v>Quản lý hồ sơ trên vi tính</v>
      </c>
      <c r="D1118" s="13" t="str">
        <f>DTCT!D323</f>
        <v>cầu/năm</v>
      </c>
      <c r="E1118" s="137"/>
      <c r="F1118" s="856"/>
      <c r="G1118" s="138"/>
    </row>
    <row r="1119" spans="1:7" ht="18" customHeight="1">
      <c r="A1119" s="13"/>
      <c r="B1119" s="13"/>
      <c r="C1119" s="1028" t="s">
        <v>47</v>
      </c>
      <c r="D1119" s="246" t="s">
        <v>55</v>
      </c>
      <c r="E1119" s="248"/>
      <c r="F1119" s="856"/>
      <c r="G1119" s="391">
        <f>G1120</f>
        <v>237327</v>
      </c>
    </row>
    <row r="1120" spans="1:7" ht="18" customHeight="1">
      <c r="A1120" s="13"/>
      <c r="B1120" s="13"/>
      <c r="C1120" s="458" t="s">
        <v>394</v>
      </c>
      <c r="D1120" s="246" t="s">
        <v>30</v>
      </c>
      <c r="E1120" s="248">
        <v>1</v>
      </c>
      <c r="F1120" s="856">
        <f>F192</f>
        <v>237327</v>
      </c>
      <c r="G1120" s="190">
        <f>E1120*F1120</f>
        <v>237327</v>
      </c>
    </row>
    <row r="1121" spans="1:7" ht="18" customHeight="1">
      <c r="A1121" s="13"/>
      <c r="B1121" s="13"/>
      <c r="C1121" s="287" t="str">
        <f>DTCT!C324</f>
        <v>Cầu 50m - 100m</v>
      </c>
      <c r="D1121" s="13"/>
      <c r="E1121" s="137"/>
      <c r="F1121" s="856"/>
      <c r="G1121" s="138"/>
    </row>
    <row r="1122" spans="1:7" ht="18" customHeight="1">
      <c r="A1122" s="13">
        <f>DTCT!A325</f>
        <v>20</v>
      </c>
      <c r="B1122" s="13" t="str">
        <f>DTCT!B325</f>
        <v>QLC.10130</v>
      </c>
      <c r="C1122" s="289" t="str">
        <f>DTCT!C325</f>
        <v>Kiểm tra cầu</v>
      </c>
      <c r="D1122" s="13" t="str">
        <f>DTCT!D325</f>
        <v>cầu/năm</v>
      </c>
      <c r="E1122" s="137"/>
      <c r="F1122" s="856"/>
      <c r="G1122" s="138"/>
    </row>
    <row r="1123" spans="1:7" ht="18" customHeight="1">
      <c r="A1123" s="13"/>
      <c r="B1123" s="13"/>
      <c r="C1123" s="1028" t="s">
        <v>48</v>
      </c>
      <c r="D1123" s="246" t="s">
        <v>55</v>
      </c>
      <c r="E1123" s="247"/>
      <c r="F1123" s="856"/>
      <c r="G1123" s="391">
        <f>G1124+G1125</f>
        <v>45000</v>
      </c>
    </row>
    <row r="1124" spans="1:7" ht="18" customHeight="1">
      <c r="A1124" s="13"/>
      <c r="B1124" s="13"/>
      <c r="C1124" s="384" t="s">
        <v>404</v>
      </c>
      <c r="D1124" s="246" t="s">
        <v>405</v>
      </c>
      <c r="E1124" s="248">
        <v>3</v>
      </c>
      <c r="F1124" s="856">
        <f>F196</f>
        <v>3000</v>
      </c>
      <c r="G1124" s="190">
        <f>E1124*F1124</f>
        <v>9000</v>
      </c>
    </row>
    <row r="1125" spans="1:7" ht="18" customHeight="1">
      <c r="A1125" s="13"/>
      <c r="B1125" s="13"/>
      <c r="C1125" s="384" t="s">
        <v>406</v>
      </c>
      <c r="D1125" s="246" t="s">
        <v>17</v>
      </c>
      <c r="E1125" s="248">
        <v>12</v>
      </c>
      <c r="F1125" s="856">
        <f>F197</f>
        <v>3000</v>
      </c>
      <c r="G1125" s="190">
        <f>E1125*F1125</f>
        <v>36000</v>
      </c>
    </row>
    <row r="1126" spans="1:7" ht="18" customHeight="1">
      <c r="A1126" s="13"/>
      <c r="B1126" s="13"/>
      <c r="C1126" s="1028" t="s">
        <v>47</v>
      </c>
      <c r="D1126" s="246" t="s">
        <v>55</v>
      </c>
      <c r="E1126" s="248"/>
      <c r="F1126" s="856"/>
      <c r="G1126" s="391">
        <f>G1127</f>
        <v>2412696</v>
      </c>
    </row>
    <row r="1127" spans="1:7" ht="18" customHeight="1">
      <c r="A1127" s="13"/>
      <c r="B1127" s="13"/>
      <c r="C1127" s="458" t="s">
        <v>399</v>
      </c>
      <c r="D1127" s="246" t="s">
        <v>30</v>
      </c>
      <c r="E1127" s="248">
        <v>12</v>
      </c>
      <c r="F1127" s="856">
        <f>F199</f>
        <v>201058</v>
      </c>
      <c r="G1127" s="190">
        <f>E1127*F1127</f>
        <v>2412696</v>
      </c>
    </row>
    <row r="1128" spans="1:7" ht="18" customHeight="1">
      <c r="A1128" s="13">
        <f>DTCT!A326</f>
        <v>21</v>
      </c>
      <c r="B1128" s="13" t="str">
        <f>DTCT!B326</f>
        <v>QLC.10330</v>
      </c>
      <c r="C1128" s="289" t="str">
        <f>DTCT!C326</f>
        <v>Kiểm tra trước và sau mùa mưa bão</v>
      </c>
      <c r="D1128" s="13" t="str">
        <f>DTCT!D326</f>
        <v>cầu/năm</v>
      </c>
      <c r="E1128" s="137"/>
      <c r="F1128" s="856"/>
      <c r="G1128" s="138"/>
    </row>
    <row r="1129" spans="1:7" ht="18" customHeight="1">
      <c r="A1129" s="13"/>
      <c r="B1129" s="13"/>
      <c r="C1129" s="1028" t="s">
        <v>48</v>
      </c>
      <c r="D1129" s="246" t="s">
        <v>55</v>
      </c>
      <c r="E1129" s="247"/>
      <c r="F1129" s="856"/>
      <c r="G1129" s="391">
        <f>G1130+G1131</f>
        <v>7500</v>
      </c>
    </row>
    <row r="1130" spans="1:7" ht="18" customHeight="1">
      <c r="A1130" s="13"/>
      <c r="B1130" s="13"/>
      <c r="C1130" s="384" t="s">
        <v>404</v>
      </c>
      <c r="D1130" s="246" t="s">
        <v>405</v>
      </c>
      <c r="E1130" s="248">
        <v>0.5</v>
      </c>
      <c r="F1130" s="856">
        <f>F202</f>
        <v>3000</v>
      </c>
      <c r="G1130" s="190">
        <f>E1130*F1130</f>
        <v>1500</v>
      </c>
    </row>
    <row r="1131" spans="1:7" ht="18" customHeight="1">
      <c r="A1131" s="13"/>
      <c r="B1131" s="13"/>
      <c r="C1131" s="384" t="s">
        <v>406</v>
      </c>
      <c r="D1131" s="246" t="s">
        <v>17</v>
      </c>
      <c r="E1131" s="248">
        <v>2</v>
      </c>
      <c r="F1131" s="856">
        <f>F203</f>
        <v>3000</v>
      </c>
      <c r="G1131" s="190">
        <f>E1131*F1131</f>
        <v>6000</v>
      </c>
    </row>
    <row r="1132" spans="1:7" ht="18" customHeight="1">
      <c r="A1132" s="13"/>
      <c r="B1132" s="13"/>
      <c r="C1132" s="1028" t="s">
        <v>47</v>
      </c>
      <c r="D1132" s="246" t="s">
        <v>55</v>
      </c>
      <c r="E1132" s="248"/>
      <c r="F1132" s="856"/>
      <c r="G1132" s="391">
        <f>G1133</f>
        <v>402116</v>
      </c>
    </row>
    <row r="1133" spans="1:7" ht="18" customHeight="1">
      <c r="A1133" s="13"/>
      <c r="B1133" s="13"/>
      <c r="C1133" s="458" t="s">
        <v>399</v>
      </c>
      <c r="D1133" s="246" t="s">
        <v>30</v>
      </c>
      <c r="E1133" s="248">
        <v>2</v>
      </c>
      <c r="F1133" s="856">
        <f>F205</f>
        <v>201058</v>
      </c>
      <c r="G1133" s="190">
        <f>E1133*F1133</f>
        <v>402116</v>
      </c>
    </row>
    <row r="1134" spans="1:7" ht="18" customHeight="1">
      <c r="A1134" s="13"/>
      <c r="B1134" s="13"/>
      <c r="C1134" s="1028" t="s">
        <v>49</v>
      </c>
      <c r="D1134" s="246" t="s">
        <v>55</v>
      </c>
      <c r="E1134" s="247"/>
      <c r="F1134" s="856"/>
      <c r="G1134" s="391">
        <f>G1135</f>
        <v>378931</v>
      </c>
    </row>
    <row r="1135" spans="1:7" ht="18" customHeight="1">
      <c r="A1135" s="13"/>
      <c r="B1135" s="13"/>
      <c r="C1135" s="384" t="s">
        <v>407</v>
      </c>
      <c r="D1135" s="246" t="s">
        <v>291</v>
      </c>
      <c r="E1135" s="248">
        <v>1</v>
      </c>
      <c r="F1135" s="856">
        <f>F207</f>
        <v>378931</v>
      </c>
      <c r="G1135" s="190">
        <f>E1135*F1135</f>
        <v>378931</v>
      </c>
    </row>
    <row r="1136" spans="1:7" ht="18" customHeight="1">
      <c r="A1136" s="13">
        <f>DTCT!A327</f>
        <v>22</v>
      </c>
      <c r="B1136" s="13" t="str">
        <f>DTCT!B327</f>
        <v>QLC.10430</v>
      </c>
      <c r="C1136" s="289" t="str">
        <f>DTCT!C327</f>
        <v>Quản lý hồ sơ trên vi tính</v>
      </c>
      <c r="D1136" s="13" t="str">
        <f>DTCT!D327</f>
        <v>cầu/năm</v>
      </c>
      <c r="E1136" s="137"/>
      <c r="F1136" s="856"/>
      <c r="G1136" s="138"/>
    </row>
    <row r="1137" spans="1:7" ht="18" customHeight="1">
      <c r="A1137" s="13"/>
      <c r="B1137" s="13"/>
      <c r="C1137" s="1028" t="s">
        <v>47</v>
      </c>
      <c r="D1137" s="246" t="s">
        <v>55</v>
      </c>
      <c r="E1137" s="248"/>
      <c r="F1137" s="856"/>
      <c r="G1137" s="391">
        <f>G1138</f>
        <v>237327</v>
      </c>
    </row>
    <row r="1138" spans="1:7" ht="18" customHeight="1">
      <c r="A1138" s="13"/>
      <c r="B1138" s="13"/>
      <c r="C1138" s="458" t="s">
        <v>394</v>
      </c>
      <c r="D1138" s="246" t="s">
        <v>30</v>
      </c>
      <c r="E1138" s="248">
        <v>1</v>
      </c>
      <c r="F1138" s="856">
        <f>F210</f>
        <v>237327</v>
      </c>
      <c r="G1138" s="190">
        <f>E1138*F1138</f>
        <v>237327</v>
      </c>
    </row>
    <row r="1139" spans="1:7" ht="18" customHeight="1">
      <c r="A1139" s="13"/>
      <c r="B1139" s="13"/>
      <c r="C1139" s="287" t="str">
        <f>DTCT!C328</f>
        <v>Cầu 100m - 200m</v>
      </c>
      <c r="D1139" s="13">
        <f>DTCT!D328</f>
        <v>0</v>
      </c>
      <c r="E1139" s="137"/>
      <c r="F1139" s="856"/>
      <c r="G1139" s="138"/>
    </row>
    <row r="1140" spans="1:7" ht="18" customHeight="1">
      <c r="A1140" s="13">
        <f>DTCT!A329</f>
        <v>23</v>
      </c>
      <c r="B1140" s="13" t="str">
        <f>DTCT!B329</f>
        <v>QLC.10120</v>
      </c>
      <c r="C1140" s="289" t="str">
        <f>DTCT!C329</f>
        <v>Kiểm tra cầu</v>
      </c>
      <c r="D1140" s="13" t="str">
        <f>DTCT!D329</f>
        <v>cầu/năm</v>
      </c>
      <c r="E1140" s="137"/>
      <c r="F1140" s="856"/>
      <c r="G1140" s="138"/>
    </row>
    <row r="1141" spans="1:7" ht="18" customHeight="1">
      <c r="A1141" s="13"/>
      <c r="B1141" s="13"/>
      <c r="C1141" s="1028" t="s">
        <v>48</v>
      </c>
      <c r="D1141" s="246" t="s">
        <v>55</v>
      </c>
      <c r="E1141" s="247"/>
      <c r="F1141" s="856"/>
      <c r="G1141" s="391">
        <f>G1142+G1143</f>
        <v>51000</v>
      </c>
    </row>
    <row r="1142" spans="1:7" ht="18" customHeight="1">
      <c r="A1142" s="13"/>
      <c r="B1142" s="13"/>
      <c r="C1142" s="384" t="s">
        <v>404</v>
      </c>
      <c r="D1142" s="246" t="s">
        <v>405</v>
      </c>
      <c r="E1142" s="248">
        <v>5</v>
      </c>
      <c r="F1142" s="856">
        <f>F214</f>
        <v>3000</v>
      </c>
      <c r="G1142" s="190">
        <f>E1142*F1142</f>
        <v>15000</v>
      </c>
    </row>
    <row r="1143" spans="1:7" ht="18" customHeight="1">
      <c r="A1143" s="13"/>
      <c r="B1143" s="13"/>
      <c r="C1143" s="384" t="s">
        <v>406</v>
      </c>
      <c r="D1143" s="246" t="s">
        <v>17</v>
      </c>
      <c r="E1143" s="248">
        <v>12</v>
      </c>
      <c r="F1143" s="856">
        <f>F215</f>
        <v>3000</v>
      </c>
      <c r="G1143" s="190">
        <f>E1143*F1143</f>
        <v>36000</v>
      </c>
    </row>
    <row r="1144" spans="1:7" ht="18" customHeight="1">
      <c r="A1144" s="13"/>
      <c r="B1144" s="13"/>
      <c r="C1144" s="1028" t="s">
        <v>47</v>
      </c>
      <c r="D1144" s="246" t="s">
        <v>55</v>
      </c>
      <c r="E1144" s="248"/>
      <c r="F1144" s="856"/>
      <c r="G1144" s="391">
        <f>G1145</f>
        <v>7238088</v>
      </c>
    </row>
    <row r="1145" spans="1:7" ht="18" customHeight="1">
      <c r="A1145" s="13"/>
      <c r="B1145" s="13"/>
      <c r="C1145" s="458" t="s">
        <v>399</v>
      </c>
      <c r="D1145" s="246" t="s">
        <v>30</v>
      </c>
      <c r="E1145" s="248">
        <v>36</v>
      </c>
      <c r="F1145" s="856">
        <f>F217</f>
        <v>201058</v>
      </c>
      <c r="G1145" s="190">
        <f>E1145*F1145</f>
        <v>7238088</v>
      </c>
    </row>
    <row r="1146" spans="1:7" ht="18" customHeight="1">
      <c r="A1146" s="13">
        <f>DTCT!A330</f>
        <v>24</v>
      </c>
      <c r="B1146" s="13" t="str">
        <f>DTCT!B330</f>
        <v>QLC.10320</v>
      </c>
      <c r="C1146" s="289" t="str">
        <f>DTCT!C330</f>
        <v>Kiểm tra trước và sau mùa mưa bão</v>
      </c>
      <c r="D1146" s="13" t="str">
        <f>DTCT!D330</f>
        <v>cầu/năm</v>
      </c>
      <c r="E1146" s="137"/>
      <c r="F1146" s="856"/>
      <c r="G1146" s="138"/>
    </row>
    <row r="1147" spans="1:7" ht="18" customHeight="1">
      <c r="A1147" s="13"/>
      <c r="B1147" s="13"/>
      <c r="C1147" s="1028" t="s">
        <v>48</v>
      </c>
      <c r="D1147" s="246" t="s">
        <v>55</v>
      </c>
      <c r="E1147" s="247"/>
      <c r="F1147" s="856"/>
      <c r="G1147" s="391">
        <f>G1148+G1149</f>
        <v>8499</v>
      </c>
    </row>
    <row r="1148" spans="1:7" ht="18" customHeight="1">
      <c r="A1148" s="13"/>
      <c r="B1148" s="13"/>
      <c r="C1148" s="384" t="s">
        <v>404</v>
      </c>
      <c r="D1148" s="246" t="s">
        <v>405</v>
      </c>
      <c r="E1148" s="248">
        <v>0.83299999999999996</v>
      </c>
      <c r="F1148" s="856">
        <f>F220</f>
        <v>3000</v>
      </c>
      <c r="G1148" s="190">
        <f>E1148*F1148</f>
        <v>2499</v>
      </c>
    </row>
    <row r="1149" spans="1:7" ht="18" customHeight="1">
      <c r="A1149" s="13"/>
      <c r="B1149" s="13"/>
      <c r="C1149" s="384" t="s">
        <v>406</v>
      </c>
      <c r="D1149" s="246" t="s">
        <v>17</v>
      </c>
      <c r="E1149" s="248">
        <v>2</v>
      </c>
      <c r="F1149" s="856">
        <f>F221</f>
        <v>3000</v>
      </c>
      <c r="G1149" s="190">
        <f>E1149*F1149</f>
        <v>6000</v>
      </c>
    </row>
    <row r="1150" spans="1:7" ht="18" customHeight="1">
      <c r="A1150" s="13"/>
      <c r="B1150" s="13"/>
      <c r="C1150" s="1028" t="s">
        <v>47</v>
      </c>
      <c r="D1150" s="246" t="s">
        <v>55</v>
      </c>
      <c r="E1150" s="248"/>
      <c r="F1150" s="856"/>
      <c r="G1150" s="391">
        <f>G1151</f>
        <v>804232</v>
      </c>
    </row>
    <row r="1151" spans="1:7" ht="18" customHeight="1">
      <c r="A1151" s="13"/>
      <c r="B1151" s="13"/>
      <c r="C1151" s="458" t="s">
        <v>399</v>
      </c>
      <c r="D1151" s="246" t="s">
        <v>30</v>
      </c>
      <c r="E1151" s="248">
        <v>4</v>
      </c>
      <c r="F1151" s="856">
        <f>F223</f>
        <v>201058</v>
      </c>
      <c r="G1151" s="190">
        <f>E1151*F1151</f>
        <v>804232</v>
      </c>
    </row>
    <row r="1152" spans="1:7" ht="18" customHeight="1">
      <c r="A1152" s="13"/>
      <c r="B1152" s="13"/>
      <c r="C1152" s="1028" t="s">
        <v>49</v>
      </c>
      <c r="D1152" s="246" t="s">
        <v>55</v>
      </c>
      <c r="E1152" s="247"/>
      <c r="F1152" s="856"/>
      <c r="G1152" s="391">
        <f>G1153</f>
        <v>2107028</v>
      </c>
    </row>
    <row r="1153" spans="1:7" ht="18" customHeight="1">
      <c r="A1153" s="13"/>
      <c r="B1153" s="13"/>
      <c r="C1153" s="384" t="s">
        <v>407</v>
      </c>
      <c r="D1153" s="246" t="s">
        <v>291</v>
      </c>
      <c r="E1153" s="248">
        <v>2</v>
      </c>
      <c r="F1153" s="856">
        <f>F225</f>
        <v>1053514</v>
      </c>
      <c r="G1153" s="190">
        <f>E1153*F1153</f>
        <v>2107028</v>
      </c>
    </row>
    <row r="1154" spans="1:7" ht="18" customHeight="1">
      <c r="A1154" s="13">
        <f>DTCT!A331</f>
        <v>25</v>
      </c>
      <c r="B1154" s="13" t="str">
        <f>DTCT!B331</f>
        <v>QLC.10420</v>
      </c>
      <c r="C1154" s="289" t="str">
        <f>DTCT!C331</f>
        <v>Quản lý hồ sơ trên vi tính</v>
      </c>
      <c r="D1154" s="13" t="str">
        <f>DTCT!D331</f>
        <v>cầu/năm</v>
      </c>
      <c r="E1154" s="137"/>
      <c r="F1154" s="856"/>
      <c r="G1154" s="138"/>
    </row>
    <row r="1155" spans="1:7" ht="18" customHeight="1">
      <c r="A1155" s="13"/>
      <c r="B1155" s="13"/>
      <c r="C1155" s="1028" t="s">
        <v>47</v>
      </c>
      <c r="D1155" s="246" t="s">
        <v>55</v>
      </c>
      <c r="E1155" s="248"/>
      <c r="F1155" s="856"/>
      <c r="G1155" s="391">
        <f>G1156</f>
        <v>474654</v>
      </c>
    </row>
    <row r="1156" spans="1:7" ht="18" customHeight="1">
      <c r="A1156" s="290"/>
      <c r="B1156" s="290"/>
      <c r="C1156" s="1030" t="s">
        <v>394</v>
      </c>
      <c r="D1156" s="250" t="s">
        <v>30</v>
      </c>
      <c r="E1156" s="302">
        <v>2</v>
      </c>
      <c r="F1156" s="858">
        <f>F228</f>
        <v>237327</v>
      </c>
      <c r="G1156" s="191">
        <f>E1156*F1156</f>
        <v>474654</v>
      </c>
    </row>
    <row r="1157" spans="1:7" ht="29.25" customHeight="1">
      <c r="A1157" s="297" t="str">
        <f>DTCT!A332</f>
        <v>B</v>
      </c>
      <c r="B1157" s="297"/>
      <c r="C1157" s="1031" t="str">
        <f>DTCT!C332</f>
        <v>CÔNG TÁC QUẢN LÝ BẢO TRÌ ĐƯỜNG THỦY NỘI ĐỊA</v>
      </c>
      <c r="D1157" s="299"/>
      <c r="E1157" s="300"/>
      <c r="F1157" s="859"/>
      <c r="G1157" s="301"/>
    </row>
    <row r="1158" spans="1:7" ht="28.5" customHeight="1">
      <c r="A1158" s="13">
        <f>DTCT!A333</f>
        <v>1</v>
      </c>
      <c r="B1158" s="13" t="str">
        <f>DTCT!B333</f>
        <v>2.02.3</v>
      </c>
      <c r="C1158" s="289" t="str">
        <f>DTCT!C333</f>
        <v>Điều chỉnh phao trụ Ø1000</v>
      </c>
      <c r="D1158" s="13" t="str">
        <f>DTCT!D333</f>
        <v>lần/năm/quả</v>
      </c>
      <c r="E1158" s="137"/>
      <c r="F1158" s="856"/>
      <c r="G1158" s="138"/>
    </row>
    <row r="1159" spans="1:7" ht="18" customHeight="1">
      <c r="A1159" s="13"/>
      <c r="B1159" s="13"/>
      <c r="C1159" s="1028" t="s">
        <v>47</v>
      </c>
      <c r="D1159" s="246" t="s">
        <v>55</v>
      </c>
      <c r="E1159" s="247"/>
      <c r="F1159" s="856"/>
      <c r="G1159" s="391">
        <f>G1160</f>
        <v>228617.25599999999</v>
      </c>
    </row>
    <row r="1160" spans="1:7" ht="18" customHeight="1">
      <c r="A1160" s="13"/>
      <c r="B1160" s="13"/>
      <c r="C1160" s="458" t="s">
        <v>408</v>
      </c>
      <c r="D1160" s="246" t="s">
        <v>30</v>
      </c>
      <c r="E1160" s="247">
        <v>1.0429999999999999</v>
      </c>
      <c r="F1160" s="856">
        <v>219192</v>
      </c>
      <c r="G1160" s="190">
        <f>E1160*F1160</f>
        <v>228617.25599999999</v>
      </c>
    </row>
    <row r="1161" spans="1:7" ht="18" customHeight="1">
      <c r="A1161" s="13"/>
      <c r="B1161" s="13"/>
      <c r="C1161" s="1028" t="s">
        <v>49</v>
      </c>
      <c r="D1161" s="246" t="s">
        <v>55</v>
      </c>
      <c r="E1161" s="247"/>
      <c r="F1161" s="856"/>
      <c r="G1161" s="391">
        <f>G1162</f>
        <v>772191.01</v>
      </c>
    </row>
    <row r="1162" spans="1:7" ht="18" customHeight="1">
      <c r="A1162" s="13"/>
      <c r="B1162" s="13"/>
      <c r="C1162" s="384" t="s">
        <v>409</v>
      </c>
      <c r="D1162" s="246" t="s">
        <v>291</v>
      </c>
      <c r="E1162" s="247">
        <v>0.29799999999999999</v>
      </c>
      <c r="F1162" s="1148">
        <v>2591245</v>
      </c>
      <c r="G1162" s="190">
        <f>E1162*F1162</f>
        <v>772191.01</v>
      </c>
    </row>
    <row r="1163" spans="1:7" ht="28.5" customHeight="1">
      <c r="A1163" s="13">
        <f>DTCT!A334</f>
        <v>2</v>
      </c>
      <c r="B1163" s="13" t="str">
        <f>DTCT!B334</f>
        <v>2.02.5</v>
      </c>
      <c r="C1163" s="289" t="str">
        <f>DTCT!C334</f>
        <v>Điều chỉnh phao trụ Ø1300</v>
      </c>
      <c r="D1163" s="13" t="str">
        <f>DTCT!D334</f>
        <v>lần/năm/quả</v>
      </c>
      <c r="E1163" s="137"/>
      <c r="F1163" s="856"/>
      <c r="G1163" s="138"/>
    </row>
    <row r="1164" spans="1:7" ht="18" customHeight="1">
      <c r="A1164" s="13"/>
      <c r="B1164" s="13"/>
      <c r="C1164" s="1028" t="s">
        <v>47</v>
      </c>
      <c r="D1164" s="246" t="s">
        <v>55</v>
      </c>
      <c r="E1164" s="247"/>
      <c r="F1164" s="856"/>
      <c r="G1164" s="391">
        <f>G1165</f>
        <v>327187.89840000001</v>
      </c>
    </row>
    <row r="1165" spans="1:7" ht="18" customHeight="1">
      <c r="A1165" s="13"/>
      <c r="B1165" s="13"/>
      <c r="C1165" s="458" t="s">
        <v>408</v>
      </c>
      <c r="D1165" s="246" t="s">
        <v>30</v>
      </c>
      <c r="E1165" s="247">
        <v>1.4926999999999999</v>
      </c>
      <c r="F1165" s="856">
        <f>F1160</f>
        <v>219192</v>
      </c>
      <c r="G1165" s="190">
        <f>E1165*F1165</f>
        <v>327187.89840000001</v>
      </c>
    </row>
    <row r="1166" spans="1:7" ht="18" customHeight="1">
      <c r="A1166" s="13"/>
      <c r="B1166" s="13"/>
      <c r="C1166" s="1028" t="s">
        <v>49</v>
      </c>
      <c r="D1166" s="246" t="s">
        <v>55</v>
      </c>
      <c r="E1166" s="247"/>
      <c r="F1166" s="856"/>
      <c r="G1166" s="391">
        <f>G1167</f>
        <v>1105425.1169999999</v>
      </c>
    </row>
    <row r="1167" spans="1:7" ht="18" customHeight="1">
      <c r="A1167" s="13"/>
      <c r="B1167" s="13"/>
      <c r="C1167" s="384" t="s">
        <v>409</v>
      </c>
      <c r="D1167" s="246" t="s">
        <v>291</v>
      </c>
      <c r="E1167" s="247">
        <v>0.42659999999999998</v>
      </c>
      <c r="F1167" s="1148">
        <v>2591245</v>
      </c>
      <c r="G1167" s="190">
        <f>E1167*F1167</f>
        <v>1105425.1169999999</v>
      </c>
    </row>
    <row r="1168" spans="1:7" ht="28.5" customHeight="1">
      <c r="A1168" s="13">
        <f>DTCT!A335</f>
        <v>3</v>
      </c>
      <c r="B1168" s="13" t="str">
        <f>DTCT!B335</f>
        <v>2.03.3</v>
      </c>
      <c r="C1168" s="289" t="str">
        <f>DTCT!C335</f>
        <v>Chống bồi rùa phao trụ Ø1000</v>
      </c>
      <c r="D1168" s="13" t="str">
        <f>DTCT!D335</f>
        <v>lần/năm/quả</v>
      </c>
      <c r="E1168" s="137"/>
      <c r="F1168" s="856"/>
      <c r="G1168" s="138"/>
    </row>
    <row r="1169" spans="1:7" ht="18" customHeight="1">
      <c r="A1169" s="13"/>
      <c r="B1169" s="13"/>
      <c r="C1169" s="1028" t="s">
        <v>47</v>
      </c>
      <c r="D1169" s="246" t="s">
        <v>55</v>
      </c>
      <c r="E1169" s="247"/>
      <c r="F1169" s="856"/>
      <c r="G1169" s="391">
        <f>G1170</f>
        <v>111612.5664</v>
      </c>
    </row>
    <row r="1170" spans="1:7" ht="18" customHeight="1">
      <c r="A1170" s="13"/>
      <c r="B1170" s="13"/>
      <c r="C1170" s="458" t="s">
        <v>408</v>
      </c>
      <c r="D1170" s="246" t="s">
        <v>30</v>
      </c>
      <c r="E1170" s="247">
        <v>0.50919999999999999</v>
      </c>
      <c r="F1170" s="856">
        <f>F1160</f>
        <v>219192</v>
      </c>
      <c r="G1170" s="190">
        <f>E1170*F1170</f>
        <v>111612.5664</v>
      </c>
    </row>
    <row r="1171" spans="1:7" ht="18" customHeight="1">
      <c r="A1171" s="13"/>
      <c r="B1171" s="13"/>
      <c r="C1171" s="1028" t="s">
        <v>49</v>
      </c>
      <c r="D1171" s="246" t="s">
        <v>55</v>
      </c>
      <c r="E1171" s="247"/>
      <c r="F1171" s="856"/>
      <c r="G1171" s="391">
        <f>G1172</f>
        <v>377026.14749999996</v>
      </c>
    </row>
    <row r="1172" spans="1:7" ht="18" customHeight="1">
      <c r="A1172" s="13"/>
      <c r="B1172" s="13"/>
      <c r="C1172" s="384" t="s">
        <v>409</v>
      </c>
      <c r="D1172" s="246" t="s">
        <v>291</v>
      </c>
      <c r="E1172" s="247">
        <v>0.14549999999999999</v>
      </c>
      <c r="F1172" s="1148">
        <v>2591245</v>
      </c>
      <c r="G1172" s="190">
        <f>E1172*F1172</f>
        <v>377026.14749999996</v>
      </c>
    </row>
    <row r="1173" spans="1:7" ht="34.5" customHeight="1">
      <c r="A1173" s="13">
        <f>DTCT!A336</f>
        <v>4</v>
      </c>
      <c r="B1173" s="13" t="str">
        <f>DTCT!B336</f>
        <v>2.03.5</v>
      </c>
      <c r="C1173" s="289" t="str">
        <f>DTCT!C336</f>
        <v>Chống bồi rùa phao trụ Ø1300</v>
      </c>
      <c r="D1173" s="13" t="str">
        <f>DTCT!D336</f>
        <v>lần/năm/quả</v>
      </c>
      <c r="E1173" s="137"/>
      <c r="F1173" s="856"/>
      <c r="G1173" s="138"/>
    </row>
    <row r="1174" spans="1:7" ht="18" customHeight="1">
      <c r="A1174" s="13"/>
      <c r="B1174" s="13"/>
      <c r="C1174" s="1028" t="s">
        <v>47</v>
      </c>
      <c r="D1174" s="246" t="s">
        <v>55</v>
      </c>
      <c r="E1174" s="247"/>
      <c r="F1174" s="856"/>
      <c r="G1174" s="391">
        <f>G1175</f>
        <v>151900.05599999998</v>
      </c>
    </row>
    <row r="1175" spans="1:7" ht="18" customHeight="1">
      <c r="A1175" s="13"/>
      <c r="B1175" s="13"/>
      <c r="C1175" s="458" t="s">
        <v>408</v>
      </c>
      <c r="D1175" s="246" t="s">
        <v>30</v>
      </c>
      <c r="E1175" s="247">
        <v>0.69299999999999995</v>
      </c>
      <c r="F1175" s="856">
        <f>F1160</f>
        <v>219192</v>
      </c>
      <c r="G1175" s="190">
        <f>E1175*F1175</f>
        <v>151900.05599999998</v>
      </c>
    </row>
    <row r="1176" spans="1:7" ht="18" customHeight="1">
      <c r="A1176" s="13"/>
      <c r="B1176" s="13"/>
      <c r="C1176" s="1028" t="s">
        <v>49</v>
      </c>
      <c r="D1176" s="246" t="s">
        <v>55</v>
      </c>
      <c r="E1176" s="247"/>
      <c r="F1176" s="856"/>
      <c r="G1176" s="391">
        <f>G1177</f>
        <v>513066.51</v>
      </c>
    </row>
    <row r="1177" spans="1:7" ht="18" customHeight="1">
      <c r="A1177" s="13"/>
      <c r="B1177" s="13"/>
      <c r="C1177" s="384" t="s">
        <v>409</v>
      </c>
      <c r="D1177" s="246" t="s">
        <v>291</v>
      </c>
      <c r="E1177" s="247">
        <v>0.19800000000000001</v>
      </c>
      <c r="F1177" s="1148">
        <v>2591245</v>
      </c>
      <c r="G1177" s="190">
        <f>E1177*F1177</f>
        <v>513066.51</v>
      </c>
    </row>
    <row r="1178" spans="1:7" ht="33.75" customHeight="1">
      <c r="A1178" s="13">
        <f>DTCT!A337</f>
        <v>5</v>
      </c>
      <c r="B1178" s="13" t="str">
        <f>DTCT!B337</f>
        <v>3.12.68</v>
      </c>
      <c r="C1178" s="289" t="str">
        <f>DTCT!C337</f>
        <v>Trực phòng chống thiên tai</v>
      </c>
      <c r="D1178" s="13" t="str">
        <f>DTCT!D337</f>
        <v>lần/năm/trạm</v>
      </c>
      <c r="E1178" s="137"/>
      <c r="F1178" s="856"/>
      <c r="G1178" s="138"/>
    </row>
    <row r="1179" spans="1:7" ht="18" customHeight="1">
      <c r="A1179" s="13"/>
      <c r="B1179" s="13"/>
      <c r="C1179" s="1028" t="s">
        <v>47</v>
      </c>
      <c r="D1179" s="246" t="s">
        <v>55</v>
      </c>
      <c r="E1179" s="247"/>
      <c r="F1179" s="856"/>
      <c r="G1179" s="391">
        <f>G1180</f>
        <v>1095960</v>
      </c>
    </row>
    <row r="1180" spans="1:7" ht="18" customHeight="1">
      <c r="A1180" s="13"/>
      <c r="B1180" s="13"/>
      <c r="C1180" s="458" t="s">
        <v>408</v>
      </c>
      <c r="D1180" s="246" t="s">
        <v>30</v>
      </c>
      <c r="E1180" s="247">
        <v>5</v>
      </c>
      <c r="F1180" s="856">
        <f>F1160</f>
        <v>219192</v>
      </c>
      <c r="G1180" s="190">
        <f>E1180*F1180</f>
        <v>1095960</v>
      </c>
    </row>
    <row r="1181" spans="1:7" ht="27" customHeight="1">
      <c r="A1181" s="13">
        <f>DTCT!A338</f>
        <v>6</v>
      </c>
      <c r="B1181" s="13" t="str">
        <f>DTCT!B338</f>
        <v>3.12.69</v>
      </c>
      <c r="C1181" s="289" t="str">
        <f>DTCT!C338</f>
        <v>Trong coi tàu công tác</v>
      </c>
      <c r="D1181" s="13" t="str">
        <f>DTCT!D338</f>
        <v>tàu/vị trí/năm</v>
      </c>
      <c r="E1181" s="137"/>
      <c r="F1181" s="856"/>
      <c r="G1181" s="138"/>
    </row>
    <row r="1182" spans="1:7" ht="18" customHeight="1">
      <c r="A1182" s="13"/>
      <c r="B1182" s="13"/>
      <c r="C1182" s="1028" t="s">
        <v>47</v>
      </c>
      <c r="D1182" s="246" t="s">
        <v>55</v>
      </c>
      <c r="E1182" s="247"/>
      <c r="F1182" s="856"/>
      <c r="G1182" s="391">
        <f>G1183</f>
        <v>80005080</v>
      </c>
    </row>
    <row r="1183" spans="1:7" ht="18" customHeight="1">
      <c r="A1183" s="13"/>
      <c r="B1183" s="13"/>
      <c r="C1183" s="458" t="s">
        <v>408</v>
      </c>
      <c r="D1183" s="246" t="s">
        <v>30</v>
      </c>
      <c r="E1183" s="247">
        <v>365</v>
      </c>
      <c r="F1183" s="856">
        <f>F1160</f>
        <v>219192</v>
      </c>
      <c r="G1183" s="190">
        <f>E1183*F1183</f>
        <v>80005080</v>
      </c>
    </row>
    <row r="1184" spans="1:7" ht="28.5" customHeight="1">
      <c r="A1184" s="13">
        <f>DTCT!A339</f>
        <v>7</v>
      </c>
      <c r="B1184" s="13" t="str">
        <f>DTCT!B339</f>
        <v>3.12.71</v>
      </c>
      <c r="C1184" s="289" t="str">
        <f>DTCT!C339</f>
        <v>Phát quang cây cối che khuất báo hiệu</v>
      </c>
      <c r="D1184" s="13" t="str">
        <f>DTCT!D339</f>
        <v>lần/năm/cột</v>
      </c>
      <c r="E1184" s="137"/>
      <c r="F1184" s="856"/>
      <c r="G1184" s="138"/>
    </row>
    <row r="1185" spans="1:7" ht="18" customHeight="1">
      <c r="A1185" s="13"/>
      <c r="B1185" s="13"/>
      <c r="C1185" s="1028" t="s">
        <v>47</v>
      </c>
      <c r="D1185" s="246" t="s">
        <v>55</v>
      </c>
      <c r="E1185" s="247"/>
      <c r="F1185" s="856"/>
      <c r="G1185" s="391">
        <f>G1186</f>
        <v>43838.400000000001</v>
      </c>
    </row>
    <row r="1186" spans="1:7" ht="18" customHeight="1">
      <c r="A1186" s="189"/>
      <c r="B1186" s="310"/>
      <c r="C1186" s="1030" t="s">
        <v>408</v>
      </c>
      <c r="D1186" s="250" t="s">
        <v>30</v>
      </c>
      <c r="E1186" s="251">
        <v>0.2</v>
      </c>
      <c r="F1186" s="858">
        <f>F1160</f>
        <v>219192</v>
      </c>
      <c r="G1186" s="191">
        <f>E1186*F1186</f>
        <v>43838.400000000001</v>
      </c>
    </row>
    <row r="1187" spans="1:7" ht="18" customHeight="1">
      <c r="A1187" s="864"/>
      <c r="B1187" s="865"/>
      <c r="C1187" s="1033"/>
      <c r="D1187" s="866"/>
      <c r="E1187" s="867"/>
      <c r="F1187" s="868"/>
      <c r="G1187" s="869"/>
    </row>
    <row r="1188" spans="1:7" ht="14.4">
      <c r="A1188" s="1335" t="s">
        <v>996</v>
      </c>
      <c r="B1188" s="1335"/>
      <c r="C1188" s="1335"/>
      <c r="D1188" s="1335"/>
      <c r="E1188" s="1335"/>
      <c r="F1188" s="1335"/>
      <c r="G1188" s="1335"/>
    </row>
    <row r="1189" spans="1:7" ht="14.4">
      <c r="A1189" s="1334" t="s">
        <v>1033</v>
      </c>
      <c r="B1189" s="1334"/>
      <c r="C1189" s="1334"/>
      <c r="D1189" s="1334"/>
      <c r="E1189" s="1334"/>
      <c r="F1189" s="1334"/>
      <c r="G1189" s="1334"/>
    </row>
    <row r="1191" spans="1:7" ht="15.6">
      <c r="D1191" s="1331" t="s">
        <v>960</v>
      </c>
      <c r="E1191" s="1331"/>
      <c r="F1191" s="1331"/>
      <c r="G1191" s="1331"/>
    </row>
    <row r="1192" spans="1:7" ht="16.8">
      <c r="D1192" s="1317" t="s">
        <v>957</v>
      </c>
      <c r="E1192" s="1317"/>
      <c r="F1192" s="1317"/>
      <c r="G1192" s="1317"/>
    </row>
    <row r="1193" spans="1:7" ht="16.8">
      <c r="D1193" s="717"/>
      <c r="E1193" s="717"/>
      <c r="F1193" s="860"/>
      <c r="G1193" s="717"/>
    </row>
    <row r="1194" spans="1:7" ht="16.8">
      <c r="D1194" s="717"/>
      <c r="E1194" s="717"/>
      <c r="F1194" s="860"/>
      <c r="G1194" s="717"/>
    </row>
    <row r="1195" spans="1:7" ht="16.8">
      <c r="D1195" s="717"/>
      <c r="E1195" s="717"/>
      <c r="F1195" s="860"/>
      <c r="G1195" s="717"/>
    </row>
    <row r="1196" spans="1:7" ht="16.8">
      <c r="D1196" s="717"/>
      <c r="E1196" s="717"/>
      <c r="F1196" s="860"/>
      <c r="G1196" s="717"/>
    </row>
    <row r="1197" spans="1:7" ht="16.8">
      <c r="D1197" s="717"/>
      <c r="E1197" s="717"/>
      <c r="F1197" s="860"/>
      <c r="G1197" s="717"/>
    </row>
    <row r="1198" spans="1:7" ht="16.8">
      <c r="D1198" s="717"/>
      <c r="E1198" s="717"/>
      <c r="F1198" s="860"/>
      <c r="G1198" s="717"/>
    </row>
    <row r="1199" spans="1:7" ht="16.8">
      <c r="D1199" s="1317" t="s">
        <v>877</v>
      </c>
      <c r="E1199" s="1317"/>
      <c r="F1199" s="1317"/>
      <c r="G1199" s="1317"/>
    </row>
  </sheetData>
  <mergeCells count="9">
    <mergeCell ref="D1199:G1199"/>
    <mergeCell ref="A3:G3"/>
    <mergeCell ref="A1:G1"/>
    <mergeCell ref="A2:G2"/>
    <mergeCell ref="A4:G4"/>
    <mergeCell ref="D1191:G1191"/>
    <mergeCell ref="D1192:G1192"/>
    <mergeCell ref="A1189:G1189"/>
    <mergeCell ref="A1188:G1188"/>
  </mergeCells>
  <phoneticPr fontId="2" type="noConversion"/>
  <pageMargins left="0.35" right="0.16" top="0.46" bottom="0.36" header="0.2" footer="0.26"/>
  <pageSetup paperSize="9" orientation="portrait" r:id="rId1"/>
  <headerFooter alignWithMargins="0">
    <oddFooter>&amp;R&amp;11Trang &amp;P</oddFooter>
  </headerFooter>
  <ignoredErrors>
    <ignoredError sqref="G11:G22 G53:G54 G62" 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31"/>
  <sheetViews>
    <sheetView topLeftCell="A142" zoomScaleNormal="100" workbookViewId="0">
      <selection activeCell="F358" sqref="F358"/>
    </sheetView>
  </sheetViews>
  <sheetFormatPr defaultColWidth="8.90625" defaultRowHeight="13.8"/>
  <cols>
    <col min="1" max="1" width="5.1796875" style="344" customWidth="1"/>
    <col min="2" max="2" width="21.81640625" style="11" customWidth="1"/>
    <col min="3" max="3" width="7.1796875" style="344" customWidth="1"/>
    <col min="4" max="4" width="12.81640625" style="412" customWidth="1"/>
    <col min="5" max="5" width="11.81640625" style="11" customWidth="1"/>
    <col min="6" max="6" width="12.81640625" style="11" customWidth="1"/>
    <col min="7" max="7" width="11.453125" style="11" customWidth="1"/>
    <col min="8" max="16384" width="8.90625" style="11"/>
  </cols>
  <sheetData>
    <row r="1" spans="1:8" ht="21.9" customHeight="1">
      <c r="A1" s="1314" t="s">
        <v>20</v>
      </c>
      <c r="B1" s="1314"/>
      <c r="C1" s="1314"/>
      <c r="D1" s="1314"/>
      <c r="E1" s="1314"/>
      <c r="F1" s="1314"/>
    </row>
    <row r="2" spans="1:8" ht="18" customHeight="1">
      <c r="A2" s="1318" t="str">
        <f>THKL!A2:D2</f>
        <v>Công trình: Bảo dưỡng thường xuyên cầu, đường bộ, đường thủy nội địa</v>
      </c>
      <c r="B2" s="1318"/>
      <c r="C2" s="1318"/>
      <c r="D2" s="1318"/>
      <c r="E2" s="1318"/>
      <c r="F2" s="1318"/>
    </row>
    <row r="3" spans="1:8" ht="18" customHeight="1">
      <c r="A3" s="1318"/>
      <c r="B3" s="1318"/>
      <c r="C3" s="1318"/>
      <c r="D3" s="1318"/>
      <c r="E3" s="1318"/>
      <c r="F3" s="1318"/>
    </row>
    <row r="4" spans="1:8" ht="24" customHeight="1">
      <c r="A4" s="1318" t="s">
        <v>410</v>
      </c>
      <c r="B4" s="1318"/>
      <c r="C4" s="1318"/>
      <c r="D4" s="1318"/>
      <c r="E4" s="1318"/>
      <c r="F4" s="1318"/>
    </row>
    <row r="5" spans="1:8" ht="38.1" customHeight="1">
      <c r="A5" s="316" t="s">
        <v>2</v>
      </c>
      <c r="B5" s="316" t="s">
        <v>19</v>
      </c>
      <c r="C5" s="316" t="s">
        <v>15</v>
      </c>
      <c r="D5" s="420" t="s">
        <v>13</v>
      </c>
      <c r="E5" s="316" t="s">
        <v>28</v>
      </c>
      <c r="F5" s="27" t="s">
        <v>9</v>
      </c>
    </row>
    <row r="6" spans="1:8">
      <c r="A6" s="276">
        <v>1</v>
      </c>
      <c r="B6" s="263" t="s">
        <v>406</v>
      </c>
      <c r="C6" s="264" t="s">
        <v>17</v>
      </c>
      <c r="D6" s="421">
        <f>SUMIF(PTVT!$C$6:$C$37,THVL!$B$6:$B$11,PTVT!$H$6:$H$37)</f>
        <v>260</v>
      </c>
      <c r="E6" s="422">
        <v>3000</v>
      </c>
      <c r="F6" s="423">
        <f t="shared" ref="F6:F11" si="0">D6*E6</f>
        <v>780000</v>
      </c>
      <c r="H6" s="11">
        <v>3000</v>
      </c>
    </row>
    <row r="7" spans="1:8">
      <c r="A7" s="139">
        <v>2</v>
      </c>
      <c r="B7" s="256" t="s">
        <v>401</v>
      </c>
      <c r="C7" s="257" t="s">
        <v>402</v>
      </c>
      <c r="D7" s="424">
        <f>SUMIF(PTVT!$C$6:$C$37,THVL!$B$6:$B$11,PTVT!$H$6:$H$37)</f>
        <v>4.8893745000000006</v>
      </c>
      <c r="E7" s="425">
        <v>20000</v>
      </c>
      <c r="F7" s="383">
        <f t="shared" si="0"/>
        <v>97787.49</v>
      </c>
      <c r="H7" s="11">
        <v>20000</v>
      </c>
    </row>
    <row r="8" spans="1:8">
      <c r="A8" s="139">
        <v>3</v>
      </c>
      <c r="B8" s="256" t="s">
        <v>395</v>
      </c>
      <c r="C8" s="257" t="s">
        <v>396</v>
      </c>
      <c r="D8" s="424">
        <f>SUMIF(PTVT!$C$6:$C$37,THVL!$B$6:$B$11,PTVT!$H$6:$H$37)</f>
        <v>504</v>
      </c>
      <c r="E8" s="425">
        <v>150</v>
      </c>
      <c r="F8" s="383">
        <f t="shared" si="0"/>
        <v>75600</v>
      </c>
      <c r="H8" s="11">
        <v>150</v>
      </c>
    </row>
    <row r="9" spans="1:8">
      <c r="A9" s="139">
        <v>4</v>
      </c>
      <c r="B9" s="256" t="s">
        <v>400</v>
      </c>
      <c r="C9" s="257" t="s">
        <v>411</v>
      </c>
      <c r="D9" s="424">
        <f>SUMIF(PTVT!$C$6:$C$37,THVL!$B$6:$B$11,PTVT!$H$6:$H$37)</f>
        <v>9.7064780000000006</v>
      </c>
      <c r="E9" s="425">
        <v>40000</v>
      </c>
      <c r="F9" s="383">
        <f t="shared" si="0"/>
        <v>388259.12</v>
      </c>
      <c r="H9" s="11">
        <v>40000</v>
      </c>
    </row>
    <row r="10" spans="1:8">
      <c r="A10" s="139">
        <v>5</v>
      </c>
      <c r="B10" s="256" t="s">
        <v>404</v>
      </c>
      <c r="C10" s="257" t="s">
        <v>405</v>
      </c>
      <c r="D10" s="424">
        <f>SUMIF(PTVT!$C$6:$C$37,THVL!$B$6:$B$11,PTVT!$H$6:$H$37)</f>
        <v>30.337</v>
      </c>
      <c r="E10" s="425">
        <v>3000</v>
      </c>
      <c r="F10" s="383">
        <f t="shared" si="0"/>
        <v>91011</v>
      </c>
      <c r="H10" s="11">
        <v>3000</v>
      </c>
    </row>
    <row r="11" spans="1:8">
      <c r="A11" s="292">
        <v>6</v>
      </c>
      <c r="B11" s="260" t="s">
        <v>393</v>
      </c>
      <c r="C11" s="261" t="s">
        <v>32</v>
      </c>
      <c r="D11" s="426">
        <f>SUMIF(PTVT!$C$6:$C$37,THVL!$B$6:$B$11,PTVT!$H$6:$H$37)</f>
        <v>444.07136850000001</v>
      </c>
      <c r="E11" s="427">
        <v>17472</v>
      </c>
      <c r="F11" s="428">
        <f t="shared" si="0"/>
        <v>7758814.9504319998</v>
      </c>
    </row>
    <row r="12" spans="1:8">
      <c r="A12" s="366"/>
      <c r="B12" s="27" t="s">
        <v>11</v>
      </c>
      <c r="C12" s="366"/>
      <c r="D12" s="429"/>
      <c r="E12" s="368"/>
      <c r="F12" s="430">
        <f>SUM(F6:F11)</f>
        <v>9191472.5604320001</v>
      </c>
    </row>
    <row r="14" spans="1:8" ht="24" customHeight="1">
      <c r="A14" s="1336" t="s">
        <v>412</v>
      </c>
      <c r="B14" s="1336"/>
      <c r="C14" s="1336"/>
      <c r="D14" s="1336"/>
      <c r="E14" s="1336"/>
      <c r="F14" s="1336"/>
    </row>
    <row r="15" spans="1:8" ht="27.6">
      <c r="A15" s="316" t="s">
        <v>2</v>
      </c>
      <c r="B15" s="316" t="s">
        <v>19</v>
      </c>
      <c r="C15" s="316" t="s">
        <v>15</v>
      </c>
      <c r="D15" s="420" t="s">
        <v>13</v>
      </c>
      <c r="E15" s="316" t="s">
        <v>28</v>
      </c>
      <c r="F15" s="27" t="s">
        <v>9</v>
      </c>
    </row>
    <row r="16" spans="1:8">
      <c r="A16" s="276">
        <v>1</v>
      </c>
      <c r="B16" s="263" t="s">
        <v>397</v>
      </c>
      <c r="C16" s="265" t="s">
        <v>17</v>
      </c>
      <c r="D16" s="421">
        <f>D17+D18</f>
        <v>302</v>
      </c>
      <c r="E16" s="422">
        <v>3000</v>
      </c>
      <c r="F16" s="423">
        <f>E16*D16</f>
        <v>906000</v>
      </c>
    </row>
    <row r="17" spans="1:6" hidden="1">
      <c r="A17" s="139"/>
      <c r="B17" s="256" t="s">
        <v>397</v>
      </c>
      <c r="C17" s="257" t="s">
        <v>17</v>
      </c>
      <c r="D17" s="424">
        <f>SUMIF(PTVT!$C$39:$C$75,THVL!$B$17:$B$23,PTVT!$H$39:$H$75)</f>
        <v>36</v>
      </c>
      <c r="E17" s="384"/>
      <c r="F17" s="383">
        <f t="shared" ref="F17:F23" si="1">E17*D17</f>
        <v>0</v>
      </c>
    </row>
    <row r="18" spans="1:6" hidden="1">
      <c r="A18" s="139"/>
      <c r="B18" s="256" t="s">
        <v>406</v>
      </c>
      <c r="C18" s="257" t="s">
        <v>17</v>
      </c>
      <c r="D18" s="424">
        <f>SUMIF(PTVT!$C$39:$C$75,THVL!$B$17:$B$23,PTVT!$H$39:$H$75)</f>
        <v>266</v>
      </c>
      <c r="E18" s="431"/>
      <c r="F18" s="383">
        <f t="shared" si="1"/>
        <v>0</v>
      </c>
    </row>
    <row r="19" spans="1:6">
      <c r="A19" s="139">
        <v>2</v>
      </c>
      <c r="B19" s="256" t="s">
        <v>401</v>
      </c>
      <c r="C19" s="257" t="s">
        <v>402</v>
      </c>
      <c r="D19" s="424">
        <f>SUMIF(PTVT!$C$39:$C$75,THVL!$B$17:$B$23,PTVT!$H$39:$H$75)</f>
        <v>3.2283441000000006</v>
      </c>
      <c r="E19" s="425">
        <v>20000</v>
      </c>
      <c r="F19" s="383">
        <f t="shared" si="1"/>
        <v>64566.882000000012</v>
      </c>
    </row>
    <row r="20" spans="1:6">
      <c r="A20" s="139">
        <v>3</v>
      </c>
      <c r="B20" s="256" t="s">
        <v>395</v>
      </c>
      <c r="C20" s="257" t="s">
        <v>396</v>
      </c>
      <c r="D20" s="424">
        <f>SUMIF(PTVT!$C$39:$C$75,THVL!$B$17:$B$23,PTVT!$H$39:$H$75)</f>
        <v>504</v>
      </c>
      <c r="E20" s="425">
        <v>150</v>
      </c>
      <c r="F20" s="383">
        <f t="shared" si="1"/>
        <v>75600</v>
      </c>
    </row>
    <row r="21" spans="1:6">
      <c r="A21" s="139">
        <v>4</v>
      </c>
      <c r="B21" s="256" t="s">
        <v>400</v>
      </c>
      <c r="C21" s="262" t="s">
        <v>411</v>
      </c>
      <c r="D21" s="424">
        <f>SUMIF(PTVT!$C$39:$C$75,THVL!$B$17:$B$23,PTVT!$H$39:$H$75)</f>
        <v>6.3472760000000008</v>
      </c>
      <c r="E21" s="425">
        <v>40000</v>
      </c>
      <c r="F21" s="383">
        <f t="shared" si="1"/>
        <v>253891.04000000004</v>
      </c>
    </row>
    <row r="22" spans="1:6">
      <c r="A22" s="139">
        <v>5</v>
      </c>
      <c r="B22" s="256" t="s">
        <v>404</v>
      </c>
      <c r="C22" s="257" t="s">
        <v>405</v>
      </c>
      <c r="D22" s="424">
        <f>SUMIF(PTVT!$C$39:$C$75,THVL!$B$17:$B$23,PTVT!$H$39:$H$75)</f>
        <v>45.503</v>
      </c>
      <c r="E22" s="425">
        <v>3000</v>
      </c>
      <c r="F22" s="383">
        <f t="shared" si="1"/>
        <v>136509</v>
      </c>
    </row>
    <row r="23" spans="1:6">
      <c r="A23" s="292">
        <v>6</v>
      </c>
      <c r="B23" s="260" t="s">
        <v>393</v>
      </c>
      <c r="C23" s="261" t="s">
        <v>32</v>
      </c>
      <c r="D23" s="426">
        <f>SUMIF(PTVT!$C$39:$C$75,THVL!$B$17:$B$23,PTVT!$H$39:$H$75)</f>
        <v>290.387877</v>
      </c>
      <c r="E23" s="427">
        <f>E11</f>
        <v>17472</v>
      </c>
      <c r="F23" s="428">
        <f t="shared" si="1"/>
        <v>5073656.9869440002</v>
      </c>
    </row>
    <row r="24" spans="1:6">
      <c r="A24" s="366"/>
      <c r="B24" s="27" t="s">
        <v>11</v>
      </c>
      <c r="C24" s="366"/>
      <c r="D24" s="429"/>
      <c r="E24" s="368"/>
      <c r="F24" s="430">
        <f>SUM(F16:F23)</f>
        <v>6510223.9089440005</v>
      </c>
    </row>
    <row r="25" spans="1:6">
      <c r="A25" s="432"/>
      <c r="B25" s="433"/>
      <c r="C25" s="432"/>
      <c r="D25" s="434"/>
      <c r="E25" s="341"/>
      <c r="F25" s="435"/>
    </row>
    <row r="26" spans="1:6" ht="24" customHeight="1">
      <c r="A26" s="1336" t="s">
        <v>413</v>
      </c>
      <c r="B26" s="1336"/>
      <c r="C26" s="1336"/>
      <c r="D26" s="1336"/>
      <c r="E26" s="1336"/>
      <c r="F26" s="1336"/>
    </row>
    <row r="27" spans="1:6" ht="27.6">
      <c r="A27" s="316" t="s">
        <v>2</v>
      </c>
      <c r="B27" s="316" t="s">
        <v>19</v>
      </c>
      <c r="C27" s="316" t="s">
        <v>15</v>
      </c>
      <c r="D27" s="420" t="s">
        <v>13</v>
      </c>
      <c r="E27" s="316" t="s">
        <v>28</v>
      </c>
      <c r="F27" s="27" t="s">
        <v>9</v>
      </c>
    </row>
    <row r="28" spans="1:6">
      <c r="A28" s="276">
        <v>1</v>
      </c>
      <c r="B28" s="263" t="s">
        <v>406</v>
      </c>
      <c r="C28" s="264" t="s">
        <v>17</v>
      </c>
      <c r="D28" s="421">
        <f>SUMIF(PTVT!$C$77:$C$106,THVL!$B$28:$B$33,PTVT!$H$77:$H$106)</f>
        <v>78</v>
      </c>
      <c r="E28" s="422">
        <v>3000</v>
      </c>
      <c r="F28" s="423">
        <f t="shared" ref="F28:F33" si="2">E28*D28</f>
        <v>234000</v>
      </c>
    </row>
    <row r="29" spans="1:6">
      <c r="A29" s="139">
        <v>2</v>
      </c>
      <c r="B29" s="256" t="s">
        <v>401</v>
      </c>
      <c r="C29" s="257" t="s">
        <v>402</v>
      </c>
      <c r="D29" s="424">
        <f>SUMIF(PTVT!$C$77:$C$106,THVL!$B$28:$B$33,PTVT!$H$77:$H$106)</f>
        <v>1.2815016000000001</v>
      </c>
      <c r="E29" s="425">
        <v>20000</v>
      </c>
      <c r="F29" s="383">
        <f t="shared" si="2"/>
        <v>25630.032000000003</v>
      </c>
    </row>
    <row r="30" spans="1:6">
      <c r="A30" s="139">
        <v>3</v>
      </c>
      <c r="B30" s="256" t="s">
        <v>395</v>
      </c>
      <c r="C30" s="257" t="s">
        <v>396</v>
      </c>
      <c r="D30" s="424">
        <f>SUMIF(PTVT!$C$77:$C$106,THVL!$B$28:$B$33,PTVT!$H$77:$H$106)</f>
        <v>504</v>
      </c>
      <c r="E30" s="425">
        <v>150</v>
      </c>
      <c r="F30" s="383">
        <f t="shared" si="2"/>
        <v>75600</v>
      </c>
    </row>
    <row r="31" spans="1:6">
      <c r="A31" s="139">
        <v>4</v>
      </c>
      <c r="B31" s="256" t="s">
        <v>400</v>
      </c>
      <c r="C31" s="262" t="s">
        <v>411</v>
      </c>
      <c r="D31" s="424">
        <f>SUMIF(PTVT!$C$77:$C$106,THVL!$B$28:$B$33,PTVT!$H$77:$H$106)</f>
        <v>2.5472720000000004</v>
      </c>
      <c r="E31" s="425">
        <v>40000</v>
      </c>
      <c r="F31" s="383">
        <f t="shared" si="2"/>
        <v>101890.88000000002</v>
      </c>
    </row>
    <row r="32" spans="1:6">
      <c r="A32" s="139">
        <v>5</v>
      </c>
      <c r="B32" s="256" t="s">
        <v>404</v>
      </c>
      <c r="C32" s="257" t="s">
        <v>405</v>
      </c>
      <c r="D32" s="424">
        <f>SUMIF(PTVT!$C$77:$C$106,THVL!$B$28:$B$33,PTVT!$H$77:$H$106)</f>
        <v>8.1669999999999998</v>
      </c>
      <c r="E32" s="425">
        <v>3000</v>
      </c>
      <c r="F32" s="383">
        <f t="shared" si="2"/>
        <v>24501</v>
      </c>
    </row>
    <row r="33" spans="1:6">
      <c r="A33" s="292">
        <v>6</v>
      </c>
      <c r="B33" s="260" t="s">
        <v>393</v>
      </c>
      <c r="C33" s="261" t="s">
        <v>32</v>
      </c>
      <c r="D33" s="426">
        <f>SUMIF(PTVT!$C$77:$C$106,THVL!$B$28:$B$33,PTVT!$H$77:$H$106)</f>
        <v>116.53769400000002</v>
      </c>
      <c r="E33" s="427">
        <f>E23</f>
        <v>17472</v>
      </c>
      <c r="F33" s="428">
        <f t="shared" si="2"/>
        <v>2036146.5895680003</v>
      </c>
    </row>
    <row r="34" spans="1:6">
      <c r="A34" s="366"/>
      <c r="B34" s="27" t="s">
        <v>11</v>
      </c>
      <c r="C34" s="366"/>
      <c r="D34" s="429"/>
      <c r="E34" s="368"/>
      <c r="F34" s="430">
        <f>SUM(F28:F33)</f>
        <v>2497768.5015680003</v>
      </c>
    </row>
    <row r="36" spans="1:6" ht="26.1" customHeight="1">
      <c r="A36" s="1318" t="s">
        <v>414</v>
      </c>
      <c r="B36" s="1318"/>
      <c r="C36" s="1318"/>
      <c r="D36" s="1318"/>
      <c r="E36" s="1318"/>
      <c r="F36" s="1318"/>
    </row>
    <row r="37" spans="1:6" ht="27.6">
      <c r="A37" s="316" t="s">
        <v>2</v>
      </c>
      <c r="B37" s="316" t="s">
        <v>19</v>
      </c>
      <c r="C37" s="316" t="s">
        <v>15</v>
      </c>
      <c r="D37" s="420" t="s">
        <v>13</v>
      </c>
      <c r="E37" s="316" t="s">
        <v>28</v>
      </c>
      <c r="F37" s="27" t="s">
        <v>9</v>
      </c>
    </row>
    <row r="38" spans="1:6">
      <c r="A38" s="276">
        <v>1</v>
      </c>
      <c r="B38" s="263" t="s">
        <v>406</v>
      </c>
      <c r="C38" s="264" t="s">
        <v>17</v>
      </c>
      <c r="D38" s="421">
        <f>SUMIF(PTVT!$C$108:$C$144,THVL!$B$38:$B$43,PTVT!$H$108:$H$144)</f>
        <v>176</v>
      </c>
      <c r="E38" s="422">
        <v>3000</v>
      </c>
      <c r="F38" s="423">
        <f t="shared" ref="F38:F43" si="3">E38*D38</f>
        <v>528000</v>
      </c>
    </row>
    <row r="39" spans="1:6">
      <c r="A39" s="139">
        <v>2</v>
      </c>
      <c r="B39" s="256" t="s">
        <v>401</v>
      </c>
      <c r="C39" s="257" t="s">
        <v>402</v>
      </c>
      <c r="D39" s="424">
        <f>SUMIF(PTVT!$C$108:$C$144,THVL!$B$38:$B$43,PTVT!$H$108:$H$144)</f>
        <v>2.6642037900000002</v>
      </c>
      <c r="E39" s="425">
        <v>20000</v>
      </c>
      <c r="F39" s="383">
        <f t="shared" si="3"/>
        <v>53284.075800000006</v>
      </c>
    </row>
    <row r="40" spans="1:6">
      <c r="A40" s="139">
        <v>3</v>
      </c>
      <c r="B40" s="256" t="s">
        <v>395</v>
      </c>
      <c r="C40" s="257" t="s">
        <v>396</v>
      </c>
      <c r="D40" s="424">
        <f>SUMIF(PTVT!$C$108:$C$144,THVL!$B$38:$B$43,PTVT!$H$108:$H$144)</f>
        <v>504</v>
      </c>
      <c r="E40" s="425">
        <v>150</v>
      </c>
      <c r="F40" s="383">
        <f t="shared" si="3"/>
        <v>75600</v>
      </c>
    </row>
    <row r="41" spans="1:6">
      <c r="A41" s="139">
        <v>4</v>
      </c>
      <c r="B41" s="256" t="s">
        <v>400</v>
      </c>
      <c r="C41" s="262" t="s">
        <v>411</v>
      </c>
      <c r="D41" s="424">
        <f>SUMIF(PTVT!$C$108:$C$144,THVL!$B$38:$B$43,PTVT!$H$108:$H$144)</f>
        <v>5.2412000000000001</v>
      </c>
      <c r="E41" s="425">
        <v>40000</v>
      </c>
      <c r="F41" s="383">
        <f t="shared" si="3"/>
        <v>209648</v>
      </c>
    </row>
    <row r="42" spans="1:6">
      <c r="A42" s="139">
        <v>5</v>
      </c>
      <c r="B42" s="256" t="s">
        <v>404</v>
      </c>
      <c r="C42" s="257" t="s">
        <v>405</v>
      </c>
      <c r="D42" s="424">
        <f>SUMIF(PTVT!$C$108:$C$144,THVL!$B$38:$B$43,PTVT!$H$108:$H$144)</f>
        <v>28.000999999999998</v>
      </c>
      <c r="E42" s="425">
        <v>3000</v>
      </c>
      <c r="F42" s="383">
        <f t="shared" si="3"/>
        <v>84003</v>
      </c>
    </row>
    <row r="43" spans="1:6">
      <c r="A43" s="292">
        <v>6</v>
      </c>
      <c r="B43" s="260" t="s">
        <v>393</v>
      </c>
      <c r="C43" s="261" t="s">
        <v>32</v>
      </c>
      <c r="D43" s="426">
        <f>SUMIF(PTVT!$C$108:$C$144,THVL!$B$38:$B$43,PTVT!$H$108:$H$144)</f>
        <v>239.78489999999999</v>
      </c>
      <c r="E43" s="427">
        <f>E33</f>
        <v>17472</v>
      </c>
      <c r="F43" s="436">
        <f t="shared" si="3"/>
        <v>4189521.7727999999</v>
      </c>
    </row>
    <row r="44" spans="1:6">
      <c r="A44" s="366"/>
      <c r="B44" s="27" t="s">
        <v>11</v>
      </c>
      <c r="C44" s="366"/>
      <c r="D44" s="429"/>
      <c r="E44" s="368"/>
      <c r="F44" s="430">
        <f>SUM(F38:F43)</f>
        <v>5140056.8486000001</v>
      </c>
    </row>
    <row r="45" spans="1:6">
      <c r="A45" s="432"/>
      <c r="B45" s="433"/>
      <c r="C45" s="432"/>
      <c r="D45" s="434"/>
      <c r="E45" s="341"/>
      <c r="F45" s="435"/>
    </row>
    <row r="46" spans="1:6" ht="21.9" customHeight="1">
      <c r="A46" s="1336" t="s">
        <v>415</v>
      </c>
      <c r="B46" s="1336"/>
      <c r="C46" s="1336"/>
      <c r="D46" s="1336"/>
      <c r="E46" s="1336"/>
      <c r="F46" s="1336"/>
    </row>
    <row r="47" spans="1:6" ht="27.6">
      <c r="A47" s="316" t="s">
        <v>2</v>
      </c>
      <c r="B47" s="316" t="s">
        <v>19</v>
      </c>
      <c r="C47" s="316" t="s">
        <v>15</v>
      </c>
      <c r="D47" s="420" t="s">
        <v>13</v>
      </c>
      <c r="E47" s="316" t="s">
        <v>28</v>
      </c>
      <c r="F47" s="27" t="s">
        <v>9</v>
      </c>
    </row>
    <row r="48" spans="1:6">
      <c r="A48" s="276">
        <v>1</v>
      </c>
      <c r="B48" s="263" t="s">
        <v>406</v>
      </c>
      <c r="C48" s="264" t="s">
        <v>17</v>
      </c>
      <c r="D48" s="421">
        <f>SUMIF(PTVT!$C$146:$C$175,THVL!$B$48:$B$53,PTVT!$H$146:$H$175)</f>
        <v>134</v>
      </c>
      <c r="E48" s="422">
        <v>3000</v>
      </c>
      <c r="F48" s="423">
        <f t="shared" ref="F48:F53" si="4">E48*D48</f>
        <v>402000</v>
      </c>
    </row>
    <row r="49" spans="1:6">
      <c r="A49" s="139">
        <v>2</v>
      </c>
      <c r="B49" s="256" t="s">
        <v>401</v>
      </c>
      <c r="C49" s="257" t="s">
        <v>402</v>
      </c>
      <c r="D49" s="424">
        <f>SUMIF(PTVT!$C$146:$C$175,THVL!$B$48:$B$53,PTVT!$H$146:$H$175)</f>
        <v>1.4846960000000002</v>
      </c>
      <c r="E49" s="425">
        <v>20000</v>
      </c>
      <c r="F49" s="383">
        <f t="shared" si="4"/>
        <v>29693.920000000006</v>
      </c>
    </row>
    <row r="50" spans="1:6">
      <c r="A50" s="139">
        <v>3</v>
      </c>
      <c r="B50" s="256" t="s">
        <v>395</v>
      </c>
      <c r="C50" s="257" t="s">
        <v>396</v>
      </c>
      <c r="D50" s="424">
        <f>SUMIF(PTVT!$C$146:$C$175,THVL!$B$48:$B$53,PTVT!$H$146:$H$175)</f>
        <v>504</v>
      </c>
      <c r="E50" s="425">
        <v>150</v>
      </c>
      <c r="F50" s="383">
        <f t="shared" si="4"/>
        <v>75600</v>
      </c>
    </row>
    <row r="51" spans="1:6">
      <c r="A51" s="139">
        <v>4</v>
      </c>
      <c r="B51" s="256" t="s">
        <v>400</v>
      </c>
      <c r="C51" s="262" t="s">
        <v>411</v>
      </c>
      <c r="D51" s="424">
        <f>SUMIF(PTVT!$C$146:$C$175,THVL!$B$48:$B$53,PTVT!$H$146:$H$175)</f>
        <v>2.9489920000000005</v>
      </c>
      <c r="E51" s="425">
        <v>40000</v>
      </c>
      <c r="F51" s="383">
        <f t="shared" si="4"/>
        <v>117959.68000000002</v>
      </c>
    </row>
    <row r="52" spans="1:6">
      <c r="A52" s="139">
        <v>5</v>
      </c>
      <c r="B52" s="256" t="s">
        <v>404</v>
      </c>
      <c r="C52" s="257" t="s">
        <v>405</v>
      </c>
      <c r="D52" s="424">
        <f>SUMIF(PTVT!$C$146:$C$175,THVL!$B$48:$B$53,PTVT!$H$146:$H$175)</f>
        <v>10.501999999999999</v>
      </c>
      <c r="E52" s="425">
        <v>3000</v>
      </c>
      <c r="F52" s="383">
        <f t="shared" si="4"/>
        <v>31505.999999999996</v>
      </c>
    </row>
    <row r="53" spans="1:6">
      <c r="A53" s="292">
        <v>6</v>
      </c>
      <c r="B53" s="260" t="s">
        <v>393</v>
      </c>
      <c r="C53" s="261" t="s">
        <v>32</v>
      </c>
      <c r="D53" s="426">
        <f>SUMIF(PTVT!$C$146:$C$175,THVL!$B$48:$B$53,PTVT!$H$146:$H$175)</f>
        <v>134.91638400000002</v>
      </c>
      <c r="E53" s="427">
        <f>E43</f>
        <v>17472</v>
      </c>
      <c r="F53" s="428">
        <f t="shared" si="4"/>
        <v>2357259.0612480002</v>
      </c>
    </row>
    <row r="54" spans="1:6">
      <c r="A54" s="366"/>
      <c r="B54" s="27" t="s">
        <v>11</v>
      </c>
      <c r="C54" s="366"/>
      <c r="D54" s="429"/>
      <c r="E54" s="368"/>
      <c r="F54" s="430">
        <f>SUM(F48:F53)</f>
        <v>3014018.6612480003</v>
      </c>
    </row>
    <row r="56" spans="1:6" ht="21.9" customHeight="1">
      <c r="A56" s="1336" t="s">
        <v>416</v>
      </c>
      <c r="B56" s="1336"/>
      <c r="C56" s="1336"/>
      <c r="D56" s="1336"/>
      <c r="E56" s="1336"/>
      <c r="F56" s="1336"/>
    </row>
    <row r="57" spans="1:6" ht="27.6">
      <c r="A57" s="316" t="s">
        <v>2</v>
      </c>
      <c r="B57" s="316" t="s">
        <v>19</v>
      </c>
      <c r="C57" s="316" t="s">
        <v>15</v>
      </c>
      <c r="D57" s="420" t="s">
        <v>13</v>
      </c>
      <c r="E57" s="316" t="s">
        <v>28</v>
      </c>
      <c r="F57" s="27" t="s">
        <v>9</v>
      </c>
    </row>
    <row r="58" spans="1:6">
      <c r="A58" s="276">
        <v>1</v>
      </c>
      <c r="B58" s="263" t="s">
        <v>406</v>
      </c>
      <c r="C58" s="264" t="s">
        <v>17</v>
      </c>
      <c r="D58" s="421">
        <f>SUMIF(PTVT!$C$177:$C$199,THVL!$B$58:$B$63,PTVT!$H$177:$H$199)</f>
        <v>162</v>
      </c>
      <c r="E58" s="422">
        <v>3000</v>
      </c>
      <c r="F58" s="423">
        <f t="shared" ref="F58:F63" si="5">E58*D58</f>
        <v>486000</v>
      </c>
    </row>
    <row r="59" spans="1:6">
      <c r="A59" s="139">
        <v>2</v>
      </c>
      <c r="B59" s="256" t="s">
        <v>401</v>
      </c>
      <c r="C59" s="257" t="s">
        <v>402</v>
      </c>
      <c r="D59" s="424">
        <f>SUMIF(PTVT!$C$177:$C$199,THVL!$B$58:$B$63,PTVT!$H$177:$H$199)</f>
        <v>1.7021753000000002</v>
      </c>
      <c r="E59" s="425">
        <v>20000</v>
      </c>
      <c r="F59" s="383">
        <f t="shared" si="5"/>
        <v>34043.506000000001</v>
      </c>
    </row>
    <row r="60" spans="1:6">
      <c r="A60" s="139">
        <v>3</v>
      </c>
      <c r="B60" s="256" t="s">
        <v>395</v>
      </c>
      <c r="C60" s="257" t="s">
        <v>396</v>
      </c>
      <c r="D60" s="424">
        <f>SUMIF(PTVT!$C$177:$C$199,THVL!$B$58:$B$63,PTVT!$H$177:$H$199)</f>
        <v>504</v>
      </c>
      <c r="E60" s="425">
        <v>150</v>
      </c>
      <c r="F60" s="383">
        <f t="shared" si="5"/>
        <v>75600</v>
      </c>
    </row>
    <row r="61" spans="1:6">
      <c r="A61" s="139">
        <v>4</v>
      </c>
      <c r="B61" s="256" t="s">
        <v>400</v>
      </c>
      <c r="C61" s="262" t="s">
        <v>411</v>
      </c>
      <c r="D61" s="424">
        <f>SUMIF(PTVT!$C$177:$C$199,THVL!$B$58:$B$63,PTVT!$H$177:$H$199)</f>
        <v>3.3574320000000002</v>
      </c>
      <c r="E61" s="425">
        <v>40000</v>
      </c>
      <c r="F61" s="383">
        <f t="shared" si="5"/>
        <v>134297.28</v>
      </c>
    </row>
    <row r="62" spans="1:6">
      <c r="A62" s="139">
        <v>5</v>
      </c>
      <c r="B62" s="256" t="s">
        <v>404</v>
      </c>
      <c r="C62" s="257" t="s">
        <v>405</v>
      </c>
      <c r="D62" s="424">
        <f>SUMIF(PTVT!$C$177:$C$199,THVL!$B$58:$B$63,PTVT!$H$177:$H$199)</f>
        <v>10.503</v>
      </c>
      <c r="E62" s="425">
        <v>3000</v>
      </c>
      <c r="F62" s="383">
        <f t="shared" si="5"/>
        <v>31509</v>
      </c>
    </row>
    <row r="63" spans="1:6">
      <c r="A63" s="292">
        <v>6</v>
      </c>
      <c r="B63" s="260" t="s">
        <v>393</v>
      </c>
      <c r="C63" s="261" t="s">
        <v>32</v>
      </c>
      <c r="D63" s="426">
        <f>SUMIF(PTVT!$C$177:$C$199,THVL!$B$58:$B$63,PTVT!$H$177:$H$199)</f>
        <v>153.60251400000001</v>
      </c>
      <c r="E63" s="427">
        <f>E53</f>
        <v>17472</v>
      </c>
      <c r="F63" s="428">
        <f t="shared" si="5"/>
        <v>2683743.1246080003</v>
      </c>
    </row>
    <row r="64" spans="1:6">
      <c r="A64" s="366"/>
      <c r="B64" s="27" t="s">
        <v>11</v>
      </c>
      <c r="C64" s="366"/>
      <c r="D64" s="429"/>
      <c r="E64" s="368"/>
      <c r="F64" s="430">
        <f>SUM(F58:F63)</f>
        <v>3445192.9106080001</v>
      </c>
    </row>
    <row r="65" spans="1:6" ht="14.1" customHeight="1">
      <c r="A65" s="432"/>
      <c r="B65" s="433"/>
      <c r="C65" s="432"/>
      <c r="D65" s="434"/>
      <c r="E65" s="341"/>
      <c r="F65" s="435"/>
    </row>
    <row r="66" spans="1:6" ht="21.9" customHeight="1">
      <c r="A66" s="1336" t="s">
        <v>417</v>
      </c>
      <c r="B66" s="1336"/>
      <c r="C66" s="1336"/>
      <c r="D66" s="1336"/>
      <c r="E66" s="1336"/>
      <c r="F66" s="1336"/>
    </row>
    <row r="67" spans="1:6" ht="27.6">
      <c r="A67" s="316" t="s">
        <v>2</v>
      </c>
      <c r="B67" s="316" t="s">
        <v>19</v>
      </c>
      <c r="C67" s="316" t="s">
        <v>15</v>
      </c>
      <c r="D67" s="420" t="s">
        <v>13</v>
      </c>
      <c r="E67" s="316" t="s">
        <v>28</v>
      </c>
      <c r="F67" s="27" t="s">
        <v>9</v>
      </c>
    </row>
    <row r="68" spans="1:6">
      <c r="A68" s="276">
        <v>1</v>
      </c>
      <c r="B68" s="263" t="s">
        <v>406</v>
      </c>
      <c r="C68" s="264" t="s">
        <v>17</v>
      </c>
      <c r="D68" s="421">
        <f>SUMIF(PTVT!$C$201:$C$230,THVL!$B$68:$B$73,PTVT!$H$201:$H$230)</f>
        <v>386</v>
      </c>
      <c r="E68" s="422">
        <v>3000</v>
      </c>
      <c r="F68" s="423">
        <f t="shared" ref="F68:F73" si="6">E68*D68</f>
        <v>1158000</v>
      </c>
    </row>
    <row r="69" spans="1:6">
      <c r="A69" s="139">
        <v>2</v>
      </c>
      <c r="B69" s="256" t="s">
        <v>401</v>
      </c>
      <c r="C69" s="257" t="s">
        <v>402</v>
      </c>
      <c r="D69" s="424">
        <f>SUMIF(PTVT!$C$201:$C$230,THVL!$B$68:$B$73,PTVT!$H$201:$H$230)</f>
        <v>6.2263335000000009</v>
      </c>
      <c r="E69" s="425">
        <v>20000</v>
      </c>
      <c r="F69" s="383">
        <f t="shared" si="6"/>
        <v>124526.67000000001</v>
      </c>
    </row>
    <row r="70" spans="1:6">
      <c r="A70" s="139">
        <v>3</v>
      </c>
      <c r="B70" s="256" t="s">
        <v>395</v>
      </c>
      <c r="C70" s="257" t="s">
        <v>396</v>
      </c>
      <c r="D70" s="424">
        <f>SUMIF(PTVT!$C$201:$C$230,THVL!$B$68:$B$73,PTVT!$H$201:$H$230)</f>
        <v>504</v>
      </c>
      <c r="E70" s="425">
        <v>150</v>
      </c>
      <c r="F70" s="383">
        <f t="shared" si="6"/>
        <v>75600</v>
      </c>
    </row>
    <row r="71" spans="1:6">
      <c r="A71" s="139">
        <v>4</v>
      </c>
      <c r="B71" s="256" t="s">
        <v>400</v>
      </c>
      <c r="C71" s="262" t="s">
        <v>411</v>
      </c>
      <c r="D71" s="424">
        <f>SUMIF(PTVT!$C$201:$C$230,THVL!$B$68:$B$73,PTVT!$H$201:$H$230)</f>
        <v>12.311960000000001</v>
      </c>
      <c r="E71" s="425">
        <v>40000</v>
      </c>
      <c r="F71" s="383">
        <f t="shared" si="6"/>
        <v>492478.4</v>
      </c>
    </row>
    <row r="72" spans="1:6">
      <c r="A72" s="139">
        <v>5</v>
      </c>
      <c r="B72" s="256" t="s">
        <v>404</v>
      </c>
      <c r="C72" s="257" t="s">
        <v>405</v>
      </c>
      <c r="D72" s="424">
        <f>SUMIF(PTVT!$C$201:$C$230,THVL!$B$68:$B$73,PTVT!$H$201:$H$230)</f>
        <v>50.171999999999997</v>
      </c>
      <c r="E72" s="425">
        <v>3000</v>
      </c>
      <c r="F72" s="383">
        <f t="shared" si="6"/>
        <v>150516</v>
      </c>
    </row>
    <row r="73" spans="1:6">
      <c r="A73" s="292">
        <v>6</v>
      </c>
      <c r="B73" s="260" t="s">
        <v>393</v>
      </c>
      <c r="C73" s="261" t="s">
        <v>32</v>
      </c>
      <c r="D73" s="426">
        <f>SUMIF(PTVT!$C$201:$C$230,THVL!$B$68:$B$73,PTVT!$H$201:$H$230)</f>
        <v>563.27217000000007</v>
      </c>
      <c r="E73" s="427">
        <f>E63</f>
        <v>17472</v>
      </c>
      <c r="F73" s="428">
        <f t="shared" si="6"/>
        <v>9841491.3542400021</v>
      </c>
    </row>
    <row r="74" spans="1:6">
      <c r="A74" s="366"/>
      <c r="B74" s="27" t="s">
        <v>11</v>
      </c>
      <c r="C74" s="366"/>
      <c r="D74" s="429"/>
      <c r="E74" s="368"/>
      <c r="F74" s="430">
        <f>SUM(F68:F73)</f>
        <v>11842612.424240002</v>
      </c>
    </row>
    <row r="75" spans="1:6" ht="6" customHeight="1">
      <c r="A75" s="432"/>
      <c r="B75" s="433"/>
      <c r="C75" s="432"/>
      <c r="D75" s="434"/>
      <c r="E75" s="341"/>
      <c r="F75" s="435"/>
    </row>
    <row r="76" spans="1:6" ht="26.1" customHeight="1">
      <c r="A76" s="1336" t="s">
        <v>418</v>
      </c>
      <c r="B76" s="1336"/>
      <c r="C76" s="1336"/>
      <c r="D76" s="1336"/>
      <c r="E76" s="1336"/>
      <c r="F76" s="1336"/>
    </row>
    <row r="77" spans="1:6" ht="27.6">
      <c r="A77" s="316" t="s">
        <v>2</v>
      </c>
      <c r="B77" s="316" t="s">
        <v>19</v>
      </c>
      <c r="C77" s="316" t="s">
        <v>15</v>
      </c>
      <c r="D77" s="420" t="s">
        <v>13</v>
      </c>
      <c r="E77" s="316" t="s">
        <v>28</v>
      </c>
      <c r="F77" s="27" t="s">
        <v>9</v>
      </c>
    </row>
    <row r="78" spans="1:6">
      <c r="A78" s="276">
        <v>1</v>
      </c>
      <c r="B78" s="263" t="s">
        <v>406</v>
      </c>
      <c r="C78" s="264" t="s">
        <v>17</v>
      </c>
      <c r="D78" s="421">
        <f>SUMIF(PTVT!$C$232:$C$261,THVL!$B$78:$B$83,PTVT!$H$232:$H$261)</f>
        <v>358</v>
      </c>
      <c r="E78" s="422">
        <v>3000</v>
      </c>
      <c r="F78" s="423">
        <f t="shared" ref="F78:F83" si="7">E78*D78</f>
        <v>1074000</v>
      </c>
    </row>
    <row r="79" spans="1:6">
      <c r="A79" s="139">
        <v>2</v>
      </c>
      <c r="B79" s="256" t="s">
        <v>401</v>
      </c>
      <c r="C79" s="257" t="s">
        <v>402</v>
      </c>
      <c r="D79" s="424">
        <f>SUMIF(PTVT!$C$232:$C$261,THVL!$B$78:$B$83,PTVT!$H$232:$H$261)</f>
        <v>2.858495</v>
      </c>
      <c r="E79" s="425">
        <v>20000</v>
      </c>
      <c r="F79" s="383">
        <f t="shared" si="7"/>
        <v>57169.9</v>
      </c>
    </row>
    <row r="80" spans="1:6">
      <c r="A80" s="139">
        <v>3</v>
      </c>
      <c r="B80" s="256" t="s">
        <v>395</v>
      </c>
      <c r="C80" s="257" t="s">
        <v>396</v>
      </c>
      <c r="D80" s="424">
        <f>SUMIF(PTVT!$C$232:$C$261,THVL!$B$78:$B$83,PTVT!$H$232:$H$261)</f>
        <v>504</v>
      </c>
      <c r="E80" s="425">
        <v>150</v>
      </c>
      <c r="F80" s="383">
        <f t="shared" si="7"/>
        <v>75600</v>
      </c>
    </row>
    <row r="81" spans="1:6">
      <c r="A81" s="139">
        <v>4</v>
      </c>
      <c r="B81" s="256" t="s">
        <v>400</v>
      </c>
      <c r="C81" s="262" t="s">
        <v>411</v>
      </c>
      <c r="D81" s="424">
        <f>SUMIF(PTVT!$C$232:$C$261,THVL!$B$78:$B$83,PTVT!$H$232:$H$261)</f>
        <v>5.6278199999999998</v>
      </c>
      <c r="E81" s="425">
        <v>40000</v>
      </c>
      <c r="F81" s="383">
        <f t="shared" si="7"/>
        <v>225112.8</v>
      </c>
    </row>
    <row r="82" spans="1:6">
      <c r="A82" s="139">
        <v>5</v>
      </c>
      <c r="B82" s="256" t="s">
        <v>404</v>
      </c>
      <c r="C82" s="257" t="s">
        <v>405</v>
      </c>
      <c r="D82" s="424">
        <f>SUMIF(PTVT!$C$232:$C$261,THVL!$B$78:$B$83,PTVT!$H$232:$H$261)</f>
        <v>43.171999999999997</v>
      </c>
      <c r="E82" s="425">
        <v>3000</v>
      </c>
      <c r="F82" s="383">
        <f t="shared" si="7"/>
        <v>129515.99999999999</v>
      </c>
    </row>
    <row r="83" spans="1:6">
      <c r="A83" s="292">
        <v>6</v>
      </c>
      <c r="B83" s="260" t="s">
        <v>393</v>
      </c>
      <c r="C83" s="261" t="s">
        <v>32</v>
      </c>
      <c r="D83" s="426">
        <f>SUMIF(PTVT!$C$232:$C$261,THVL!$B$78:$B$83,PTVT!$H$232:$H$261)</f>
        <v>257.47276500000004</v>
      </c>
      <c r="E83" s="427">
        <f>E73</f>
        <v>17472</v>
      </c>
      <c r="F83" s="428">
        <f t="shared" si="7"/>
        <v>4498564.150080001</v>
      </c>
    </row>
    <row r="84" spans="1:6">
      <c r="A84" s="366"/>
      <c r="B84" s="27" t="s">
        <v>11</v>
      </c>
      <c r="C84" s="366"/>
      <c r="D84" s="429"/>
      <c r="E84" s="368"/>
      <c r="F84" s="430">
        <f>SUM(F78:F83)</f>
        <v>6059962.8500800012</v>
      </c>
    </row>
    <row r="85" spans="1:6">
      <c r="A85" s="432"/>
      <c r="B85" s="433"/>
      <c r="C85" s="432"/>
      <c r="D85" s="434"/>
      <c r="E85" s="341"/>
      <c r="F85" s="435"/>
    </row>
    <row r="86" spans="1:6">
      <c r="A86" s="432"/>
      <c r="B86" s="433"/>
      <c r="C86" s="432"/>
      <c r="D86" s="434"/>
      <c r="E86" s="341"/>
      <c r="F86" s="435"/>
    </row>
    <row r="87" spans="1:6">
      <c r="A87" s="432"/>
      <c r="B87" s="433"/>
      <c r="C87" s="432"/>
      <c r="D87" s="434"/>
      <c r="E87" s="341"/>
      <c r="F87" s="435"/>
    </row>
    <row r="88" spans="1:6" ht="12.9" customHeight="1"/>
    <row r="89" spans="1:6" ht="12.9" customHeight="1"/>
    <row r="90" spans="1:6" ht="21.9" customHeight="1">
      <c r="A90" s="1336" t="s">
        <v>419</v>
      </c>
      <c r="B90" s="1336"/>
      <c r="C90" s="1336"/>
      <c r="D90" s="1336"/>
      <c r="E90" s="1336"/>
      <c r="F90" s="1336"/>
    </row>
    <row r="91" spans="1:6" ht="27.6">
      <c r="A91" s="316" t="s">
        <v>2</v>
      </c>
      <c r="B91" s="316" t="s">
        <v>19</v>
      </c>
      <c r="C91" s="316" t="s">
        <v>15</v>
      </c>
      <c r="D91" s="420" t="s">
        <v>13</v>
      </c>
      <c r="E91" s="316" t="s">
        <v>28</v>
      </c>
      <c r="F91" s="27" t="s">
        <v>9</v>
      </c>
    </row>
    <row r="92" spans="1:6">
      <c r="A92" s="276">
        <v>1</v>
      </c>
      <c r="B92" s="263" t="s">
        <v>406</v>
      </c>
      <c r="C92" s="265" t="s">
        <v>17</v>
      </c>
      <c r="D92" s="421">
        <f>SUMIF(PTVT!$C$263:$C$299,THVL!$B$92:$B$97,PTVT!$H$263:$H$299)</f>
        <v>344</v>
      </c>
      <c r="E92" s="422">
        <v>3000</v>
      </c>
      <c r="F92" s="423">
        <f t="shared" ref="F92:F97" si="8">E92*D92</f>
        <v>1032000</v>
      </c>
    </row>
    <row r="93" spans="1:6">
      <c r="A93" s="139">
        <v>2</v>
      </c>
      <c r="B93" s="256" t="s">
        <v>401</v>
      </c>
      <c r="C93" s="262" t="s">
        <v>402</v>
      </c>
      <c r="D93" s="424">
        <f>SUMIF(PTVT!$C$263:$C$299,THVL!$B$92:$B$97,PTVT!$H$263:$H$299)</f>
        <v>3.8494102000000003</v>
      </c>
      <c r="E93" s="425">
        <v>20000</v>
      </c>
      <c r="F93" s="383">
        <f t="shared" si="8"/>
        <v>76988.204000000012</v>
      </c>
    </row>
    <row r="94" spans="1:6">
      <c r="A94" s="139">
        <v>3</v>
      </c>
      <c r="B94" s="256" t="s">
        <v>395</v>
      </c>
      <c r="C94" s="262" t="s">
        <v>396</v>
      </c>
      <c r="D94" s="424">
        <f>SUMIF(PTVT!$C$263:$C$299,THVL!$B$92:$B$97,PTVT!$H$263:$H$299)</f>
        <v>504</v>
      </c>
      <c r="E94" s="425">
        <v>150</v>
      </c>
      <c r="F94" s="383">
        <f t="shared" si="8"/>
        <v>75600</v>
      </c>
    </row>
    <row r="95" spans="1:6">
      <c r="A95" s="139">
        <v>4</v>
      </c>
      <c r="B95" s="256" t="s">
        <v>400</v>
      </c>
      <c r="C95" s="262" t="s">
        <v>411</v>
      </c>
      <c r="D95" s="424">
        <f>SUMIF(PTVT!$C$263:$C$299,THVL!$B$92:$B$97,PTVT!$H$263:$H$299)</f>
        <v>7.5719500000000011</v>
      </c>
      <c r="E95" s="425">
        <v>40000</v>
      </c>
      <c r="F95" s="383">
        <f t="shared" si="8"/>
        <v>302878.00000000006</v>
      </c>
    </row>
    <row r="96" spans="1:6">
      <c r="A96" s="139">
        <v>5</v>
      </c>
      <c r="B96" s="256" t="s">
        <v>404</v>
      </c>
      <c r="C96" s="262" t="s">
        <v>405</v>
      </c>
      <c r="D96" s="424">
        <f>SUMIF(PTVT!$C$263:$C$299,THVL!$B$92:$B$97,PTVT!$H$263:$H$299)</f>
        <v>35.006</v>
      </c>
      <c r="E96" s="425">
        <v>3000</v>
      </c>
      <c r="F96" s="383">
        <f t="shared" si="8"/>
        <v>105018</v>
      </c>
    </row>
    <row r="97" spans="1:9">
      <c r="A97" s="292">
        <v>6</v>
      </c>
      <c r="B97" s="260" t="s">
        <v>393</v>
      </c>
      <c r="C97" s="774" t="s">
        <v>32</v>
      </c>
      <c r="D97" s="426">
        <f>SUMIF(PTVT!$C$263:$C$299,THVL!$B$92:$B$97,PTVT!$H$263:$H$299)</f>
        <v>346.41671250000007</v>
      </c>
      <c r="E97" s="427">
        <f>E83</f>
        <v>17472</v>
      </c>
      <c r="F97" s="428">
        <f t="shared" si="8"/>
        <v>6052592.8008000012</v>
      </c>
    </row>
    <row r="98" spans="1:9">
      <c r="A98" s="366"/>
      <c r="B98" s="27" t="s">
        <v>11</v>
      </c>
      <c r="C98" s="366"/>
      <c r="D98" s="429"/>
      <c r="E98" s="368"/>
      <c r="F98" s="430">
        <f>SUM(F92:F97)</f>
        <v>7645077.0048000012</v>
      </c>
    </row>
    <row r="99" spans="1:9" ht="14.1" customHeight="1"/>
    <row r="100" spans="1:9" ht="21.9" customHeight="1">
      <c r="A100" s="1336" t="s">
        <v>420</v>
      </c>
      <c r="B100" s="1336"/>
      <c r="C100" s="1336"/>
      <c r="D100" s="1336"/>
      <c r="E100" s="1336"/>
      <c r="F100" s="1336"/>
    </row>
    <row r="101" spans="1:9" ht="27.6">
      <c r="A101" s="316" t="s">
        <v>2</v>
      </c>
      <c r="B101" s="316" t="s">
        <v>19</v>
      </c>
      <c r="C101" s="316" t="s">
        <v>15</v>
      </c>
      <c r="D101" s="420" t="s">
        <v>13</v>
      </c>
      <c r="E101" s="316" t="s">
        <v>28</v>
      </c>
      <c r="F101" s="27" t="s">
        <v>9</v>
      </c>
    </row>
    <row r="102" spans="1:9">
      <c r="A102" s="276">
        <v>1</v>
      </c>
      <c r="B102" s="263" t="s">
        <v>406</v>
      </c>
      <c r="C102" s="265" t="s">
        <v>17</v>
      </c>
      <c r="D102" s="421">
        <f>SUMIF(PTVT!$C$301:$C$323,THVL!$B$102:$B$107,PTVT!$H$301:$H$323)</f>
        <v>162</v>
      </c>
      <c r="E102" s="422">
        <v>3000</v>
      </c>
      <c r="F102" s="423">
        <f t="shared" ref="F102:F107" si="9">E102*D102</f>
        <v>486000</v>
      </c>
    </row>
    <row r="103" spans="1:9">
      <c r="A103" s="139">
        <v>2</v>
      </c>
      <c r="B103" s="256" t="s">
        <v>401</v>
      </c>
      <c r="C103" s="262" t="s">
        <v>402</v>
      </c>
      <c r="D103" s="424">
        <f>SUMIF(PTVT!$C$301:$C$323,THVL!$B$102:$B$107,PTVT!$H$301:$H$323)</f>
        <v>0.94632499999999997</v>
      </c>
      <c r="E103" s="425">
        <v>20000</v>
      </c>
      <c r="F103" s="383">
        <f t="shared" si="9"/>
        <v>18926.5</v>
      </c>
    </row>
    <row r="104" spans="1:9">
      <c r="A104" s="139">
        <v>3</v>
      </c>
      <c r="B104" s="256" t="s">
        <v>395</v>
      </c>
      <c r="C104" s="262" t="s">
        <v>396</v>
      </c>
      <c r="D104" s="424">
        <f>SUMIF(PTVT!$C$301:$C$323,THVL!$B$102:$B$107,PTVT!$H$301:$H$323)</f>
        <v>504</v>
      </c>
      <c r="E104" s="425">
        <v>150</v>
      </c>
      <c r="F104" s="383">
        <f t="shared" si="9"/>
        <v>75600</v>
      </c>
    </row>
    <row r="105" spans="1:9">
      <c r="A105" s="139">
        <v>4</v>
      </c>
      <c r="B105" s="256" t="s">
        <v>400</v>
      </c>
      <c r="C105" s="262" t="s">
        <v>411</v>
      </c>
      <c r="D105" s="424">
        <f>SUMIF(PTVT!$C$301:$C$323,THVL!$B$102:$B$107,PTVT!$H$301:$H$323)</f>
        <v>1.8872</v>
      </c>
      <c r="E105" s="425">
        <v>40000</v>
      </c>
      <c r="F105" s="383">
        <f t="shared" si="9"/>
        <v>75488</v>
      </c>
    </row>
    <row r="106" spans="1:9">
      <c r="A106" s="139">
        <v>5</v>
      </c>
      <c r="B106" s="256" t="s">
        <v>404</v>
      </c>
      <c r="C106" s="262" t="s">
        <v>405</v>
      </c>
      <c r="D106" s="424">
        <f>SUMIF(PTVT!$C$301:$C$323,THVL!$B$102:$B$107,PTVT!$H$301:$H$323)</f>
        <v>10.503</v>
      </c>
      <c r="E106" s="425">
        <v>3000</v>
      </c>
      <c r="F106" s="383">
        <f t="shared" si="9"/>
        <v>31509</v>
      </c>
    </row>
    <row r="107" spans="1:9">
      <c r="A107" s="292">
        <v>6</v>
      </c>
      <c r="B107" s="260" t="s">
        <v>393</v>
      </c>
      <c r="C107" s="774" t="s">
        <v>32</v>
      </c>
      <c r="D107" s="426">
        <f>SUMIF(PTVT!$C$301:$C$323,THVL!$B$102:$B$107,PTVT!$H$301:$H$323)</f>
        <v>86.339399999999998</v>
      </c>
      <c r="E107" s="427">
        <f>E97</f>
        <v>17472</v>
      </c>
      <c r="F107" s="428">
        <f t="shared" si="9"/>
        <v>1508521.9967999998</v>
      </c>
    </row>
    <row r="108" spans="1:9">
      <c r="A108" s="366"/>
      <c r="B108" s="27" t="s">
        <v>11</v>
      </c>
      <c r="C108" s="366"/>
      <c r="D108" s="429"/>
      <c r="E108" s="368"/>
      <c r="F108" s="430">
        <f>SUM(F102:F107)</f>
        <v>2196045.4967999998</v>
      </c>
    </row>
    <row r="109" spans="1:9" ht="14.1" customHeight="1"/>
    <row r="110" spans="1:9" ht="34.5" customHeight="1">
      <c r="A110" s="1337" t="s">
        <v>525</v>
      </c>
      <c r="B110" s="1337"/>
      <c r="C110" s="1337"/>
      <c r="D110" s="1337"/>
      <c r="E110" s="1337"/>
      <c r="F110" s="1337"/>
      <c r="G110" s="560"/>
      <c r="H110" s="560"/>
      <c r="I110" s="560"/>
    </row>
    <row r="111" spans="1:9" ht="27.6">
      <c r="A111" s="316" t="s">
        <v>2</v>
      </c>
      <c r="B111" s="316" t="s">
        <v>19</v>
      </c>
      <c r="C111" s="316" t="s">
        <v>15</v>
      </c>
      <c r="D111" s="420" t="s">
        <v>13</v>
      </c>
      <c r="E111" s="316" t="s">
        <v>28</v>
      </c>
      <c r="F111" s="27" t="s">
        <v>9</v>
      </c>
    </row>
    <row r="112" spans="1:9" ht="17.100000000000001" customHeight="1">
      <c r="A112" s="276">
        <v>1</v>
      </c>
      <c r="B112" s="263" t="s">
        <v>406</v>
      </c>
      <c r="C112" s="265" t="s">
        <v>17</v>
      </c>
      <c r="D112" s="421">
        <f>SUMIF(PTVT!$C$325:$C$359,THVL!$B$112:$B$117,PTVT!$H$325:$H$359)</f>
        <v>316</v>
      </c>
      <c r="E112" s="422">
        <v>3000</v>
      </c>
      <c r="F112" s="423">
        <f t="shared" ref="F112:F117" si="10">E112*D112</f>
        <v>948000</v>
      </c>
    </row>
    <row r="113" spans="1:7" ht="17.100000000000001" customHeight="1">
      <c r="A113" s="139">
        <v>2</v>
      </c>
      <c r="B113" s="256" t="s">
        <v>401</v>
      </c>
      <c r="C113" s="262" t="s">
        <v>402</v>
      </c>
      <c r="D113" s="424">
        <f>SUMIF(PTVT!$C$325:$C$359,THVL!$B$112:$B$117,PTVT!$H$325:$H$359)</f>
        <v>7.9674529999999993E-2</v>
      </c>
      <c r="E113" s="425">
        <v>20000</v>
      </c>
      <c r="F113" s="383">
        <f t="shared" si="10"/>
        <v>1593.4905999999999</v>
      </c>
    </row>
    <row r="114" spans="1:7" ht="17.100000000000001" customHeight="1">
      <c r="A114" s="139">
        <v>3</v>
      </c>
      <c r="B114" s="256" t="s">
        <v>395</v>
      </c>
      <c r="C114" s="262" t="s">
        <v>396</v>
      </c>
      <c r="D114" s="424">
        <f>SUMIF(PTVT!$C$325:$C$359,THVL!$B$112:$B$117,PTVT!$H$325:$H$359)</f>
        <v>504</v>
      </c>
      <c r="E114" s="425">
        <v>150</v>
      </c>
      <c r="F114" s="383">
        <f t="shared" si="10"/>
        <v>75600</v>
      </c>
    </row>
    <row r="115" spans="1:7" ht="17.100000000000001" customHeight="1">
      <c r="A115" s="139">
        <v>4</v>
      </c>
      <c r="B115" s="256" t="s">
        <v>400</v>
      </c>
      <c r="C115" s="262" t="s">
        <v>411</v>
      </c>
      <c r="D115" s="424">
        <f>SUMIF(PTVT!$C$325:$C$359,THVL!$B$112:$B$117,PTVT!$H$325:$H$359)</f>
        <v>8.5936200000000014</v>
      </c>
      <c r="E115" s="425">
        <v>40000</v>
      </c>
      <c r="F115" s="383">
        <f t="shared" si="10"/>
        <v>343744.80000000005</v>
      </c>
    </row>
    <row r="116" spans="1:7" ht="17.100000000000001" customHeight="1">
      <c r="A116" s="139">
        <v>5</v>
      </c>
      <c r="B116" s="256" t="s">
        <v>404</v>
      </c>
      <c r="C116" s="262" t="s">
        <v>405</v>
      </c>
      <c r="D116" s="424">
        <f>SUMIF(PTVT!$C$325:$C$359,THVL!$B$112:$B$117,PTVT!$H$325:$H$359)</f>
        <v>42.003999999999998</v>
      </c>
      <c r="E116" s="425">
        <v>3000</v>
      </c>
      <c r="F116" s="383">
        <f t="shared" si="10"/>
        <v>126012</v>
      </c>
    </row>
    <row r="117" spans="1:7" ht="17.100000000000001" customHeight="1">
      <c r="A117" s="292">
        <v>6</v>
      </c>
      <c r="B117" s="260" t="s">
        <v>393</v>
      </c>
      <c r="C117" s="774" t="s">
        <v>32</v>
      </c>
      <c r="D117" s="426">
        <f>SUMIF(PTVT!$C$325:$C$359,THVL!$B$112:$B$117,PTVT!$H$325:$H$359)</f>
        <v>393.15811500000007</v>
      </c>
      <c r="E117" s="427">
        <f>E107</f>
        <v>17472</v>
      </c>
      <c r="F117" s="428">
        <f t="shared" si="10"/>
        <v>6869258.5852800012</v>
      </c>
    </row>
    <row r="118" spans="1:7">
      <c r="A118" s="366"/>
      <c r="B118" s="27" t="s">
        <v>11</v>
      </c>
      <c r="C118" s="366"/>
      <c r="D118" s="429"/>
      <c r="E118" s="368"/>
      <c r="F118" s="430">
        <f>SUM(F112:F117)</f>
        <v>8364208.8758800011</v>
      </c>
    </row>
    <row r="120" spans="1:7" ht="14.4">
      <c r="A120" s="1335" t="s">
        <v>996</v>
      </c>
      <c r="B120" s="1335"/>
      <c r="C120" s="1335"/>
      <c r="D120" s="1335"/>
      <c r="E120" s="1335"/>
      <c r="F120" s="1335"/>
      <c r="G120" s="1090"/>
    </row>
    <row r="121" spans="1:7" ht="27.75" customHeight="1">
      <c r="A121" s="1338" t="s">
        <v>1034</v>
      </c>
      <c r="B121" s="1334"/>
      <c r="C121" s="1334"/>
      <c r="D121" s="1334"/>
      <c r="E121" s="1334"/>
      <c r="F121" s="1334"/>
      <c r="G121" s="1091"/>
    </row>
    <row r="123" spans="1:7" ht="15.6">
      <c r="C123" s="1331" t="s">
        <v>960</v>
      </c>
      <c r="D123" s="1331"/>
      <c r="E123" s="1331"/>
      <c r="F123" s="1331"/>
    </row>
    <row r="124" spans="1:7" ht="16.8">
      <c r="C124" s="1317" t="s">
        <v>957</v>
      </c>
      <c r="D124" s="1317"/>
      <c r="E124" s="1317"/>
      <c r="F124" s="1317"/>
    </row>
    <row r="125" spans="1:7" ht="16.8">
      <c r="A125" s="11"/>
      <c r="B125" s="341"/>
      <c r="C125" s="717"/>
      <c r="D125" s="717"/>
      <c r="E125" s="717"/>
      <c r="F125" s="717"/>
    </row>
    <row r="126" spans="1:7" ht="16.8">
      <c r="A126" s="863"/>
      <c r="B126" s="341"/>
      <c r="C126" s="717"/>
      <c r="D126" s="717"/>
      <c r="E126" s="717"/>
      <c r="F126" s="717"/>
    </row>
    <row r="127" spans="1:7" ht="16.8">
      <c r="A127" s="863"/>
      <c r="B127" s="341"/>
      <c r="C127" s="717"/>
      <c r="D127" s="717"/>
      <c r="E127" s="717"/>
      <c r="F127" s="717"/>
    </row>
    <row r="128" spans="1:7" ht="16.8">
      <c r="A128" s="863"/>
      <c r="B128" s="341"/>
      <c r="C128" s="717"/>
      <c r="D128" s="717"/>
      <c r="E128" s="717"/>
      <c r="F128" s="717"/>
    </row>
    <row r="129" spans="1:6" ht="16.8">
      <c r="A129" s="863"/>
      <c r="B129" s="341"/>
      <c r="C129" s="717"/>
      <c r="D129" s="717"/>
      <c r="E129" s="717"/>
      <c r="F129" s="717"/>
    </row>
    <row r="130" spans="1:6" ht="16.8">
      <c r="A130" s="11"/>
      <c r="B130" s="341"/>
      <c r="C130" s="1317" t="s">
        <v>877</v>
      </c>
      <c r="D130" s="1317"/>
      <c r="E130" s="1317"/>
      <c r="F130" s="1317"/>
    </row>
    <row r="131" spans="1:6">
      <c r="A131" s="432"/>
      <c r="B131" s="341"/>
    </row>
  </sheetData>
  <mergeCells count="19">
    <mergeCell ref="A100:F100"/>
    <mergeCell ref="A66:F66"/>
    <mergeCell ref="A76:F76"/>
    <mergeCell ref="A14:F14"/>
    <mergeCell ref="C130:F130"/>
    <mergeCell ref="A110:F110"/>
    <mergeCell ref="A120:F120"/>
    <mergeCell ref="A26:F26"/>
    <mergeCell ref="A56:F56"/>
    <mergeCell ref="A36:F36"/>
    <mergeCell ref="A46:F46"/>
    <mergeCell ref="C123:F123"/>
    <mergeCell ref="C124:F124"/>
    <mergeCell ref="A121:F121"/>
    <mergeCell ref="A1:F1"/>
    <mergeCell ref="A2:F2"/>
    <mergeCell ref="A3:F3"/>
    <mergeCell ref="A4:F4"/>
    <mergeCell ref="A90:F90"/>
  </mergeCells>
  <phoneticPr fontId="2" type="noConversion"/>
  <pageMargins left="1.1599999999999999" right="0.37" top="0.51" bottom="0.76" header="0.3" footer="0.38"/>
  <pageSetup paperSize="9" orientation="portrait" verticalDpi="0" r:id="rId1"/>
  <headerFooter alignWithMargins="0">
    <oddFooter>&amp;C&amp;11&amp;A&amp;R&amp;11Trang &amp;P</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7"/>
  <sheetViews>
    <sheetView topLeftCell="A337" zoomScaleNormal="100" workbookViewId="0">
      <selection activeCell="F358" sqref="F358"/>
    </sheetView>
  </sheetViews>
  <sheetFormatPr defaultColWidth="8.90625" defaultRowHeight="13.2"/>
  <cols>
    <col min="1" max="1" width="3.6328125" style="388" customWidth="1"/>
    <col min="2" max="2" width="8.453125" style="389" customWidth="1"/>
    <col min="3" max="3" width="29.453125" style="389" customWidth="1"/>
    <col min="4" max="4" width="7.08984375" style="33" customWidth="1"/>
    <col min="5" max="5" width="7.1796875" style="415" customWidth="1"/>
    <col min="6" max="6" width="9" style="416" bestFit="1" customWidth="1"/>
    <col min="7" max="7" width="5.81640625" style="417" customWidth="1"/>
    <col min="8" max="8" width="7.90625" style="417" customWidth="1"/>
    <col min="9" max="16384" width="8.90625" style="33"/>
  </cols>
  <sheetData>
    <row r="1" spans="1:10" ht="20.25" customHeight="1">
      <c r="A1" s="1314" t="s">
        <v>27</v>
      </c>
      <c r="B1" s="1314"/>
      <c r="C1" s="1314"/>
      <c r="D1" s="1314"/>
      <c r="E1" s="1314"/>
      <c r="F1" s="1314"/>
      <c r="G1" s="1314"/>
      <c r="H1" s="1314"/>
    </row>
    <row r="2" spans="1:10" ht="18" customHeight="1">
      <c r="A2" s="1345" t="str">
        <f>THKL!A2:D2</f>
        <v>Công trình: Bảo dưỡng thường xuyên cầu, đường bộ, đường thủy nội địa</v>
      </c>
      <c r="B2" s="1345"/>
      <c r="C2" s="1345"/>
      <c r="D2" s="1345"/>
      <c r="E2" s="1345"/>
      <c r="F2" s="1345"/>
      <c r="G2" s="1345"/>
      <c r="H2" s="1345"/>
    </row>
    <row r="3" spans="1:10" ht="6.9" customHeight="1">
      <c r="A3" s="1333"/>
      <c r="B3" s="1333"/>
      <c r="C3" s="1333"/>
      <c r="D3" s="1333"/>
      <c r="E3" s="1333"/>
      <c r="F3" s="1333"/>
      <c r="G3" s="1333"/>
      <c r="H3" s="1333"/>
    </row>
    <row r="4" spans="1:10" s="394" customFormat="1" ht="15.9" customHeight="1">
      <c r="A4" s="1339" t="s">
        <v>2</v>
      </c>
      <c r="B4" s="1339" t="s">
        <v>6</v>
      </c>
      <c r="C4" s="1339" t="s">
        <v>36</v>
      </c>
      <c r="D4" s="1339" t="s">
        <v>15</v>
      </c>
      <c r="E4" s="1341" t="s">
        <v>23</v>
      </c>
      <c r="F4" s="1343" t="s">
        <v>25</v>
      </c>
      <c r="G4" s="1344"/>
      <c r="H4" s="1339" t="s">
        <v>39</v>
      </c>
    </row>
    <row r="5" spans="1:10" s="394" customFormat="1" ht="15.9" customHeight="1">
      <c r="A5" s="1340"/>
      <c r="B5" s="1340"/>
      <c r="C5" s="1340"/>
      <c r="D5" s="1340"/>
      <c r="E5" s="1342"/>
      <c r="F5" s="395" t="s">
        <v>24</v>
      </c>
      <c r="G5" s="396" t="s">
        <v>26</v>
      </c>
      <c r="H5" s="1340"/>
    </row>
    <row r="6" spans="1:10" ht="48" customHeight="1">
      <c r="A6" s="12"/>
      <c r="B6" s="184"/>
      <c r="C6" s="184" t="str">
        <f>DTCT!C6</f>
        <v>CÔNG TÁC QUẢN LÝ BẢO DƯỠNG THƯỜNG XUYÊN CẦU ĐƯỜNG BỘ</v>
      </c>
      <c r="D6" s="12"/>
      <c r="E6" s="185"/>
      <c r="F6" s="306"/>
      <c r="G6" s="186"/>
      <c r="H6" s="397"/>
    </row>
    <row r="7" spans="1:10" ht="23.25" customHeight="1">
      <c r="A7" s="96" t="str">
        <f>DTCT!A7</f>
        <v>I</v>
      </c>
      <c r="B7" s="249"/>
      <c r="C7" s="34" t="str">
        <f>DTCT!C7</f>
        <v>ĐƯỜNG TỈNH 901 - HUYỆN TRÀ ÔN</v>
      </c>
      <c r="D7" s="96"/>
      <c r="E7" s="188"/>
      <c r="F7" s="406"/>
      <c r="G7" s="399"/>
      <c r="H7" s="400"/>
    </row>
    <row r="8" spans="1:10" ht="33" customHeight="1">
      <c r="A8" s="96"/>
      <c r="B8" s="249"/>
      <c r="C8" s="34" t="str">
        <f>DTCT!C8</f>
        <v>CÔNG TÁC QUẢN LÝ BDTX ĐƯỜNG BỘ</v>
      </c>
      <c r="D8" s="96"/>
      <c r="E8" s="188"/>
      <c r="F8" s="398"/>
      <c r="G8" s="399"/>
      <c r="H8" s="400"/>
    </row>
    <row r="9" spans="1:10" ht="18.75" customHeight="1">
      <c r="A9" s="13">
        <f>DTCT!A9</f>
        <v>1</v>
      </c>
      <c r="B9" s="252" t="str">
        <f>DTCT!B9</f>
        <v>QLD.10150</v>
      </c>
      <c r="C9" s="244" t="str">
        <f>DTCT!C9</f>
        <v>Tuần đường</v>
      </c>
      <c r="D9" s="13" t="str">
        <f>DTCT!D9</f>
        <v>1km/năm</v>
      </c>
      <c r="E9" s="253">
        <f>DTCT!E9</f>
        <v>48.532389999999999</v>
      </c>
      <c r="F9" s="401"/>
      <c r="G9" s="399"/>
      <c r="H9" s="400"/>
    </row>
    <row r="10" spans="1:10" s="403" customFormat="1" ht="17.100000000000001" customHeight="1">
      <c r="A10" s="254"/>
      <c r="B10" s="255"/>
      <c r="C10" s="256" t="s">
        <v>393</v>
      </c>
      <c r="D10" s="257" t="s">
        <v>32</v>
      </c>
      <c r="E10" s="258"/>
      <c r="F10" s="305">
        <v>9.125</v>
      </c>
      <c r="G10" s="402"/>
      <c r="H10" s="282">
        <f>$E$9*F10</f>
        <v>442.85805875</v>
      </c>
    </row>
    <row r="11" spans="1:10" ht="27.75" customHeight="1">
      <c r="A11" s="13">
        <f>DTCT!A10</f>
        <v>2</v>
      </c>
      <c r="B11" s="252" t="str">
        <f>DTCT!B10</f>
        <v>QLD.10230</v>
      </c>
      <c r="C11" s="244" t="str">
        <f>DTCT!C10</f>
        <v>Đếm xe bằng thủ công</v>
      </c>
      <c r="D11" s="13" t="str">
        <f>DTCT!D10</f>
        <v>1lần/trạm đếm</v>
      </c>
      <c r="E11" s="253">
        <f>DTCT!E10</f>
        <v>12</v>
      </c>
      <c r="F11" s="398"/>
      <c r="G11" s="399"/>
      <c r="H11" s="400"/>
      <c r="J11" s="390"/>
    </row>
    <row r="12" spans="1:10" s="403" customFormat="1" ht="17.100000000000001" customHeight="1">
      <c r="A12" s="254"/>
      <c r="B12" s="255"/>
      <c r="C12" s="256" t="s">
        <v>395</v>
      </c>
      <c r="D12" s="257" t="s">
        <v>396</v>
      </c>
      <c r="E12" s="258"/>
      <c r="F12" s="305">
        <v>42</v>
      </c>
      <c r="G12" s="402"/>
      <c r="H12" s="282">
        <f>$E$11*F12</f>
        <v>504</v>
      </c>
    </row>
    <row r="13" spans="1:10" s="403" customFormat="1" ht="17.100000000000001" customHeight="1">
      <c r="A13" s="254"/>
      <c r="B13" s="255"/>
      <c r="C13" s="256" t="s">
        <v>406</v>
      </c>
      <c r="D13" s="257" t="s">
        <v>17</v>
      </c>
      <c r="E13" s="258"/>
      <c r="F13" s="305">
        <v>3</v>
      </c>
      <c r="G13" s="402"/>
      <c r="H13" s="282">
        <f>$E$11*F13</f>
        <v>36</v>
      </c>
    </row>
    <row r="14" spans="1:10" ht="30" customHeight="1">
      <c r="A14" s="13">
        <f>DTCT!A11</f>
        <v>3</v>
      </c>
      <c r="B14" s="252" t="str">
        <f>DTCT!B11</f>
        <v>QLD.10340</v>
      </c>
      <c r="C14" s="244" t="str">
        <f>DTCT!C11</f>
        <v>Kiểm tra định kỳ, khẩn cấp, cập nhật số liệu cầu đường và tình hình bão lũ</v>
      </c>
      <c r="D14" s="13" t="str">
        <f>DTCT!D11</f>
        <v>1km/1lần</v>
      </c>
      <c r="E14" s="253">
        <f>DTCT!E11</f>
        <v>48.532389999999999</v>
      </c>
      <c r="F14" s="307"/>
      <c r="G14" s="187"/>
      <c r="H14" s="400"/>
    </row>
    <row r="15" spans="1:10" s="403" customFormat="1" ht="17.100000000000001" customHeight="1">
      <c r="A15" s="254"/>
      <c r="B15" s="255"/>
      <c r="C15" s="256" t="s">
        <v>393</v>
      </c>
      <c r="D15" s="257" t="s">
        <v>32</v>
      </c>
      <c r="E15" s="404"/>
      <c r="F15" s="305">
        <v>2.5000000000000001E-2</v>
      </c>
      <c r="G15" s="259"/>
      <c r="H15" s="282">
        <f>E14*F15</f>
        <v>1.2133097500000001</v>
      </c>
    </row>
    <row r="16" spans="1:10" ht="17.100000000000001" customHeight="1">
      <c r="A16" s="13">
        <f>DTCT!A14</f>
        <v>6</v>
      </c>
      <c r="B16" s="252" t="str">
        <f>DTCT!B14</f>
        <v>BDD.20410</v>
      </c>
      <c r="C16" s="244" t="str">
        <f>DTCT!C14</f>
        <v>Cắt cỏ bằng máy</v>
      </c>
      <c r="D16" s="13" t="str">
        <f>DTCT!D14</f>
        <v>1km/1lần</v>
      </c>
      <c r="E16" s="253">
        <f>DTCT!E14</f>
        <v>48.532389999999999</v>
      </c>
      <c r="F16" s="398"/>
      <c r="G16" s="187"/>
      <c r="H16" s="400"/>
    </row>
    <row r="17" spans="1:11" s="403" customFormat="1" ht="17.100000000000001" customHeight="1">
      <c r="A17" s="254"/>
      <c r="B17" s="255"/>
      <c r="C17" s="256" t="s">
        <v>400</v>
      </c>
      <c r="D17" s="262" t="s">
        <v>411</v>
      </c>
      <c r="E17" s="404"/>
      <c r="F17" s="305">
        <v>0.2</v>
      </c>
      <c r="G17" s="259"/>
      <c r="H17" s="282">
        <f>E16*F17</f>
        <v>9.7064780000000006</v>
      </c>
    </row>
    <row r="18" spans="1:11" ht="17.100000000000001" customHeight="1">
      <c r="A18" s="13">
        <f>+DTCT!A20</f>
        <v>12</v>
      </c>
      <c r="B18" s="13" t="str">
        <f>+DTCT!B20</f>
        <v>BDD.21312</v>
      </c>
      <c r="C18" s="244" t="str">
        <f>+DTCT!C20</f>
        <v>Vệ sinh mặt đường bằng thủ công</v>
      </c>
      <c r="D18" s="13" t="str">
        <f>+DTCT!D20</f>
        <v>lần/km</v>
      </c>
      <c r="E18" s="418">
        <f>+DTCT!E20</f>
        <v>48.532389999999999</v>
      </c>
      <c r="F18" s="248"/>
      <c r="G18" s="187"/>
      <c r="H18" s="400"/>
    </row>
    <row r="19" spans="1:11" ht="17.100000000000001" customHeight="1">
      <c r="A19" s="13"/>
      <c r="B19" s="252"/>
      <c r="C19" s="256" t="s">
        <v>401</v>
      </c>
      <c r="D19" s="257" t="s">
        <v>402</v>
      </c>
      <c r="E19" s="404"/>
      <c r="F19" s="305">
        <v>0.1</v>
      </c>
      <c r="G19" s="405"/>
      <c r="H19" s="282">
        <f>E18*F19</f>
        <v>4.8532390000000003</v>
      </c>
    </row>
    <row r="20" spans="1:11" ht="30" customHeight="1">
      <c r="A20" s="96"/>
      <c r="B20" s="249"/>
      <c r="C20" s="34" t="str">
        <f>DTCT!C22</f>
        <v>CÔNG TÁC BẢO DƯỠNG CẦU L &lt;= 300M</v>
      </c>
      <c r="D20" s="96"/>
      <c r="E20" s="188"/>
      <c r="F20" s="406"/>
      <c r="G20" s="419"/>
      <c r="H20" s="400"/>
      <c r="K20" s="390"/>
    </row>
    <row r="21" spans="1:11" ht="17.100000000000001" customHeight="1">
      <c r="A21" s="13">
        <f>DTCT!A23</f>
        <v>14</v>
      </c>
      <c r="B21" s="252" t="str">
        <f>DTCT!B23</f>
        <v>BDC.20610</v>
      </c>
      <c r="C21" s="244" t="str">
        <f>DTCT!C23</f>
        <v>Vệ sinh mặt cầu, ống thoát nước</v>
      </c>
      <c r="D21" s="13" t="str">
        <f>DTCT!D23</f>
        <v>10m2</v>
      </c>
      <c r="E21" s="253">
        <f>DTCT!E23</f>
        <v>361.35500000000002</v>
      </c>
      <c r="F21" s="398"/>
      <c r="G21" s="407"/>
      <c r="H21" s="400"/>
    </row>
    <row r="22" spans="1:11" s="403" customFormat="1" ht="17.100000000000001" customHeight="1">
      <c r="A22" s="254"/>
      <c r="B22" s="255"/>
      <c r="C22" s="256" t="s">
        <v>401</v>
      </c>
      <c r="D22" s="257" t="s">
        <v>402</v>
      </c>
      <c r="E22" s="404"/>
      <c r="F22" s="305">
        <v>1E-4</v>
      </c>
      <c r="G22" s="405"/>
      <c r="H22" s="282">
        <f>E21*F22</f>
        <v>3.6135500000000001E-2</v>
      </c>
    </row>
    <row r="23" spans="1:11" ht="27.75" customHeight="1">
      <c r="A23" s="96"/>
      <c r="B23" s="249"/>
      <c r="C23" s="34" t="str">
        <f>DTCT!C27</f>
        <v>CÔNG TÁC QUẢN LÝ CẦU L &lt;= 300M</v>
      </c>
      <c r="D23" s="96"/>
      <c r="E23" s="188"/>
      <c r="F23" s="401"/>
      <c r="G23" s="419"/>
      <c r="H23" s="400"/>
    </row>
    <row r="24" spans="1:11" ht="17.100000000000001" customHeight="1">
      <c r="A24" s="96"/>
      <c r="B24" s="249"/>
      <c r="C24" s="34" t="str">
        <f>DTCT!C28</f>
        <v>Cầu &lt; 50m</v>
      </c>
      <c r="D24" s="96"/>
      <c r="E24" s="188"/>
      <c r="F24" s="398"/>
      <c r="G24" s="407"/>
      <c r="H24" s="400"/>
    </row>
    <row r="25" spans="1:11" ht="17.100000000000001" customHeight="1">
      <c r="A25" s="13">
        <f>DTCT!A29</f>
        <v>18</v>
      </c>
      <c r="B25" s="252" t="str">
        <f>DTCT!B29</f>
        <v>QLC.10140</v>
      </c>
      <c r="C25" s="244" t="str">
        <f>DTCT!C29</f>
        <v>Kiểm tra cầu</v>
      </c>
      <c r="D25" s="13" t="str">
        <f>DTCT!D29</f>
        <v>cầu/năm</v>
      </c>
      <c r="E25" s="253">
        <f>DTCT!E29</f>
        <v>11</v>
      </c>
      <c r="F25" s="398"/>
      <c r="G25" s="407"/>
      <c r="H25" s="400"/>
    </row>
    <row r="26" spans="1:11" s="403" customFormat="1" ht="17.100000000000001" customHeight="1">
      <c r="A26" s="254"/>
      <c r="B26" s="255"/>
      <c r="C26" s="256" t="s">
        <v>404</v>
      </c>
      <c r="D26" s="257" t="s">
        <v>405</v>
      </c>
      <c r="E26" s="404"/>
      <c r="F26" s="305">
        <v>1</v>
      </c>
      <c r="G26" s="405"/>
      <c r="H26" s="282">
        <f>$E$25*F26</f>
        <v>11</v>
      </c>
    </row>
    <row r="27" spans="1:11" s="403" customFormat="1" ht="17.100000000000001" customHeight="1">
      <c r="A27" s="254"/>
      <c r="B27" s="255"/>
      <c r="C27" s="256" t="s">
        <v>406</v>
      </c>
      <c r="D27" s="257" t="s">
        <v>17</v>
      </c>
      <c r="E27" s="404"/>
      <c r="F27" s="305">
        <v>12</v>
      </c>
      <c r="G27" s="405"/>
      <c r="H27" s="282">
        <f>$E$25*F27</f>
        <v>132</v>
      </c>
    </row>
    <row r="28" spans="1:11" ht="17.100000000000001" customHeight="1">
      <c r="A28" s="13">
        <f>DTCT!A30</f>
        <v>19</v>
      </c>
      <c r="B28" s="252" t="str">
        <f>DTCT!B30</f>
        <v>QLC.10340</v>
      </c>
      <c r="C28" s="244" t="str">
        <f>DTCT!C30</f>
        <v>Kiểm tra trước và sau mùa mưa bão</v>
      </c>
      <c r="D28" s="13" t="str">
        <f>DTCT!D30</f>
        <v>cầu/năm</v>
      </c>
      <c r="E28" s="253">
        <f>DTCT!E30</f>
        <v>11</v>
      </c>
      <c r="F28" s="398"/>
      <c r="G28" s="407"/>
      <c r="H28" s="400"/>
    </row>
    <row r="29" spans="1:11" s="403" customFormat="1" ht="17.100000000000001" customHeight="1">
      <c r="A29" s="254"/>
      <c r="B29" s="255"/>
      <c r="C29" s="256" t="s">
        <v>404</v>
      </c>
      <c r="D29" s="257" t="s">
        <v>405</v>
      </c>
      <c r="E29" s="404"/>
      <c r="F29" s="305">
        <v>0.16700000000000001</v>
      </c>
      <c r="G29" s="405"/>
      <c r="H29" s="282">
        <f>$E$28*F29</f>
        <v>1.8370000000000002</v>
      </c>
    </row>
    <row r="30" spans="1:11" s="403" customFormat="1" ht="17.100000000000001" customHeight="1">
      <c r="A30" s="254"/>
      <c r="B30" s="255"/>
      <c r="C30" s="256" t="s">
        <v>406</v>
      </c>
      <c r="D30" s="257" t="s">
        <v>17</v>
      </c>
      <c r="E30" s="404"/>
      <c r="F30" s="305">
        <v>2</v>
      </c>
      <c r="G30" s="405"/>
      <c r="H30" s="282">
        <f>$E$28*F30</f>
        <v>22</v>
      </c>
    </row>
    <row r="31" spans="1:11" ht="22.5" customHeight="1">
      <c r="A31" s="96"/>
      <c r="B31" s="249"/>
      <c r="C31" s="34" t="str">
        <f>DTCT!C32</f>
        <v>Cầu 50m - 100m</v>
      </c>
      <c r="D31" s="96"/>
      <c r="E31" s="188"/>
      <c r="F31" s="401"/>
      <c r="G31" s="419"/>
      <c r="H31" s="400"/>
    </row>
    <row r="32" spans="1:11" ht="18" customHeight="1">
      <c r="A32" s="13">
        <f>DTCT!A33</f>
        <v>21</v>
      </c>
      <c r="B32" s="252" t="str">
        <f>DTCT!B33</f>
        <v>QLC.10130</v>
      </c>
      <c r="C32" s="244" t="str">
        <f>DTCT!C33</f>
        <v>Kiểm tra cầu</v>
      </c>
      <c r="D32" s="13" t="str">
        <f>DTCT!D33</f>
        <v>cầu/năm</v>
      </c>
      <c r="E32" s="253">
        <f>DTCT!E33</f>
        <v>5</v>
      </c>
      <c r="F32" s="406"/>
      <c r="G32" s="399"/>
      <c r="H32" s="400"/>
    </row>
    <row r="33" spans="1:10" s="403" customFormat="1" ht="18" customHeight="1">
      <c r="A33" s="254"/>
      <c r="B33" s="255"/>
      <c r="C33" s="256" t="s">
        <v>404</v>
      </c>
      <c r="D33" s="257" t="s">
        <v>405</v>
      </c>
      <c r="E33" s="404"/>
      <c r="F33" s="305">
        <v>3</v>
      </c>
      <c r="G33" s="402"/>
      <c r="H33" s="282">
        <f>$E$32*F33</f>
        <v>15</v>
      </c>
    </row>
    <row r="34" spans="1:10" s="403" customFormat="1" ht="18" customHeight="1">
      <c r="A34" s="254"/>
      <c r="B34" s="255"/>
      <c r="C34" s="256" t="s">
        <v>406</v>
      </c>
      <c r="D34" s="257" t="s">
        <v>17</v>
      </c>
      <c r="E34" s="404"/>
      <c r="F34" s="305">
        <v>12</v>
      </c>
      <c r="G34" s="402"/>
      <c r="H34" s="282">
        <f>$E$32*F34</f>
        <v>60</v>
      </c>
    </row>
    <row r="35" spans="1:10" ht="18" customHeight="1">
      <c r="A35" s="13">
        <f>DTCT!A34</f>
        <v>22</v>
      </c>
      <c r="B35" s="252" t="str">
        <f>DTCT!B34</f>
        <v>QLC.10330</v>
      </c>
      <c r="C35" s="244" t="str">
        <f>DTCT!C34</f>
        <v>Kiểm tra trước và sau mùa mưa bão</v>
      </c>
      <c r="D35" s="13" t="str">
        <f>DTCT!D34</f>
        <v>cầu/năm</v>
      </c>
      <c r="E35" s="253">
        <f>DTCT!E34</f>
        <v>5</v>
      </c>
      <c r="F35" s="398"/>
      <c r="G35" s="399"/>
      <c r="H35" s="400"/>
    </row>
    <row r="36" spans="1:10" s="403" customFormat="1" ht="18" customHeight="1">
      <c r="A36" s="254"/>
      <c r="B36" s="255"/>
      <c r="C36" s="256" t="s">
        <v>404</v>
      </c>
      <c r="D36" s="257" t="s">
        <v>405</v>
      </c>
      <c r="E36" s="404"/>
      <c r="F36" s="305">
        <v>0.5</v>
      </c>
      <c r="G36" s="402"/>
      <c r="H36" s="282">
        <f>$E$35*F36</f>
        <v>2.5</v>
      </c>
    </row>
    <row r="37" spans="1:10" s="403" customFormat="1" ht="18" customHeight="1">
      <c r="A37" s="254"/>
      <c r="B37" s="255"/>
      <c r="C37" s="256" t="s">
        <v>406</v>
      </c>
      <c r="D37" s="257" t="s">
        <v>17</v>
      </c>
      <c r="E37" s="404"/>
      <c r="F37" s="305">
        <v>2</v>
      </c>
      <c r="G37" s="402"/>
      <c r="H37" s="282">
        <f>$E$35*F37</f>
        <v>10</v>
      </c>
    </row>
    <row r="38" spans="1:10" ht="34.5" customHeight="1">
      <c r="A38" s="96" t="str">
        <f>DTCT!A36</f>
        <v>II</v>
      </c>
      <c r="B38" s="249"/>
      <c r="C38" s="34" t="str">
        <f>DTCT!C36</f>
        <v>ĐƯỜNG TỈNH 902 - HUYỆN MANG THÍT</v>
      </c>
      <c r="D38" s="96"/>
      <c r="E38" s="188"/>
      <c r="F38" s="398"/>
      <c r="G38" s="399"/>
      <c r="H38" s="400"/>
    </row>
    <row r="39" spans="1:10" ht="30.75" customHeight="1">
      <c r="A39" s="96"/>
      <c r="B39" s="249"/>
      <c r="C39" s="34" t="str">
        <f>DTCT!C37</f>
        <v>CÔNG TÁC QUẢN LÝ BDTX ĐƯỜNG BỘ</v>
      </c>
      <c r="D39" s="96"/>
      <c r="E39" s="188"/>
      <c r="F39" s="401"/>
      <c r="G39" s="399"/>
      <c r="H39" s="400"/>
    </row>
    <row r="40" spans="1:10" ht="18" customHeight="1">
      <c r="A40" s="13">
        <f>DTCT!A38</f>
        <v>1</v>
      </c>
      <c r="B40" s="252" t="str">
        <f>DTCT!B38</f>
        <v>QLD.10150</v>
      </c>
      <c r="C40" s="244" t="str">
        <f>DTCT!C38</f>
        <v>Tuần đường</v>
      </c>
      <c r="D40" s="13" t="str">
        <f>DTCT!D38</f>
        <v>1km/năm</v>
      </c>
      <c r="E40" s="253">
        <f>DTCT!E38</f>
        <v>31.73638</v>
      </c>
      <c r="F40" s="398"/>
      <c r="G40" s="399"/>
      <c r="H40" s="400"/>
    </row>
    <row r="41" spans="1:10" s="403" customFormat="1" ht="18" customHeight="1">
      <c r="A41" s="254"/>
      <c r="B41" s="255"/>
      <c r="C41" s="256" t="s">
        <v>393</v>
      </c>
      <c r="D41" s="257" t="s">
        <v>32</v>
      </c>
      <c r="E41" s="404"/>
      <c r="F41" s="305">
        <v>9.125</v>
      </c>
      <c r="G41" s="402"/>
      <c r="H41" s="282">
        <f>E40*F41</f>
        <v>289.59446750000001</v>
      </c>
    </row>
    <row r="42" spans="1:10" ht="18" customHeight="1">
      <c r="A42" s="13">
        <f>DTCT!A39</f>
        <v>2</v>
      </c>
      <c r="B42" s="252" t="str">
        <f>DTCT!B39</f>
        <v>QLD.10230</v>
      </c>
      <c r="C42" s="244" t="str">
        <f>DTCT!C39</f>
        <v>Đếm xe bằng thủ công</v>
      </c>
      <c r="D42" s="13" t="str">
        <f>DTCT!D39</f>
        <v>1lần/trạm đếm</v>
      </c>
      <c r="E42" s="253">
        <f>DTCT!E39</f>
        <v>12</v>
      </c>
      <c r="F42" s="308"/>
      <c r="G42" s="283"/>
      <c r="H42" s="283"/>
    </row>
    <row r="43" spans="1:10" s="403" customFormat="1" ht="18" customHeight="1">
      <c r="A43" s="254"/>
      <c r="B43" s="255"/>
      <c r="C43" s="256" t="s">
        <v>395</v>
      </c>
      <c r="D43" s="257" t="s">
        <v>396</v>
      </c>
      <c r="E43" s="404"/>
      <c r="F43" s="305">
        <v>42</v>
      </c>
      <c r="G43" s="408"/>
      <c r="H43" s="282">
        <f>$E$42*F43</f>
        <v>504</v>
      </c>
    </row>
    <row r="44" spans="1:10" s="403" customFormat="1" ht="18" customHeight="1">
      <c r="A44" s="254"/>
      <c r="B44" s="255"/>
      <c r="C44" s="256" t="s">
        <v>397</v>
      </c>
      <c r="D44" s="257" t="s">
        <v>17</v>
      </c>
      <c r="E44" s="404"/>
      <c r="F44" s="305">
        <v>3</v>
      </c>
      <c r="G44" s="408"/>
      <c r="H44" s="282">
        <f>$E$42*F44</f>
        <v>36</v>
      </c>
    </row>
    <row r="45" spans="1:10" ht="30" customHeight="1">
      <c r="A45" s="13">
        <f>DTCT!A40</f>
        <v>3</v>
      </c>
      <c r="B45" s="252" t="str">
        <f>DTCT!B40</f>
        <v>QLD.10340</v>
      </c>
      <c r="C45" s="244" t="str">
        <f>DTCT!C40</f>
        <v>Kiểm tra định kỳ, khẩn cấp, cập nhật số liệu cầu đường và tình hình bão lũ</v>
      </c>
      <c r="D45" s="13" t="str">
        <f>DTCT!D40</f>
        <v>1km/1lần</v>
      </c>
      <c r="E45" s="253">
        <f>DTCT!E40</f>
        <v>31.73638</v>
      </c>
      <c r="F45" s="401"/>
      <c r="G45" s="283"/>
      <c r="H45" s="282"/>
    </row>
    <row r="46" spans="1:10" s="403" customFormat="1" ht="18" customHeight="1">
      <c r="A46" s="254"/>
      <c r="B46" s="255"/>
      <c r="C46" s="256" t="s">
        <v>393</v>
      </c>
      <c r="D46" s="257" t="s">
        <v>32</v>
      </c>
      <c r="E46" s="404"/>
      <c r="F46" s="305">
        <v>2.5000000000000001E-2</v>
      </c>
      <c r="G46" s="408"/>
      <c r="H46" s="282">
        <f>E45*F46</f>
        <v>0.7934095000000001</v>
      </c>
    </row>
    <row r="47" spans="1:10" ht="18" customHeight="1">
      <c r="A47" s="13">
        <f>DTCT!A43</f>
        <v>6</v>
      </c>
      <c r="B47" s="252" t="str">
        <f>DTCT!B43</f>
        <v>BDD.20410</v>
      </c>
      <c r="C47" s="244" t="str">
        <f>DTCT!C43</f>
        <v>Cắt cỏ bằng máy</v>
      </c>
      <c r="D47" s="13" t="str">
        <f>DTCT!D43</f>
        <v>1km/1lần</v>
      </c>
      <c r="E47" s="253">
        <f>DTCT!E43</f>
        <v>31.73638</v>
      </c>
      <c r="F47" s="308"/>
      <c r="G47" s="283"/>
      <c r="H47" s="282"/>
      <c r="J47" s="390"/>
    </row>
    <row r="48" spans="1:10" s="403" customFormat="1" ht="18" customHeight="1">
      <c r="A48" s="254"/>
      <c r="B48" s="255"/>
      <c r="C48" s="256" t="s">
        <v>400</v>
      </c>
      <c r="D48" s="262" t="s">
        <v>411</v>
      </c>
      <c r="E48" s="404"/>
      <c r="F48" s="305">
        <v>0.2</v>
      </c>
      <c r="G48" s="408"/>
      <c r="H48" s="282">
        <f>E47*F48</f>
        <v>6.3472760000000008</v>
      </c>
    </row>
    <row r="49" spans="1:8" ht="17.100000000000001" customHeight="1">
      <c r="A49" s="13">
        <f>+DTCT!A49</f>
        <v>12</v>
      </c>
      <c r="B49" s="13" t="str">
        <f>+DTCT!B49</f>
        <v>BDD.21312</v>
      </c>
      <c r="C49" s="244" t="str">
        <f>+DTCT!C49</f>
        <v>Vệ sinh mặt đường bằng thủ công</v>
      </c>
      <c r="D49" s="13" t="str">
        <f>+DTCT!D49</f>
        <v>lần/km</v>
      </c>
      <c r="E49" s="253">
        <f>+DTCT!E49</f>
        <v>31.73638</v>
      </c>
      <c r="F49" s="248"/>
      <c r="G49" s="187"/>
      <c r="H49" s="400"/>
    </row>
    <row r="50" spans="1:8" ht="17.100000000000001" customHeight="1">
      <c r="A50" s="13"/>
      <c r="B50" s="252"/>
      <c r="C50" s="256" t="s">
        <v>401</v>
      </c>
      <c r="D50" s="257" t="s">
        <v>402</v>
      </c>
      <c r="E50" s="404"/>
      <c r="F50" s="305">
        <v>0.1</v>
      </c>
      <c r="G50" s="405"/>
      <c r="H50" s="282">
        <f>E49*F50</f>
        <v>3.1736380000000004</v>
      </c>
    </row>
    <row r="51" spans="1:8" ht="32.25" customHeight="1">
      <c r="A51" s="96"/>
      <c r="B51" s="249"/>
      <c r="C51" s="34" t="str">
        <f>DTCT!C51</f>
        <v>CÔNG TÁC BẢO DƯỠNG CẦU L &lt;= 300M</v>
      </c>
      <c r="D51" s="96"/>
      <c r="E51" s="188"/>
      <c r="F51" s="398"/>
      <c r="G51" s="407"/>
      <c r="H51" s="282"/>
    </row>
    <row r="52" spans="1:8" ht="18" customHeight="1">
      <c r="A52" s="13">
        <f>DTCT!A52</f>
        <v>14</v>
      </c>
      <c r="B52" s="252" t="str">
        <f>DTCT!B52</f>
        <v>BDC.20610</v>
      </c>
      <c r="C52" s="244" t="str">
        <f>DTCT!C52</f>
        <v>Vệ sinh mặt cầu, ống thoát nước</v>
      </c>
      <c r="D52" s="13" t="str">
        <f>DTCT!D52</f>
        <v>10m2</v>
      </c>
      <c r="E52" s="253">
        <f>DTCT!E52</f>
        <v>547.06099999999992</v>
      </c>
      <c r="F52" s="398"/>
      <c r="G52" s="407"/>
      <c r="H52" s="282"/>
    </row>
    <row r="53" spans="1:8" s="403" customFormat="1" ht="18" customHeight="1">
      <c r="A53" s="254"/>
      <c r="B53" s="255"/>
      <c r="C53" s="256" t="s">
        <v>401</v>
      </c>
      <c r="D53" s="257" t="s">
        <v>402</v>
      </c>
      <c r="E53" s="404"/>
      <c r="F53" s="305">
        <v>1E-4</v>
      </c>
      <c r="G53" s="405"/>
      <c r="H53" s="282">
        <f>E52*F53</f>
        <v>5.4706099999999994E-2</v>
      </c>
    </row>
    <row r="54" spans="1:8" ht="30" customHeight="1">
      <c r="A54" s="96"/>
      <c r="B54" s="249"/>
      <c r="C54" s="34" t="str">
        <f>DTCT!C56</f>
        <v>CÔNG TÁC QUẢN LÝ CẦU CẦU L &lt;= 300M</v>
      </c>
      <c r="D54" s="96"/>
      <c r="E54" s="188"/>
      <c r="F54" s="398"/>
      <c r="G54" s="407"/>
      <c r="H54" s="282"/>
    </row>
    <row r="55" spans="1:8" ht="18" customHeight="1">
      <c r="A55" s="96"/>
      <c r="B55" s="249"/>
      <c r="C55" s="34" t="str">
        <f>DTCT!C57</f>
        <v>Cầu &lt; 50m</v>
      </c>
      <c r="D55" s="96"/>
      <c r="E55" s="188"/>
      <c r="F55" s="398"/>
      <c r="G55" s="407"/>
      <c r="H55" s="282"/>
    </row>
    <row r="56" spans="1:8" ht="18" customHeight="1">
      <c r="A56" s="13">
        <f>DTCT!A58</f>
        <v>18</v>
      </c>
      <c r="B56" s="252" t="str">
        <f>DTCT!B58</f>
        <v>QLC.10140</v>
      </c>
      <c r="C56" s="244" t="str">
        <f>DTCT!C58</f>
        <v>Kiểm tra cầu</v>
      </c>
      <c r="D56" s="13" t="str">
        <f>DTCT!D58</f>
        <v>cầu/năm</v>
      </c>
      <c r="E56" s="253">
        <f>DTCT!E58</f>
        <v>10</v>
      </c>
      <c r="F56" s="398"/>
      <c r="G56" s="407"/>
      <c r="H56" s="282"/>
    </row>
    <row r="57" spans="1:8" s="403" customFormat="1" ht="18" customHeight="1">
      <c r="A57" s="254"/>
      <c r="B57" s="255"/>
      <c r="C57" s="256" t="s">
        <v>404</v>
      </c>
      <c r="D57" s="257" t="s">
        <v>405</v>
      </c>
      <c r="E57" s="404"/>
      <c r="F57" s="305">
        <v>1</v>
      </c>
      <c r="G57" s="405"/>
      <c r="H57" s="282">
        <f>$E$56*F57</f>
        <v>10</v>
      </c>
    </row>
    <row r="58" spans="1:8" s="403" customFormat="1" ht="18" customHeight="1">
      <c r="A58" s="254"/>
      <c r="B58" s="255"/>
      <c r="C58" s="256" t="s">
        <v>406</v>
      </c>
      <c r="D58" s="257" t="s">
        <v>17</v>
      </c>
      <c r="E58" s="404"/>
      <c r="F58" s="305">
        <v>12</v>
      </c>
      <c r="G58" s="405"/>
      <c r="H58" s="282">
        <f>$E$56*F58</f>
        <v>120</v>
      </c>
    </row>
    <row r="59" spans="1:8" ht="18" customHeight="1">
      <c r="A59" s="13">
        <f>DTCT!A59</f>
        <v>19</v>
      </c>
      <c r="B59" s="252" t="str">
        <f>DTCT!B59</f>
        <v>QLC.10340</v>
      </c>
      <c r="C59" s="244" t="str">
        <f>DTCT!C59</f>
        <v>Kiểm tra trước và sau mùa mưa bão</v>
      </c>
      <c r="D59" s="13" t="str">
        <f>DTCT!D59</f>
        <v>cầu/năm</v>
      </c>
      <c r="E59" s="253">
        <f>DTCT!E59</f>
        <v>10</v>
      </c>
      <c r="F59" s="398"/>
      <c r="G59" s="407"/>
      <c r="H59" s="282"/>
    </row>
    <row r="60" spans="1:8" s="403" customFormat="1" ht="18" customHeight="1">
      <c r="A60" s="254"/>
      <c r="B60" s="255"/>
      <c r="C60" s="256" t="s">
        <v>404</v>
      </c>
      <c r="D60" s="257" t="s">
        <v>405</v>
      </c>
      <c r="E60" s="404"/>
      <c r="F60" s="305">
        <v>0.16700000000000001</v>
      </c>
      <c r="G60" s="405"/>
      <c r="H60" s="282">
        <f>$E$59*F60</f>
        <v>1.6700000000000002</v>
      </c>
    </row>
    <row r="61" spans="1:8" s="403" customFormat="1" ht="18" customHeight="1">
      <c r="A61" s="254"/>
      <c r="B61" s="255"/>
      <c r="C61" s="256" t="s">
        <v>406</v>
      </c>
      <c r="D61" s="257" t="s">
        <v>17</v>
      </c>
      <c r="E61" s="404"/>
      <c r="F61" s="305">
        <v>2</v>
      </c>
      <c r="G61" s="405"/>
      <c r="H61" s="282">
        <f>$E$59*F61</f>
        <v>20</v>
      </c>
    </row>
    <row r="62" spans="1:8" ht="13.8">
      <c r="A62" s="96"/>
      <c r="B62" s="249"/>
      <c r="C62" s="34" t="str">
        <f>DTCT!C61</f>
        <v>Cầu 50m - 100m</v>
      </c>
      <c r="D62" s="96"/>
      <c r="E62" s="188"/>
      <c r="F62" s="308"/>
      <c r="G62" s="283"/>
      <c r="H62" s="283"/>
    </row>
    <row r="63" spans="1:8" ht="27.6">
      <c r="A63" s="13">
        <f>DTCT!A62</f>
        <v>21</v>
      </c>
      <c r="B63" s="252" t="str">
        <f>DTCT!B62</f>
        <v>QLC.10130</v>
      </c>
      <c r="C63" s="244" t="str">
        <f>DTCT!C62</f>
        <v>Kiểm tra cầu</v>
      </c>
      <c r="D63" s="13" t="str">
        <f>DTCT!D62</f>
        <v>cầu/năm</v>
      </c>
      <c r="E63" s="253">
        <f>DTCT!E62</f>
        <v>8</v>
      </c>
      <c r="F63" s="308"/>
      <c r="G63" s="283"/>
      <c r="H63" s="282"/>
    </row>
    <row r="64" spans="1:8" s="403" customFormat="1" ht="13.8">
      <c r="A64" s="254"/>
      <c r="B64" s="255"/>
      <c r="C64" s="256" t="s">
        <v>404</v>
      </c>
      <c r="D64" s="257" t="s">
        <v>405</v>
      </c>
      <c r="E64" s="404"/>
      <c r="F64" s="305">
        <v>3</v>
      </c>
      <c r="G64" s="408"/>
      <c r="H64" s="282">
        <f>$E$63*F64</f>
        <v>24</v>
      </c>
    </row>
    <row r="65" spans="1:8" s="403" customFormat="1" ht="13.8">
      <c r="A65" s="254"/>
      <c r="B65" s="255"/>
      <c r="C65" s="256" t="s">
        <v>406</v>
      </c>
      <c r="D65" s="257" t="s">
        <v>17</v>
      </c>
      <c r="E65" s="404"/>
      <c r="F65" s="305">
        <v>12</v>
      </c>
      <c r="G65" s="408"/>
      <c r="H65" s="282">
        <f>$E$63*F65</f>
        <v>96</v>
      </c>
    </row>
    <row r="66" spans="1:8" ht="27.6">
      <c r="A66" s="13">
        <f>DTCT!A63</f>
        <v>22</v>
      </c>
      <c r="B66" s="252" t="str">
        <f>DTCT!B63</f>
        <v>QLC.10330</v>
      </c>
      <c r="C66" s="244" t="str">
        <f>DTCT!C63</f>
        <v>Kiểm tra trước và sau mùa mưa bão</v>
      </c>
      <c r="D66" s="13" t="str">
        <f>DTCT!D63</f>
        <v>cầu/năm</v>
      </c>
      <c r="E66" s="253">
        <f>DTCT!E63</f>
        <v>8</v>
      </c>
      <c r="F66" s="308"/>
      <c r="G66" s="283"/>
      <c r="H66" s="282"/>
    </row>
    <row r="67" spans="1:8" s="403" customFormat="1" ht="13.8">
      <c r="A67" s="254"/>
      <c r="B67" s="255"/>
      <c r="C67" s="256" t="s">
        <v>404</v>
      </c>
      <c r="D67" s="257" t="s">
        <v>405</v>
      </c>
      <c r="E67" s="404"/>
      <c r="F67" s="305">
        <v>0.5</v>
      </c>
      <c r="G67" s="408"/>
      <c r="H67" s="282">
        <f>$E$66*F67</f>
        <v>4</v>
      </c>
    </row>
    <row r="68" spans="1:8" s="403" customFormat="1" ht="13.8">
      <c r="A68" s="254"/>
      <c r="B68" s="255"/>
      <c r="C68" s="256" t="s">
        <v>406</v>
      </c>
      <c r="D68" s="257" t="s">
        <v>17</v>
      </c>
      <c r="E68" s="404"/>
      <c r="F68" s="305">
        <v>2</v>
      </c>
      <c r="G68" s="408"/>
      <c r="H68" s="282">
        <f>$E$66*F68</f>
        <v>16</v>
      </c>
    </row>
    <row r="69" spans="1:8" ht="13.8">
      <c r="A69" s="96"/>
      <c r="B69" s="249"/>
      <c r="C69" s="34" t="str">
        <f>DTCT!C65</f>
        <v>Cầu 100m - 200m</v>
      </c>
      <c r="D69" s="96"/>
      <c r="E69" s="188"/>
      <c r="F69" s="308"/>
      <c r="G69" s="283"/>
      <c r="H69" s="282"/>
    </row>
    <row r="70" spans="1:8" ht="27.6">
      <c r="A70" s="13">
        <f>DTCT!A66</f>
        <v>24</v>
      </c>
      <c r="B70" s="252" t="str">
        <f>DTCT!B66</f>
        <v>QLC.10120</v>
      </c>
      <c r="C70" s="244" t="str">
        <f>DTCT!C66</f>
        <v>Kiểm tra cầu</v>
      </c>
      <c r="D70" s="13" t="str">
        <f>DTCT!D66</f>
        <v>cầu/năm</v>
      </c>
      <c r="E70" s="253">
        <f>DTCT!E66</f>
        <v>1</v>
      </c>
      <c r="F70" s="308"/>
      <c r="G70" s="283"/>
      <c r="H70" s="282"/>
    </row>
    <row r="71" spans="1:8" s="403" customFormat="1" ht="13.8">
      <c r="A71" s="254"/>
      <c r="B71" s="255"/>
      <c r="C71" s="256" t="s">
        <v>404</v>
      </c>
      <c r="D71" s="257" t="s">
        <v>405</v>
      </c>
      <c r="E71" s="404"/>
      <c r="F71" s="305">
        <v>5</v>
      </c>
      <c r="G71" s="408"/>
      <c r="H71" s="282">
        <f>$E$70*F71</f>
        <v>5</v>
      </c>
    </row>
    <row r="72" spans="1:8" s="403" customFormat="1" ht="13.8">
      <c r="A72" s="254"/>
      <c r="B72" s="255"/>
      <c r="C72" s="256" t="s">
        <v>406</v>
      </c>
      <c r="D72" s="257" t="s">
        <v>17</v>
      </c>
      <c r="E72" s="404"/>
      <c r="F72" s="305">
        <v>12</v>
      </c>
      <c r="G72" s="408"/>
      <c r="H72" s="282">
        <f>$E$70*F72</f>
        <v>12</v>
      </c>
    </row>
    <row r="73" spans="1:8" ht="27.6">
      <c r="A73" s="13">
        <f>DTCT!A67</f>
        <v>25</v>
      </c>
      <c r="B73" s="252" t="str">
        <f>DTCT!B67</f>
        <v>QLC.10320</v>
      </c>
      <c r="C73" s="244" t="str">
        <f>DTCT!C67</f>
        <v>Kiểm tra trước và sau mùa mưa bão</v>
      </c>
      <c r="D73" s="13" t="str">
        <f>DTCT!D67</f>
        <v>cầu/năm</v>
      </c>
      <c r="E73" s="253">
        <f>DTCT!E67</f>
        <v>1</v>
      </c>
      <c r="F73" s="308"/>
      <c r="G73" s="283"/>
      <c r="H73" s="282"/>
    </row>
    <row r="74" spans="1:8" s="403" customFormat="1" ht="13.8">
      <c r="A74" s="254"/>
      <c r="B74" s="255"/>
      <c r="C74" s="256" t="s">
        <v>404</v>
      </c>
      <c r="D74" s="257" t="s">
        <v>405</v>
      </c>
      <c r="E74" s="404"/>
      <c r="F74" s="305">
        <v>0.83299999999999996</v>
      </c>
      <c r="G74" s="408"/>
      <c r="H74" s="282">
        <f>$E$73*F74</f>
        <v>0.83299999999999996</v>
      </c>
    </row>
    <row r="75" spans="1:8" s="403" customFormat="1" ht="13.8">
      <c r="A75" s="254"/>
      <c r="B75" s="255"/>
      <c r="C75" s="256" t="s">
        <v>406</v>
      </c>
      <c r="D75" s="257" t="s">
        <v>17</v>
      </c>
      <c r="E75" s="404"/>
      <c r="F75" s="305">
        <v>2</v>
      </c>
      <c r="G75" s="408"/>
      <c r="H75" s="282">
        <f>$E$73*F75</f>
        <v>2</v>
      </c>
    </row>
    <row r="76" spans="1:8" ht="31.5" customHeight="1">
      <c r="A76" s="96" t="str">
        <f>DTCT!A69</f>
        <v>III</v>
      </c>
      <c r="B76" s="249"/>
      <c r="C76" s="34" t="str">
        <f>DTCT!C69</f>
        <v>ĐƯỜNG TỈNH 903 - HUYỆN MANG THÍT</v>
      </c>
      <c r="D76" s="96"/>
      <c r="E76" s="188"/>
      <c r="F76" s="308"/>
      <c r="G76" s="283"/>
      <c r="H76" s="282"/>
    </row>
    <row r="77" spans="1:8" ht="27.6">
      <c r="A77" s="96"/>
      <c r="B77" s="249"/>
      <c r="C77" s="34" t="str">
        <f>DTCT!C70</f>
        <v>CÔNG TÁC QUẢN LÝ BDTX ĐƯỜNG BỘ</v>
      </c>
      <c r="D77" s="96"/>
      <c r="E77" s="188"/>
      <c r="F77" s="308"/>
      <c r="G77" s="283"/>
      <c r="H77" s="282"/>
    </row>
    <row r="78" spans="1:8" ht="18" customHeight="1">
      <c r="A78" s="13">
        <f>DTCT!A71</f>
        <v>1</v>
      </c>
      <c r="B78" s="252" t="str">
        <f>DTCT!B71</f>
        <v>QLD.10150</v>
      </c>
      <c r="C78" s="244" t="str">
        <f>DTCT!C71</f>
        <v>Tuần đường</v>
      </c>
      <c r="D78" s="13" t="str">
        <f>DTCT!D71</f>
        <v>1km/năm</v>
      </c>
      <c r="E78" s="253">
        <f>DTCT!E71</f>
        <v>12.736360000000001</v>
      </c>
      <c r="F78" s="308"/>
      <c r="G78" s="283"/>
      <c r="H78" s="282"/>
    </row>
    <row r="79" spans="1:8" s="403" customFormat="1" ht="13.8">
      <c r="A79" s="254"/>
      <c r="B79" s="255"/>
      <c r="C79" s="256" t="s">
        <v>393</v>
      </c>
      <c r="D79" s="257" t="s">
        <v>32</v>
      </c>
      <c r="E79" s="404"/>
      <c r="F79" s="305">
        <v>9.125</v>
      </c>
      <c r="G79" s="408"/>
      <c r="H79" s="282">
        <f>E78*F79</f>
        <v>116.21928500000001</v>
      </c>
    </row>
    <row r="80" spans="1:8" ht="30.75" customHeight="1">
      <c r="A80" s="13">
        <f>DTCT!A72</f>
        <v>2</v>
      </c>
      <c r="B80" s="252" t="str">
        <f>DTCT!B72</f>
        <v>QLD.10230</v>
      </c>
      <c r="C80" s="244" t="str">
        <f>DTCT!C72</f>
        <v>Đếm xe bằng thủ công</v>
      </c>
      <c r="D80" s="13" t="str">
        <f>DTCT!D72</f>
        <v>1 lần/trạm đếm</v>
      </c>
      <c r="E80" s="253">
        <f>DTCT!E72</f>
        <v>12</v>
      </c>
      <c r="F80" s="308"/>
      <c r="G80" s="283"/>
      <c r="H80" s="282"/>
    </row>
    <row r="81" spans="1:8" s="403" customFormat="1" ht="13.8">
      <c r="A81" s="254"/>
      <c r="B81" s="255"/>
      <c r="C81" s="256" t="s">
        <v>395</v>
      </c>
      <c r="D81" s="257" t="s">
        <v>396</v>
      </c>
      <c r="E81" s="404"/>
      <c r="F81" s="305">
        <v>42</v>
      </c>
      <c r="G81" s="408"/>
      <c r="H81" s="282">
        <f>$E$80*F81</f>
        <v>504</v>
      </c>
    </row>
    <row r="82" spans="1:8" s="403" customFormat="1" ht="13.8">
      <c r="A82" s="254"/>
      <c r="B82" s="255"/>
      <c r="C82" s="256" t="s">
        <v>406</v>
      </c>
      <c r="D82" s="257" t="s">
        <v>17</v>
      </c>
      <c r="E82" s="404"/>
      <c r="F82" s="305">
        <v>3</v>
      </c>
      <c r="G82" s="408"/>
      <c r="H82" s="282">
        <f>$E$80*F82</f>
        <v>36</v>
      </c>
    </row>
    <row r="83" spans="1:8" ht="27.6">
      <c r="A83" s="13">
        <f>DTCT!A73</f>
        <v>3</v>
      </c>
      <c r="B83" s="252" t="str">
        <f>DTCT!B73</f>
        <v>QLD.10340</v>
      </c>
      <c r="C83" s="244" t="str">
        <f>DTCT!C73</f>
        <v>Kiểm tra định kỳ, khẩn cấp, cập nhật số liệu cầu đường và tình hình bão lũ</v>
      </c>
      <c r="D83" s="13" t="str">
        <f>DTCT!D73</f>
        <v>1km/1lần</v>
      </c>
      <c r="E83" s="253">
        <f>DTCT!E73</f>
        <v>12.736360000000001</v>
      </c>
      <c r="F83" s="308"/>
      <c r="G83" s="283"/>
      <c r="H83" s="282"/>
    </row>
    <row r="84" spans="1:8" s="403" customFormat="1" ht="13.8">
      <c r="A84" s="254"/>
      <c r="B84" s="255"/>
      <c r="C84" s="256" t="s">
        <v>393</v>
      </c>
      <c r="D84" s="257" t="s">
        <v>32</v>
      </c>
      <c r="E84" s="404"/>
      <c r="F84" s="305">
        <v>2.5000000000000001E-2</v>
      </c>
      <c r="G84" s="408"/>
      <c r="H84" s="282">
        <f>E83*F84</f>
        <v>0.31840900000000005</v>
      </c>
    </row>
    <row r="85" spans="1:8" ht="20.25" customHeight="1">
      <c r="A85" s="13">
        <f>DTCT!A76</f>
        <v>6</v>
      </c>
      <c r="B85" s="252" t="str">
        <f>DTCT!B76</f>
        <v>BDD.20410</v>
      </c>
      <c r="C85" s="244" t="str">
        <f>DTCT!C76</f>
        <v>Cắt cỏ bằng máy</v>
      </c>
      <c r="D85" s="13" t="str">
        <f>DTCT!D76</f>
        <v>1km/1lần</v>
      </c>
      <c r="E85" s="253">
        <f>DTCT!E76</f>
        <v>12.736360000000001</v>
      </c>
      <c r="F85" s="308"/>
      <c r="G85" s="283"/>
      <c r="H85" s="282"/>
    </row>
    <row r="86" spans="1:8" s="403" customFormat="1" ht="13.8">
      <c r="A86" s="254"/>
      <c r="B86" s="255"/>
      <c r="C86" s="256" t="s">
        <v>400</v>
      </c>
      <c r="D86" s="262" t="s">
        <v>411</v>
      </c>
      <c r="E86" s="404"/>
      <c r="F86" s="305">
        <v>0.2</v>
      </c>
      <c r="G86" s="408"/>
      <c r="H86" s="282">
        <f>E85*F86</f>
        <v>2.5472720000000004</v>
      </c>
    </row>
    <row r="87" spans="1:8" ht="17.100000000000001" customHeight="1">
      <c r="A87" s="13">
        <f>+DTCT!A82</f>
        <v>12</v>
      </c>
      <c r="B87" s="13" t="str">
        <f>+DTCT!B82</f>
        <v>BDD.21312</v>
      </c>
      <c r="C87" s="244" t="str">
        <f>+DTCT!C82</f>
        <v>Vệ sinh mặt đường bằng thủ công</v>
      </c>
      <c r="D87" s="13" t="str">
        <f>+DTCT!D82</f>
        <v>lần/km</v>
      </c>
      <c r="E87" s="418">
        <f>+DTCT!E82</f>
        <v>12.736360000000001</v>
      </c>
      <c r="F87" s="248"/>
      <c r="G87" s="187"/>
      <c r="H87" s="400"/>
    </row>
    <row r="88" spans="1:8" ht="17.100000000000001" customHeight="1">
      <c r="A88" s="13"/>
      <c r="B88" s="252"/>
      <c r="C88" s="256" t="s">
        <v>401</v>
      </c>
      <c r="D88" s="257" t="s">
        <v>402</v>
      </c>
      <c r="E88" s="404"/>
      <c r="F88" s="305">
        <v>0.1</v>
      </c>
      <c r="G88" s="405"/>
      <c r="H88" s="282">
        <f>E87*F88</f>
        <v>1.2736360000000002</v>
      </c>
    </row>
    <row r="89" spans="1:8" ht="27.6">
      <c r="A89" s="96"/>
      <c r="B89" s="249"/>
      <c r="C89" s="34" t="str">
        <f>DTCT!C84</f>
        <v>CÔNG TÁC BẢO DƯỠNG CẦU L &lt;= 300M</v>
      </c>
      <c r="D89" s="96"/>
      <c r="E89" s="188"/>
      <c r="F89" s="308"/>
      <c r="G89" s="283"/>
      <c r="H89" s="282"/>
    </row>
    <row r="90" spans="1:8" ht="22.5" customHeight="1">
      <c r="A90" s="13">
        <f>DTCT!A85</f>
        <v>14</v>
      </c>
      <c r="B90" s="252" t="str">
        <f>DTCT!B85</f>
        <v>BDC.20610</v>
      </c>
      <c r="C90" s="244" t="str">
        <f>DTCT!C85</f>
        <v>Vệ sinh mặt cầu, ống thoát nước</v>
      </c>
      <c r="D90" s="13" t="str">
        <f>DTCT!D85</f>
        <v>10m2</v>
      </c>
      <c r="E90" s="253">
        <f>DTCT!E85</f>
        <v>78.655999999999992</v>
      </c>
      <c r="F90" s="308"/>
      <c r="G90" s="283"/>
      <c r="H90" s="282"/>
    </row>
    <row r="91" spans="1:8" s="403" customFormat="1" ht="13.8">
      <c r="A91" s="254"/>
      <c r="B91" s="255"/>
      <c r="C91" s="256" t="s">
        <v>401</v>
      </c>
      <c r="D91" s="257" t="s">
        <v>402</v>
      </c>
      <c r="E91" s="404"/>
      <c r="F91" s="305">
        <v>1E-4</v>
      </c>
      <c r="G91" s="408"/>
      <c r="H91" s="282">
        <f>E90*F91</f>
        <v>7.8656000000000004E-3</v>
      </c>
    </row>
    <row r="92" spans="1:8" ht="27.6">
      <c r="A92" s="96"/>
      <c r="B92" s="249"/>
      <c r="C92" s="34" t="str">
        <f>DTCT!C89</f>
        <v>CÔNG TÁC QUẢN LÝ CẦU CẦU L &lt;= 300M</v>
      </c>
      <c r="D92" s="96"/>
      <c r="E92" s="188"/>
      <c r="F92" s="308"/>
      <c r="G92" s="283"/>
      <c r="H92" s="282"/>
    </row>
    <row r="93" spans="1:8" ht="13.8">
      <c r="A93" s="96"/>
      <c r="B93" s="249"/>
      <c r="C93" s="34" t="str">
        <f>DTCT!C90</f>
        <v>Cầu &lt; 50m</v>
      </c>
      <c r="D93" s="96"/>
      <c r="E93" s="188"/>
      <c r="F93" s="308"/>
      <c r="G93" s="283"/>
      <c r="H93" s="282"/>
    </row>
    <row r="94" spans="1:8" ht="27.6">
      <c r="A94" s="13">
        <f>DTCT!A91</f>
        <v>18</v>
      </c>
      <c r="B94" s="252" t="str">
        <f>DTCT!B91</f>
        <v>QLC.10140</v>
      </c>
      <c r="C94" s="244" t="str">
        <f>DTCT!C91</f>
        <v>Kiểm tra cầu</v>
      </c>
      <c r="D94" s="13" t="str">
        <f>DTCT!D91</f>
        <v>cầu/năm</v>
      </c>
      <c r="E94" s="253">
        <f>DTCT!E91</f>
        <v>1</v>
      </c>
      <c r="F94" s="308"/>
      <c r="G94" s="283"/>
      <c r="H94" s="282"/>
    </row>
    <row r="95" spans="1:8" s="403" customFormat="1" ht="18" customHeight="1">
      <c r="A95" s="254"/>
      <c r="B95" s="255"/>
      <c r="C95" s="256" t="s">
        <v>404</v>
      </c>
      <c r="D95" s="257" t="s">
        <v>405</v>
      </c>
      <c r="E95" s="404"/>
      <c r="F95" s="305">
        <v>1</v>
      </c>
      <c r="G95" s="408"/>
      <c r="H95" s="282">
        <f>$E$94*F95</f>
        <v>1</v>
      </c>
    </row>
    <row r="96" spans="1:8" s="403" customFormat="1" ht="13.8">
      <c r="A96" s="254"/>
      <c r="B96" s="255"/>
      <c r="C96" s="256" t="s">
        <v>406</v>
      </c>
      <c r="D96" s="257" t="s">
        <v>17</v>
      </c>
      <c r="E96" s="404"/>
      <c r="F96" s="305">
        <v>12</v>
      </c>
      <c r="G96" s="408"/>
      <c r="H96" s="282">
        <f>$E$94*F96</f>
        <v>12</v>
      </c>
    </row>
    <row r="97" spans="1:8" ht="27.6">
      <c r="A97" s="13">
        <f>DTCT!A92</f>
        <v>19</v>
      </c>
      <c r="B97" s="252" t="str">
        <f>DTCT!B92</f>
        <v>QLC.10340</v>
      </c>
      <c r="C97" s="244" t="str">
        <f>DTCT!C92</f>
        <v>Kiểm tra trước và sau mùa mưa bão</v>
      </c>
      <c r="D97" s="13" t="str">
        <f>DTCT!D92</f>
        <v>cầu/năm</v>
      </c>
      <c r="E97" s="253">
        <f>DTCT!E92</f>
        <v>1</v>
      </c>
      <c r="F97" s="308"/>
      <c r="G97" s="283"/>
      <c r="H97" s="282"/>
    </row>
    <row r="98" spans="1:8" s="403" customFormat="1" ht="13.8">
      <c r="A98" s="254"/>
      <c r="B98" s="255"/>
      <c r="C98" s="256" t="s">
        <v>404</v>
      </c>
      <c r="D98" s="257" t="s">
        <v>405</v>
      </c>
      <c r="E98" s="404"/>
      <c r="F98" s="305">
        <v>0.16700000000000001</v>
      </c>
      <c r="G98" s="408"/>
      <c r="H98" s="282">
        <f>$E$97*F98</f>
        <v>0.16700000000000001</v>
      </c>
    </row>
    <row r="99" spans="1:8" s="403" customFormat="1" ht="13.8">
      <c r="A99" s="254"/>
      <c r="B99" s="255"/>
      <c r="C99" s="256" t="s">
        <v>406</v>
      </c>
      <c r="D99" s="257" t="s">
        <v>17</v>
      </c>
      <c r="E99" s="404"/>
      <c r="F99" s="305">
        <v>2</v>
      </c>
      <c r="G99" s="408"/>
      <c r="H99" s="282">
        <f>$E$97*F99</f>
        <v>2</v>
      </c>
    </row>
    <row r="100" spans="1:8" ht="13.8">
      <c r="A100" s="96"/>
      <c r="B100" s="249"/>
      <c r="C100" s="34" t="str">
        <f>DTCT!C94</f>
        <v>Cầu 50m - 100m</v>
      </c>
      <c r="D100" s="96"/>
      <c r="E100" s="188"/>
      <c r="F100" s="308"/>
      <c r="G100" s="283"/>
      <c r="H100" s="282"/>
    </row>
    <row r="101" spans="1:8" ht="27.6">
      <c r="A101" s="13">
        <f>DTCT!A95</f>
        <v>21</v>
      </c>
      <c r="B101" s="252" t="str">
        <f>DTCT!B95</f>
        <v>QLC.10130</v>
      </c>
      <c r="C101" s="244" t="str">
        <f>DTCT!C95</f>
        <v>Kiểm tra cầu</v>
      </c>
      <c r="D101" s="13" t="str">
        <f>DTCT!D95</f>
        <v>cầu/năm</v>
      </c>
      <c r="E101" s="253">
        <f>DTCT!E95</f>
        <v>2</v>
      </c>
      <c r="F101" s="308"/>
      <c r="G101" s="283"/>
      <c r="H101" s="282"/>
    </row>
    <row r="102" spans="1:8" s="403" customFormat="1" ht="13.8">
      <c r="A102" s="254"/>
      <c r="B102" s="255"/>
      <c r="C102" s="256" t="s">
        <v>404</v>
      </c>
      <c r="D102" s="257" t="s">
        <v>405</v>
      </c>
      <c r="E102" s="404"/>
      <c r="F102" s="305">
        <v>3</v>
      </c>
      <c r="G102" s="408"/>
      <c r="H102" s="282">
        <f>$E$101*F102</f>
        <v>6</v>
      </c>
    </row>
    <row r="103" spans="1:8" s="403" customFormat="1" ht="13.8">
      <c r="A103" s="254"/>
      <c r="B103" s="255"/>
      <c r="C103" s="256" t="s">
        <v>406</v>
      </c>
      <c r="D103" s="257" t="s">
        <v>17</v>
      </c>
      <c r="E103" s="404"/>
      <c r="F103" s="305">
        <v>12</v>
      </c>
      <c r="G103" s="408"/>
      <c r="H103" s="282">
        <f>$E$101*F103</f>
        <v>24</v>
      </c>
    </row>
    <row r="104" spans="1:8" ht="27.6">
      <c r="A104" s="13">
        <f>DTCT!A96</f>
        <v>22</v>
      </c>
      <c r="B104" s="252" t="str">
        <f>DTCT!B96</f>
        <v>QLC.10330</v>
      </c>
      <c r="C104" s="244" t="str">
        <f>DTCT!C96</f>
        <v>Kiểm tra trước và sau mùa mưa bão</v>
      </c>
      <c r="D104" s="13" t="str">
        <f>DTCT!D96</f>
        <v>cầu/năm</v>
      </c>
      <c r="E104" s="253">
        <f>DTCT!E96</f>
        <v>2</v>
      </c>
      <c r="F104" s="308"/>
      <c r="G104" s="283"/>
      <c r="H104" s="282"/>
    </row>
    <row r="105" spans="1:8" s="403" customFormat="1" ht="13.8">
      <c r="A105" s="254"/>
      <c r="B105" s="255"/>
      <c r="C105" s="256" t="s">
        <v>404</v>
      </c>
      <c r="D105" s="257" t="s">
        <v>405</v>
      </c>
      <c r="E105" s="404"/>
      <c r="F105" s="305">
        <v>0.5</v>
      </c>
      <c r="G105" s="408"/>
      <c r="H105" s="282">
        <f>$E$104*F105</f>
        <v>1</v>
      </c>
    </row>
    <row r="106" spans="1:8" s="403" customFormat="1" ht="13.8">
      <c r="A106" s="254"/>
      <c r="B106" s="255"/>
      <c r="C106" s="256" t="s">
        <v>406</v>
      </c>
      <c r="D106" s="257" t="s">
        <v>17</v>
      </c>
      <c r="E106" s="404"/>
      <c r="F106" s="305">
        <v>2</v>
      </c>
      <c r="G106" s="408"/>
      <c r="H106" s="282">
        <f>$E$104*F106</f>
        <v>4</v>
      </c>
    </row>
    <row r="107" spans="1:8" ht="29.25" customHeight="1">
      <c r="A107" s="96" t="str">
        <f>DTCT!A98</f>
        <v>IV</v>
      </c>
      <c r="B107" s="249"/>
      <c r="C107" s="34" t="str">
        <f>DTCT!C98</f>
        <v>ĐƯỜNG TỈNH 904 -  HUYỆN TAM BÌNH</v>
      </c>
      <c r="D107" s="96"/>
      <c r="E107" s="188"/>
      <c r="F107" s="308"/>
      <c r="G107" s="283"/>
      <c r="H107" s="282"/>
    </row>
    <row r="108" spans="1:8" ht="27.6">
      <c r="A108" s="96"/>
      <c r="B108" s="249"/>
      <c r="C108" s="34" t="str">
        <f>DTCT!C99</f>
        <v>CÔNG TÁC QUẢN LÝ BDTX ĐƯỜNG BỘ</v>
      </c>
      <c r="D108" s="96"/>
      <c r="E108" s="188"/>
      <c r="F108" s="308"/>
      <c r="G108" s="283"/>
      <c r="H108" s="282"/>
    </row>
    <row r="109" spans="1:8" ht="19.5" customHeight="1">
      <c r="A109" s="13">
        <f>DTCT!A100</f>
        <v>1</v>
      </c>
      <c r="B109" s="252" t="str">
        <f>DTCT!B100</f>
        <v>QLD.10150</v>
      </c>
      <c r="C109" s="244" t="str">
        <f>DTCT!C100</f>
        <v>Tuần đường</v>
      </c>
      <c r="D109" s="13" t="str">
        <f>DTCT!D100</f>
        <v>1km/năm</v>
      </c>
      <c r="E109" s="253">
        <f>DTCT!E100</f>
        <v>26.206</v>
      </c>
      <c r="F109" s="308"/>
      <c r="G109" s="283"/>
      <c r="H109" s="282"/>
    </row>
    <row r="110" spans="1:8" s="403" customFormat="1" ht="13.8">
      <c r="A110" s="254"/>
      <c r="B110" s="255"/>
      <c r="C110" s="256" t="s">
        <v>393</v>
      </c>
      <c r="D110" s="257" t="s">
        <v>32</v>
      </c>
      <c r="E110" s="404"/>
      <c r="F110" s="305">
        <v>9.125</v>
      </c>
      <c r="G110" s="408"/>
      <c r="H110" s="282">
        <f>E109*F110</f>
        <v>239.12975</v>
      </c>
    </row>
    <row r="111" spans="1:8" ht="27.75" customHeight="1">
      <c r="A111" s="13">
        <f>DTCT!A101</f>
        <v>2</v>
      </c>
      <c r="B111" s="252" t="str">
        <f>DTCT!B101</f>
        <v>QLD.10230</v>
      </c>
      <c r="C111" s="244" t="str">
        <f>DTCT!C101</f>
        <v>Đếm xe bằng thủ công</v>
      </c>
      <c r="D111" s="13" t="str">
        <f>DTCT!D101</f>
        <v>1lần/trạmđếm</v>
      </c>
      <c r="E111" s="253">
        <f>DTCT!E101</f>
        <v>12</v>
      </c>
      <c r="F111" s="308"/>
      <c r="G111" s="283"/>
      <c r="H111" s="282"/>
    </row>
    <row r="112" spans="1:8" s="403" customFormat="1" ht="13.8">
      <c r="A112" s="254"/>
      <c r="B112" s="255"/>
      <c r="C112" s="256" t="s">
        <v>395</v>
      </c>
      <c r="D112" s="257" t="s">
        <v>396</v>
      </c>
      <c r="E112" s="404"/>
      <c r="F112" s="305">
        <v>42</v>
      </c>
      <c r="G112" s="408"/>
      <c r="H112" s="282">
        <f>$E$111*F112</f>
        <v>504</v>
      </c>
    </row>
    <row r="113" spans="1:8" s="403" customFormat="1" ht="13.8">
      <c r="A113" s="254"/>
      <c r="B113" s="255"/>
      <c r="C113" s="256" t="s">
        <v>406</v>
      </c>
      <c r="D113" s="257" t="s">
        <v>17</v>
      </c>
      <c r="E113" s="404"/>
      <c r="F113" s="305">
        <v>3</v>
      </c>
      <c r="G113" s="408"/>
      <c r="H113" s="282">
        <f>$E$111*F113</f>
        <v>36</v>
      </c>
    </row>
    <row r="114" spans="1:8" ht="27.6">
      <c r="A114" s="13">
        <f>DTCT!A102</f>
        <v>3</v>
      </c>
      <c r="B114" s="252" t="str">
        <f>DTCT!B102</f>
        <v>QLD.10340</v>
      </c>
      <c r="C114" s="244" t="str">
        <f>DTCT!C102</f>
        <v>Kiểm tra định kỳ, khẩn cấp, cập nhật số liệu cầu đường và tình hình bão lũ</v>
      </c>
      <c r="D114" s="13" t="str">
        <f>DTCT!D102</f>
        <v>1km/1lần</v>
      </c>
      <c r="E114" s="253">
        <f>DTCT!E102</f>
        <v>26.206</v>
      </c>
      <c r="F114" s="308"/>
      <c r="G114" s="283"/>
      <c r="H114" s="282"/>
    </row>
    <row r="115" spans="1:8" s="403" customFormat="1" ht="13.8">
      <c r="A115" s="254"/>
      <c r="B115" s="255"/>
      <c r="C115" s="256" t="s">
        <v>393</v>
      </c>
      <c r="D115" s="257" t="s">
        <v>32</v>
      </c>
      <c r="E115" s="404"/>
      <c r="F115" s="305">
        <v>2.5000000000000001E-2</v>
      </c>
      <c r="G115" s="408"/>
      <c r="H115" s="282">
        <f>E114*F115</f>
        <v>0.65515000000000001</v>
      </c>
    </row>
    <row r="116" spans="1:8" ht="21" customHeight="1">
      <c r="A116" s="13">
        <f>DTCT!A105</f>
        <v>6</v>
      </c>
      <c r="B116" s="252" t="str">
        <f>DTCT!B105</f>
        <v>BDD.20410</v>
      </c>
      <c r="C116" s="244" t="str">
        <f>DTCT!C105</f>
        <v>Cắt cỏ bằng máy</v>
      </c>
      <c r="D116" s="13" t="str">
        <f>DTCT!D105</f>
        <v>1km/1lần</v>
      </c>
      <c r="E116" s="253">
        <f>DTCT!E105</f>
        <v>26.206</v>
      </c>
      <c r="F116" s="308"/>
      <c r="G116" s="283"/>
      <c r="H116" s="282"/>
    </row>
    <row r="117" spans="1:8" s="403" customFormat="1" ht="13.8">
      <c r="A117" s="254"/>
      <c r="B117" s="255"/>
      <c r="C117" s="256" t="s">
        <v>400</v>
      </c>
      <c r="D117" s="262" t="s">
        <v>411</v>
      </c>
      <c r="E117" s="404"/>
      <c r="F117" s="305">
        <v>0.2</v>
      </c>
      <c r="G117" s="408"/>
      <c r="H117" s="282">
        <f>E116*F117</f>
        <v>5.2412000000000001</v>
      </c>
    </row>
    <row r="118" spans="1:8" ht="17.100000000000001" customHeight="1">
      <c r="A118" s="13">
        <f>+DTCT!A111</f>
        <v>12</v>
      </c>
      <c r="B118" s="13" t="str">
        <f>+DTCT!B111</f>
        <v>BDD.21312</v>
      </c>
      <c r="C118" s="244" t="str">
        <f>+DTCT!C111</f>
        <v>Vệ sinh mặt đường bằng thủ công</v>
      </c>
      <c r="D118" s="13" t="str">
        <f>+DTCT!D111</f>
        <v>lần/km</v>
      </c>
      <c r="E118" s="418">
        <f>+DTCT!E111</f>
        <v>26.206</v>
      </c>
      <c r="F118" s="248"/>
      <c r="G118" s="187"/>
      <c r="H118" s="400"/>
    </row>
    <row r="119" spans="1:8" ht="17.100000000000001" customHeight="1">
      <c r="A119" s="13"/>
      <c r="B119" s="252"/>
      <c r="C119" s="256" t="s">
        <v>401</v>
      </c>
      <c r="D119" s="257" t="s">
        <v>402</v>
      </c>
      <c r="E119" s="404"/>
      <c r="F119" s="305">
        <v>0.1</v>
      </c>
      <c r="G119" s="405"/>
      <c r="H119" s="282">
        <f>E118*F119</f>
        <v>2.6206</v>
      </c>
    </row>
    <row r="120" spans="1:8" ht="27.6">
      <c r="A120" s="96"/>
      <c r="B120" s="249"/>
      <c r="C120" s="34" t="str">
        <f>DTCT!C113</f>
        <v>CÔNG TÁC BẢO DƯỠNG CẦU L &lt;= 300M</v>
      </c>
      <c r="D120" s="96"/>
      <c r="E120" s="188"/>
      <c r="F120" s="308"/>
      <c r="G120" s="283"/>
      <c r="H120" s="282"/>
    </row>
    <row r="121" spans="1:8" ht="21.75" customHeight="1">
      <c r="A121" s="13">
        <f>DTCT!A114</f>
        <v>14</v>
      </c>
      <c r="B121" s="252" t="str">
        <f>DTCT!B114</f>
        <v>BDC.20610</v>
      </c>
      <c r="C121" s="244" t="str">
        <f>DTCT!C114</f>
        <v>Vệ sinh mặt cầu, ống thoát nước</v>
      </c>
      <c r="D121" s="13" t="str">
        <f>DTCT!D114</f>
        <v>10m2</v>
      </c>
      <c r="E121" s="253">
        <f>DTCT!E114</f>
        <v>436.03789999999998</v>
      </c>
      <c r="F121" s="308"/>
      <c r="G121" s="283"/>
      <c r="H121" s="282"/>
    </row>
    <row r="122" spans="1:8" s="403" customFormat="1" ht="13.8">
      <c r="A122" s="254"/>
      <c r="B122" s="255"/>
      <c r="C122" s="256" t="s">
        <v>401</v>
      </c>
      <c r="D122" s="257" t="s">
        <v>402</v>
      </c>
      <c r="E122" s="404"/>
      <c r="F122" s="305">
        <v>1E-4</v>
      </c>
      <c r="G122" s="408"/>
      <c r="H122" s="282">
        <f>E121*F122</f>
        <v>4.3603790000000003E-2</v>
      </c>
    </row>
    <row r="123" spans="1:8" ht="27.6">
      <c r="A123" s="96"/>
      <c r="B123" s="249"/>
      <c r="C123" s="34" t="str">
        <f>DTCT!C118</f>
        <v>CÔNG TÁC QUẢN LÝ CẦU CẦU L &lt;= 300M</v>
      </c>
      <c r="D123" s="96"/>
      <c r="E123" s="188"/>
      <c r="F123" s="308"/>
      <c r="G123" s="283"/>
      <c r="H123" s="282"/>
    </row>
    <row r="124" spans="1:8" ht="13.8">
      <c r="A124" s="96"/>
      <c r="B124" s="249"/>
      <c r="C124" s="34" t="str">
        <f>DTCT!C119</f>
        <v>Cầu &lt; 50m</v>
      </c>
      <c r="D124" s="96"/>
      <c r="E124" s="188"/>
      <c r="F124" s="308"/>
      <c r="G124" s="283"/>
      <c r="H124" s="282"/>
    </row>
    <row r="125" spans="1:8" ht="27.6">
      <c r="A125" s="13">
        <f>DTCT!A120</f>
        <v>18</v>
      </c>
      <c r="B125" s="252" t="str">
        <f>DTCT!B120</f>
        <v>QLC.10140</v>
      </c>
      <c r="C125" s="244" t="str">
        <f>DTCT!C120</f>
        <v>Kiểm tra cầu</v>
      </c>
      <c r="D125" s="13" t="str">
        <f>DTCT!D120</f>
        <v>cầu/năm</v>
      </c>
      <c r="E125" s="253">
        <f>DTCT!E120</f>
        <v>4</v>
      </c>
      <c r="F125" s="308"/>
      <c r="G125" s="283"/>
      <c r="H125" s="282"/>
    </row>
    <row r="126" spans="1:8" s="403" customFormat="1" ht="13.8">
      <c r="A126" s="254"/>
      <c r="B126" s="255"/>
      <c r="C126" s="256" t="s">
        <v>404</v>
      </c>
      <c r="D126" s="257" t="s">
        <v>405</v>
      </c>
      <c r="E126" s="404"/>
      <c r="F126" s="305">
        <v>1</v>
      </c>
      <c r="G126" s="408"/>
      <c r="H126" s="282">
        <f>$E$125*F126</f>
        <v>4</v>
      </c>
    </row>
    <row r="127" spans="1:8" s="403" customFormat="1" ht="13.8">
      <c r="A127" s="254"/>
      <c r="B127" s="255"/>
      <c r="C127" s="256" t="s">
        <v>406</v>
      </c>
      <c r="D127" s="257" t="s">
        <v>17</v>
      </c>
      <c r="E127" s="404"/>
      <c r="F127" s="305">
        <v>12</v>
      </c>
      <c r="G127" s="408"/>
      <c r="H127" s="282">
        <f>$E$125*F127</f>
        <v>48</v>
      </c>
    </row>
    <row r="128" spans="1:8" ht="27.6">
      <c r="A128" s="13">
        <f>DTCT!A121</f>
        <v>19</v>
      </c>
      <c r="B128" s="252" t="str">
        <f>DTCT!B121</f>
        <v>QLC.10340</v>
      </c>
      <c r="C128" s="244" t="str">
        <f>DTCT!C121</f>
        <v>Kiểm tra trước và sau mùa mưa bão</v>
      </c>
      <c r="D128" s="13" t="str">
        <f>DTCT!D121</f>
        <v>cầu/năm</v>
      </c>
      <c r="E128" s="253">
        <f>DTCT!E121</f>
        <v>4</v>
      </c>
      <c r="F128" s="308"/>
      <c r="G128" s="283"/>
      <c r="H128" s="282"/>
    </row>
    <row r="129" spans="1:8" s="403" customFormat="1" ht="13.8">
      <c r="A129" s="254"/>
      <c r="B129" s="255"/>
      <c r="C129" s="256" t="s">
        <v>404</v>
      </c>
      <c r="D129" s="257" t="s">
        <v>405</v>
      </c>
      <c r="E129" s="404"/>
      <c r="F129" s="305">
        <v>0.16700000000000001</v>
      </c>
      <c r="G129" s="408"/>
      <c r="H129" s="282">
        <f>$E$128*F129</f>
        <v>0.66800000000000004</v>
      </c>
    </row>
    <row r="130" spans="1:8" s="403" customFormat="1" ht="13.8">
      <c r="A130" s="254"/>
      <c r="B130" s="255"/>
      <c r="C130" s="256" t="s">
        <v>406</v>
      </c>
      <c r="D130" s="257" t="s">
        <v>17</v>
      </c>
      <c r="E130" s="404"/>
      <c r="F130" s="305">
        <v>2</v>
      </c>
      <c r="G130" s="408"/>
      <c r="H130" s="282">
        <f>$E$128*F130</f>
        <v>8</v>
      </c>
    </row>
    <row r="131" spans="1:8" ht="13.8">
      <c r="A131" s="96"/>
      <c r="B131" s="249"/>
      <c r="C131" s="34" t="str">
        <f>DTCT!C123</f>
        <v>Cầu 50m - 100m</v>
      </c>
      <c r="D131" s="96"/>
      <c r="E131" s="188"/>
      <c r="F131" s="308"/>
      <c r="G131" s="283"/>
      <c r="H131" s="282"/>
    </row>
    <row r="132" spans="1:8" ht="27.6">
      <c r="A132" s="13">
        <f>DTCT!A124</f>
        <v>21</v>
      </c>
      <c r="B132" s="252" t="str">
        <f>DTCT!B124</f>
        <v>QLC.10130</v>
      </c>
      <c r="C132" s="244" t="str">
        <f>DTCT!C124</f>
        <v>Kiểm tra cầu</v>
      </c>
      <c r="D132" s="13" t="str">
        <f>DTCT!D124</f>
        <v>cầu/năm</v>
      </c>
      <c r="E132" s="253">
        <f>DTCT!E124</f>
        <v>5</v>
      </c>
      <c r="F132" s="308"/>
      <c r="G132" s="283"/>
      <c r="H132" s="282"/>
    </row>
    <row r="133" spans="1:8" s="403" customFormat="1" ht="13.8">
      <c r="A133" s="254"/>
      <c r="B133" s="255"/>
      <c r="C133" s="256" t="s">
        <v>404</v>
      </c>
      <c r="D133" s="257" t="s">
        <v>405</v>
      </c>
      <c r="E133" s="404"/>
      <c r="F133" s="305">
        <v>3</v>
      </c>
      <c r="G133" s="408"/>
      <c r="H133" s="282">
        <f>$E$132*F133</f>
        <v>15</v>
      </c>
    </row>
    <row r="134" spans="1:8" s="403" customFormat="1" ht="13.8">
      <c r="A134" s="254"/>
      <c r="B134" s="255"/>
      <c r="C134" s="256" t="s">
        <v>406</v>
      </c>
      <c r="D134" s="257" t="s">
        <v>17</v>
      </c>
      <c r="E134" s="404"/>
      <c r="F134" s="305">
        <v>12</v>
      </c>
      <c r="G134" s="408"/>
      <c r="H134" s="282">
        <f>$E$132*F134</f>
        <v>60</v>
      </c>
    </row>
    <row r="135" spans="1:8" ht="27.6">
      <c r="A135" s="13">
        <f>DTCT!A125</f>
        <v>22</v>
      </c>
      <c r="B135" s="252" t="str">
        <f>DTCT!B125</f>
        <v>QLC.10330</v>
      </c>
      <c r="C135" s="244" t="str">
        <f>DTCT!C125</f>
        <v>Kiểm tra trước và sau mùa mưa bão</v>
      </c>
      <c r="D135" s="13" t="str">
        <f>DTCT!D125</f>
        <v>cầu/năm</v>
      </c>
      <c r="E135" s="253">
        <f>DTCT!E125</f>
        <v>5</v>
      </c>
      <c r="F135" s="308"/>
      <c r="G135" s="283"/>
      <c r="H135" s="282"/>
    </row>
    <row r="136" spans="1:8" s="403" customFormat="1" ht="13.8">
      <c r="A136" s="254"/>
      <c r="B136" s="255"/>
      <c r="C136" s="256" t="s">
        <v>404</v>
      </c>
      <c r="D136" s="257" t="s">
        <v>405</v>
      </c>
      <c r="E136" s="404"/>
      <c r="F136" s="305">
        <v>0.5</v>
      </c>
      <c r="G136" s="408"/>
      <c r="H136" s="282">
        <f>$E$135*F136</f>
        <v>2.5</v>
      </c>
    </row>
    <row r="137" spans="1:8" s="403" customFormat="1" ht="13.8">
      <c r="A137" s="254"/>
      <c r="B137" s="255"/>
      <c r="C137" s="256" t="s">
        <v>406</v>
      </c>
      <c r="D137" s="257" t="s">
        <v>17</v>
      </c>
      <c r="E137" s="404"/>
      <c r="F137" s="305">
        <v>2</v>
      </c>
      <c r="G137" s="408"/>
      <c r="H137" s="282">
        <f>$E$135*F137</f>
        <v>10</v>
      </c>
    </row>
    <row r="138" spans="1:8" ht="13.8">
      <c r="A138" s="96"/>
      <c r="B138" s="249"/>
      <c r="C138" s="34" t="str">
        <f>DTCT!C127</f>
        <v>Cầu 100m - 200m</v>
      </c>
      <c r="D138" s="96"/>
      <c r="E138" s="188"/>
      <c r="F138" s="308"/>
      <c r="G138" s="283"/>
      <c r="H138" s="282"/>
    </row>
    <row r="139" spans="1:8" ht="27.6">
      <c r="A139" s="13">
        <f>DTCT!A128</f>
        <v>24</v>
      </c>
      <c r="B139" s="252" t="str">
        <f>DTCT!B128</f>
        <v>QLC.10120</v>
      </c>
      <c r="C139" s="244" t="str">
        <f>DTCT!C128</f>
        <v>Kiểm tra cầu</v>
      </c>
      <c r="D139" s="13" t="str">
        <f>DTCT!D128</f>
        <v>cầu/năm</v>
      </c>
      <c r="E139" s="253">
        <f>DTCT!E128</f>
        <v>1</v>
      </c>
      <c r="F139" s="308"/>
      <c r="G139" s="283"/>
      <c r="H139" s="282"/>
    </row>
    <row r="140" spans="1:8" s="403" customFormat="1" ht="13.8">
      <c r="A140" s="254"/>
      <c r="B140" s="255"/>
      <c r="C140" s="256" t="s">
        <v>404</v>
      </c>
      <c r="D140" s="257" t="s">
        <v>405</v>
      </c>
      <c r="E140" s="404"/>
      <c r="F140" s="305">
        <v>5</v>
      </c>
      <c r="G140" s="408"/>
      <c r="H140" s="282">
        <f>$E$139*F140</f>
        <v>5</v>
      </c>
    </row>
    <row r="141" spans="1:8" s="403" customFormat="1" ht="13.8">
      <c r="A141" s="254"/>
      <c r="B141" s="255"/>
      <c r="C141" s="256" t="s">
        <v>406</v>
      </c>
      <c r="D141" s="257" t="s">
        <v>17</v>
      </c>
      <c r="E141" s="404"/>
      <c r="F141" s="305">
        <v>12</v>
      </c>
      <c r="G141" s="408"/>
      <c r="H141" s="282">
        <f>$E$139*F141</f>
        <v>12</v>
      </c>
    </row>
    <row r="142" spans="1:8" ht="27.6">
      <c r="A142" s="13">
        <f>DTCT!A129</f>
        <v>25</v>
      </c>
      <c r="B142" s="252" t="str">
        <f>DTCT!B129</f>
        <v>QLC.10320</v>
      </c>
      <c r="C142" s="244" t="str">
        <f>DTCT!C129</f>
        <v>Kiểm tra trước và sau mùa mưa bão</v>
      </c>
      <c r="D142" s="13" t="str">
        <f>DTCT!D129</f>
        <v>cầu/năm</v>
      </c>
      <c r="E142" s="253">
        <f>DTCT!E129</f>
        <v>1</v>
      </c>
      <c r="F142" s="308"/>
      <c r="G142" s="283"/>
      <c r="H142" s="282"/>
    </row>
    <row r="143" spans="1:8" s="403" customFormat="1" ht="13.8">
      <c r="A143" s="254"/>
      <c r="B143" s="255"/>
      <c r="C143" s="256" t="s">
        <v>404</v>
      </c>
      <c r="D143" s="257" t="s">
        <v>405</v>
      </c>
      <c r="E143" s="404"/>
      <c r="F143" s="305">
        <v>0.83299999999999996</v>
      </c>
      <c r="G143" s="408"/>
      <c r="H143" s="282">
        <f>$E$142*F143</f>
        <v>0.83299999999999996</v>
      </c>
    </row>
    <row r="144" spans="1:8" s="403" customFormat="1" ht="13.8">
      <c r="A144" s="254"/>
      <c r="B144" s="255"/>
      <c r="C144" s="256" t="s">
        <v>406</v>
      </c>
      <c r="D144" s="257" t="s">
        <v>17</v>
      </c>
      <c r="E144" s="404"/>
      <c r="F144" s="305">
        <v>2</v>
      </c>
      <c r="G144" s="408"/>
      <c r="H144" s="282">
        <f>$E$142*F144</f>
        <v>2</v>
      </c>
    </row>
    <row r="145" spans="1:8" ht="28.5" customHeight="1">
      <c r="A145" s="96" t="str">
        <f>DTCT!A131</f>
        <v>V</v>
      </c>
      <c r="B145" s="249"/>
      <c r="C145" s="34" t="str">
        <f>DTCT!C131</f>
        <v>ĐƯỜNG TỈNH 905 - HUYỆN TAM BÌNH</v>
      </c>
      <c r="D145" s="96"/>
      <c r="E145" s="188"/>
      <c r="F145" s="308"/>
      <c r="G145" s="283"/>
      <c r="H145" s="282"/>
    </row>
    <row r="146" spans="1:8" ht="27.6">
      <c r="A146" s="96"/>
      <c r="B146" s="249"/>
      <c r="C146" s="34" t="str">
        <f>DTCT!C132</f>
        <v>CÔNG TÁC QUẢN LÝ BDTX ĐƯỜNG BỘ</v>
      </c>
      <c r="D146" s="96"/>
      <c r="E146" s="188"/>
      <c r="F146" s="308"/>
      <c r="G146" s="283"/>
      <c r="H146" s="282"/>
    </row>
    <row r="147" spans="1:8" ht="20.25" customHeight="1">
      <c r="A147" s="13">
        <f>DTCT!A133</f>
        <v>1</v>
      </c>
      <c r="B147" s="252" t="str">
        <f>DTCT!B133</f>
        <v>QLD.10150</v>
      </c>
      <c r="C147" s="244" t="str">
        <f>DTCT!C133</f>
        <v>Tuần đường</v>
      </c>
      <c r="D147" s="13" t="str">
        <f>DTCT!D133</f>
        <v>1km/năm</v>
      </c>
      <c r="E147" s="253">
        <f>DTCT!E133</f>
        <v>14.744960000000001</v>
      </c>
      <c r="F147" s="308"/>
      <c r="G147" s="283"/>
      <c r="H147" s="282"/>
    </row>
    <row r="148" spans="1:8" ht="13.8">
      <c r="A148" s="13"/>
      <c r="B148" s="252"/>
      <c r="C148" s="256" t="s">
        <v>393</v>
      </c>
      <c r="D148" s="257" t="s">
        <v>32</v>
      </c>
      <c r="E148" s="404"/>
      <c r="F148" s="305">
        <v>9.125</v>
      </c>
      <c r="G148" s="283"/>
      <c r="H148" s="282">
        <f>E147*F148</f>
        <v>134.54776000000001</v>
      </c>
    </row>
    <row r="149" spans="1:8" ht="27.6">
      <c r="A149" s="13">
        <f>DTCT!A134</f>
        <v>2</v>
      </c>
      <c r="B149" s="252" t="str">
        <f>DTCT!B134</f>
        <v>QLD.10230</v>
      </c>
      <c r="C149" s="244" t="str">
        <f>DTCT!C134</f>
        <v>Đếm xe bằng thủ công</v>
      </c>
      <c r="D149" s="13" t="str">
        <f>DTCT!D134</f>
        <v>1lần/trạmđếm</v>
      </c>
      <c r="E149" s="253">
        <f>DTCT!E134</f>
        <v>12</v>
      </c>
      <c r="F149" s="308"/>
      <c r="G149" s="283"/>
      <c r="H149" s="282"/>
    </row>
    <row r="150" spans="1:8" s="403" customFormat="1" ht="13.8">
      <c r="A150" s="254"/>
      <c r="B150" s="255"/>
      <c r="C150" s="256" t="s">
        <v>395</v>
      </c>
      <c r="D150" s="257" t="s">
        <v>396</v>
      </c>
      <c r="E150" s="404"/>
      <c r="F150" s="305">
        <v>42</v>
      </c>
      <c r="G150" s="408"/>
      <c r="H150" s="282">
        <f>$E$149*F150</f>
        <v>504</v>
      </c>
    </row>
    <row r="151" spans="1:8" s="403" customFormat="1" ht="13.8">
      <c r="A151" s="254"/>
      <c r="B151" s="255"/>
      <c r="C151" s="256" t="s">
        <v>406</v>
      </c>
      <c r="D151" s="257" t="s">
        <v>17</v>
      </c>
      <c r="E151" s="404"/>
      <c r="F151" s="305">
        <v>3</v>
      </c>
      <c r="G151" s="408"/>
      <c r="H151" s="282">
        <f>$E$149*F151</f>
        <v>36</v>
      </c>
    </row>
    <row r="152" spans="1:8" ht="27.6">
      <c r="A152" s="13">
        <f>DTCT!A135</f>
        <v>3</v>
      </c>
      <c r="B152" s="252" t="str">
        <f>DTCT!B135</f>
        <v>QLD.10340</v>
      </c>
      <c r="C152" s="244" t="str">
        <f>DTCT!C135</f>
        <v>Kiểm tra định kỳ, khẩn cấp, cập nhật số liệu cầu đường và tình hình bão lũ</v>
      </c>
      <c r="D152" s="13" t="str">
        <f>DTCT!D135</f>
        <v>1km/1lần</v>
      </c>
      <c r="E152" s="253">
        <f>DTCT!E135</f>
        <v>14.744960000000001</v>
      </c>
      <c r="F152" s="308"/>
      <c r="G152" s="283"/>
      <c r="H152" s="282"/>
    </row>
    <row r="153" spans="1:8" s="403" customFormat="1" ht="13.8">
      <c r="A153" s="254"/>
      <c r="B153" s="255"/>
      <c r="C153" s="256" t="s">
        <v>393</v>
      </c>
      <c r="D153" s="257" t="s">
        <v>32</v>
      </c>
      <c r="E153" s="404"/>
      <c r="F153" s="305">
        <v>2.5000000000000001E-2</v>
      </c>
      <c r="G153" s="408"/>
      <c r="H153" s="282">
        <f>E152*F153</f>
        <v>0.36862400000000006</v>
      </c>
    </row>
    <row r="154" spans="1:8" ht="21" customHeight="1">
      <c r="A154" s="13">
        <f>DTCT!A138</f>
        <v>6</v>
      </c>
      <c r="B154" s="252" t="str">
        <f>DTCT!B138</f>
        <v>BDD.20410</v>
      </c>
      <c r="C154" s="244" t="str">
        <f>DTCT!C138</f>
        <v>Cắt cỏ bằng máy</v>
      </c>
      <c r="D154" s="13" t="str">
        <f>DTCT!D138</f>
        <v>1km/1lần</v>
      </c>
      <c r="E154" s="253">
        <f>DTCT!E138</f>
        <v>14.744960000000001</v>
      </c>
      <c r="F154" s="308"/>
      <c r="G154" s="283"/>
      <c r="H154" s="282"/>
    </row>
    <row r="155" spans="1:8" s="403" customFormat="1" ht="13.8">
      <c r="A155" s="254"/>
      <c r="B155" s="255"/>
      <c r="C155" s="256" t="s">
        <v>400</v>
      </c>
      <c r="D155" s="262" t="s">
        <v>411</v>
      </c>
      <c r="E155" s="404"/>
      <c r="F155" s="305">
        <v>0.2</v>
      </c>
      <c r="G155" s="408"/>
      <c r="H155" s="282">
        <f>E154*F155</f>
        <v>2.9489920000000005</v>
      </c>
    </row>
    <row r="156" spans="1:8" ht="17.100000000000001" customHeight="1">
      <c r="A156" s="13">
        <f>+DTCT!A144</f>
        <v>12</v>
      </c>
      <c r="B156" s="13" t="str">
        <f>+DTCT!B144</f>
        <v>BDD.21312</v>
      </c>
      <c r="C156" s="244" t="str">
        <f>+DTCT!C144</f>
        <v>Vệ sinh mặt đường bằng thủ công</v>
      </c>
      <c r="D156" s="13" t="str">
        <f>+DTCT!D144</f>
        <v>lần/km</v>
      </c>
      <c r="E156" s="418">
        <f>+DTCT!E144</f>
        <v>14.744960000000001</v>
      </c>
      <c r="F156" s="248"/>
      <c r="G156" s="187"/>
      <c r="H156" s="400"/>
    </row>
    <row r="157" spans="1:8" ht="17.100000000000001" customHeight="1">
      <c r="A157" s="13"/>
      <c r="B157" s="252"/>
      <c r="C157" s="256" t="s">
        <v>401</v>
      </c>
      <c r="D157" s="257" t="s">
        <v>402</v>
      </c>
      <c r="E157" s="404"/>
      <c r="F157" s="305">
        <v>0.1</v>
      </c>
      <c r="G157" s="405"/>
      <c r="H157" s="282">
        <f>E156*F157</f>
        <v>1.4744960000000003</v>
      </c>
    </row>
    <row r="158" spans="1:8" ht="27.6">
      <c r="A158" s="96"/>
      <c r="B158" s="249"/>
      <c r="C158" s="34" t="str">
        <f>DTCT!C146</f>
        <v>CÔNG TÁC BẢO DƯỠNG CẦU L &lt;= 300M</v>
      </c>
      <c r="D158" s="96"/>
      <c r="E158" s="188"/>
      <c r="F158" s="308"/>
      <c r="G158" s="283"/>
      <c r="H158" s="282"/>
    </row>
    <row r="159" spans="1:8" ht="20.25" customHeight="1">
      <c r="A159" s="13">
        <f>DTCT!A147</f>
        <v>14</v>
      </c>
      <c r="B159" s="252" t="str">
        <f>DTCT!B147</f>
        <v>BDC.20610</v>
      </c>
      <c r="C159" s="244" t="str">
        <f>DTCT!C147</f>
        <v>Vệ sinh mặt cầu, ống thoát nước</v>
      </c>
      <c r="D159" s="13" t="str">
        <f>DTCT!D147</f>
        <v>10m2</v>
      </c>
      <c r="E159" s="253">
        <f>DTCT!E147</f>
        <v>102</v>
      </c>
      <c r="F159" s="308"/>
      <c r="G159" s="283"/>
      <c r="H159" s="282"/>
    </row>
    <row r="160" spans="1:8" s="403" customFormat="1" ht="13.8">
      <c r="A160" s="254"/>
      <c r="B160" s="255"/>
      <c r="C160" s="256" t="s">
        <v>401</v>
      </c>
      <c r="D160" s="257" t="s">
        <v>402</v>
      </c>
      <c r="E160" s="404"/>
      <c r="F160" s="305">
        <v>1E-4</v>
      </c>
      <c r="G160" s="408"/>
      <c r="H160" s="282">
        <f>E159*F160</f>
        <v>1.0200000000000001E-2</v>
      </c>
    </row>
    <row r="161" spans="1:8" ht="27.6">
      <c r="A161" s="96"/>
      <c r="B161" s="249"/>
      <c r="C161" s="34" t="str">
        <f>DTCT!C151</f>
        <v>CÔNG TÁC QUẢN LÝ CẦU CẦU L &lt;= 300M</v>
      </c>
      <c r="D161" s="96"/>
      <c r="E161" s="188"/>
      <c r="F161" s="308"/>
      <c r="G161" s="283"/>
      <c r="H161" s="282"/>
    </row>
    <row r="162" spans="1:8" ht="13.8">
      <c r="A162" s="96"/>
      <c r="B162" s="249"/>
      <c r="C162" s="34" t="str">
        <f>DTCT!C152</f>
        <v>Cầu &lt; 50m</v>
      </c>
      <c r="D162" s="96"/>
      <c r="E162" s="188"/>
      <c r="F162" s="308"/>
      <c r="G162" s="283"/>
      <c r="H162" s="282"/>
    </row>
    <row r="163" spans="1:8" ht="27.6">
      <c r="A163" s="13">
        <f>DTCT!A153</f>
        <v>18</v>
      </c>
      <c r="B163" s="252" t="str">
        <f>DTCT!B153</f>
        <v>QLC.10140</v>
      </c>
      <c r="C163" s="244" t="str">
        <f>DTCT!C153</f>
        <v>Kiểm tra cầu</v>
      </c>
      <c r="D163" s="13" t="str">
        <f>DTCT!D153</f>
        <v>cầu/năm</v>
      </c>
      <c r="E163" s="253">
        <f>DTCT!E153</f>
        <v>6</v>
      </c>
      <c r="F163" s="308"/>
      <c r="G163" s="283"/>
      <c r="H163" s="282"/>
    </row>
    <row r="164" spans="1:8" s="403" customFormat="1" ht="13.8">
      <c r="A164" s="254"/>
      <c r="B164" s="255"/>
      <c r="C164" s="256" t="s">
        <v>404</v>
      </c>
      <c r="D164" s="257" t="s">
        <v>405</v>
      </c>
      <c r="E164" s="404"/>
      <c r="F164" s="305">
        <v>1</v>
      </c>
      <c r="G164" s="408"/>
      <c r="H164" s="282">
        <f>$E$163*F164</f>
        <v>6</v>
      </c>
    </row>
    <row r="165" spans="1:8" s="403" customFormat="1" ht="13.8">
      <c r="A165" s="254"/>
      <c r="B165" s="255"/>
      <c r="C165" s="256" t="s">
        <v>406</v>
      </c>
      <c r="D165" s="257" t="s">
        <v>17</v>
      </c>
      <c r="E165" s="404"/>
      <c r="F165" s="305">
        <v>12</v>
      </c>
      <c r="G165" s="408"/>
      <c r="H165" s="282">
        <f>$E$163*F165</f>
        <v>72</v>
      </c>
    </row>
    <row r="166" spans="1:8" ht="27.6">
      <c r="A166" s="13">
        <f>DTCT!A154</f>
        <v>19</v>
      </c>
      <c r="B166" s="252" t="str">
        <f>DTCT!B154</f>
        <v>QLC.10340</v>
      </c>
      <c r="C166" s="244" t="str">
        <f>DTCT!C154</f>
        <v>Kiểm tra trước và sau mùa mưa bão</v>
      </c>
      <c r="D166" s="13" t="str">
        <f>DTCT!D154</f>
        <v>cầu/năm</v>
      </c>
      <c r="E166" s="253">
        <f>DTCT!E154</f>
        <v>6</v>
      </c>
      <c r="F166" s="308"/>
      <c r="G166" s="283"/>
      <c r="H166" s="282"/>
    </row>
    <row r="167" spans="1:8" s="403" customFormat="1" ht="13.8">
      <c r="A167" s="254"/>
      <c r="B167" s="255"/>
      <c r="C167" s="256" t="s">
        <v>404</v>
      </c>
      <c r="D167" s="257" t="s">
        <v>405</v>
      </c>
      <c r="E167" s="404"/>
      <c r="F167" s="305">
        <v>0.16700000000000001</v>
      </c>
      <c r="G167" s="408"/>
      <c r="H167" s="282">
        <f>$E$166*F167</f>
        <v>1.002</v>
      </c>
    </row>
    <row r="168" spans="1:8" s="403" customFormat="1" ht="13.8">
      <c r="A168" s="254"/>
      <c r="B168" s="255"/>
      <c r="C168" s="256" t="s">
        <v>406</v>
      </c>
      <c r="D168" s="257" t="s">
        <v>17</v>
      </c>
      <c r="E168" s="404"/>
      <c r="F168" s="305">
        <v>2</v>
      </c>
      <c r="G168" s="408"/>
      <c r="H168" s="282">
        <f>$E$166*F168</f>
        <v>12</v>
      </c>
    </row>
    <row r="169" spans="1:8" ht="13.8">
      <c r="A169" s="96"/>
      <c r="B169" s="249"/>
      <c r="C169" s="34" t="str">
        <f>DTCT!C156</f>
        <v>Cầu 50m - 100m</v>
      </c>
      <c r="D169" s="96"/>
      <c r="E169" s="188"/>
      <c r="F169" s="308"/>
      <c r="G169" s="283"/>
      <c r="H169" s="282"/>
    </row>
    <row r="170" spans="1:8" ht="27.6">
      <c r="A170" s="13">
        <f>DTCT!A157</f>
        <v>21</v>
      </c>
      <c r="B170" s="252" t="str">
        <f>DTCT!B157</f>
        <v>QLC.10130</v>
      </c>
      <c r="C170" s="244" t="str">
        <f>DTCT!C157</f>
        <v>Kiểm tra cầu</v>
      </c>
      <c r="D170" s="13" t="str">
        <f>DTCT!D157</f>
        <v>cầu/năm</v>
      </c>
      <c r="E170" s="253">
        <f>DTCT!E157</f>
        <v>1</v>
      </c>
      <c r="F170" s="308"/>
      <c r="G170" s="283"/>
      <c r="H170" s="282"/>
    </row>
    <row r="171" spans="1:8" s="403" customFormat="1" ht="13.8">
      <c r="A171" s="254"/>
      <c r="B171" s="255"/>
      <c r="C171" s="256" t="s">
        <v>404</v>
      </c>
      <c r="D171" s="257" t="s">
        <v>405</v>
      </c>
      <c r="E171" s="404"/>
      <c r="F171" s="305">
        <v>3</v>
      </c>
      <c r="G171" s="408"/>
      <c r="H171" s="282">
        <f>$E$170*F171</f>
        <v>3</v>
      </c>
    </row>
    <row r="172" spans="1:8" s="403" customFormat="1" ht="13.8">
      <c r="A172" s="254"/>
      <c r="B172" s="255"/>
      <c r="C172" s="256" t="s">
        <v>406</v>
      </c>
      <c r="D172" s="257" t="s">
        <v>17</v>
      </c>
      <c r="E172" s="404"/>
      <c r="F172" s="305">
        <v>12</v>
      </c>
      <c r="G172" s="408"/>
      <c r="H172" s="282">
        <f>$E$170*F172</f>
        <v>12</v>
      </c>
    </row>
    <row r="173" spans="1:8" ht="27.6">
      <c r="A173" s="13">
        <f>DTCT!A158</f>
        <v>22</v>
      </c>
      <c r="B173" s="252" t="str">
        <f>DTCT!B158</f>
        <v>QLC.10330</v>
      </c>
      <c r="C173" s="244" t="str">
        <f>DTCT!C158</f>
        <v>Kiểm tra trước và sau mùa mưa bão</v>
      </c>
      <c r="D173" s="13" t="str">
        <f>DTCT!D158</f>
        <v>cầu/năm</v>
      </c>
      <c r="E173" s="253">
        <f>DTCT!E158</f>
        <v>1</v>
      </c>
      <c r="F173" s="308"/>
      <c r="G173" s="283"/>
      <c r="H173" s="282"/>
    </row>
    <row r="174" spans="1:8" s="403" customFormat="1" ht="13.8">
      <c r="A174" s="254"/>
      <c r="B174" s="255"/>
      <c r="C174" s="256" t="s">
        <v>404</v>
      </c>
      <c r="D174" s="257" t="s">
        <v>405</v>
      </c>
      <c r="E174" s="404"/>
      <c r="F174" s="305">
        <v>0.5</v>
      </c>
      <c r="G174" s="408"/>
      <c r="H174" s="282">
        <f>$E$173*F174</f>
        <v>0.5</v>
      </c>
    </row>
    <row r="175" spans="1:8" s="403" customFormat="1" ht="13.8">
      <c r="A175" s="254"/>
      <c r="B175" s="255"/>
      <c r="C175" s="256" t="s">
        <v>406</v>
      </c>
      <c r="D175" s="257" t="s">
        <v>17</v>
      </c>
      <c r="E175" s="404"/>
      <c r="F175" s="305">
        <v>2</v>
      </c>
      <c r="G175" s="408"/>
      <c r="H175" s="282">
        <f>$E$173*F175</f>
        <v>2</v>
      </c>
    </row>
    <row r="176" spans="1:8" ht="31.5" customHeight="1">
      <c r="A176" s="96" t="str">
        <f>DTCT!A160</f>
        <v>VI</v>
      </c>
      <c r="B176" s="249"/>
      <c r="C176" s="34" t="str">
        <f>DTCT!C160</f>
        <v>ĐƯỜNG TỈNH 906 - HUYỆN VŨNG LIÊM</v>
      </c>
      <c r="D176" s="96"/>
      <c r="E176" s="188"/>
      <c r="F176" s="308"/>
      <c r="G176" s="283"/>
      <c r="H176" s="282"/>
    </row>
    <row r="177" spans="1:8" ht="27.6">
      <c r="A177" s="96"/>
      <c r="B177" s="249"/>
      <c r="C177" s="34" t="str">
        <f>DTCT!C161</f>
        <v>CÔNG TÁC QUẢN LÝ BDTX ĐƯỜNG BỘ</v>
      </c>
      <c r="D177" s="96"/>
      <c r="E177" s="188"/>
      <c r="F177" s="308"/>
      <c r="G177" s="283"/>
      <c r="H177" s="282"/>
    </row>
    <row r="178" spans="1:8" ht="19.5" customHeight="1">
      <c r="A178" s="13">
        <f>DTCT!A162</f>
        <v>1</v>
      </c>
      <c r="B178" s="252" t="str">
        <f>DTCT!B162</f>
        <v>QLD.10150</v>
      </c>
      <c r="C178" s="244" t="str">
        <f>DTCT!C162</f>
        <v>Tuần đường</v>
      </c>
      <c r="D178" s="13" t="str">
        <f>DTCT!D162</f>
        <v>1km/năm</v>
      </c>
      <c r="E178" s="253">
        <f>DTCT!E162</f>
        <v>16.78716</v>
      </c>
      <c r="F178" s="308"/>
      <c r="G178" s="283"/>
      <c r="H178" s="282"/>
    </row>
    <row r="179" spans="1:8" s="403" customFormat="1" ht="13.8">
      <c r="A179" s="254"/>
      <c r="B179" s="255"/>
      <c r="C179" s="256" t="s">
        <v>393</v>
      </c>
      <c r="D179" s="257" t="s">
        <v>32</v>
      </c>
      <c r="E179" s="404"/>
      <c r="F179" s="305">
        <v>9.125</v>
      </c>
      <c r="G179" s="408"/>
      <c r="H179" s="282">
        <f>E178*F179</f>
        <v>153.18283500000001</v>
      </c>
    </row>
    <row r="180" spans="1:8" ht="27.6">
      <c r="A180" s="13">
        <f>DTCT!A163</f>
        <v>2</v>
      </c>
      <c r="B180" s="252" t="str">
        <f>DTCT!B163</f>
        <v>QLD.10230</v>
      </c>
      <c r="C180" s="244" t="str">
        <f>DTCT!C163</f>
        <v>Đếm xe bằng thủ công</v>
      </c>
      <c r="D180" s="13" t="str">
        <f>DTCT!D163</f>
        <v>1lần/trạmđếm</v>
      </c>
      <c r="E180" s="253">
        <f>DTCT!E163</f>
        <v>12</v>
      </c>
      <c r="F180" s="308"/>
      <c r="G180" s="283"/>
      <c r="H180" s="282"/>
    </row>
    <row r="181" spans="1:8" s="403" customFormat="1" ht="13.8">
      <c r="A181" s="254"/>
      <c r="B181" s="255"/>
      <c r="C181" s="256" t="s">
        <v>395</v>
      </c>
      <c r="D181" s="257" t="s">
        <v>396</v>
      </c>
      <c r="E181" s="404"/>
      <c r="F181" s="305">
        <v>42</v>
      </c>
      <c r="G181" s="408"/>
      <c r="H181" s="282">
        <f>$E$180*F181</f>
        <v>504</v>
      </c>
    </row>
    <row r="182" spans="1:8" s="403" customFormat="1" ht="13.8">
      <c r="A182" s="254"/>
      <c r="B182" s="255"/>
      <c r="C182" s="256" t="s">
        <v>406</v>
      </c>
      <c r="D182" s="257" t="s">
        <v>17</v>
      </c>
      <c r="E182" s="404"/>
      <c r="F182" s="305">
        <v>3</v>
      </c>
      <c r="G182" s="408"/>
      <c r="H182" s="282">
        <f>$E$180*F182</f>
        <v>36</v>
      </c>
    </row>
    <row r="183" spans="1:8" ht="27.6">
      <c r="A183" s="13">
        <f>DTCT!A164</f>
        <v>3</v>
      </c>
      <c r="B183" s="252" t="str">
        <f>DTCT!B164</f>
        <v>QLD.10340</v>
      </c>
      <c r="C183" s="244" t="str">
        <f>DTCT!C164</f>
        <v>Kiểm tra định kỳ, khẩn cấp, cập nhật số liệu cầu đường và tình hình bão lũ</v>
      </c>
      <c r="D183" s="13" t="str">
        <f>DTCT!D164</f>
        <v>1km/1lần</v>
      </c>
      <c r="E183" s="253">
        <f>DTCT!E164</f>
        <v>16.78716</v>
      </c>
      <c r="F183" s="308"/>
      <c r="G183" s="283"/>
      <c r="H183" s="282"/>
    </row>
    <row r="184" spans="1:8" s="403" customFormat="1" ht="13.8">
      <c r="A184" s="254"/>
      <c r="B184" s="255"/>
      <c r="C184" s="256" t="s">
        <v>393</v>
      </c>
      <c r="D184" s="257" t="s">
        <v>32</v>
      </c>
      <c r="E184" s="404"/>
      <c r="F184" s="305">
        <v>2.5000000000000001E-2</v>
      </c>
      <c r="G184" s="408"/>
      <c r="H184" s="282">
        <f>E183*F184</f>
        <v>0.41967900000000002</v>
      </c>
    </row>
    <row r="185" spans="1:8" ht="21" customHeight="1">
      <c r="A185" s="13">
        <f>DTCT!A167</f>
        <v>6</v>
      </c>
      <c r="B185" s="252" t="str">
        <f>DTCT!B167</f>
        <v>BDD.20410</v>
      </c>
      <c r="C185" s="244" t="str">
        <f>DTCT!C167</f>
        <v>Cắt cỏ bằng máy</v>
      </c>
      <c r="D185" s="13" t="str">
        <f>DTCT!D167</f>
        <v>1km/1lần</v>
      </c>
      <c r="E185" s="253">
        <f>DTCT!E167</f>
        <v>16.78716</v>
      </c>
      <c r="F185" s="308"/>
      <c r="G185" s="283"/>
      <c r="H185" s="282"/>
    </row>
    <row r="186" spans="1:8" s="403" customFormat="1" ht="13.8">
      <c r="A186" s="254"/>
      <c r="B186" s="255"/>
      <c r="C186" s="256" t="s">
        <v>400</v>
      </c>
      <c r="D186" s="262" t="s">
        <v>411</v>
      </c>
      <c r="E186" s="404"/>
      <c r="F186" s="305">
        <v>0.2</v>
      </c>
      <c r="G186" s="408"/>
      <c r="H186" s="282">
        <f>E185*F186</f>
        <v>3.3574320000000002</v>
      </c>
    </row>
    <row r="187" spans="1:8" ht="17.100000000000001" customHeight="1">
      <c r="A187" s="13">
        <f>+DTCT!A173</f>
        <v>12</v>
      </c>
      <c r="B187" s="13" t="str">
        <f>+DTCT!B173</f>
        <v>BDD.21312</v>
      </c>
      <c r="C187" s="244" t="str">
        <f>+DTCT!C173</f>
        <v>Vệ sinh mặt đường bằng thủ công</v>
      </c>
      <c r="D187" s="13" t="str">
        <f>+DTCT!D173</f>
        <v>lần/km</v>
      </c>
      <c r="E187" s="418">
        <f>+DTCT!E173</f>
        <v>16.78716</v>
      </c>
      <c r="F187" s="248"/>
      <c r="G187" s="187"/>
      <c r="H187" s="400"/>
    </row>
    <row r="188" spans="1:8" ht="17.100000000000001" customHeight="1">
      <c r="A188" s="13"/>
      <c r="B188" s="252"/>
      <c r="C188" s="256" t="s">
        <v>401</v>
      </c>
      <c r="D188" s="257" t="s">
        <v>402</v>
      </c>
      <c r="E188" s="404"/>
      <c r="F188" s="305">
        <v>0.1</v>
      </c>
      <c r="G188" s="405"/>
      <c r="H188" s="282">
        <f>E187*F188</f>
        <v>1.6787160000000001</v>
      </c>
    </row>
    <row r="189" spans="1:8" ht="32.25" customHeight="1">
      <c r="A189" s="96"/>
      <c r="B189" s="249"/>
      <c r="C189" s="34" t="str">
        <f>DTCT!C175</f>
        <v>CÔNG TÁC BẢO DƯỠNG CẦU L &lt;= 300M</v>
      </c>
      <c r="D189" s="96"/>
      <c r="E189" s="188"/>
      <c r="F189" s="308"/>
      <c r="G189" s="283"/>
      <c r="H189" s="282"/>
    </row>
    <row r="190" spans="1:8" ht="19.5" customHeight="1">
      <c r="A190" s="13">
        <f>DTCT!A176</f>
        <v>14</v>
      </c>
      <c r="B190" s="252" t="str">
        <f>DTCT!B176</f>
        <v>BDC.20610</v>
      </c>
      <c r="C190" s="244" t="str">
        <f>DTCT!C176</f>
        <v>Vệ sinh mặt cầu, ống thoát nước</v>
      </c>
      <c r="D190" s="13" t="str">
        <f>DTCT!D176</f>
        <v>10m2</v>
      </c>
      <c r="E190" s="253">
        <f>DTCT!E176</f>
        <v>234.59299999999999</v>
      </c>
      <c r="F190" s="308"/>
      <c r="G190" s="283"/>
      <c r="H190" s="282"/>
    </row>
    <row r="191" spans="1:8" s="403" customFormat="1" ht="13.8">
      <c r="A191" s="254"/>
      <c r="B191" s="255"/>
      <c r="C191" s="256" t="s">
        <v>401</v>
      </c>
      <c r="D191" s="257" t="s">
        <v>402</v>
      </c>
      <c r="E191" s="404"/>
      <c r="F191" s="305">
        <v>1E-4</v>
      </c>
      <c r="G191" s="408"/>
      <c r="H191" s="282">
        <f>E190*F191</f>
        <v>2.3459299999999999E-2</v>
      </c>
    </row>
    <row r="192" spans="1:8" ht="27.6">
      <c r="A192" s="96"/>
      <c r="B192" s="249"/>
      <c r="C192" s="34" t="str">
        <f>DTCT!C180</f>
        <v>CÔNG TÁC QUẢN LÝ CẦU CẦU L &lt;= 300M</v>
      </c>
      <c r="D192" s="96"/>
      <c r="E192" s="188"/>
      <c r="F192" s="308"/>
      <c r="G192" s="283"/>
      <c r="H192" s="282"/>
    </row>
    <row r="193" spans="1:8" ht="13.8">
      <c r="A193" s="96"/>
      <c r="B193" s="249"/>
      <c r="C193" s="34" t="str">
        <f>DTCT!C181</f>
        <v>Cầu &lt; 50m</v>
      </c>
      <c r="D193" s="96"/>
      <c r="E193" s="188"/>
      <c r="F193" s="308"/>
      <c r="G193" s="283"/>
      <c r="H193" s="282"/>
    </row>
    <row r="194" spans="1:8" ht="27.6">
      <c r="A194" s="13">
        <f>DTCT!A182</f>
        <v>18</v>
      </c>
      <c r="B194" s="252" t="str">
        <f>DTCT!B182</f>
        <v>QLC.10140</v>
      </c>
      <c r="C194" s="244" t="str">
        <f>DTCT!C182</f>
        <v>Kiểm tra cầu</v>
      </c>
      <c r="D194" s="13" t="str">
        <f>DTCT!D182</f>
        <v>cầu/năm</v>
      </c>
      <c r="E194" s="253">
        <f>DTCT!E182</f>
        <v>9</v>
      </c>
      <c r="F194" s="308"/>
      <c r="G194" s="283"/>
      <c r="H194" s="282"/>
    </row>
    <row r="195" spans="1:8" s="403" customFormat="1" ht="13.8">
      <c r="A195" s="254"/>
      <c r="B195" s="255"/>
      <c r="C195" s="256" t="s">
        <v>404</v>
      </c>
      <c r="D195" s="257" t="s">
        <v>405</v>
      </c>
      <c r="E195" s="404"/>
      <c r="F195" s="305">
        <v>1</v>
      </c>
      <c r="G195" s="408"/>
      <c r="H195" s="282">
        <f>$E$194*F195</f>
        <v>9</v>
      </c>
    </row>
    <row r="196" spans="1:8" s="403" customFormat="1" ht="13.8">
      <c r="A196" s="254"/>
      <c r="B196" s="255"/>
      <c r="C196" s="256" t="s">
        <v>406</v>
      </c>
      <c r="D196" s="257" t="s">
        <v>17</v>
      </c>
      <c r="E196" s="404"/>
      <c r="F196" s="305">
        <v>12</v>
      </c>
      <c r="G196" s="408"/>
      <c r="H196" s="282">
        <f>$E$194*F196</f>
        <v>108</v>
      </c>
    </row>
    <row r="197" spans="1:8" ht="27.6">
      <c r="A197" s="13">
        <f>DTCT!A183</f>
        <v>19</v>
      </c>
      <c r="B197" s="252" t="str">
        <f>DTCT!B183</f>
        <v>QLC.10340</v>
      </c>
      <c r="C197" s="244" t="str">
        <f>DTCT!C183</f>
        <v>Kiểm tra trước và sau mùa mưa bão</v>
      </c>
      <c r="D197" s="13" t="str">
        <f>DTCT!D183</f>
        <v>cầu/năm</v>
      </c>
      <c r="E197" s="253">
        <f>DTCT!E183</f>
        <v>9</v>
      </c>
      <c r="F197" s="308"/>
      <c r="G197" s="283"/>
      <c r="H197" s="282"/>
    </row>
    <row r="198" spans="1:8" s="403" customFormat="1" ht="13.8">
      <c r="A198" s="254"/>
      <c r="B198" s="255"/>
      <c r="C198" s="256" t="s">
        <v>404</v>
      </c>
      <c r="D198" s="257" t="s">
        <v>405</v>
      </c>
      <c r="E198" s="404"/>
      <c r="F198" s="305">
        <v>0.16700000000000001</v>
      </c>
      <c r="G198" s="408"/>
      <c r="H198" s="282">
        <f>$E$197*F198</f>
        <v>1.5030000000000001</v>
      </c>
    </row>
    <row r="199" spans="1:8" s="403" customFormat="1" ht="13.8">
      <c r="A199" s="254"/>
      <c r="B199" s="255"/>
      <c r="C199" s="256" t="s">
        <v>406</v>
      </c>
      <c r="D199" s="257" t="s">
        <v>17</v>
      </c>
      <c r="E199" s="404"/>
      <c r="F199" s="305">
        <v>2</v>
      </c>
      <c r="G199" s="408"/>
      <c r="H199" s="282">
        <f>$E$197*F199</f>
        <v>18</v>
      </c>
    </row>
    <row r="200" spans="1:8" ht="31.5" customHeight="1">
      <c r="A200" s="96" t="str">
        <f>DTCT!A185</f>
        <v>VII</v>
      </c>
      <c r="B200" s="249"/>
      <c r="C200" s="34" t="str">
        <f>DTCT!C185</f>
        <v>ĐƯỜNG TỈNH 907 - HUYỆN VŨNG LIÊM</v>
      </c>
      <c r="D200" s="96"/>
      <c r="E200" s="188"/>
      <c r="F200" s="308"/>
      <c r="G200" s="283"/>
      <c r="H200" s="282"/>
    </row>
    <row r="201" spans="1:8" ht="27.6">
      <c r="A201" s="96"/>
      <c r="B201" s="249"/>
      <c r="C201" s="34" t="str">
        <f>DTCT!C186</f>
        <v>CÔNG TÁC QUẢN LÝ BDTX ĐƯỜNG BỘ</v>
      </c>
      <c r="D201" s="96"/>
      <c r="E201" s="188"/>
      <c r="F201" s="308"/>
      <c r="G201" s="283"/>
      <c r="H201" s="282"/>
    </row>
    <row r="202" spans="1:8" ht="21.75" customHeight="1">
      <c r="A202" s="13">
        <f>DTCT!A187</f>
        <v>1</v>
      </c>
      <c r="B202" s="252" t="str">
        <f>DTCT!B187</f>
        <v>QLD.10150</v>
      </c>
      <c r="C202" s="244" t="str">
        <f>DTCT!C187</f>
        <v>Tuần đường</v>
      </c>
      <c r="D202" s="13" t="str">
        <f>DTCT!D187</f>
        <v>1km/năm</v>
      </c>
      <c r="E202" s="253">
        <f>DTCT!E187</f>
        <v>61.559800000000003</v>
      </c>
      <c r="F202" s="308"/>
      <c r="G202" s="283"/>
      <c r="H202" s="282"/>
    </row>
    <row r="203" spans="1:8" s="403" customFormat="1" ht="13.8">
      <c r="A203" s="254"/>
      <c r="B203" s="255"/>
      <c r="C203" s="256" t="s">
        <v>393</v>
      </c>
      <c r="D203" s="257" t="s">
        <v>32</v>
      </c>
      <c r="E203" s="404"/>
      <c r="F203" s="305">
        <v>9.125</v>
      </c>
      <c r="G203" s="408"/>
      <c r="H203" s="282">
        <f>E202*F203</f>
        <v>561.73317500000007</v>
      </c>
    </row>
    <row r="204" spans="1:8" ht="27.75" customHeight="1">
      <c r="A204" s="13">
        <f>DTCT!A188</f>
        <v>2</v>
      </c>
      <c r="B204" s="252" t="str">
        <f>DTCT!B188</f>
        <v>QLD.10230</v>
      </c>
      <c r="C204" s="244" t="str">
        <f>DTCT!C188</f>
        <v>Đếm xe bằng thủ công</v>
      </c>
      <c r="D204" s="13" t="str">
        <f>DTCT!D188</f>
        <v>1lần/trạmđếm</v>
      </c>
      <c r="E204" s="253">
        <f>DTCT!E188</f>
        <v>12</v>
      </c>
      <c r="F204" s="308"/>
      <c r="G204" s="283"/>
      <c r="H204" s="283"/>
    </row>
    <row r="205" spans="1:8" s="403" customFormat="1" ht="13.8">
      <c r="A205" s="254"/>
      <c r="B205" s="255"/>
      <c r="C205" s="256" t="s">
        <v>395</v>
      </c>
      <c r="D205" s="257" t="s">
        <v>396</v>
      </c>
      <c r="E205" s="404"/>
      <c r="F205" s="305">
        <v>42</v>
      </c>
      <c r="G205" s="408"/>
      <c r="H205" s="282">
        <f>$E$204*F205</f>
        <v>504</v>
      </c>
    </row>
    <row r="206" spans="1:8" s="403" customFormat="1" ht="13.8">
      <c r="A206" s="254"/>
      <c r="B206" s="255"/>
      <c r="C206" s="256" t="s">
        <v>406</v>
      </c>
      <c r="D206" s="257" t="s">
        <v>17</v>
      </c>
      <c r="E206" s="404"/>
      <c r="F206" s="305">
        <v>3</v>
      </c>
      <c r="G206" s="408"/>
      <c r="H206" s="282">
        <f>$E$204*F206</f>
        <v>36</v>
      </c>
    </row>
    <row r="207" spans="1:8" ht="27.6">
      <c r="A207" s="13">
        <f>DTCT!A189</f>
        <v>3</v>
      </c>
      <c r="B207" s="252" t="str">
        <f>DTCT!B189</f>
        <v>QLD.10340</v>
      </c>
      <c r="C207" s="244" t="str">
        <f>DTCT!C189</f>
        <v>Kiểm tra định kỳ, khẩn cấp, cập nhật số liệu cầu đường và tình hình bão lũ</v>
      </c>
      <c r="D207" s="13" t="str">
        <f>DTCT!D189</f>
        <v>1km/1lần</v>
      </c>
      <c r="E207" s="253">
        <f>DTCT!E189</f>
        <v>61.559800000000003</v>
      </c>
      <c r="F207" s="308"/>
      <c r="G207" s="283"/>
      <c r="H207" s="282"/>
    </row>
    <row r="208" spans="1:8" s="403" customFormat="1" ht="13.8">
      <c r="A208" s="254"/>
      <c r="B208" s="255"/>
      <c r="C208" s="256" t="s">
        <v>393</v>
      </c>
      <c r="D208" s="257" t="s">
        <v>32</v>
      </c>
      <c r="E208" s="404"/>
      <c r="F208" s="305">
        <v>2.5000000000000001E-2</v>
      </c>
      <c r="G208" s="408"/>
      <c r="H208" s="282">
        <f>E207*F208</f>
        <v>1.5389950000000001</v>
      </c>
    </row>
    <row r="209" spans="1:8" ht="21" customHeight="1">
      <c r="A209" s="13">
        <f>DTCT!A192</f>
        <v>6</v>
      </c>
      <c r="B209" s="252" t="str">
        <f>DTCT!B192</f>
        <v>BDD.20410</v>
      </c>
      <c r="C209" s="244" t="str">
        <f>DTCT!C192</f>
        <v>Cắt cỏ bằng máy</v>
      </c>
      <c r="D209" s="13" t="str">
        <f>DTCT!D192</f>
        <v>1km/1lần</v>
      </c>
      <c r="E209" s="253">
        <f>DTCT!E192</f>
        <v>61.559800000000003</v>
      </c>
      <c r="F209" s="308"/>
      <c r="G209" s="283"/>
      <c r="H209" s="282"/>
    </row>
    <row r="210" spans="1:8" s="403" customFormat="1" ht="13.8">
      <c r="A210" s="254"/>
      <c r="B210" s="255"/>
      <c r="C210" s="256" t="s">
        <v>400</v>
      </c>
      <c r="D210" s="262" t="s">
        <v>411</v>
      </c>
      <c r="E210" s="404"/>
      <c r="F210" s="305">
        <v>0.2</v>
      </c>
      <c r="G210" s="408"/>
      <c r="H210" s="282">
        <f>E209*F210</f>
        <v>12.311960000000001</v>
      </c>
    </row>
    <row r="211" spans="1:8" ht="17.100000000000001" customHeight="1">
      <c r="A211" s="13">
        <f>+DTCT!A198</f>
        <v>12</v>
      </c>
      <c r="B211" s="13" t="str">
        <f>+DTCT!B198</f>
        <v>BDD.21312</v>
      </c>
      <c r="C211" s="244" t="str">
        <f>+DTCT!C198</f>
        <v>Vệ sinh mặt đường bằng thủ công</v>
      </c>
      <c r="D211" s="13" t="str">
        <f>+DTCT!D198</f>
        <v>lần/km</v>
      </c>
      <c r="E211" s="418">
        <f>+DTCT!E198</f>
        <v>61.559800000000003</v>
      </c>
      <c r="F211" s="248"/>
      <c r="G211" s="187"/>
      <c r="H211" s="400"/>
    </row>
    <row r="212" spans="1:8" ht="17.100000000000001" customHeight="1">
      <c r="A212" s="13"/>
      <c r="B212" s="252"/>
      <c r="C212" s="256" t="s">
        <v>401</v>
      </c>
      <c r="D212" s="257" t="s">
        <v>402</v>
      </c>
      <c r="E212" s="404"/>
      <c r="F212" s="305">
        <v>0.1</v>
      </c>
      <c r="G212" s="405"/>
      <c r="H212" s="282">
        <f>E211*F212</f>
        <v>6.1559800000000005</v>
      </c>
    </row>
    <row r="213" spans="1:8" ht="27.6">
      <c r="A213" s="96"/>
      <c r="B213" s="249"/>
      <c r="C213" s="34" t="str">
        <f>DTCT!C200</f>
        <v>CÔNG TÁC BẢO DƯỠNG CẦU L &lt;= 300M</v>
      </c>
      <c r="D213" s="96"/>
      <c r="E213" s="188"/>
      <c r="F213" s="308"/>
      <c r="G213" s="283"/>
      <c r="H213" s="282"/>
    </row>
    <row r="214" spans="1:8" ht="19.5" customHeight="1">
      <c r="A214" s="13">
        <f>DTCT!A201</f>
        <v>14</v>
      </c>
      <c r="B214" s="252" t="str">
        <f>DTCT!B201</f>
        <v>BDC.20610</v>
      </c>
      <c r="C214" s="244" t="str">
        <f>DTCT!C201</f>
        <v>Vệ sinh mặt cầu, ống thoát nước</v>
      </c>
      <c r="D214" s="13" t="str">
        <f>DTCT!D201</f>
        <v>10m2</v>
      </c>
      <c r="E214" s="253">
        <f>DTCT!E201</f>
        <v>703.53500000000008</v>
      </c>
      <c r="F214" s="308"/>
      <c r="G214" s="283"/>
      <c r="H214" s="282"/>
    </row>
    <row r="215" spans="1:8" s="403" customFormat="1" ht="13.8">
      <c r="A215" s="254"/>
      <c r="B215" s="255"/>
      <c r="C215" s="256" t="s">
        <v>401</v>
      </c>
      <c r="D215" s="257" t="s">
        <v>402</v>
      </c>
      <c r="E215" s="404"/>
      <c r="F215" s="305">
        <v>1E-4</v>
      </c>
      <c r="G215" s="408"/>
      <c r="H215" s="282">
        <f>E214*F215</f>
        <v>7.0353500000000013E-2</v>
      </c>
    </row>
    <row r="216" spans="1:8" ht="27.6">
      <c r="A216" s="96"/>
      <c r="B216" s="249"/>
      <c r="C216" s="34" t="str">
        <f>DTCT!C205</f>
        <v>CÔNG TÁC QUẢN LÝ CẦU CẦU L &lt;= 300M</v>
      </c>
      <c r="D216" s="96"/>
      <c r="E216" s="188"/>
      <c r="F216" s="308"/>
      <c r="G216" s="283"/>
      <c r="H216" s="282"/>
    </row>
    <row r="217" spans="1:8" ht="13.8">
      <c r="A217" s="96"/>
      <c r="B217" s="249"/>
      <c r="C217" s="34" t="str">
        <f>DTCT!C206</f>
        <v>Cầu &lt; 50m</v>
      </c>
      <c r="D217" s="96"/>
      <c r="E217" s="188"/>
      <c r="F217" s="308"/>
      <c r="G217" s="283"/>
      <c r="H217" s="282"/>
    </row>
    <row r="218" spans="1:8" ht="27.6">
      <c r="A218" s="13">
        <f>DTCT!A207</f>
        <v>18</v>
      </c>
      <c r="B218" s="252" t="str">
        <f>DTCT!B207</f>
        <v>QLC.10140</v>
      </c>
      <c r="C218" s="244" t="str">
        <f>DTCT!C207</f>
        <v>Kiểm tra cầu</v>
      </c>
      <c r="D218" s="13" t="str">
        <f>DTCT!D207</f>
        <v>cầu/năm</v>
      </c>
      <c r="E218" s="253">
        <f>DTCT!E207</f>
        <v>16</v>
      </c>
      <c r="F218" s="308"/>
      <c r="G218" s="283"/>
      <c r="H218" s="282"/>
    </row>
    <row r="219" spans="1:8" s="403" customFormat="1" ht="13.8">
      <c r="A219" s="254"/>
      <c r="B219" s="255"/>
      <c r="C219" s="256" t="s">
        <v>404</v>
      </c>
      <c r="D219" s="257" t="s">
        <v>405</v>
      </c>
      <c r="E219" s="404"/>
      <c r="F219" s="305">
        <v>1</v>
      </c>
      <c r="G219" s="408"/>
      <c r="H219" s="282">
        <f>$E$218*F219</f>
        <v>16</v>
      </c>
    </row>
    <row r="220" spans="1:8" s="403" customFormat="1" ht="13.8">
      <c r="A220" s="254"/>
      <c r="B220" s="255"/>
      <c r="C220" s="256" t="s">
        <v>406</v>
      </c>
      <c r="D220" s="257" t="s">
        <v>17</v>
      </c>
      <c r="E220" s="404"/>
      <c r="F220" s="305">
        <v>12</v>
      </c>
      <c r="G220" s="408"/>
      <c r="H220" s="282">
        <f>$E$218*F220</f>
        <v>192</v>
      </c>
    </row>
    <row r="221" spans="1:8" ht="27.6">
      <c r="A221" s="13">
        <f>DTCT!A208</f>
        <v>19</v>
      </c>
      <c r="B221" s="252" t="str">
        <f>DTCT!B208</f>
        <v>QLC.10340</v>
      </c>
      <c r="C221" s="244" t="str">
        <f>DTCT!C208</f>
        <v>Kiểm tra trước và sau mùa mưa bão</v>
      </c>
      <c r="D221" s="13" t="str">
        <f>DTCT!D208</f>
        <v>cầu/năm</v>
      </c>
      <c r="E221" s="253">
        <f>DTCT!E208</f>
        <v>16</v>
      </c>
      <c r="F221" s="308"/>
      <c r="G221" s="283"/>
      <c r="H221" s="282"/>
    </row>
    <row r="222" spans="1:8" s="403" customFormat="1" ht="13.8">
      <c r="A222" s="254"/>
      <c r="B222" s="255"/>
      <c r="C222" s="256" t="s">
        <v>404</v>
      </c>
      <c r="D222" s="257" t="s">
        <v>405</v>
      </c>
      <c r="E222" s="404"/>
      <c r="F222" s="305">
        <v>0.16700000000000001</v>
      </c>
      <c r="G222" s="408"/>
      <c r="H222" s="282">
        <f>$E$221*F222</f>
        <v>2.6720000000000002</v>
      </c>
    </row>
    <row r="223" spans="1:8" s="403" customFormat="1" ht="13.8">
      <c r="A223" s="254"/>
      <c r="B223" s="255"/>
      <c r="C223" s="256" t="s">
        <v>406</v>
      </c>
      <c r="D223" s="257" t="s">
        <v>17</v>
      </c>
      <c r="E223" s="404"/>
      <c r="F223" s="305">
        <v>2</v>
      </c>
      <c r="G223" s="408"/>
      <c r="H223" s="282">
        <f>$E$221*F223</f>
        <v>32</v>
      </c>
    </row>
    <row r="224" spans="1:8" ht="13.8">
      <c r="A224" s="96"/>
      <c r="B224" s="249"/>
      <c r="C224" s="34" t="str">
        <f>DTCT!C210</f>
        <v>Cầu 50m - 100m</v>
      </c>
      <c r="D224" s="96"/>
      <c r="E224" s="188"/>
      <c r="F224" s="308"/>
      <c r="G224" s="283"/>
      <c r="H224" s="282"/>
    </row>
    <row r="225" spans="1:8" ht="27.6">
      <c r="A225" s="13">
        <f>DTCT!A211</f>
        <v>21</v>
      </c>
      <c r="B225" s="252" t="str">
        <f>DTCT!B211</f>
        <v>QLC.10130</v>
      </c>
      <c r="C225" s="244" t="str">
        <f>DTCT!C211</f>
        <v>Kiểm tra cầu</v>
      </c>
      <c r="D225" s="13" t="str">
        <f>DTCT!D211</f>
        <v>cầu/năm</v>
      </c>
      <c r="E225" s="253">
        <f>DTCT!E211</f>
        <v>9</v>
      </c>
      <c r="F225" s="308"/>
      <c r="G225" s="283"/>
      <c r="H225" s="282"/>
    </row>
    <row r="226" spans="1:8" s="403" customFormat="1" ht="13.8">
      <c r="A226" s="254"/>
      <c r="B226" s="255"/>
      <c r="C226" s="256" t="s">
        <v>404</v>
      </c>
      <c r="D226" s="257" t="s">
        <v>405</v>
      </c>
      <c r="E226" s="404"/>
      <c r="F226" s="305">
        <v>3</v>
      </c>
      <c r="G226" s="408"/>
      <c r="H226" s="282">
        <f>$E$225*F226</f>
        <v>27</v>
      </c>
    </row>
    <row r="227" spans="1:8" s="403" customFormat="1" ht="13.8">
      <c r="A227" s="254"/>
      <c r="B227" s="255"/>
      <c r="C227" s="256" t="s">
        <v>406</v>
      </c>
      <c r="D227" s="257" t="s">
        <v>17</v>
      </c>
      <c r="E227" s="404"/>
      <c r="F227" s="305">
        <v>12</v>
      </c>
      <c r="G227" s="408"/>
      <c r="H227" s="282">
        <f>$E$225*F227</f>
        <v>108</v>
      </c>
    </row>
    <row r="228" spans="1:8" ht="27.6">
      <c r="A228" s="13">
        <f>DTCT!A212</f>
        <v>22</v>
      </c>
      <c r="B228" s="252" t="str">
        <f>DTCT!B212</f>
        <v>QLC.10330</v>
      </c>
      <c r="C228" s="244" t="str">
        <f>DTCT!C212</f>
        <v>Kiểm tra trước và sau mùa mưa bão</v>
      </c>
      <c r="D228" s="13" t="str">
        <f>DTCT!D212</f>
        <v>cầu/năm</v>
      </c>
      <c r="E228" s="253">
        <f>DTCT!E212</f>
        <v>9</v>
      </c>
      <c r="F228" s="308"/>
      <c r="G228" s="283"/>
      <c r="H228" s="282"/>
    </row>
    <row r="229" spans="1:8" s="403" customFormat="1" ht="13.8">
      <c r="A229" s="254"/>
      <c r="B229" s="255"/>
      <c r="C229" s="256" t="s">
        <v>404</v>
      </c>
      <c r="D229" s="257" t="s">
        <v>405</v>
      </c>
      <c r="E229" s="404"/>
      <c r="F229" s="305">
        <v>0.5</v>
      </c>
      <c r="G229" s="408"/>
      <c r="H229" s="282">
        <f>$E$228*F229</f>
        <v>4.5</v>
      </c>
    </row>
    <row r="230" spans="1:8" s="403" customFormat="1" ht="13.8">
      <c r="A230" s="254"/>
      <c r="B230" s="255"/>
      <c r="C230" s="256" t="s">
        <v>406</v>
      </c>
      <c r="D230" s="257" t="s">
        <v>17</v>
      </c>
      <c r="E230" s="404"/>
      <c r="F230" s="305">
        <v>2</v>
      </c>
      <c r="G230" s="408"/>
      <c r="H230" s="282">
        <f>$E$228*F230</f>
        <v>18</v>
      </c>
    </row>
    <row r="231" spans="1:8" ht="30" customHeight="1">
      <c r="A231" s="96" t="str">
        <f>DTCT!A214</f>
        <v>VIII</v>
      </c>
      <c r="B231" s="249"/>
      <c r="C231" s="34" t="str">
        <f>DTCT!C214</f>
        <v>ĐƯỜNG TỈNH 908 - HUYỆN BÌNH TÂN</v>
      </c>
      <c r="D231" s="96"/>
      <c r="E231" s="188"/>
      <c r="F231" s="308"/>
      <c r="G231" s="283"/>
      <c r="H231" s="282"/>
    </row>
    <row r="232" spans="1:8" ht="27.6">
      <c r="A232" s="96"/>
      <c r="B232" s="249"/>
      <c r="C232" s="34" t="str">
        <f>DTCT!C215</f>
        <v>CÔNG TÁC QUẢN LÝ BDTX ĐƯỜNG BỘ</v>
      </c>
      <c r="D232" s="96"/>
      <c r="E232" s="188"/>
      <c r="F232" s="308"/>
      <c r="G232" s="283"/>
      <c r="H232" s="282"/>
    </row>
    <row r="233" spans="1:8" ht="21.75" customHeight="1">
      <c r="A233" s="13">
        <f>DTCT!A216</f>
        <v>1</v>
      </c>
      <c r="B233" s="252" t="str">
        <f>DTCT!B216</f>
        <v>QLD.10150</v>
      </c>
      <c r="C233" s="244" t="str">
        <f>DTCT!C216</f>
        <v>Tuần đường</v>
      </c>
      <c r="D233" s="13" t="str">
        <f>DTCT!D216</f>
        <v>1km/năm</v>
      </c>
      <c r="E233" s="253">
        <f>DTCT!E216</f>
        <v>28.139099999999999</v>
      </c>
      <c r="F233" s="308"/>
      <c r="G233" s="283"/>
      <c r="H233" s="282"/>
    </row>
    <row r="234" spans="1:8" s="403" customFormat="1" ht="13.8">
      <c r="A234" s="254"/>
      <c r="B234" s="255"/>
      <c r="C234" s="256" t="s">
        <v>393</v>
      </c>
      <c r="D234" s="257" t="s">
        <v>32</v>
      </c>
      <c r="E234" s="404"/>
      <c r="F234" s="305">
        <v>9.125</v>
      </c>
      <c r="G234" s="408"/>
      <c r="H234" s="282">
        <f>$E$233*F234</f>
        <v>256.76928750000002</v>
      </c>
    </row>
    <row r="235" spans="1:8" ht="29.25" customHeight="1">
      <c r="A235" s="13">
        <f>DTCT!A217</f>
        <v>2</v>
      </c>
      <c r="B235" s="252" t="str">
        <f>DTCT!B217</f>
        <v>QLD.10230</v>
      </c>
      <c r="C235" s="244" t="str">
        <f>DTCT!C217</f>
        <v>Đếm xe bằng thủ công</v>
      </c>
      <c r="D235" s="13" t="str">
        <f>DTCT!D217</f>
        <v>1lần/trạmđếm</v>
      </c>
      <c r="E235" s="253">
        <f>DTCT!E217</f>
        <v>12</v>
      </c>
      <c r="F235" s="308"/>
      <c r="G235" s="283"/>
      <c r="H235" s="282"/>
    </row>
    <row r="236" spans="1:8" s="403" customFormat="1" ht="13.8">
      <c r="A236" s="254"/>
      <c r="B236" s="255"/>
      <c r="C236" s="256" t="s">
        <v>395</v>
      </c>
      <c r="D236" s="257" t="s">
        <v>396</v>
      </c>
      <c r="E236" s="404"/>
      <c r="F236" s="305">
        <v>42</v>
      </c>
      <c r="G236" s="408"/>
      <c r="H236" s="282">
        <f>$E$235*F236</f>
        <v>504</v>
      </c>
    </row>
    <row r="237" spans="1:8" s="403" customFormat="1" ht="13.8">
      <c r="A237" s="254"/>
      <c r="B237" s="255"/>
      <c r="C237" s="256" t="s">
        <v>406</v>
      </c>
      <c r="D237" s="257" t="s">
        <v>17</v>
      </c>
      <c r="E237" s="404"/>
      <c r="F237" s="305">
        <v>3</v>
      </c>
      <c r="G237" s="408"/>
      <c r="H237" s="282">
        <f>$E$235*F237</f>
        <v>36</v>
      </c>
    </row>
    <row r="238" spans="1:8" ht="27.6">
      <c r="A238" s="13">
        <f>DTCT!A218</f>
        <v>3</v>
      </c>
      <c r="B238" s="252" t="str">
        <f>DTCT!B218</f>
        <v>QLD.10340</v>
      </c>
      <c r="C238" s="244" t="str">
        <f>DTCT!C218</f>
        <v>Kiểm tra định kỳ, khẩn cấp, cập nhật số liệu cầu đường và tình hình bão lũ</v>
      </c>
      <c r="D238" s="13" t="str">
        <f>DTCT!D218</f>
        <v>1km/1lần</v>
      </c>
      <c r="E238" s="253">
        <f>DTCT!E218</f>
        <v>28.139099999999999</v>
      </c>
      <c r="F238" s="308"/>
      <c r="G238" s="283"/>
      <c r="H238" s="282"/>
    </row>
    <row r="239" spans="1:8" s="403" customFormat="1" ht="13.8">
      <c r="A239" s="254"/>
      <c r="B239" s="255"/>
      <c r="C239" s="256" t="s">
        <v>393</v>
      </c>
      <c r="D239" s="257" t="s">
        <v>32</v>
      </c>
      <c r="E239" s="404"/>
      <c r="F239" s="305">
        <v>2.5000000000000001E-2</v>
      </c>
      <c r="G239" s="408"/>
      <c r="H239" s="282">
        <f>E238*F239</f>
        <v>0.70347749999999998</v>
      </c>
    </row>
    <row r="240" spans="1:8" ht="21" customHeight="1">
      <c r="A240" s="13">
        <f>DTCT!A221</f>
        <v>6</v>
      </c>
      <c r="B240" s="252" t="str">
        <f>DTCT!B221</f>
        <v>BDD.20410</v>
      </c>
      <c r="C240" s="244" t="str">
        <f>DTCT!C221</f>
        <v>Cắt cỏ bằng máy</v>
      </c>
      <c r="D240" s="13" t="str">
        <f>DTCT!D221</f>
        <v>1km/1lần</v>
      </c>
      <c r="E240" s="253">
        <f>DTCT!E221</f>
        <v>28.139099999999999</v>
      </c>
      <c r="F240" s="308"/>
      <c r="G240" s="283"/>
      <c r="H240" s="282"/>
    </row>
    <row r="241" spans="1:8" s="403" customFormat="1" ht="13.8">
      <c r="A241" s="254"/>
      <c r="B241" s="255"/>
      <c r="C241" s="256" t="s">
        <v>400</v>
      </c>
      <c r="D241" s="262" t="s">
        <v>411</v>
      </c>
      <c r="E241" s="404"/>
      <c r="F241" s="305">
        <v>0.2</v>
      </c>
      <c r="G241" s="408"/>
      <c r="H241" s="282">
        <f>E240*F241</f>
        <v>5.6278199999999998</v>
      </c>
    </row>
    <row r="242" spans="1:8" ht="17.100000000000001" customHeight="1">
      <c r="A242" s="13">
        <f>+DTCT!A227</f>
        <v>12</v>
      </c>
      <c r="B242" s="13" t="str">
        <f>+DTCT!B227</f>
        <v>BDD.21312</v>
      </c>
      <c r="C242" s="244" t="str">
        <f>+DTCT!C227</f>
        <v>Vệ sinh mặt đường bằng thủ công</v>
      </c>
      <c r="D242" s="13" t="str">
        <f>+DTCT!D227</f>
        <v>lần/km</v>
      </c>
      <c r="E242" s="418">
        <f>+DTCT!E227</f>
        <v>28.139099999999999</v>
      </c>
      <c r="F242" s="248"/>
      <c r="G242" s="187"/>
      <c r="H242" s="400"/>
    </row>
    <row r="243" spans="1:8" ht="17.100000000000001" customHeight="1">
      <c r="A243" s="13"/>
      <c r="B243" s="252"/>
      <c r="C243" s="256" t="s">
        <v>401</v>
      </c>
      <c r="D243" s="257" t="s">
        <v>402</v>
      </c>
      <c r="E243" s="404"/>
      <c r="F243" s="305">
        <v>0.1</v>
      </c>
      <c r="G243" s="405"/>
      <c r="H243" s="282">
        <f>E242*F243</f>
        <v>2.8139099999999999</v>
      </c>
    </row>
    <row r="244" spans="1:8" ht="27.6">
      <c r="A244" s="96"/>
      <c r="B244" s="249"/>
      <c r="C244" s="34" t="str">
        <f>DTCT!C229</f>
        <v>CÔNG TÁC BẢO DƯỠNG CẦU L &lt;= 300M</v>
      </c>
      <c r="D244" s="96"/>
      <c r="E244" s="188"/>
      <c r="F244" s="308"/>
      <c r="G244" s="283"/>
      <c r="H244" s="282"/>
    </row>
    <row r="245" spans="1:8" ht="21.75" customHeight="1">
      <c r="A245" s="13">
        <f>DTCT!A230</f>
        <v>14</v>
      </c>
      <c r="B245" s="252" t="str">
        <f>DTCT!B230</f>
        <v>BDC.20610</v>
      </c>
      <c r="C245" s="244" t="str">
        <f>DTCT!C230</f>
        <v>Vệ sinh mặt cầu, ống thoát nước</v>
      </c>
      <c r="D245" s="13" t="str">
        <f>DTCT!D230</f>
        <v>10m2</v>
      </c>
      <c r="E245" s="253">
        <f>DTCT!E230</f>
        <v>445.85</v>
      </c>
      <c r="F245" s="308"/>
      <c r="G245" s="283"/>
      <c r="H245" s="282"/>
    </row>
    <row r="246" spans="1:8" s="403" customFormat="1" ht="13.8">
      <c r="A246" s="254"/>
      <c r="B246" s="255"/>
      <c r="C246" s="256" t="s">
        <v>401</v>
      </c>
      <c r="D246" s="257" t="s">
        <v>402</v>
      </c>
      <c r="E246" s="404"/>
      <c r="F246" s="305">
        <v>1E-4</v>
      </c>
      <c r="G246" s="408"/>
      <c r="H246" s="282">
        <f>E245*F246</f>
        <v>4.4585000000000007E-2</v>
      </c>
    </row>
    <row r="247" spans="1:8" ht="27.6">
      <c r="A247" s="96"/>
      <c r="B247" s="249"/>
      <c r="C247" s="34" t="str">
        <f>DTCT!C234</f>
        <v>CÔNG TÁC QUẢN LÝ CẦU CẦU L &lt;= 300M</v>
      </c>
      <c r="D247" s="96"/>
      <c r="E247" s="188"/>
      <c r="F247" s="308"/>
      <c r="G247" s="283"/>
      <c r="H247" s="282"/>
    </row>
    <row r="248" spans="1:8" ht="13.8">
      <c r="A248" s="96"/>
      <c r="B248" s="249"/>
      <c r="C248" s="34" t="str">
        <f>DTCT!C235</f>
        <v>Cầu &lt; 50m</v>
      </c>
      <c r="D248" s="96"/>
      <c r="E248" s="188"/>
      <c r="F248" s="308"/>
      <c r="G248" s="283"/>
      <c r="H248" s="282"/>
    </row>
    <row r="249" spans="1:8" ht="27.6">
      <c r="A249" s="13">
        <f>DTCT!A236</f>
        <v>18</v>
      </c>
      <c r="B249" s="252" t="str">
        <f>DTCT!B236</f>
        <v>QLC.10140</v>
      </c>
      <c r="C249" s="244" t="str">
        <f>DTCT!C236</f>
        <v>Kiểm tra cầu</v>
      </c>
      <c r="D249" s="13" t="str">
        <f>DTCT!D236</f>
        <v>cầu/năm</v>
      </c>
      <c r="E249" s="253">
        <f>DTCT!E236</f>
        <v>16</v>
      </c>
      <c r="F249" s="308"/>
      <c r="G249" s="283"/>
      <c r="H249" s="282"/>
    </row>
    <row r="250" spans="1:8" s="403" customFormat="1" ht="13.8">
      <c r="A250" s="254"/>
      <c r="B250" s="255"/>
      <c r="C250" s="256" t="s">
        <v>404</v>
      </c>
      <c r="D250" s="257" t="s">
        <v>405</v>
      </c>
      <c r="E250" s="404"/>
      <c r="F250" s="305">
        <v>1</v>
      </c>
      <c r="G250" s="408"/>
      <c r="H250" s="282">
        <f>$E$249*F250</f>
        <v>16</v>
      </c>
    </row>
    <row r="251" spans="1:8" s="403" customFormat="1" ht="13.8">
      <c r="A251" s="254"/>
      <c r="B251" s="255"/>
      <c r="C251" s="256" t="s">
        <v>406</v>
      </c>
      <c r="D251" s="257" t="s">
        <v>17</v>
      </c>
      <c r="E251" s="404"/>
      <c r="F251" s="305">
        <v>12</v>
      </c>
      <c r="G251" s="408"/>
      <c r="H251" s="282">
        <f>$E$249*F251</f>
        <v>192</v>
      </c>
    </row>
    <row r="252" spans="1:8" ht="27.6">
      <c r="A252" s="13">
        <f>DTCT!A237</f>
        <v>19</v>
      </c>
      <c r="B252" s="252" t="str">
        <f>DTCT!B237</f>
        <v>QLC.10340</v>
      </c>
      <c r="C252" s="244" t="str">
        <f>DTCT!C237</f>
        <v>Kiểm tra trước và sau mùa mưa bão</v>
      </c>
      <c r="D252" s="13" t="str">
        <f>DTCT!D237</f>
        <v>cầu/năm</v>
      </c>
      <c r="E252" s="253">
        <f>DTCT!E237</f>
        <v>16</v>
      </c>
      <c r="F252" s="308"/>
      <c r="G252" s="283"/>
      <c r="H252" s="282"/>
    </row>
    <row r="253" spans="1:8" s="403" customFormat="1" ht="13.8">
      <c r="A253" s="254"/>
      <c r="B253" s="255"/>
      <c r="C253" s="256" t="s">
        <v>404</v>
      </c>
      <c r="D253" s="257" t="s">
        <v>405</v>
      </c>
      <c r="E253" s="404"/>
      <c r="F253" s="305">
        <v>0.16700000000000001</v>
      </c>
      <c r="G253" s="408"/>
      <c r="H253" s="282">
        <f>$E$252*F253</f>
        <v>2.6720000000000002</v>
      </c>
    </row>
    <row r="254" spans="1:8" s="403" customFormat="1" ht="13.8">
      <c r="A254" s="254"/>
      <c r="B254" s="255"/>
      <c r="C254" s="256" t="s">
        <v>406</v>
      </c>
      <c r="D254" s="257" t="s">
        <v>17</v>
      </c>
      <c r="E254" s="404"/>
      <c r="F254" s="305">
        <v>2</v>
      </c>
      <c r="G254" s="408"/>
      <c r="H254" s="282">
        <f>$E$252*F254</f>
        <v>32</v>
      </c>
    </row>
    <row r="255" spans="1:8" ht="21.75" customHeight="1">
      <c r="A255" s="96"/>
      <c r="B255" s="249"/>
      <c r="C255" s="34" t="str">
        <f>DTCT!C239</f>
        <v>Cầu 50m - 100m</v>
      </c>
      <c r="D255" s="96"/>
      <c r="E255" s="188"/>
      <c r="F255" s="308"/>
      <c r="G255" s="283"/>
      <c r="H255" s="282"/>
    </row>
    <row r="256" spans="1:8" ht="27.6">
      <c r="A256" s="13">
        <f>DTCT!A240</f>
        <v>21</v>
      </c>
      <c r="B256" s="252" t="str">
        <f>DTCT!B240</f>
        <v>QLC.10130</v>
      </c>
      <c r="C256" s="244" t="str">
        <f>DTCT!C240</f>
        <v>Kiểm tra cầu</v>
      </c>
      <c r="D256" s="13" t="str">
        <f>DTCT!D240</f>
        <v>cầu/năm</v>
      </c>
      <c r="E256" s="253">
        <f>DTCT!E240</f>
        <v>7</v>
      </c>
      <c r="F256" s="308"/>
      <c r="G256" s="283"/>
      <c r="H256" s="282"/>
    </row>
    <row r="257" spans="1:8" s="403" customFormat="1" ht="13.8">
      <c r="A257" s="254"/>
      <c r="B257" s="255"/>
      <c r="C257" s="256" t="s">
        <v>404</v>
      </c>
      <c r="D257" s="257" t="s">
        <v>405</v>
      </c>
      <c r="E257" s="404"/>
      <c r="F257" s="305">
        <v>3</v>
      </c>
      <c r="G257" s="408"/>
      <c r="H257" s="282">
        <f>$E$256*F257</f>
        <v>21</v>
      </c>
    </row>
    <row r="258" spans="1:8" s="403" customFormat="1" ht="13.8">
      <c r="A258" s="254"/>
      <c r="B258" s="255"/>
      <c r="C258" s="256" t="s">
        <v>406</v>
      </c>
      <c r="D258" s="257" t="s">
        <v>17</v>
      </c>
      <c r="E258" s="404"/>
      <c r="F258" s="305">
        <v>12</v>
      </c>
      <c r="G258" s="408"/>
      <c r="H258" s="282">
        <f>$E$256*F258</f>
        <v>84</v>
      </c>
    </row>
    <row r="259" spans="1:8" ht="27.6">
      <c r="A259" s="13">
        <f>DTCT!A241</f>
        <v>22</v>
      </c>
      <c r="B259" s="252" t="str">
        <f>DTCT!B241</f>
        <v>QLC.10330</v>
      </c>
      <c r="C259" s="244" t="str">
        <f>DTCT!C241</f>
        <v>Kiểm tra trước và sau mùa mưa bão</v>
      </c>
      <c r="D259" s="13" t="str">
        <f>DTCT!D241</f>
        <v>cầu/năm</v>
      </c>
      <c r="E259" s="253">
        <f>DTCT!E241</f>
        <v>7</v>
      </c>
      <c r="F259" s="308"/>
      <c r="G259" s="283"/>
      <c r="H259" s="282"/>
    </row>
    <row r="260" spans="1:8" s="403" customFormat="1" ht="13.8">
      <c r="A260" s="254"/>
      <c r="B260" s="255"/>
      <c r="C260" s="256" t="s">
        <v>404</v>
      </c>
      <c r="D260" s="257" t="s">
        <v>405</v>
      </c>
      <c r="E260" s="404"/>
      <c r="F260" s="305">
        <v>0.5</v>
      </c>
      <c r="G260" s="408"/>
      <c r="H260" s="282">
        <f>$E$259*F260</f>
        <v>3.5</v>
      </c>
    </row>
    <row r="261" spans="1:8" s="403" customFormat="1" ht="13.8">
      <c r="A261" s="254"/>
      <c r="B261" s="255"/>
      <c r="C261" s="256" t="s">
        <v>406</v>
      </c>
      <c r="D261" s="257" t="s">
        <v>17</v>
      </c>
      <c r="E261" s="404"/>
      <c r="F261" s="305">
        <v>2</v>
      </c>
      <c r="G261" s="408"/>
      <c r="H261" s="282">
        <f>$E$259*F261</f>
        <v>14</v>
      </c>
    </row>
    <row r="262" spans="1:8" ht="28.5" customHeight="1">
      <c r="A262" s="96" t="str">
        <f>DTCT!A243</f>
        <v>IX</v>
      </c>
      <c r="B262" s="249"/>
      <c r="C262" s="34" t="str">
        <f>DTCT!C243</f>
        <v>ĐƯỜNG TỈNH 909 - HUYỆN TAM BÌNH</v>
      </c>
      <c r="D262" s="96"/>
      <c r="E262" s="188"/>
      <c r="F262" s="308"/>
      <c r="G262" s="283"/>
      <c r="H262" s="282"/>
    </row>
    <row r="263" spans="1:8" ht="27.6">
      <c r="A263" s="96"/>
      <c r="B263" s="249"/>
      <c r="C263" s="34" t="str">
        <f>DTCT!C244</f>
        <v>CÔNG TÁC QUẢN LÝ BDTX ĐƯỜNG BỘ</v>
      </c>
      <c r="D263" s="96"/>
      <c r="E263" s="188"/>
      <c r="F263" s="308"/>
      <c r="G263" s="283"/>
      <c r="H263" s="282"/>
    </row>
    <row r="264" spans="1:8" ht="18" customHeight="1">
      <c r="A264" s="13">
        <f>DTCT!A245</f>
        <v>1</v>
      </c>
      <c r="B264" s="252" t="str">
        <f>DTCT!B245</f>
        <v>QLD.10150</v>
      </c>
      <c r="C264" s="244" t="str">
        <f>DTCT!C245</f>
        <v>Tuần đường</v>
      </c>
      <c r="D264" s="13" t="str">
        <f>DTCT!D245</f>
        <v>1km/năm</v>
      </c>
      <c r="E264" s="253">
        <f>DTCT!E245</f>
        <v>37.859750000000005</v>
      </c>
      <c r="F264" s="308"/>
      <c r="G264" s="283"/>
      <c r="H264" s="282"/>
    </row>
    <row r="265" spans="1:8" s="403" customFormat="1" ht="13.8">
      <c r="A265" s="254"/>
      <c r="B265" s="255"/>
      <c r="C265" s="256" t="s">
        <v>393</v>
      </c>
      <c r="D265" s="257" t="s">
        <v>32</v>
      </c>
      <c r="E265" s="404"/>
      <c r="F265" s="305">
        <v>9.125</v>
      </c>
      <c r="G265" s="408"/>
      <c r="H265" s="282">
        <f>E264*F265</f>
        <v>345.47021875000007</v>
      </c>
    </row>
    <row r="266" spans="1:8" ht="27.6">
      <c r="A266" s="13">
        <f>DTCT!A246</f>
        <v>2</v>
      </c>
      <c r="B266" s="252" t="str">
        <f>DTCT!B246</f>
        <v>QLD.10230</v>
      </c>
      <c r="C266" s="244" t="str">
        <f>DTCT!C246</f>
        <v>Đếm xe bằng thủ công</v>
      </c>
      <c r="D266" s="13" t="str">
        <f>DTCT!D246</f>
        <v>1lần/trạmđếm</v>
      </c>
      <c r="E266" s="253">
        <f>DTCT!E246</f>
        <v>12</v>
      </c>
      <c r="F266" s="308"/>
      <c r="G266" s="283"/>
      <c r="H266" s="282"/>
    </row>
    <row r="267" spans="1:8" s="403" customFormat="1" ht="13.8">
      <c r="A267" s="254"/>
      <c r="B267" s="255"/>
      <c r="C267" s="256" t="s">
        <v>395</v>
      </c>
      <c r="D267" s="257" t="s">
        <v>396</v>
      </c>
      <c r="E267" s="404"/>
      <c r="F267" s="305">
        <v>42</v>
      </c>
      <c r="G267" s="408"/>
      <c r="H267" s="282">
        <f>$E$266*F267</f>
        <v>504</v>
      </c>
    </row>
    <row r="268" spans="1:8" s="403" customFormat="1" ht="13.8">
      <c r="A268" s="254"/>
      <c r="B268" s="255"/>
      <c r="C268" s="256" t="s">
        <v>406</v>
      </c>
      <c r="D268" s="257" t="s">
        <v>17</v>
      </c>
      <c r="E268" s="404"/>
      <c r="F268" s="305">
        <v>3</v>
      </c>
      <c r="G268" s="408"/>
      <c r="H268" s="282">
        <f>$E$266*F268</f>
        <v>36</v>
      </c>
    </row>
    <row r="269" spans="1:8" ht="27.6">
      <c r="A269" s="13">
        <f>DTCT!A247</f>
        <v>3</v>
      </c>
      <c r="B269" s="252" t="str">
        <f>DTCT!B247</f>
        <v>QLD.10340</v>
      </c>
      <c r="C269" s="244" t="str">
        <f>DTCT!C247</f>
        <v>Kiểm tra định kỳ, khẩn cấp, cập nhật số liệu cầu đường và tình hình bão lũ</v>
      </c>
      <c r="D269" s="13" t="str">
        <f>DTCT!D247</f>
        <v>1km/1lần</v>
      </c>
      <c r="E269" s="253">
        <f>DTCT!E247</f>
        <v>37.859750000000005</v>
      </c>
      <c r="F269" s="308"/>
      <c r="G269" s="283"/>
      <c r="H269" s="282"/>
    </row>
    <row r="270" spans="1:8" s="403" customFormat="1" ht="13.8">
      <c r="A270" s="254"/>
      <c r="B270" s="255"/>
      <c r="C270" s="256" t="s">
        <v>393</v>
      </c>
      <c r="D270" s="257" t="s">
        <v>32</v>
      </c>
      <c r="E270" s="404"/>
      <c r="F270" s="305">
        <v>2.5000000000000001E-2</v>
      </c>
      <c r="G270" s="408"/>
      <c r="H270" s="282">
        <f>E269*F270</f>
        <v>0.94649375000000013</v>
      </c>
    </row>
    <row r="271" spans="1:8" ht="18.75" customHeight="1">
      <c r="A271" s="13">
        <f>DTCT!A250</f>
        <v>6</v>
      </c>
      <c r="B271" s="252" t="str">
        <f>DTCT!B250</f>
        <v>BDD.20410</v>
      </c>
      <c r="C271" s="244" t="str">
        <f>DTCT!C250</f>
        <v>Cắt cỏ bằng máy</v>
      </c>
      <c r="D271" s="13" t="str">
        <f>DTCT!D250</f>
        <v>1km/1lần</v>
      </c>
      <c r="E271" s="253">
        <f>DTCT!E250</f>
        <v>37.859750000000005</v>
      </c>
      <c r="F271" s="308"/>
      <c r="G271" s="283"/>
      <c r="H271" s="282"/>
    </row>
    <row r="272" spans="1:8" s="403" customFormat="1" ht="13.8">
      <c r="A272" s="254"/>
      <c r="B272" s="255"/>
      <c r="C272" s="256" t="s">
        <v>400</v>
      </c>
      <c r="D272" s="262" t="s">
        <v>411</v>
      </c>
      <c r="E272" s="404"/>
      <c r="F272" s="305">
        <v>0.2</v>
      </c>
      <c r="G272" s="408"/>
      <c r="H272" s="282">
        <f>E271*F272</f>
        <v>7.5719500000000011</v>
      </c>
    </row>
    <row r="273" spans="1:8" ht="17.100000000000001" customHeight="1">
      <c r="A273" s="13">
        <f>+DTCT!A256</f>
        <v>12</v>
      </c>
      <c r="B273" s="13" t="str">
        <f>+DTCT!B256</f>
        <v>BDD.21312</v>
      </c>
      <c r="C273" s="244" t="str">
        <f>+DTCT!C256</f>
        <v>Vệ sinh mặt đường bằng thủ công</v>
      </c>
      <c r="D273" s="13" t="str">
        <f>+DTCT!D256</f>
        <v>lần/km</v>
      </c>
      <c r="E273" s="418">
        <f>+DTCT!E256</f>
        <v>37.859750000000005</v>
      </c>
      <c r="F273" s="248"/>
      <c r="G273" s="187"/>
      <c r="H273" s="400"/>
    </row>
    <row r="274" spans="1:8" ht="17.100000000000001" customHeight="1">
      <c r="A274" s="13"/>
      <c r="B274" s="252"/>
      <c r="C274" s="256" t="s">
        <v>401</v>
      </c>
      <c r="D274" s="257" t="s">
        <v>402</v>
      </c>
      <c r="E274" s="404"/>
      <c r="F274" s="305">
        <v>0.1</v>
      </c>
      <c r="G274" s="405"/>
      <c r="H274" s="282">
        <f>E273*F274</f>
        <v>3.7859750000000005</v>
      </c>
    </row>
    <row r="275" spans="1:8" ht="27.6">
      <c r="A275" s="96"/>
      <c r="B275" s="249"/>
      <c r="C275" s="34" t="str">
        <f>DTCT!C258</f>
        <v>CÔNG TÁC BẢO DƯỠNG CẦU L &lt;= 300M</v>
      </c>
      <c r="D275" s="96"/>
      <c r="E275" s="188"/>
      <c r="F275" s="308"/>
      <c r="G275" s="283"/>
      <c r="H275" s="282"/>
    </row>
    <row r="276" spans="1:8" ht="21" customHeight="1">
      <c r="A276" s="13">
        <f>DTCT!A259</f>
        <v>14</v>
      </c>
      <c r="B276" s="252" t="str">
        <f>DTCT!B259</f>
        <v>BDC.20610</v>
      </c>
      <c r="C276" s="244" t="str">
        <f>DTCT!C259</f>
        <v>Vệ sinh mặt cầu, ống thoát nước</v>
      </c>
      <c r="D276" s="13" t="str">
        <f>DTCT!D259</f>
        <v>10m2</v>
      </c>
      <c r="E276" s="253">
        <f>DTCT!E259</f>
        <v>634.35199999999998</v>
      </c>
      <c r="F276" s="308"/>
      <c r="G276" s="283"/>
      <c r="H276" s="282"/>
    </row>
    <row r="277" spans="1:8" s="403" customFormat="1" ht="13.8">
      <c r="A277" s="254"/>
      <c r="B277" s="255"/>
      <c r="C277" s="256" t="s">
        <v>401</v>
      </c>
      <c r="D277" s="257" t="s">
        <v>402</v>
      </c>
      <c r="E277" s="404"/>
      <c r="F277" s="305">
        <v>1E-4</v>
      </c>
      <c r="G277" s="408"/>
      <c r="H277" s="282">
        <f>E276*F277</f>
        <v>6.3435199999999997E-2</v>
      </c>
    </row>
    <row r="278" spans="1:8" ht="27.6">
      <c r="A278" s="96"/>
      <c r="B278" s="249"/>
      <c r="C278" s="34" t="str">
        <f>DTCT!C263</f>
        <v>CÔNG TÁC QUẢN LÝ CẦU L &lt;= 300M</v>
      </c>
      <c r="D278" s="96"/>
      <c r="E278" s="188"/>
      <c r="F278" s="308"/>
      <c r="G278" s="283"/>
      <c r="H278" s="282"/>
    </row>
    <row r="279" spans="1:8" ht="13.8">
      <c r="A279" s="96"/>
      <c r="B279" s="249"/>
      <c r="C279" s="34" t="str">
        <f>DTCT!C264</f>
        <v>Cầu &lt; 50m</v>
      </c>
      <c r="D279" s="96"/>
      <c r="E279" s="188"/>
      <c r="F279" s="308"/>
      <c r="G279" s="283"/>
      <c r="H279" s="282"/>
    </row>
    <row r="280" spans="1:8" ht="27.6">
      <c r="A280" s="13">
        <f>DTCT!A265</f>
        <v>18</v>
      </c>
      <c r="B280" s="252" t="str">
        <f>DTCT!B265</f>
        <v>QLC.10140</v>
      </c>
      <c r="C280" s="244" t="str">
        <f>DTCT!C265</f>
        <v>Kiểm tra cầu</v>
      </c>
      <c r="D280" s="13" t="str">
        <f>DTCT!D265</f>
        <v>cầu/năm</v>
      </c>
      <c r="E280" s="253">
        <f>DTCT!E265</f>
        <v>19</v>
      </c>
      <c r="F280" s="308"/>
      <c r="G280" s="283"/>
      <c r="H280" s="282"/>
    </row>
    <row r="281" spans="1:8" s="403" customFormat="1" ht="13.8">
      <c r="A281" s="254"/>
      <c r="B281" s="255"/>
      <c r="C281" s="256" t="s">
        <v>404</v>
      </c>
      <c r="D281" s="257" t="s">
        <v>405</v>
      </c>
      <c r="E281" s="404"/>
      <c r="F281" s="305">
        <v>1</v>
      </c>
      <c r="G281" s="408"/>
      <c r="H281" s="282">
        <f>$E$280*F281</f>
        <v>19</v>
      </c>
    </row>
    <row r="282" spans="1:8" s="403" customFormat="1" ht="13.8">
      <c r="A282" s="254"/>
      <c r="B282" s="255"/>
      <c r="C282" s="256" t="s">
        <v>406</v>
      </c>
      <c r="D282" s="257" t="s">
        <v>17</v>
      </c>
      <c r="E282" s="404"/>
      <c r="F282" s="305">
        <v>12</v>
      </c>
      <c r="G282" s="408"/>
      <c r="H282" s="282">
        <f>$E$280*F282</f>
        <v>228</v>
      </c>
    </row>
    <row r="283" spans="1:8" ht="27.6">
      <c r="A283" s="13">
        <f>DTCT!A266</f>
        <v>19</v>
      </c>
      <c r="B283" s="252" t="str">
        <f>DTCT!B266</f>
        <v>QLC.10340</v>
      </c>
      <c r="C283" s="244" t="str">
        <f>DTCT!C266</f>
        <v>Kiểm tra trước và sau mùa mưa bão</v>
      </c>
      <c r="D283" s="13" t="str">
        <f>DTCT!D266</f>
        <v>cầu/năm</v>
      </c>
      <c r="E283" s="253">
        <f>DTCT!E266</f>
        <v>19</v>
      </c>
      <c r="F283" s="308"/>
      <c r="G283" s="283"/>
      <c r="H283" s="282"/>
    </row>
    <row r="284" spans="1:8" s="403" customFormat="1" ht="13.8">
      <c r="A284" s="254"/>
      <c r="B284" s="255"/>
      <c r="C284" s="256" t="s">
        <v>404</v>
      </c>
      <c r="D284" s="257" t="s">
        <v>405</v>
      </c>
      <c r="E284" s="404"/>
      <c r="F284" s="305">
        <v>0.16700000000000001</v>
      </c>
      <c r="G284" s="408"/>
      <c r="H284" s="282">
        <f>$E$283*F284</f>
        <v>3.173</v>
      </c>
    </row>
    <row r="285" spans="1:8" s="403" customFormat="1" ht="13.8">
      <c r="A285" s="254"/>
      <c r="B285" s="255"/>
      <c r="C285" s="256" t="s">
        <v>406</v>
      </c>
      <c r="D285" s="257" t="s">
        <v>17</v>
      </c>
      <c r="E285" s="404"/>
      <c r="F285" s="305">
        <v>2</v>
      </c>
      <c r="G285" s="408"/>
      <c r="H285" s="282">
        <f>$E$283*F285</f>
        <v>38</v>
      </c>
    </row>
    <row r="286" spans="1:8" ht="13.8">
      <c r="A286" s="96"/>
      <c r="B286" s="249"/>
      <c r="C286" s="34" t="str">
        <f>DTCT!C268</f>
        <v>Cầu 50m - 100m</v>
      </c>
      <c r="D286" s="96"/>
      <c r="E286" s="188"/>
      <c r="F286" s="308"/>
      <c r="G286" s="283"/>
      <c r="H286" s="282"/>
    </row>
    <row r="287" spans="1:8" ht="27.6">
      <c r="A287" s="13">
        <f>DTCT!A269</f>
        <v>21</v>
      </c>
      <c r="B287" s="252" t="str">
        <f>DTCT!B269</f>
        <v>QLC.10130</v>
      </c>
      <c r="C287" s="244" t="str">
        <f>DTCT!C269</f>
        <v>Kiểm tra cầu</v>
      </c>
      <c r="D287" s="13" t="str">
        <f>DTCT!D269</f>
        <v>cầu/năm</v>
      </c>
      <c r="E287" s="253">
        <f>DTCT!E269</f>
        <v>2</v>
      </c>
      <c r="F287" s="308"/>
      <c r="G287" s="283"/>
      <c r="H287" s="282"/>
    </row>
    <row r="288" spans="1:8" s="403" customFormat="1" ht="13.8">
      <c r="A288" s="254"/>
      <c r="B288" s="255"/>
      <c r="C288" s="256" t="s">
        <v>404</v>
      </c>
      <c r="D288" s="257" t="s">
        <v>405</v>
      </c>
      <c r="E288" s="404"/>
      <c r="F288" s="305">
        <v>3</v>
      </c>
      <c r="G288" s="408"/>
      <c r="H288" s="282">
        <f>$E$287*F288</f>
        <v>6</v>
      </c>
    </row>
    <row r="289" spans="1:8" s="403" customFormat="1" ht="13.8">
      <c r="A289" s="254"/>
      <c r="B289" s="255"/>
      <c r="C289" s="256" t="s">
        <v>406</v>
      </c>
      <c r="D289" s="257" t="s">
        <v>17</v>
      </c>
      <c r="E289" s="404"/>
      <c r="F289" s="305">
        <v>12</v>
      </c>
      <c r="G289" s="408"/>
      <c r="H289" s="282">
        <f>$E$287*F289</f>
        <v>24</v>
      </c>
    </row>
    <row r="290" spans="1:8" ht="27.6">
      <c r="A290" s="13">
        <f>DTCT!A270</f>
        <v>22</v>
      </c>
      <c r="B290" s="252" t="str">
        <f>DTCT!B270</f>
        <v>QLC.10330</v>
      </c>
      <c r="C290" s="244" t="str">
        <f>DTCT!C270</f>
        <v>Kiểm tra trước và sau mùa mưa bão</v>
      </c>
      <c r="D290" s="13" t="str">
        <f>DTCT!D270</f>
        <v>cầu/năm</v>
      </c>
      <c r="E290" s="253">
        <f>DTCT!E270</f>
        <v>2</v>
      </c>
      <c r="F290" s="308"/>
      <c r="G290" s="283"/>
      <c r="H290" s="282"/>
    </row>
    <row r="291" spans="1:8" s="403" customFormat="1" ht="13.8">
      <c r="A291" s="254"/>
      <c r="B291" s="255"/>
      <c r="C291" s="256" t="s">
        <v>404</v>
      </c>
      <c r="D291" s="257" t="s">
        <v>405</v>
      </c>
      <c r="E291" s="404"/>
      <c r="F291" s="305">
        <v>0.5</v>
      </c>
      <c r="G291" s="408"/>
      <c r="H291" s="282">
        <f>$E$290*F291</f>
        <v>1</v>
      </c>
    </row>
    <row r="292" spans="1:8" s="403" customFormat="1" ht="13.8">
      <c r="A292" s="254"/>
      <c r="B292" s="255"/>
      <c r="C292" s="256" t="s">
        <v>406</v>
      </c>
      <c r="D292" s="257" t="s">
        <v>17</v>
      </c>
      <c r="E292" s="404"/>
      <c r="F292" s="305">
        <v>2</v>
      </c>
      <c r="G292" s="408"/>
      <c r="H292" s="282">
        <f>$E$290*F292</f>
        <v>4</v>
      </c>
    </row>
    <row r="293" spans="1:8" ht="19.5" customHeight="1">
      <c r="A293" s="96"/>
      <c r="B293" s="249"/>
      <c r="C293" s="34" t="str">
        <f>DTCT!C272</f>
        <v>Cầu 100m - 200m</v>
      </c>
      <c r="D293" s="96"/>
      <c r="E293" s="188"/>
      <c r="F293" s="308"/>
      <c r="G293" s="283"/>
      <c r="H293" s="282"/>
    </row>
    <row r="294" spans="1:8" ht="27.6">
      <c r="A294" s="13">
        <f>DTCT!A273</f>
        <v>24</v>
      </c>
      <c r="B294" s="252" t="str">
        <f>DTCT!B273</f>
        <v>QLC.10120</v>
      </c>
      <c r="C294" s="244" t="str">
        <f>DTCT!C273</f>
        <v>Kiểm tra cầu</v>
      </c>
      <c r="D294" s="13" t="str">
        <f>DTCT!D273</f>
        <v>cầu/năm</v>
      </c>
      <c r="E294" s="253">
        <f>DTCT!E273</f>
        <v>1</v>
      </c>
      <c r="F294" s="308"/>
      <c r="G294" s="283"/>
      <c r="H294" s="282"/>
    </row>
    <row r="295" spans="1:8" s="403" customFormat="1" ht="18.75" customHeight="1">
      <c r="A295" s="254"/>
      <c r="B295" s="255"/>
      <c r="C295" s="256" t="s">
        <v>404</v>
      </c>
      <c r="D295" s="257" t="s">
        <v>405</v>
      </c>
      <c r="E295" s="404"/>
      <c r="F295" s="305">
        <v>5</v>
      </c>
      <c r="G295" s="408"/>
      <c r="H295" s="282">
        <f>$E$294*F295</f>
        <v>5</v>
      </c>
    </row>
    <row r="296" spans="1:8" s="403" customFormat="1" ht="13.8">
      <c r="A296" s="254"/>
      <c r="B296" s="255"/>
      <c r="C296" s="256" t="s">
        <v>406</v>
      </c>
      <c r="D296" s="257" t="s">
        <v>17</v>
      </c>
      <c r="E296" s="404"/>
      <c r="F296" s="305">
        <v>12</v>
      </c>
      <c r="G296" s="408"/>
      <c r="H296" s="282">
        <f>$E$294*F296</f>
        <v>12</v>
      </c>
    </row>
    <row r="297" spans="1:8" ht="27.6">
      <c r="A297" s="13">
        <f>DTCT!A274</f>
        <v>25</v>
      </c>
      <c r="B297" s="252" t="str">
        <f>DTCT!B274</f>
        <v>QLC.10320</v>
      </c>
      <c r="C297" s="244" t="str">
        <f>DTCT!C274</f>
        <v>Kiểm tra trước và sau mùa mưa bão</v>
      </c>
      <c r="D297" s="13" t="str">
        <f>DTCT!D274</f>
        <v>cầu/năm</v>
      </c>
      <c r="E297" s="253">
        <f>DTCT!E274</f>
        <v>1</v>
      </c>
      <c r="F297" s="308"/>
      <c r="G297" s="283"/>
      <c r="H297" s="282"/>
    </row>
    <row r="298" spans="1:8" s="403" customFormat="1" ht="13.8">
      <c r="A298" s="254"/>
      <c r="B298" s="255"/>
      <c r="C298" s="256" t="s">
        <v>404</v>
      </c>
      <c r="D298" s="257" t="s">
        <v>405</v>
      </c>
      <c r="E298" s="404"/>
      <c r="F298" s="305">
        <v>0.83299999999999996</v>
      </c>
      <c r="G298" s="408"/>
      <c r="H298" s="282">
        <f>$E$297*F298</f>
        <v>0.83299999999999996</v>
      </c>
    </row>
    <row r="299" spans="1:8" s="403" customFormat="1" ht="13.8">
      <c r="A299" s="254"/>
      <c r="B299" s="255"/>
      <c r="C299" s="256" t="s">
        <v>406</v>
      </c>
      <c r="D299" s="257" t="s">
        <v>17</v>
      </c>
      <c r="E299" s="404"/>
      <c r="F299" s="305">
        <v>2</v>
      </c>
      <c r="G299" s="408"/>
      <c r="H299" s="282">
        <f>$E$297*F299</f>
        <v>2</v>
      </c>
    </row>
    <row r="300" spans="1:8" ht="28.5" customHeight="1">
      <c r="A300" s="96" t="str">
        <f>DTCT!A276</f>
        <v>X</v>
      </c>
      <c r="B300" s="249"/>
      <c r="C300" s="34" t="str">
        <f>DTCT!C276</f>
        <v>ĐƯỜNG TỈNH 910 - HUYỆN BÌNH MINH</v>
      </c>
      <c r="D300" s="96"/>
      <c r="E300" s="188"/>
      <c r="F300" s="308"/>
      <c r="G300" s="283"/>
      <c r="H300" s="282"/>
    </row>
    <row r="301" spans="1:8" ht="27.6">
      <c r="A301" s="96"/>
      <c r="B301" s="249"/>
      <c r="C301" s="34" t="str">
        <f>DTCT!C277</f>
        <v>CÔNG TÁC QUẢN LÝ BDTX ĐƯỜNG BỘ</v>
      </c>
      <c r="D301" s="96"/>
      <c r="E301" s="188"/>
      <c r="F301" s="308"/>
      <c r="G301" s="283"/>
      <c r="H301" s="282"/>
    </row>
    <row r="302" spans="1:8" ht="21.75" customHeight="1">
      <c r="A302" s="13">
        <f>DTCT!A278</f>
        <v>1</v>
      </c>
      <c r="B302" s="252" t="str">
        <f>DTCT!B278</f>
        <v>QLD.10150</v>
      </c>
      <c r="C302" s="244" t="str">
        <f>DTCT!C278</f>
        <v>Tuần đường</v>
      </c>
      <c r="D302" s="13" t="str">
        <f>DTCT!D278</f>
        <v>1km/năm</v>
      </c>
      <c r="E302" s="253">
        <f>DTCT!E278</f>
        <v>9.4359999999999999</v>
      </c>
      <c r="F302" s="308"/>
      <c r="G302" s="283"/>
      <c r="H302" s="282"/>
    </row>
    <row r="303" spans="1:8" s="403" customFormat="1" ht="13.8">
      <c r="A303" s="254"/>
      <c r="B303" s="255"/>
      <c r="C303" s="256" t="s">
        <v>393</v>
      </c>
      <c r="D303" s="257" t="s">
        <v>32</v>
      </c>
      <c r="E303" s="404"/>
      <c r="F303" s="305">
        <v>9.125</v>
      </c>
      <c r="G303" s="408"/>
      <c r="H303" s="282">
        <f>E302*F303</f>
        <v>86.103499999999997</v>
      </c>
    </row>
    <row r="304" spans="1:8" ht="27.75" customHeight="1">
      <c r="A304" s="13">
        <f>DTCT!A279</f>
        <v>2</v>
      </c>
      <c r="B304" s="252" t="str">
        <f>DTCT!B279</f>
        <v>QLD.10230</v>
      </c>
      <c r="C304" s="244" t="str">
        <f>DTCT!C279</f>
        <v>Đếm xe bằng thủ công</v>
      </c>
      <c r="D304" s="13" t="str">
        <f>DTCT!D279</f>
        <v>1lần/trạmđếm</v>
      </c>
      <c r="E304" s="253">
        <f>DTCT!E279</f>
        <v>12</v>
      </c>
      <c r="F304" s="308"/>
      <c r="G304" s="283"/>
      <c r="H304" s="282"/>
    </row>
    <row r="305" spans="1:8" s="403" customFormat="1" ht="13.8">
      <c r="A305" s="254"/>
      <c r="B305" s="255"/>
      <c r="C305" s="256" t="s">
        <v>395</v>
      </c>
      <c r="D305" s="257" t="s">
        <v>396</v>
      </c>
      <c r="E305" s="404"/>
      <c r="F305" s="305">
        <v>42</v>
      </c>
      <c r="G305" s="408"/>
      <c r="H305" s="282">
        <f>$E$304*F305</f>
        <v>504</v>
      </c>
    </row>
    <row r="306" spans="1:8" s="403" customFormat="1" ht="13.8">
      <c r="A306" s="254"/>
      <c r="B306" s="255"/>
      <c r="C306" s="256" t="s">
        <v>406</v>
      </c>
      <c r="D306" s="257" t="s">
        <v>17</v>
      </c>
      <c r="E306" s="404"/>
      <c r="F306" s="305">
        <v>3</v>
      </c>
      <c r="G306" s="408"/>
      <c r="H306" s="282">
        <f>$E$304*F306</f>
        <v>36</v>
      </c>
    </row>
    <row r="307" spans="1:8" ht="27.6">
      <c r="A307" s="13">
        <f>DTCT!A280</f>
        <v>3</v>
      </c>
      <c r="B307" s="252" t="str">
        <f>DTCT!B280</f>
        <v>QLD.10340</v>
      </c>
      <c r="C307" s="244" t="str">
        <f>DTCT!C280</f>
        <v>Kiểm tra định kỳ, khẩn cấp, cập nhật số liệu cầu đường và tình hình bão lũ</v>
      </c>
      <c r="D307" s="13" t="str">
        <f>DTCT!D280</f>
        <v>1km/1lần</v>
      </c>
      <c r="E307" s="253">
        <f>DTCT!E280</f>
        <v>9.4359999999999999</v>
      </c>
      <c r="F307" s="308"/>
      <c r="G307" s="283"/>
      <c r="H307" s="282"/>
    </row>
    <row r="308" spans="1:8" s="403" customFormat="1" ht="13.8">
      <c r="A308" s="254"/>
      <c r="B308" s="255"/>
      <c r="C308" s="256" t="s">
        <v>393</v>
      </c>
      <c r="D308" s="257" t="s">
        <v>32</v>
      </c>
      <c r="E308" s="404"/>
      <c r="F308" s="305">
        <v>2.5000000000000001E-2</v>
      </c>
      <c r="G308" s="408"/>
      <c r="H308" s="282">
        <f>E307*F308</f>
        <v>0.2359</v>
      </c>
    </row>
    <row r="309" spans="1:8" ht="20.25" customHeight="1">
      <c r="A309" s="13">
        <f>DTCT!A283</f>
        <v>6</v>
      </c>
      <c r="B309" s="252" t="str">
        <f>DTCT!B283</f>
        <v>BDD.20410</v>
      </c>
      <c r="C309" s="244" t="str">
        <f>DTCT!C283</f>
        <v>Cắt cỏ bằng máy</v>
      </c>
      <c r="D309" s="13" t="str">
        <f>DTCT!D283</f>
        <v>1km/1lần</v>
      </c>
      <c r="E309" s="253">
        <f>DTCT!E283</f>
        <v>9.4359999999999999</v>
      </c>
      <c r="F309" s="308"/>
      <c r="G309" s="283"/>
      <c r="H309" s="282"/>
    </row>
    <row r="310" spans="1:8" s="403" customFormat="1" ht="13.8">
      <c r="A310" s="254"/>
      <c r="B310" s="255"/>
      <c r="C310" s="256" t="s">
        <v>400</v>
      </c>
      <c r="D310" s="262" t="s">
        <v>411</v>
      </c>
      <c r="E310" s="404"/>
      <c r="F310" s="305">
        <v>0.2</v>
      </c>
      <c r="G310" s="408"/>
      <c r="H310" s="282">
        <f>E309*F310</f>
        <v>1.8872</v>
      </c>
    </row>
    <row r="311" spans="1:8" ht="17.100000000000001" customHeight="1">
      <c r="A311" s="13">
        <f>+DTCT!A288</f>
        <v>11</v>
      </c>
      <c r="B311" s="13" t="str">
        <f>+DTCT!B288</f>
        <v>BDD.21312</v>
      </c>
      <c r="C311" s="244" t="str">
        <f>+DTCT!C288</f>
        <v>Vệ sinh mặt đường bằng thủ công</v>
      </c>
      <c r="D311" s="13" t="str">
        <f>+DTCT!D288</f>
        <v>lần/km</v>
      </c>
      <c r="E311" s="418">
        <f>+DTCT!E288</f>
        <v>9.4359999999999999</v>
      </c>
      <c r="F311" s="248"/>
      <c r="G311" s="187"/>
      <c r="H311" s="400"/>
    </row>
    <row r="312" spans="1:8" ht="17.100000000000001" customHeight="1">
      <c r="A312" s="13"/>
      <c r="B312" s="252"/>
      <c r="C312" s="256" t="s">
        <v>401</v>
      </c>
      <c r="D312" s="257" t="s">
        <v>402</v>
      </c>
      <c r="E312" s="404"/>
      <c r="F312" s="305">
        <v>0.1</v>
      </c>
      <c r="G312" s="405"/>
      <c r="H312" s="282">
        <f>E311*F312</f>
        <v>0.94359999999999999</v>
      </c>
    </row>
    <row r="313" spans="1:8" ht="27.6">
      <c r="A313" s="96"/>
      <c r="B313" s="249"/>
      <c r="C313" s="34" t="str">
        <f>DTCT!C290</f>
        <v>CÔNG TÁC BẢO DƯỠNG CẦU L &lt;= 300M</v>
      </c>
      <c r="D313" s="96"/>
      <c r="E313" s="188"/>
      <c r="F313" s="308"/>
      <c r="G313" s="283"/>
      <c r="H313" s="282"/>
    </row>
    <row r="314" spans="1:8" ht="21.75" customHeight="1">
      <c r="A314" s="13">
        <f>DTCT!A291</f>
        <v>13</v>
      </c>
      <c r="B314" s="252" t="str">
        <f>DTCT!B291</f>
        <v>BDC.20610</v>
      </c>
      <c r="C314" s="244" t="str">
        <f>DTCT!C291</f>
        <v>Vệ sinh mặt cầu, ống thoát nước</v>
      </c>
      <c r="D314" s="13" t="str">
        <f>DTCT!D291</f>
        <v>10m2</v>
      </c>
      <c r="E314" s="253">
        <f>DTCT!E291</f>
        <v>27.25</v>
      </c>
      <c r="F314" s="308"/>
      <c r="G314" s="283"/>
      <c r="H314" s="282"/>
    </row>
    <row r="315" spans="1:8" s="403" customFormat="1" ht="13.8">
      <c r="A315" s="254"/>
      <c r="B315" s="255"/>
      <c r="C315" s="256" t="s">
        <v>401</v>
      </c>
      <c r="D315" s="257" t="s">
        <v>402</v>
      </c>
      <c r="E315" s="404"/>
      <c r="F315" s="305">
        <v>1E-4</v>
      </c>
      <c r="G315" s="408"/>
      <c r="H315" s="282">
        <f>E314*F315</f>
        <v>2.725E-3</v>
      </c>
    </row>
    <row r="316" spans="1:8" ht="27.6">
      <c r="A316" s="96"/>
      <c r="B316" s="249"/>
      <c r="C316" s="34" t="str">
        <f>DTCT!C295</f>
        <v>CÔNG TÁC QUẢN LÝ CẦU L &lt;= 300M</v>
      </c>
      <c r="D316" s="96"/>
      <c r="E316" s="188"/>
      <c r="F316" s="308"/>
      <c r="G316" s="283"/>
      <c r="H316" s="282"/>
    </row>
    <row r="317" spans="1:8" ht="13.8">
      <c r="A317" s="96"/>
      <c r="B317" s="249"/>
      <c r="C317" s="34" t="str">
        <f>DTCT!C296</f>
        <v>Cầu &lt; 50m</v>
      </c>
      <c r="D317" s="96"/>
      <c r="E317" s="188"/>
      <c r="F317" s="308"/>
      <c r="G317" s="283"/>
      <c r="H317" s="282"/>
    </row>
    <row r="318" spans="1:8" ht="27.6">
      <c r="A318" s="13">
        <f>DTCT!A297</f>
        <v>17</v>
      </c>
      <c r="B318" s="252" t="str">
        <f>DTCT!B297</f>
        <v>QLC.10140</v>
      </c>
      <c r="C318" s="244" t="str">
        <f>DTCT!C297</f>
        <v>Kiểm tra cầu</v>
      </c>
      <c r="D318" s="13" t="str">
        <f>DTCT!D297</f>
        <v>cầu/năm</v>
      </c>
      <c r="E318" s="253">
        <f>DTCT!E297</f>
        <v>9</v>
      </c>
      <c r="F318" s="308"/>
      <c r="G318" s="283"/>
      <c r="H318" s="282"/>
    </row>
    <row r="319" spans="1:8" s="403" customFormat="1" ht="13.8">
      <c r="A319" s="254"/>
      <c r="B319" s="255"/>
      <c r="C319" s="256" t="s">
        <v>404</v>
      </c>
      <c r="D319" s="257" t="s">
        <v>405</v>
      </c>
      <c r="E319" s="404"/>
      <c r="F319" s="305">
        <v>1</v>
      </c>
      <c r="G319" s="408"/>
      <c r="H319" s="282">
        <f>$E$318*F319</f>
        <v>9</v>
      </c>
    </row>
    <row r="320" spans="1:8" s="403" customFormat="1" ht="13.8">
      <c r="A320" s="254"/>
      <c r="B320" s="255"/>
      <c r="C320" s="256" t="s">
        <v>406</v>
      </c>
      <c r="D320" s="257" t="s">
        <v>17</v>
      </c>
      <c r="E320" s="404"/>
      <c r="F320" s="305">
        <v>12</v>
      </c>
      <c r="G320" s="408"/>
      <c r="H320" s="282">
        <f>$E$318*F320</f>
        <v>108</v>
      </c>
    </row>
    <row r="321" spans="1:8" ht="27.6">
      <c r="A321" s="13">
        <f>DTCT!A298</f>
        <v>18</v>
      </c>
      <c r="B321" s="252" t="str">
        <f>DTCT!B298</f>
        <v>QLC.10340</v>
      </c>
      <c r="C321" s="244" t="str">
        <f>DTCT!C298</f>
        <v>Kiểm tra trước và sau mùa mưa bão</v>
      </c>
      <c r="D321" s="13" t="str">
        <f>DTCT!D298</f>
        <v>cầu/năm</v>
      </c>
      <c r="E321" s="253">
        <f>DTCT!E298</f>
        <v>9</v>
      </c>
      <c r="F321" s="308"/>
      <c r="G321" s="283"/>
      <c r="H321" s="282"/>
    </row>
    <row r="322" spans="1:8" s="403" customFormat="1" ht="15.75" customHeight="1">
      <c r="A322" s="254"/>
      <c r="B322" s="255"/>
      <c r="C322" s="256" t="s">
        <v>404</v>
      </c>
      <c r="D322" s="257" t="s">
        <v>405</v>
      </c>
      <c r="E322" s="404"/>
      <c r="F322" s="305">
        <v>0.16700000000000001</v>
      </c>
      <c r="G322" s="408"/>
      <c r="H322" s="282">
        <f>$E$321*F322</f>
        <v>1.5030000000000001</v>
      </c>
    </row>
    <row r="323" spans="1:8" s="403" customFormat="1" ht="13.8">
      <c r="A323" s="254"/>
      <c r="B323" s="255"/>
      <c r="C323" s="256" t="s">
        <v>406</v>
      </c>
      <c r="D323" s="257" t="s">
        <v>17</v>
      </c>
      <c r="E323" s="404"/>
      <c r="F323" s="305">
        <v>2</v>
      </c>
      <c r="G323" s="408"/>
      <c r="H323" s="282">
        <f>$E$321*F323</f>
        <v>18</v>
      </c>
    </row>
    <row r="324" spans="1:8" ht="60" customHeight="1">
      <c r="A324" s="96" t="str">
        <f>DTCT!A300</f>
        <v>XI</v>
      </c>
      <c r="B324" s="249"/>
      <c r="C324" s="34" t="str">
        <f>DTCT!C300</f>
        <v xml:space="preserve">QUỐC LỘ 1A, KCN HÒA PHÚ, ĐƯỜNG VÀO KCN BÌNH MINH, CẦU MỸ HÒA TÂY VÀ CÁC ĐƯỜNG TRONG TPVL </v>
      </c>
      <c r="D324" s="96"/>
      <c r="E324" s="188"/>
      <c r="F324" s="308"/>
      <c r="G324" s="283"/>
      <c r="H324" s="282"/>
    </row>
    <row r="325" spans="1:8" ht="27.6">
      <c r="A325" s="96"/>
      <c r="B325" s="249"/>
      <c r="C325" s="34" t="str">
        <f>DTCT!C301</f>
        <v>CÔNG TÁC QUẢN LÝ BDTX ĐƯỜNG BỘ</v>
      </c>
      <c r="D325" s="96"/>
      <c r="E325" s="188"/>
      <c r="F325" s="308"/>
      <c r="G325" s="283"/>
      <c r="H325" s="282"/>
    </row>
    <row r="326" spans="1:8" ht="21" customHeight="1">
      <c r="A326" s="13">
        <f>DTCT!A302</f>
        <v>1</v>
      </c>
      <c r="B326" s="252" t="str">
        <f>DTCT!B302</f>
        <v>QLD.10150</v>
      </c>
      <c r="C326" s="244" t="str">
        <f>DTCT!C302</f>
        <v>Tuần đường</v>
      </c>
      <c r="D326" s="13" t="str">
        <f>DTCT!D302</f>
        <v>1km/năm</v>
      </c>
      <c r="E326" s="253">
        <f>DTCT!E302</f>
        <v>42.968100000000007</v>
      </c>
      <c r="F326" s="308"/>
      <c r="G326" s="283"/>
      <c r="H326" s="282"/>
    </row>
    <row r="327" spans="1:8" s="403" customFormat="1" ht="13.8">
      <c r="A327" s="254"/>
      <c r="B327" s="255"/>
      <c r="C327" s="256" t="s">
        <v>393</v>
      </c>
      <c r="D327" s="257" t="s">
        <v>32</v>
      </c>
      <c r="E327" s="404"/>
      <c r="F327" s="305">
        <v>9.125</v>
      </c>
      <c r="G327" s="408"/>
      <c r="H327" s="282">
        <f>E326*F327</f>
        <v>392.08391250000005</v>
      </c>
    </row>
    <row r="328" spans="1:8" ht="27.6">
      <c r="A328" s="13">
        <f>DTCT!A303</f>
        <v>2</v>
      </c>
      <c r="B328" s="252" t="str">
        <f>DTCT!B303</f>
        <v>QLD.10230</v>
      </c>
      <c r="C328" s="244" t="str">
        <f>DTCT!C303</f>
        <v>Đếm xe bằng thủ công</v>
      </c>
      <c r="D328" s="13" t="str">
        <f>DTCT!D303</f>
        <v>1lần/trạmđếm</v>
      </c>
      <c r="E328" s="253">
        <f>DTCT!E303</f>
        <v>12</v>
      </c>
      <c r="F328" s="308"/>
      <c r="G328" s="283"/>
      <c r="H328" s="282"/>
    </row>
    <row r="329" spans="1:8" s="403" customFormat="1" ht="13.8">
      <c r="A329" s="254"/>
      <c r="B329" s="255"/>
      <c r="C329" s="256" t="s">
        <v>395</v>
      </c>
      <c r="D329" s="257" t="s">
        <v>396</v>
      </c>
      <c r="E329" s="404"/>
      <c r="F329" s="305">
        <v>42</v>
      </c>
      <c r="G329" s="408"/>
      <c r="H329" s="282">
        <f>$E$328*F329</f>
        <v>504</v>
      </c>
    </row>
    <row r="330" spans="1:8" s="403" customFormat="1" ht="13.8">
      <c r="A330" s="254"/>
      <c r="B330" s="255"/>
      <c r="C330" s="256" t="s">
        <v>406</v>
      </c>
      <c r="D330" s="257" t="s">
        <v>17</v>
      </c>
      <c r="E330" s="404"/>
      <c r="F330" s="305">
        <v>3</v>
      </c>
      <c r="G330" s="408"/>
      <c r="H330" s="282">
        <f>$E$328*F330</f>
        <v>36</v>
      </c>
    </row>
    <row r="331" spans="1:8" ht="27.6">
      <c r="A331" s="13">
        <f>DTCT!A304</f>
        <v>3</v>
      </c>
      <c r="B331" s="252" t="str">
        <f>DTCT!B304</f>
        <v>QLD.10340</v>
      </c>
      <c r="C331" s="244" t="str">
        <f>DTCT!C304</f>
        <v>Kiểm tra định kỳ, khẩn cấp, cập nhật số liệu cầu đường và tình hình bão lũ</v>
      </c>
      <c r="D331" s="13" t="str">
        <f>DTCT!D304</f>
        <v>1km/1lần</v>
      </c>
      <c r="E331" s="253">
        <f>DTCT!E304</f>
        <v>42.968100000000007</v>
      </c>
      <c r="F331" s="308"/>
      <c r="G331" s="283"/>
      <c r="H331" s="282"/>
    </row>
    <row r="332" spans="1:8" s="403" customFormat="1" ht="13.8">
      <c r="A332" s="254"/>
      <c r="B332" s="255"/>
      <c r="C332" s="256" t="s">
        <v>393</v>
      </c>
      <c r="D332" s="257" t="s">
        <v>32</v>
      </c>
      <c r="E332" s="404"/>
      <c r="F332" s="305">
        <v>2.5000000000000001E-2</v>
      </c>
      <c r="G332" s="408"/>
      <c r="H332" s="282">
        <f>E331*F332</f>
        <v>1.0742025000000002</v>
      </c>
    </row>
    <row r="333" spans="1:8" ht="20.25" customHeight="1">
      <c r="A333" s="13">
        <f>DTCT!A307</f>
        <v>6</v>
      </c>
      <c r="B333" s="252" t="str">
        <f>DTCT!B307</f>
        <v>BDD.20410</v>
      </c>
      <c r="C333" s="244" t="str">
        <f>DTCT!C307</f>
        <v>Cắt cỏ bằng máy</v>
      </c>
      <c r="D333" s="13" t="str">
        <f>DTCT!D307</f>
        <v>1km/1lần</v>
      </c>
      <c r="E333" s="253">
        <f>DTCT!E307</f>
        <v>42.968100000000007</v>
      </c>
      <c r="F333" s="308"/>
      <c r="G333" s="283"/>
      <c r="H333" s="282"/>
    </row>
    <row r="334" spans="1:8" s="403" customFormat="1" ht="13.8">
      <c r="A334" s="254"/>
      <c r="B334" s="255"/>
      <c r="C334" s="256" t="s">
        <v>400</v>
      </c>
      <c r="D334" s="262" t="s">
        <v>411</v>
      </c>
      <c r="E334" s="404"/>
      <c r="F334" s="305">
        <v>0.2</v>
      </c>
      <c r="G334" s="408"/>
      <c r="H334" s="282">
        <f>E333*F334</f>
        <v>8.5936200000000014</v>
      </c>
    </row>
    <row r="335" spans="1:8" ht="27.6">
      <c r="A335" s="96"/>
      <c r="B335" s="249"/>
      <c r="C335" s="34" t="str">
        <f>DTCT!C314</f>
        <v>CÔNG TÁC BẢO DƯỠNG CẦU L &lt;= 300M</v>
      </c>
      <c r="D335" s="96"/>
      <c r="E335" s="188"/>
      <c r="F335" s="308"/>
      <c r="G335" s="283"/>
      <c r="H335" s="282"/>
    </row>
    <row r="336" spans="1:8" ht="20.25" customHeight="1">
      <c r="A336" s="13">
        <f>DTCT!A315</f>
        <v>13</v>
      </c>
      <c r="B336" s="252" t="str">
        <f>DTCT!B315</f>
        <v>BDC.20610</v>
      </c>
      <c r="C336" s="244" t="str">
        <f>DTCT!C315</f>
        <v>Vệ sinh mặt cầu, ống thoát nước</v>
      </c>
      <c r="D336" s="13" t="str">
        <f>DTCT!D315</f>
        <v>10m2</v>
      </c>
      <c r="E336" s="253">
        <f>DTCT!E315</f>
        <v>796.74529999999993</v>
      </c>
      <c r="F336" s="308"/>
      <c r="G336" s="283"/>
      <c r="H336" s="282"/>
    </row>
    <row r="337" spans="1:8" s="403" customFormat="1" ht="13.8">
      <c r="A337" s="254"/>
      <c r="B337" s="255"/>
      <c r="C337" s="256" t="s">
        <v>401</v>
      </c>
      <c r="D337" s="257" t="s">
        <v>402</v>
      </c>
      <c r="E337" s="404"/>
      <c r="F337" s="305">
        <v>1E-4</v>
      </c>
      <c r="G337" s="408"/>
      <c r="H337" s="282">
        <f>E336*F337</f>
        <v>7.9674529999999993E-2</v>
      </c>
    </row>
    <row r="338" spans="1:8" ht="27.6">
      <c r="A338" s="96"/>
      <c r="B338" s="249"/>
      <c r="C338" s="34" t="str">
        <f>DTCT!C319</f>
        <v>CÔNG TÁC QUẢN LÝ CẦU L &lt;= 300M</v>
      </c>
      <c r="D338" s="96"/>
      <c r="E338" s="188"/>
      <c r="F338" s="308"/>
      <c r="G338" s="283"/>
      <c r="H338" s="282"/>
    </row>
    <row r="339" spans="1:8" ht="13.8">
      <c r="A339" s="96"/>
      <c r="B339" s="249"/>
      <c r="C339" s="34" t="str">
        <f>DTCT!C320</f>
        <v>Cầu &lt; 50m</v>
      </c>
      <c r="D339" s="96"/>
      <c r="E339" s="188"/>
      <c r="F339" s="308"/>
      <c r="G339" s="283"/>
      <c r="H339" s="282"/>
    </row>
    <row r="340" spans="1:8" ht="27.6">
      <c r="A340" s="13">
        <f>DTCT!A321</f>
        <v>17</v>
      </c>
      <c r="B340" s="252" t="str">
        <f>DTCT!B321</f>
        <v>QLC.10140</v>
      </c>
      <c r="C340" s="244" t="str">
        <f>DTCT!C321</f>
        <v>Kiểm tra cầu</v>
      </c>
      <c r="D340" s="13" t="str">
        <f>DTCT!D321</f>
        <v>cầu/năm</v>
      </c>
      <c r="E340" s="253">
        <f>DTCT!E321</f>
        <v>14</v>
      </c>
      <c r="F340" s="308"/>
      <c r="G340" s="283"/>
      <c r="H340" s="282"/>
    </row>
    <row r="341" spans="1:8" s="403" customFormat="1" ht="13.8">
      <c r="A341" s="254"/>
      <c r="B341" s="255"/>
      <c r="C341" s="256" t="s">
        <v>404</v>
      </c>
      <c r="D341" s="257" t="s">
        <v>405</v>
      </c>
      <c r="E341" s="404"/>
      <c r="F341" s="305">
        <v>1</v>
      </c>
      <c r="G341" s="408"/>
      <c r="H341" s="282">
        <f>$E$340*F341</f>
        <v>14</v>
      </c>
    </row>
    <row r="342" spans="1:8" s="403" customFormat="1" ht="13.8">
      <c r="A342" s="254"/>
      <c r="B342" s="255"/>
      <c r="C342" s="256" t="s">
        <v>406</v>
      </c>
      <c r="D342" s="257" t="s">
        <v>17</v>
      </c>
      <c r="E342" s="404"/>
      <c r="F342" s="305">
        <v>12</v>
      </c>
      <c r="G342" s="408"/>
      <c r="H342" s="282">
        <f>$E$340*F342</f>
        <v>168</v>
      </c>
    </row>
    <row r="343" spans="1:8" ht="27.6">
      <c r="A343" s="13">
        <f>DTCT!A322</f>
        <v>18</v>
      </c>
      <c r="B343" s="252" t="str">
        <f>DTCT!B322</f>
        <v>QLC.10340</v>
      </c>
      <c r="C343" s="244" t="str">
        <f>DTCT!C322</f>
        <v>Kiểm tra trước và sau mùa mưa bão</v>
      </c>
      <c r="D343" s="13" t="str">
        <f>DTCT!D322</f>
        <v>cầu/năm</v>
      </c>
      <c r="E343" s="253">
        <f>DTCT!E322</f>
        <v>14</v>
      </c>
      <c r="F343" s="308"/>
      <c r="G343" s="283"/>
      <c r="H343" s="282"/>
    </row>
    <row r="344" spans="1:8" s="403" customFormat="1" ht="13.8">
      <c r="A344" s="254"/>
      <c r="B344" s="255"/>
      <c r="C344" s="256" t="s">
        <v>404</v>
      </c>
      <c r="D344" s="257" t="s">
        <v>405</v>
      </c>
      <c r="E344" s="404"/>
      <c r="F344" s="305">
        <v>0.16700000000000001</v>
      </c>
      <c r="G344" s="408"/>
      <c r="H344" s="282">
        <f>$E$343*F344</f>
        <v>2.3380000000000001</v>
      </c>
    </row>
    <row r="345" spans="1:8" s="403" customFormat="1" ht="13.8">
      <c r="A345" s="254"/>
      <c r="B345" s="255"/>
      <c r="C345" s="256" t="s">
        <v>406</v>
      </c>
      <c r="D345" s="257" t="s">
        <v>17</v>
      </c>
      <c r="E345" s="404"/>
      <c r="F345" s="305">
        <v>2</v>
      </c>
      <c r="G345" s="408"/>
      <c r="H345" s="282">
        <f>$E$343*F345</f>
        <v>28</v>
      </c>
    </row>
    <row r="346" spans="1:8" ht="13.8">
      <c r="A346" s="96"/>
      <c r="B346" s="249"/>
      <c r="C346" s="34" t="str">
        <f>DTCT!C324</f>
        <v>Cầu 50m - 100m</v>
      </c>
      <c r="D346" s="96"/>
      <c r="E346" s="188"/>
      <c r="F346" s="308"/>
      <c r="G346" s="283"/>
      <c r="H346" s="282"/>
    </row>
    <row r="347" spans="1:8" ht="27.6">
      <c r="A347" s="13">
        <f>DTCT!A325</f>
        <v>20</v>
      </c>
      <c r="B347" s="252" t="str">
        <f>DTCT!B325</f>
        <v>QLC.10130</v>
      </c>
      <c r="C347" s="244" t="str">
        <f>DTCT!C325</f>
        <v>Kiểm tra cầu</v>
      </c>
      <c r="D347" s="13" t="str">
        <f>DTCT!D325</f>
        <v>cầu/năm</v>
      </c>
      <c r="E347" s="253">
        <f>DTCT!E325</f>
        <v>4</v>
      </c>
      <c r="F347" s="308"/>
      <c r="G347" s="283"/>
      <c r="H347" s="282"/>
    </row>
    <row r="348" spans="1:8" s="403" customFormat="1" ht="13.8">
      <c r="A348" s="254"/>
      <c r="B348" s="255"/>
      <c r="C348" s="256" t="s">
        <v>404</v>
      </c>
      <c r="D348" s="257" t="s">
        <v>405</v>
      </c>
      <c r="E348" s="404"/>
      <c r="F348" s="305">
        <v>3</v>
      </c>
      <c r="G348" s="408"/>
      <c r="H348" s="282">
        <f>$E$347*F348</f>
        <v>12</v>
      </c>
    </row>
    <row r="349" spans="1:8" s="403" customFormat="1" ht="13.8">
      <c r="A349" s="254"/>
      <c r="B349" s="255"/>
      <c r="C349" s="256" t="s">
        <v>406</v>
      </c>
      <c r="D349" s="257" t="s">
        <v>17</v>
      </c>
      <c r="E349" s="404"/>
      <c r="F349" s="305">
        <v>12</v>
      </c>
      <c r="G349" s="408"/>
      <c r="H349" s="282">
        <f>$E$347*F349</f>
        <v>48</v>
      </c>
    </row>
    <row r="350" spans="1:8" ht="27.6">
      <c r="A350" s="13">
        <f>DTCT!A326</f>
        <v>21</v>
      </c>
      <c r="B350" s="252" t="str">
        <f>DTCT!B326</f>
        <v>QLC.10330</v>
      </c>
      <c r="C350" s="244" t="str">
        <f>DTCT!C326</f>
        <v>Kiểm tra trước và sau mùa mưa bão</v>
      </c>
      <c r="D350" s="13" t="str">
        <f>DTCT!D326</f>
        <v>cầu/năm</v>
      </c>
      <c r="E350" s="253">
        <f>DTCT!E326</f>
        <v>4</v>
      </c>
      <c r="F350" s="308"/>
      <c r="G350" s="283"/>
      <c r="H350" s="282"/>
    </row>
    <row r="351" spans="1:8" s="403" customFormat="1" ht="13.8">
      <c r="A351" s="254"/>
      <c r="B351" s="255"/>
      <c r="C351" s="256" t="s">
        <v>404</v>
      </c>
      <c r="D351" s="257" t="s">
        <v>405</v>
      </c>
      <c r="E351" s="404"/>
      <c r="F351" s="305">
        <v>0.5</v>
      </c>
      <c r="G351" s="408"/>
      <c r="H351" s="282">
        <f>$E$350*F351</f>
        <v>2</v>
      </c>
    </row>
    <row r="352" spans="1:8" s="403" customFormat="1" ht="13.8">
      <c r="A352" s="254"/>
      <c r="B352" s="255"/>
      <c r="C352" s="256" t="s">
        <v>406</v>
      </c>
      <c r="D352" s="257" t="s">
        <v>17</v>
      </c>
      <c r="E352" s="404"/>
      <c r="F352" s="305">
        <v>2</v>
      </c>
      <c r="G352" s="408"/>
      <c r="H352" s="282">
        <f>$E$350*F352</f>
        <v>8</v>
      </c>
    </row>
    <row r="353" spans="1:8" ht="13.8">
      <c r="A353" s="13"/>
      <c r="B353" s="252"/>
      <c r="C353" s="34" t="str">
        <f>DTCT!C328</f>
        <v>Cầu 100m - 200m</v>
      </c>
      <c r="D353" s="13"/>
      <c r="E353" s="253"/>
      <c r="F353" s="308"/>
      <c r="G353" s="283"/>
      <c r="H353" s="282"/>
    </row>
    <row r="354" spans="1:8" ht="27.6">
      <c r="A354" s="13">
        <f>DTCT!A329</f>
        <v>23</v>
      </c>
      <c r="B354" s="252" t="str">
        <f>DTCT!B329</f>
        <v>QLC.10120</v>
      </c>
      <c r="C354" s="244" t="str">
        <f>DTCT!C329</f>
        <v>Kiểm tra cầu</v>
      </c>
      <c r="D354" s="13" t="str">
        <f>DTCT!D329</f>
        <v>cầu/năm</v>
      </c>
      <c r="E354" s="253">
        <f>DTCT!E329</f>
        <v>2</v>
      </c>
      <c r="F354" s="308"/>
      <c r="G354" s="283"/>
      <c r="H354" s="282"/>
    </row>
    <row r="355" spans="1:8" s="403" customFormat="1" ht="17.25" customHeight="1">
      <c r="A355" s="254"/>
      <c r="B355" s="255"/>
      <c r="C355" s="256" t="s">
        <v>404</v>
      </c>
      <c r="D355" s="257" t="s">
        <v>405</v>
      </c>
      <c r="E355" s="404"/>
      <c r="F355" s="305">
        <v>5</v>
      </c>
      <c r="G355" s="408"/>
      <c r="H355" s="282">
        <f>$E$354*F355</f>
        <v>10</v>
      </c>
    </row>
    <row r="356" spans="1:8" s="403" customFormat="1" ht="13.8">
      <c r="A356" s="254"/>
      <c r="B356" s="255"/>
      <c r="C356" s="256" t="s">
        <v>406</v>
      </c>
      <c r="D356" s="257" t="s">
        <v>17</v>
      </c>
      <c r="E356" s="404"/>
      <c r="F356" s="305">
        <v>12</v>
      </c>
      <c r="G356" s="408"/>
      <c r="H356" s="282">
        <f>$E$354*F356</f>
        <v>24</v>
      </c>
    </row>
    <row r="357" spans="1:8" ht="27.6">
      <c r="A357" s="13">
        <f>DTCT!A330</f>
        <v>24</v>
      </c>
      <c r="B357" s="252" t="str">
        <f>DTCT!B330</f>
        <v>QLC.10320</v>
      </c>
      <c r="C357" s="244" t="str">
        <f>DTCT!C330</f>
        <v>Kiểm tra trước và sau mùa mưa bão</v>
      </c>
      <c r="D357" s="13" t="str">
        <f>DTCT!D330</f>
        <v>cầu/năm</v>
      </c>
      <c r="E357" s="253">
        <f>DTCT!E330</f>
        <v>2</v>
      </c>
      <c r="F357" s="308"/>
      <c r="G357" s="283"/>
      <c r="H357" s="282"/>
    </row>
    <row r="358" spans="1:8" s="403" customFormat="1" ht="13.8">
      <c r="A358" s="254"/>
      <c r="B358" s="255"/>
      <c r="C358" s="256" t="s">
        <v>404</v>
      </c>
      <c r="D358" s="257" t="s">
        <v>405</v>
      </c>
      <c r="E358" s="404"/>
      <c r="F358" s="305">
        <v>0.83299999999999996</v>
      </c>
      <c r="G358" s="408"/>
      <c r="H358" s="282">
        <f>$E$357*F358</f>
        <v>1.6659999999999999</v>
      </c>
    </row>
    <row r="359" spans="1:8" s="403" customFormat="1" ht="13.8">
      <c r="A359" s="562"/>
      <c r="B359" s="563"/>
      <c r="C359" s="260" t="s">
        <v>406</v>
      </c>
      <c r="D359" s="261" t="s">
        <v>17</v>
      </c>
      <c r="E359" s="409"/>
      <c r="F359" s="309">
        <v>2</v>
      </c>
      <c r="G359" s="564"/>
      <c r="H359" s="410">
        <f>$E$357*F359</f>
        <v>4</v>
      </c>
    </row>
    <row r="360" spans="1:8" ht="18" customHeight="1">
      <c r="A360" s="355"/>
      <c r="B360" s="411"/>
      <c r="C360" s="411"/>
      <c r="D360" s="11"/>
      <c r="E360" s="412"/>
      <c r="F360" s="413"/>
      <c r="G360" s="414"/>
      <c r="H360" s="414"/>
    </row>
    <row r="361" spans="1:8" ht="18" customHeight="1">
      <c r="A361" s="355"/>
      <c r="B361" s="411"/>
      <c r="C361" s="411"/>
      <c r="D361" s="11"/>
      <c r="E361" s="1331" t="s">
        <v>960</v>
      </c>
      <c r="F361" s="1331"/>
      <c r="G361" s="1331"/>
      <c r="H361" s="1331"/>
    </row>
    <row r="362" spans="1:8" ht="18" customHeight="1">
      <c r="A362" s="355"/>
      <c r="B362" s="411"/>
      <c r="C362" s="411"/>
      <c r="D362" s="11"/>
      <c r="E362" s="1317" t="s">
        <v>957</v>
      </c>
      <c r="F362" s="1317"/>
      <c r="G362" s="1317"/>
      <c r="H362" s="1317"/>
    </row>
    <row r="363" spans="1:8" ht="18" customHeight="1">
      <c r="A363" s="355"/>
      <c r="B363" s="411"/>
      <c r="C363" s="411"/>
      <c r="D363" s="11"/>
      <c r="E363" s="717"/>
      <c r="F363" s="717"/>
      <c r="G363" s="717"/>
      <c r="H363" s="717"/>
    </row>
    <row r="364" spans="1:8" ht="18" customHeight="1">
      <c r="A364" s="355"/>
      <c r="B364" s="411"/>
      <c r="C364" s="411"/>
      <c r="D364" s="11"/>
      <c r="E364" s="717"/>
      <c r="F364" s="717"/>
      <c r="G364" s="717"/>
      <c r="H364" s="717"/>
    </row>
    <row r="365" spans="1:8" ht="18" customHeight="1">
      <c r="A365" s="355"/>
      <c r="B365" s="411"/>
      <c r="C365" s="411"/>
      <c r="D365" s="11"/>
      <c r="E365" s="717"/>
      <c r="F365" s="717"/>
      <c r="G365" s="717"/>
      <c r="H365" s="717"/>
    </row>
    <row r="366" spans="1:8" ht="18" customHeight="1">
      <c r="A366" s="355"/>
      <c r="B366" s="411"/>
      <c r="C366" s="411"/>
      <c r="D366" s="11"/>
      <c r="E366" s="717"/>
      <c r="F366" s="717"/>
      <c r="G366" s="717"/>
      <c r="H366" s="717"/>
    </row>
    <row r="367" spans="1:8" ht="18" customHeight="1">
      <c r="A367" s="355"/>
      <c r="B367" s="411"/>
      <c r="C367" s="411"/>
      <c r="D367" s="11"/>
      <c r="E367" s="717"/>
      <c r="F367" s="717"/>
      <c r="G367" s="717"/>
      <c r="H367" s="717"/>
    </row>
    <row r="368" spans="1:8" ht="18" customHeight="1">
      <c r="A368" s="355"/>
      <c r="B368" s="411"/>
      <c r="C368" s="411"/>
      <c r="D368" s="11"/>
      <c r="E368" s="1317" t="s">
        <v>877</v>
      </c>
      <c r="F368" s="1317"/>
      <c r="G368" s="1317"/>
      <c r="H368" s="1317"/>
    </row>
    <row r="369" spans="1:8" ht="18" customHeight="1">
      <c r="A369" s="355"/>
      <c r="B369" s="411"/>
      <c r="C369" s="411"/>
      <c r="D369" s="11"/>
      <c r="E369" s="412"/>
      <c r="F369" s="413"/>
      <c r="G369" s="414"/>
      <c r="H369" s="414"/>
    </row>
    <row r="370" spans="1:8" ht="18" customHeight="1">
      <c r="A370" s="355"/>
      <c r="B370" s="411"/>
      <c r="C370" s="411"/>
      <c r="D370" s="11"/>
      <c r="E370" s="412"/>
      <c r="F370" s="413"/>
      <c r="G370" s="414"/>
      <c r="H370" s="414"/>
    </row>
    <row r="371" spans="1:8" ht="18" customHeight="1">
      <c r="A371" s="355"/>
      <c r="B371" s="411"/>
      <c r="C371" s="411"/>
      <c r="D371" s="11"/>
      <c r="E371" s="412"/>
      <c r="F371" s="413"/>
      <c r="G371" s="414"/>
      <c r="H371" s="414"/>
    </row>
    <row r="372" spans="1:8" ht="18" customHeight="1">
      <c r="A372" s="355"/>
      <c r="B372" s="411"/>
      <c r="C372" s="411"/>
      <c r="D372" s="11"/>
      <c r="E372" s="412"/>
      <c r="F372" s="413"/>
      <c r="G372" s="414"/>
      <c r="H372" s="414"/>
    </row>
    <row r="373" spans="1:8" ht="18" customHeight="1">
      <c r="A373" s="355"/>
      <c r="B373" s="411"/>
      <c r="C373" s="411"/>
      <c r="D373" s="11"/>
      <c r="E373" s="412"/>
      <c r="F373" s="413"/>
      <c r="G373" s="414"/>
      <c r="H373" s="414"/>
    </row>
    <row r="374" spans="1:8" ht="18" customHeight="1"/>
    <row r="375" spans="1:8" ht="18" customHeight="1"/>
    <row r="376" spans="1:8" ht="18" customHeight="1"/>
    <row r="377" spans="1:8" ht="18" customHeight="1"/>
  </sheetData>
  <mergeCells count="13">
    <mergeCell ref="A4:A5"/>
    <mergeCell ref="B4:B5"/>
    <mergeCell ref="C4:C5"/>
    <mergeCell ref="A1:H1"/>
    <mergeCell ref="A2:H2"/>
    <mergeCell ref="A3:H3"/>
    <mergeCell ref="E361:H361"/>
    <mergeCell ref="E362:H362"/>
    <mergeCell ref="E368:H368"/>
    <mergeCell ref="D4:D5"/>
    <mergeCell ref="E4:E5"/>
    <mergeCell ref="F4:G4"/>
    <mergeCell ref="H4:H5"/>
  </mergeCells>
  <phoneticPr fontId="2" type="noConversion"/>
  <pageMargins left="0.72" right="0.2" top="0.64" bottom="0.5" header="0.45" footer="0.25"/>
  <pageSetup paperSize="9" orientation="portrait" verticalDpi="0" r:id="rId1"/>
  <headerFooter alignWithMargins="0">
    <oddFooter>&amp;R&amp;11Trang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348"/>
  <sheetViews>
    <sheetView workbookViewId="0">
      <selection activeCell="K8" sqref="K8"/>
    </sheetView>
  </sheetViews>
  <sheetFormatPr defaultColWidth="8.90625" defaultRowHeight="33" customHeight="1"/>
  <cols>
    <col min="1" max="1" width="4.1796875" style="344" customWidth="1"/>
    <col min="2" max="2" width="25.1796875" style="411" customWidth="1"/>
    <col min="3" max="3" width="13.08984375" style="344" customWidth="1"/>
    <col min="4" max="4" width="9.81640625" style="412" customWidth="1"/>
    <col min="5" max="5" width="10.36328125" style="497" customWidth="1"/>
    <col min="6" max="6" width="12.90625" style="11" customWidth="1"/>
    <col min="7" max="16384" width="8.90625" style="11"/>
  </cols>
  <sheetData>
    <row r="1" spans="1:6" ht="18" customHeight="1">
      <c r="A1" s="1346" t="s">
        <v>519</v>
      </c>
      <c r="B1" s="1346"/>
      <c r="C1" s="1346"/>
      <c r="D1" s="1346"/>
      <c r="E1" s="1346"/>
      <c r="F1" s="1346"/>
    </row>
    <row r="2" spans="1:6" s="489" customFormat="1" ht="18" customHeight="1">
      <c r="A2" s="1299" t="str">
        <f>THKL!A2</f>
        <v>Công trình: Bảo dưỡng thường xuyên cầu, đường bộ, đường thủy nội địa</v>
      </c>
      <c r="B2" s="1299"/>
      <c r="C2" s="1299"/>
      <c r="D2" s="1299"/>
      <c r="E2" s="1299"/>
      <c r="F2" s="1299"/>
    </row>
    <row r="3" spans="1:6" s="489" customFormat="1" ht="18" customHeight="1">
      <c r="A3" s="1299" t="str">
        <f>THKL!A1:D1</f>
        <v>BẢNG TỔNG HỢP KHỐI LƯỢNG</v>
      </c>
      <c r="B3" s="1299"/>
      <c r="C3" s="1299"/>
      <c r="D3" s="1299"/>
      <c r="E3" s="1299"/>
      <c r="F3" s="1299"/>
    </row>
    <row r="4" spans="1:6" ht="18" customHeight="1">
      <c r="A4" s="490"/>
      <c r="B4" s="491"/>
      <c r="C4" s="492"/>
      <c r="D4" s="493"/>
      <c r="E4" s="492"/>
      <c r="F4" s="494" t="s">
        <v>480</v>
      </c>
    </row>
    <row r="5" spans="1:6" ht="30" customHeight="1">
      <c r="A5" s="498" t="s">
        <v>2</v>
      </c>
      <c r="B5" s="499" t="s">
        <v>7</v>
      </c>
      <c r="C5" s="500" t="s">
        <v>481</v>
      </c>
      <c r="D5" s="500" t="s">
        <v>13</v>
      </c>
      <c r="E5" s="501" t="s">
        <v>493</v>
      </c>
      <c r="F5" s="502" t="s">
        <v>9</v>
      </c>
    </row>
    <row r="6" spans="1:6" s="280" customFormat="1" ht="45" customHeight="1">
      <c r="A6" s="503" t="e">
        <f>'PL CTĐG'!#REF!</f>
        <v>#REF!</v>
      </c>
      <c r="B6" s="504" t="e">
        <f>'PL CTĐG'!#REF!</f>
        <v>#REF!</v>
      </c>
      <c r="C6" s="284"/>
      <c r="D6" s="285"/>
      <c r="E6" s="505"/>
      <c r="F6" s="506"/>
    </row>
    <row r="7" spans="1:6" s="280" customFormat="1" ht="28.5" customHeight="1">
      <c r="A7" s="12" t="e">
        <f>'PL CTĐG'!#REF!</f>
        <v>#REF!</v>
      </c>
      <c r="B7" s="507" t="e">
        <f>'PL CTĐG'!#REF!</f>
        <v>#REF!</v>
      </c>
      <c r="C7" s="276"/>
      <c r="D7" s="277"/>
      <c r="E7" s="286"/>
      <c r="F7" s="508" t="e">
        <f>SUM(F9:F35)</f>
        <v>#REF!</v>
      </c>
    </row>
    <row r="8" spans="1:6" s="280" customFormat="1" ht="29.25" customHeight="1">
      <c r="A8" s="96"/>
      <c r="B8" s="287" t="e">
        <f>'PL CTĐG'!#REF!</f>
        <v>#REF!</v>
      </c>
      <c r="C8" s="139"/>
      <c r="D8" s="288"/>
      <c r="E8" s="278"/>
      <c r="F8" s="278"/>
    </row>
    <row r="9" spans="1:6" s="280" customFormat="1" ht="18" customHeight="1">
      <c r="A9" s="13" t="e">
        <f>'PL CTĐG'!#REF!</f>
        <v>#REF!</v>
      </c>
      <c r="B9" s="289" t="e">
        <f>'PL CTĐG'!#REF!</f>
        <v>#REF!</v>
      </c>
      <c r="C9" s="139" t="e">
        <f>'PL CTĐG'!#REF!</f>
        <v>#REF!</v>
      </c>
      <c r="D9" s="288" t="e">
        <f>'PL CTĐG'!#REF!</f>
        <v>#REF!</v>
      </c>
      <c r="E9" s="278" t="e">
        <f>'PL CTĐG'!#REF!</f>
        <v>#REF!</v>
      </c>
      <c r="F9" s="278" t="e">
        <f>E9*D9</f>
        <v>#REF!</v>
      </c>
    </row>
    <row r="10" spans="1:6" s="280" customFormat="1" ht="18" customHeight="1">
      <c r="A10" s="13" t="e">
        <f>'PL CTĐG'!#REF!</f>
        <v>#REF!</v>
      </c>
      <c r="B10" s="289" t="e">
        <f>'PL CTĐG'!#REF!</f>
        <v>#REF!</v>
      </c>
      <c r="C10" s="139" t="e">
        <f>'PL CTĐG'!#REF!</f>
        <v>#REF!</v>
      </c>
      <c r="D10" s="288" t="e">
        <f>'PL CTĐG'!#REF!</f>
        <v>#REF!</v>
      </c>
      <c r="E10" s="278" t="e">
        <f>'PL CTĐG'!#REF!</f>
        <v>#REF!</v>
      </c>
      <c r="F10" s="278" t="e">
        <f t="shared" ref="F10:F79" si="0">E10*D10</f>
        <v>#REF!</v>
      </c>
    </row>
    <row r="11" spans="1:6" s="280" customFormat="1" ht="29.25" customHeight="1">
      <c r="A11" s="13" t="e">
        <f>'PL CTĐG'!#REF!</f>
        <v>#REF!</v>
      </c>
      <c r="B11" s="289" t="e">
        <f>'PL CTĐG'!#REF!</f>
        <v>#REF!</v>
      </c>
      <c r="C11" s="139" t="e">
        <f>'PL CTĐG'!#REF!</f>
        <v>#REF!</v>
      </c>
      <c r="D11" s="288" t="e">
        <f>'PL CTĐG'!#REF!</f>
        <v>#REF!</v>
      </c>
      <c r="E11" s="278" t="e">
        <f>'PL CTĐG'!#REF!</f>
        <v>#REF!</v>
      </c>
      <c r="F11" s="278" t="e">
        <f t="shared" si="0"/>
        <v>#REF!</v>
      </c>
    </row>
    <row r="12" spans="1:6" s="280" customFormat="1" ht="18" customHeight="1">
      <c r="A12" s="13" t="e">
        <f>'PL CTĐG'!#REF!</f>
        <v>#REF!</v>
      </c>
      <c r="B12" s="289" t="e">
        <f>'PL CTĐG'!#REF!</f>
        <v>#REF!</v>
      </c>
      <c r="C12" s="139" t="e">
        <f>'PL CTĐG'!#REF!</f>
        <v>#REF!</v>
      </c>
      <c r="D12" s="288" t="e">
        <f>'PL CTĐG'!#REF!</f>
        <v>#REF!</v>
      </c>
      <c r="E12" s="278" t="e">
        <f>'PL CTĐG'!#REF!</f>
        <v>#REF!</v>
      </c>
      <c r="F12" s="278" t="e">
        <f t="shared" si="0"/>
        <v>#REF!</v>
      </c>
    </row>
    <row r="13" spans="1:6" s="280" customFormat="1" ht="26.25" customHeight="1">
      <c r="A13" s="13" t="e">
        <f>'PL CTĐG'!#REF!</f>
        <v>#REF!</v>
      </c>
      <c r="B13" s="289" t="e">
        <f>'PL CTĐG'!#REF!</f>
        <v>#REF!</v>
      </c>
      <c r="C13" s="139" t="e">
        <f>'PL CTĐG'!#REF!</f>
        <v>#REF!</v>
      </c>
      <c r="D13" s="288" t="e">
        <f>'PL CTĐG'!#REF!</f>
        <v>#REF!</v>
      </c>
      <c r="E13" s="278" t="e">
        <f>'PL CTĐG'!#REF!</f>
        <v>#REF!</v>
      </c>
      <c r="F13" s="278" t="e">
        <f t="shared" si="0"/>
        <v>#REF!</v>
      </c>
    </row>
    <row r="14" spans="1:6" s="280" customFormat="1" ht="18" customHeight="1">
      <c r="A14" s="13" t="e">
        <f>'PL CTĐG'!#REF!</f>
        <v>#REF!</v>
      </c>
      <c r="B14" s="289" t="e">
        <f>'PL CTĐG'!#REF!</f>
        <v>#REF!</v>
      </c>
      <c r="C14" s="139" t="e">
        <f>'PL CTĐG'!#REF!</f>
        <v>#REF!</v>
      </c>
      <c r="D14" s="288" t="e">
        <f>'PL CTĐG'!#REF!</f>
        <v>#REF!</v>
      </c>
      <c r="E14" s="278" t="e">
        <f>'PL CTĐG'!#REF!</f>
        <v>#REF!</v>
      </c>
      <c r="F14" s="278" t="e">
        <f t="shared" si="0"/>
        <v>#REF!</v>
      </c>
    </row>
    <row r="15" spans="1:6" s="280" customFormat="1" ht="18" customHeight="1">
      <c r="A15" s="13" t="e">
        <f>'PL CTĐG'!#REF!</f>
        <v>#REF!</v>
      </c>
      <c r="B15" s="289" t="e">
        <f>'PL CTĐG'!#REF!</f>
        <v>#REF!</v>
      </c>
      <c r="C15" s="139" t="e">
        <f>'PL CTĐG'!#REF!</f>
        <v>#REF!</v>
      </c>
      <c r="D15" s="288" t="e">
        <f>'PL CTĐG'!#REF!</f>
        <v>#REF!</v>
      </c>
      <c r="E15" s="278" t="e">
        <f>'PL CTĐG'!#REF!</f>
        <v>#REF!</v>
      </c>
      <c r="F15" s="278" t="e">
        <f t="shared" si="0"/>
        <v>#REF!</v>
      </c>
    </row>
    <row r="16" spans="1:6" s="280" customFormat="1" ht="18" customHeight="1">
      <c r="A16" s="13" t="e">
        <f>'PL CTĐG'!#REF!</f>
        <v>#REF!</v>
      </c>
      <c r="B16" s="289" t="e">
        <f>'PL CTĐG'!#REF!</f>
        <v>#REF!</v>
      </c>
      <c r="C16" s="139" t="e">
        <f>'PL CTĐG'!#REF!</f>
        <v>#REF!</v>
      </c>
      <c r="D16" s="288" t="e">
        <f>'PL CTĐG'!#REF!</f>
        <v>#REF!</v>
      </c>
      <c r="E16" s="278" t="e">
        <f>'PL CTĐG'!#REF!</f>
        <v>#REF!</v>
      </c>
      <c r="F16" s="278" t="e">
        <f t="shared" si="0"/>
        <v>#REF!</v>
      </c>
    </row>
    <row r="17" spans="1:6" s="280" customFormat="1" ht="18" customHeight="1">
      <c r="A17" s="13" t="e">
        <f>'PL CTĐG'!#REF!</f>
        <v>#REF!</v>
      </c>
      <c r="B17" s="289" t="e">
        <f>'PL CTĐG'!#REF!</f>
        <v>#REF!</v>
      </c>
      <c r="C17" s="139" t="e">
        <f>'PL CTĐG'!#REF!</f>
        <v>#REF!</v>
      </c>
      <c r="D17" s="288" t="e">
        <f>'PL CTĐG'!#REF!</f>
        <v>#REF!</v>
      </c>
      <c r="E17" s="278" t="e">
        <f>'PL CTĐG'!#REF!</f>
        <v>#REF!</v>
      </c>
      <c r="F17" s="278" t="e">
        <f t="shared" si="0"/>
        <v>#REF!</v>
      </c>
    </row>
    <row r="18" spans="1:6" s="280" customFormat="1" ht="18" customHeight="1">
      <c r="A18" s="13" t="e">
        <f>'PL CTĐG'!#REF!</f>
        <v>#REF!</v>
      </c>
      <c r="B18" s="289" t="e">
        <f>'PL CTĐG'!#REF!</f>
        <v>#REF!</v>
      </c>
      <c r="C18" s="139" t="e">
        <f>'PL CTĐG'!#REF!</f>
        <v>#REF!</v>
      </c>
      <c r="D18" s="288" t="e">
        <f>'PL CTĐG'!#REF!</f>
        <v>#REF!</v>
      </c>
      <c r="E18" s="278" t="e">
        <f>'PL CTĐG'!#REF!</f>
        <v>#REF!</v>
      </c>
      <c r="F18" s="278" t="e">
        <f t="shared" si="0"/>
        <v>#REF!</v>
      </c>
    </row>
    <row r="19" spans="1:6" s="280" customFormat="1" ht="18" customHeight="1">
      <c r="A19" s="13" t="e">
        <f>+'PL CTĐG'!#REF!</f>
        <v>#REF!</v>
      </c>
      <c r="B19" s="289" t="e">
        <f>+'PL CTĐG'!#REF!</f>
        <v>#REF!</v>
      </c>
      <c r="C19" s="139" t="e">
        <f>+'PL CTĐG'!#REF!</f>
        <v>#REF!</v>
      </c>
      <c r="D19" s="288" t="e">
        <f>+'PL CTĐG'!#REF!</f>
        <v>#REF!</v>
      </c>
      <c r="E19" s="278" t="e">
        <f>+'PL CTĐG'!#REF!</f>
        <v>#REF!</v>
      </c>
      <c r="F19" s="278" t="e">
        <f>+D19*E19</f>
        <v>#REF!</v>
      </c>
    </row>
    <row r="20" spans="1:6" s="280" customFormat="1" ht="18" customHeight="1">
      <c r="A20" s="13" t="e">
        <f>+'PL CTĐG'!#REF!</f>
        <v>#REF!</v>
      </c>
      <c r="B20" s="289" t="e">
        <f>+'PL CTĐG'!#REF!</f>
        <v>#REF!</v>
      </c>
      <c r="C20" s="13" t="e">
        <f>+'PL CTĐG'!#REF!</f>
        <v>#REF!</v>
      </c>
      <c r="D20" s="288" t="e">
        <f>+'PL CTĐG'!#REF!</f>
        <v>#REF!</v>
      </c>
      <c r="E20" s="278" t="e">
        <f>+'PL CTĐG'!#REF!</f>
        <v>#REF!</v>
      </c>
      <c r="F20" s="278" t="e">
        <f>+D20*E20</f>
        <v>#REF!</v>
      </c>
    </row>
    <row r="21" spans="1:6" s="280" customFormat="1" ht="18" customHeight="1">
      <c r="A21" s="13" t="e">
        <f>+'PL CTĐG'!#REF!</f>
        <v>#REF!</v>
      </c>
      <c r="B21" s="289" t="e">
        <f>+'PL CTĐG'!#REF!</f>
        <v>#REF!</v>
      </c>
      <c r="C21" s="13" t="e">
        <f>+'PL CTĐG'!#REF!</f>
        <v>#REF!</v>
      </c>
      <c r="D21" s="288" t="e">
        <f>+'PL CTĐG'!#REF!</f>
        <v>#REF!</v>
      </c>
      <c r="E21" s="278" t="e">
        <f>+'PL CTĐG'!#REF!</f>
        <v>#REF!</v>
      </c>
      <c r="F21" s="278" t="e">
        <f>+D21*E21</f>
        <v>#REF!</v>
      </c>
    </row>
    <row r="22" spans="1:6" s="280" customFormat="1" ht="30.75" customHeight="1">
      <c r="A22" s="13"/>
      <c r="B22" s="287" t="e">
        <f>'PL CTĐG'!#REF!</f>
        <v>#REF!</v>
      </c>
      <c r="C22" s="139"/>
      <c r="D22" s="288"/>
      <c r="E22" s="278"/>
      <c r="F22" s="278"/>
    </row>
    <row r="23" spans="1:6" s="280" customFormat="1" ht="18" customHeight="1">
      <c r="A23" s="13" t="e">
        <f>'PL CTĐG'!#REF!</f>
        <v>#REF!</v>
      </c>
      <c r="B23" s="289" t="e">
        <f>'PL CTĐG'!#REF!</f>
        <v>#REF!</v>
      </c>
      <c r="C23" s="139" t="e">
        <f>'PL CTĐG'!#REF!</f>
        <v>#REF!</v>
      </c>
      <c r="D23" s="288" t="e">
        <f>'PL CTĐG'!#REF!</f>
        <v>#REF!</v>
      </c>
      <c r="E23" s="278" t="e">
        <f>'PL CTĐG'!#REF!</f>
        <v>#REF!</v>
      </c>
      <c r="F23" s="278" t="e">
        <f t="shared" si="0"/>
        <v>#REF!</v>
      </c>
    </row>
    <row r="24" spans="1:6" s="280" customFormat="1" ht="18" customHeight="1">
      <c r="A24" s="13" t="e">
        <f>'PL CTĐG'!#REF!</f>
        <v>#REF!</v>
      </c>
      <c r="B24" s="289" t="e">
        <f>'PL CTĐG'!#REF!</f>
        <v>#REF!</v>
      </c>
      <c r="C24" s="139" t="e">
        <f>'PL CTĐG'!#REF!</f>
        <v>#REF!</v>
      </c>
      <c r="D24" s="288" t="e">
        <f>'PL CTĐG'!#REF!</f>
        <v>#REF!</v>
      </c>
      <c r="E24" s="278" t="e">
        <f>'PL CTĐG'!#REF!</f>
        <v>#REF!</v>
      </c>
      <c r="F24" s="278" t="e">
        <f t="shared" si="0"/>
        <v>#REF!</v>
      </c>
    </row>
    <row r="25" spans="1:6" s="280" customFormat="1" ht="18" customHeight="1">
      <c r="A25" s="13" t="e">
        <f>'PL CTĐG'!#REF!</f>
        <v>#REF!</v>
      </c>
      <c r="B25" s="289" t="e">
        <f>'PL CTĐG'!#REF!</f>
        <v>#REF!</v>
      </c>
      <c r="C25" s="139" t="e">
        <f>'PL CTĐG'!#REF!</f>
        <v>#REF!</v>
      </c>
      <c r="D25" s="288" t="e">
        <f>'PL CTĐG'!#REF!</f>
        <v>#REF!</v>
      </c>
      <c r="E25" s="278" t="e">
        <f>'PL CTĐG'!#REF!</f>
        <v>#REF!</v>
      </c>
      <c r="F25" s="278" t="e">
        <f t="shared" si="0"/>
        <v>#REF!</v>
      </c>
    </row>
    <row r="26" spans="1:6" s="280" customFormat="1" ht="18" customHeight="1">
      <c r="A26" s="13" t="e">
        <f>'PL CTĐG'!#REF!</f>
        <v>#REF!</v>
      </c>
      <c r="B26" s="289" t="e">
        <f>'PL CTĐG'!#REF!</f>
        <v>#REF!</v>
      </c>
      <c r="C26" s="139" t="e">
        <f>'PL CTĐG'!#REF!</f>
        <v>#REF!</v>
      </c>
      <c r="D26" s="288" t="e">
        <f>'PL CTĐG'!#REF!</f>
        <v>#REF!</v>
      </c>
      <c r="E26" s="278" t="e">
        <f>'PL CTĐG'!#REF!</f>
        <v>#REF!</v>
      </c>
      <c r="F26" s="278" t="e">
        <f t="shared" si="0"/>
        <v>#REF!</v>
      </c>
    </row>
    <row r="27" spans="1:6" s="280" customFormat="1" ht="30" customHeight="1">
      <c r="A27" s="13"/>
      <c r="B27" s="287" t="e">
        <f>'PL CTĐG'!#REF!</f>
        <v>#REF!</v>
      </c>
      <c r="C27" s="139"/>
      <c r="D27" s="288"/>
      <c r="E27" s="278"/>
      <c r="F27" s="278"/>
    </row>
    <row r="28" spans="1:6" s="280" customFormat="1" ht="18" customHeight="1">
      <c r="A28" s="13"/>
      <c r="B28" s="287" t="e">
        <f>'PL CTĐG'!#REF!</f>
        <v>#REF!</v>
      </c>
      <c r="C28" s="139"/>
      <c r="D28" s="288"/>
      <c r="E28" s="278"/>
      <c r="F28" s="278"/>
    </row>
    <row r="29" spans="1:6" s="280" customFormat="1" ht="18" customHeight="1">
      <c r="A29" s="13" t="e">
        <f>'PL CTĐG'!#REF!</f>
        <v>#REF!</v>
      </c>
      <c r="B29" s="289" t="e">
        <f>'PL CTĐG'!#REF!</f>
        <v>#REF!</v>
      </c>
      <c r="C29" s="139" t="e">
        <f>'PL CTĐG'!#REF!</f>
        <v>#REF!</v>
      </c>
      <c r="D29" s="288" t="e">
        <f>'PL CTĐG'!#REF!</f>
        <v>#REF!</v>
      </c>
      <c r="E29" s="278" t="e">
        <f>'PL CTĐG'!#REF!</f>
        <v>#REF!</v>
      </c>
      <c r="F29" s="278" t="e">
        <f t="shared" si="0"/>
        <v>#REF!</v>
      </c>
    </row>
    <row r="30" spans="1:6" s="280" customFormat="1" ht="18" customHeight="1">
      <c r="A30" s="13" t="e">
        <f>'PL CTĐG'!#REF!</f>
        <v>#REF!</v>
      </c>
      <c r="B30" s="289" t="e">
        <f>'PL CTĐG'!#REF!</f>
        <v>#REF!</v>
      </c>
      <c r="C30" s="139" t="e">
        <f>'PL CTĐG'!#REF!</f>
        <v>#REF!</v>
      </c>
      <c r="D30" s="288" t="e">
        <f>'PL CTĐG'!#REF!</f>
        <v>#REF!</v>
      </c>
      <c r="E30" s="278" t="e">
        <f>'PL CTĐG'!#REF!</f>
        <v>#REF!</v>
      </c>
      <c r="F30" s="278" t="e">
        <f t="shared" si="0"/>
        <v>#REF!</v>
      </c>
    </row>
    <row r="31" spans="1:6" s="280" customFormat="1" ht="18" customHeight="1">
      <c r="A31" s="13" t="e">
        <f>'PL CTĐG'!#REF!</f>
        <v>#REF!</v>
      </c>
      <c r="B31" s="289" t="e">
        <f>'PL CTĐG'!#REF!</f>
        <v>#REF!</v>
      </c>
      <c r="C31" s="139" t="e">
        <f>'PL CTĐG'!#REF!</f>
        <v>#REF!</v>
      </c>
      <c r="D31" s="288" t="e">
        <f>'PL CTĐG'!#REF!</f>
        <v>#REF!</v>
      </c>
      <c r="E31" s="278" t="e">
        <f>'PL CTĐG'!#REF!</f>
        <v>#REF!</v>
      </c>
      <c r="F31" s="278" t="e">
        <f t="shared" si="0"/>
        <v>#REF!</v>
      </c>
    </row>
    <row r="32" spans="1:6" s="280" customFormat="1" ht="18" customHeight="1">
      <c r="A32" s="13"/>
      <c r="B32" s="287" t="e">
        <f>'PL CTĐG'!#REF!</f>
        <v>#REF!</v>
      </c>
      <c r="C32" s="139"/>
      <c r="D32" s="288"/>
      <c r="E32" s="278"/>
      <c r="F32" s="278"/>
    </row>
    <row r="33" spans="1:6" s="280" customFormat="1" ht="18" customHeight="1">
      <c r="A33" s="13" t="e">
        <f>'PL CTĐG'!#REF!</f>
        <v>#REF!</v>
      </c>
      <c r="B33" s="289" t="e">
        <f>'PL CTĐG'!#REF!</f>
        <v>#REF!</v>
      </c>
      <c r="C33" s="139" t="e">
        <f>'PL CTĐG'!#REF!</f>
        <v>#REF!</v>
      </c>
      <c r="D33" s="288" t="e">
        <f>'PL CTĐG'!#REF!</f>
        <v>#REF!</v>
      </c>
      <c r="E33" s="278" t="e">
        <f>'PL CTĐG'!#REF!</f>
        <v>#REF!</v>
      </c>
      <c r="F33" s="278" t="e">
        <f t="shared" si="0"/>
        <v>#REF!</v>
      </c>
    </row>
    <row r="34" spans="1:6" s="280" customFormat="1" ht="18" customHeight="1">
      <c r="A34" s="13" t="e">
        <f>'PL CTĐG'!#REF!</f>
        <v>#REF!</v>
      </c>
      <c r="B34" s="289" t="e">
        <f>'PL CTĐG'!#REF!</f>
        <v>#REF!</v>
      </c>
      <c r="C34" s="139" t="e">
        <f>'PL CTĐG'!#REF!</f>
        <v>#REF!</v>
      </c>
      <c r="D34" s="288" t="e">
        <f>'PL CTĐG'!#REF!</f>
        <v>#REF!</v>
      </c>
      <c r="E34" s="278" t="e">
        <f>'PL CTĐG'!#REF!</f>
        <v>#REF!</v>
      </c>
      <c r="F34" s="278" t="e">
        <f t="shared" si="0"/>
        <v>#REF!</v>
      </c>
    </row>
    <row r="35" spans="1:6" s="280" customFormat="1" ht="18" customHeight="1">
      <c r="A35" s="290" t="e">
        <f>'PL CTĐG'!#REF!</f>
        <v>#REF!</v>
      </c>
      <c r="B35" s="291" t="e">
        <f>'PL CTĐG'!#REF!</f>
        <v>#REF!</v>
      </c>
      <c r="C35" s="292" t="e">
        <f>'PL CTĐG'!#REF!</f>
        <v>#REF!</v>
      </c>
      <c r="D35" s="293" t="e">
        <f>'PL CTĐG'!#REF!</f>
        <v>#REF!</v>
      </c>
      <c r="E35" s="294" t="e">
        <f>'PL CTĐG'!#REF!</f>
        <v>#REF!</v>
      </c>
      <c r="F35" s="294" t="e">
        <f t="shared" si="0"/>
        <v>#REF!</v>
      </c>
    </row>
    <row r="36" spans="1:6" s="280" customFormat="1" ht="29.25" customHeight="1">
      <c r="A36" s="12" t="e">
        <f>'PL CTĐG'!#REF!</f>
        <v>#REF!</v>
      </c>
      <c r="B36" s="507" t="e">
        <f>'PL CTĐG'!#REF!</f>
        <v>#REF!</v>
      </c>
      <c r="C36" s="276"/>
      <c r="D36" s="277"/>
      <c r="E36" s="286"/>
      <c r="F36" s="508" t="e">
        <f>SUM(F38:F68)</f>
        <v>#REF!</v>
      </c>
    </row>
    <row r="37" spans="1:6" s="280" customFormat="1" ht="30" customHeight="1">
      <c r="A37" s="96"/>
      <c r="B37" s="287" t="e">
        <f>'PL CTĐG'!#REF!</f>
        <v>#REF!</v>
      </c>
      <c r="C37" s="139"/>
      <c r="D37" s="288"/>
      <c r="E37" s="278"/>
      <c r="F37" s="278"/>
    </row>
    <row r="38" spans="1:6" s="280" customFormat="1" ht="18" customHeight="1">
      <c r="A38" s="13" t="e">
        <f>'PL CTĐG'!#REF!</f>
        <v>#REF!</v>
      </c>
      <c r="B38" s="289" t="e">
        <f>'PL CTĐG'!#REF!</f>
        <v>#REF!</v>
      </c>
      <c r="C38" s="139" t="e">
        <f>'PL CTĐG'!#REF!</f>
        <v>#REF!</v>
      </c>
      <c r="D38" s="288" t="e">
        <f>'PL CTĐG'!#REF!</f>
        <v>#REF!</v>
      </c>
      <c r="E38" s="278" t="e">
        <f>'PL CTĐG'!#REF!</f>
        <v>#REF!</v>
      </c>
      <c r="F38" s="278" t="e">
        <f t="shared" si="0"/>
        <v>#REF!</v>
      </c>
    </row>
    <row r="39" spans="1:6" s="280" customFormat="1" ht="18" customHeight="1">
      <c r="A39" s="13" t="e">
        <f>'PL CTĐG'!#REF!</f>
        <v>#REF!</v>
      </c>
      <c r="B39" s="289" t="e">
        <f>'PL CTĐG'!#REF!</f>
        <v>#REF!</v>
      </c>
      <c r="C39" s="139" t="e">
        <f>'PL CTĐG'!#REF!</f>
        <v>#REF!</v>
      </c>
      <c r="D39" s="288" t="e">
        <f>'PL CTĐG'!#REF!</f>
        <v>#REF!</v>
      </c>
      <c r="E39" s="278" t="e">
        <f>'PL CTĐG'!#REF!</f>
        <v>#REF!</v>
      </c>
      <c r="F39" s="278" t="e">
        <f t="shared" si="0"/>
        <v>#REF!</v>
      </c>
    </row>
    <row r="40" spans="1:6" s="280" customFormat="1" ht="30" customHeight="1">
      <c r="A40" s="13" t="e">
        <f>'PL CTĐG'!#REF!</f>
        <v>#REF!</v>
      </c>
      <c r="B40" s="289" t="e">
        <f>'PL CTĐG'!#REF!</f>
        <v>#REF!</v>
      </c>
      <c r="C40" s="139" t="e">
        <f>'PL CTĐG'!#REF!</f>
        <v>#REF!</v>
      </c>
      <c r="D40" s="288" t="e">
        <f>'PL CTĐG'!#REF!</f>
        <v>#REF!</v>
      </c>
      <c r="E40" s="278" t="e">
        <f>'PL CTĐG'!#REF!</f>
        <v>#REF!</v>
      </c>
      <c r="F40" s="278" t="e">
        <f t="shared" si="0"/>
        <v>#REF!</v>
      </c>
    </row>
    <row r="41" spans="1:6" s="280" customFormat="1" ht="18" customHeight="1">
      <c r="A41" s="13" t="e">
        <f>'PL CTĐG'!#REF!</f>
        <v>#REF!</v>
      </c>
      <c r="B41" s="289" t="e">
        <f>'PL CTĐG'!#REF!</f>
        <v>#REF!</v>
      </c>
      <c r="C41" s="139" t="e">
        <f>'PL CTĐG'!#REF!</f>
        <v>#REF!</v>
      </c>
      <c r="D41" s="288" t="e">
        <f>'PL CTĐG'!#REF!</f>
        <v>#REF!</v>
      </c>
      <c r="E41" s="278" t="e">
        <f>'PL CTĐG'!#REF!</f>
        <v>#REF!</v>
      </c>
      <c r="F41" s="278" t="e">
        <f t="shared" si="0"/>
        <v>#REF!</v>
      </c>
    </row>
    <row r="42" spans="1:6" s="280" customFormat="1" ht="27" customHeight="1">
      <c r="A42" s="13" t="e">
        <f>'PL CTĐG'!#REF!</f>
        <v>#REF!</v>
      </c>
      <c r="B42" s="289" t="e">
        <f>'PL CTĐG'!#REF!</f>
        <v>#REF!</v>
      </c>
      <c r="C42" s="139" t="e">
        <f>'PL CTĐG'!#REF!</f>
        <v>#REF!</v>
      </c>
      <c r="D42" s="288" t="e">
        <f>'PL CTĐG'!#REF!</f>
        <v>#REF!</v>
      </c>
      <c r="E42" s="278" t="e">
        <f>'PL CTĐG'!#REF!</f>
        <v>#REF!</v>
      </c>
      <c r="F42" s="278" t="e">
        <f t="shared" si="0"/>
        <v>#REF!</v>
      </c>
    </row>
    <row r="43" spans="1:6" s="280" customFormat="1" ht="18" customHeight="1">
      <c r="A43" s="13" t="e">
        <f>'PL CTĐG'!#REF!</f>
        <v>#REF!</v>
      </c>
      <c r="B43" s="289" t="e">
        <f>'PL CTĐG'!#REF!</f>
        <v>#REF!</v>
      </c>
      <c r="C43" s="139" t="e">
        <f>'PL CTĐG'!#REF!</f>
        <v>#REF!</v>
      </c>
      <c r="D43" s="288" t="e">
        <f>'PL CTĐG'!#REF!</f>
        <v>#REF!</v>
      </c>
      <c r="E43" s="278" t="e">
        <f>'PL CTĐG'!#REF!</f>
        <v>#REF!</v>
      </c>
      <c r="F43" s="278" t="e">
        <f t="shared" si="0"/>
        <v>#REF!</v>
      </c>
    </row>
    <row r="44" spans="1:6" s="280" customFormat="1" ht="18" customHeight="1">
      <c r="A44" s="13" t="e">
        <f>'PL CTĐG'!#REF!</f>
        <v>#REF!</v>
      </c>
      <c r="B44" s="289" t="e">
        <f>'PL CTĐG'!#REF!</f>
        <v>#REF!</v>
      </c>
      <c r="C44" s="139" t="e">
        <f>'PL CTĐG'!#REF!</f>
        <v>#REF!</v>
      </c>
      <c r="D44" s="288" t="e">
        <f>'PL CTĐG'!#REF!</f>
        <v>#REF!</v>
      </c>
      <c r="E44" s="278" t="e">
        <f>'PL CTĐG'!#REF!</f>
        <v>#REF!</v>
      </c>
      <c r="F44" s="278" t="e">
        <f t="shared" si="0"/>
        <v>#REF!</v>
      </c>
    </row>
    <row r="45" spans="1:6" s="280" customFormat="1" ht="18" customHeight="1">
      <c r="A45" s="13" t="e">
        <f>'PL CTĐG'!#REF!</f>
        <v>#REF!</v>
      </c>
      <c r="B45" s="289" t="e">
        <f>'PL CTĐG'!#REF!</f>
        <v>#REF!</v>
      </c>
      <c r="C45" s="139" t="e">
        <f>'PL CTĐG'!#REF!</f>
        <v>#REF!</v>
      </c>
      <c r="D45" s="288" t="e">
        <f>'PL CTĐG'!#REF!</f>
        <v>#REF!</v>
      </c>
      <c r="E45" s="278" t="e">
        <f>'PL CTĐG'!#REF!</f>
        <v>#REF!</v>
      </c>
      <c r="F45" s="278" t="e">
        <f t="shared" si="0"/>
        <v>#REF!</v>
      </c>
    </row>
    <row r="46" spans="1:6" s="280" customFormat="1" ht="18" customHeight="1">
      <c r="A46" s="13" t="e">
        <f>'PL CTĐG'!#REF!</f>
        <v>#REF!</v>
      </c>
      <c r="B46" s="289" t="e">
        <f>'PL CTĐG'!#REF!</f>
        <v>#REF!</v>
      </c>
      <c r="C46" s="139" t="e">
        <f>'PL CTĐG'!#REF!</f>
        <v>#REF!</v>
      </c>
      <c r="D46" s="288" t="e">
        <f>'PL CTĐG'!#REF!</f>
        <v>#REF!</v>
      </c>
      <c r="E46" s="278" t="e">
        <f>'PL CTĐG'!#REF!</f>
        <v>#REF!</v>
      </c>
      <c r="F46" s="278" t="e">
        <f t="shared" si="0"/>
        <v>#REF!</v>
      </c>
    </row>
    <row r="47" spans="1:6" s="280" customFormat="1" ht="18" customHeight="1">
      <c r="A47" s="13" t="e">
        <f>'PL CTĐG'!#REF!</f>
        <v>#REF!</v>
      </c>
      <c r="B47" s="289" t="e">
        <f>'PL CTĐG'!#REF!</f>
        <v>#REF!</v>
      </c>
      <c r="C47" s="139" t="e">
        <f>'PL CTĐG'!#REF!</f>
        <v>#REF!</v>
      </c>
      <c r="D47" s="288" t="e">
        <f>'PL CTĐG'!#REF!</f>
        <v>#REF!</v>
      </c>
      <c r="E47" s="278" t="e">
        <f>'PL CTĐG'!#REF!</f>
        <v>#REF!</v>
      </c>
      <c r="F47" s="278" t="e">
        <f t="shared" si="0"/>
        <v>#REF!</v>
      </c>
    </row>
    <row r="48" spans="1:6" s="280" customFormat="1" ht="18" customHeight="1">
      <c r="A48" s="13" t="e">
        <f>+'PL CTĐG'!#REF!</f>
        <v>#REF!</v>
      </c>
      <c r="B48" s="289" t="e">
        <f>+'PL CTĐG'!#REF!</f>
        <v>#REF!</v>
      </c>
      <c r="C48" s="13" t="e">
        <f>+'PL CTĐG'!#REF!</f>
        <v>#REF!</v>
      </c>
      <c r="D48" s="288" t="e">
        <f>+'PL CTĐG'!#REF!</f>
        <v>#REF!</v>
      </c>
      <c r="E48" s="278" t="e">
        <f>+'PL CTĐG'!#REF!</f>
        <v>#REF!</v>
      </c>
      <c r="F48" s="278" t="e">
        <f>+D48*E48</f>
        <v>#REF!</v>
      </c>
    </row>
    <row r="49" spans="1:6" s="280" customFormat="1" ht="18" customHeight="1">
      <c r="A49" s="13" t="e">
        <f>+'PL CTĐG'!#REF!</f>
        <v>#REF!</v>
      </c>
      <c r="B49" s="289" t="e">
        <f>+'PL CTĐG'!#REF!</f>
        <v>#REF!</v>
      </c>
      <c r="C49" s="13" t="e">
        <f>+'PL CTĐG'!#REF!</f>
        <v>#REF!</v>
      </c>
      <c r="D49" s="288" t="e">
        <f>+'PL CTĐG'!#REF!</f>
        <v>#REF!</v>
      </c>
      <c r="E49" s="278" t="e">
        <f>+'PL CTĐG'!#REF!</f>
        <v>#REF!</v>
      </c>
      <c r="F49" s="278" t="e">
        <f>+D49*E49</f>
        <v>#REF!</v>
      </c>
    </row>
    <row r="50" spans="1:6" s="280" customFormat="1" ht="18" customHeight="1">
      <c r="A50" s="13" t="e">
        <f>+'PL CTĐG'!#REF!</f>
        <v>#REF!</v>
      </c>
      <c r="B50" s="289" t="e">
        <f>+'PL CTĐG'!#REF!</f>
        <v>#REF!</v>
      </c>
      <c r="C50" s="13" t="e">
        <f>+'PL CTĐG'!#REF!</f>
        <v>#REF!</v>
      </c>
      <c r="D50" s="288" t="e">
        <f>+'PL CTĐG'!#REF!</f>
        <v>#REF!</v>
      </c>
      <c r="E50" s="278" t="e">
        <f>+'PL CTĐG'!#REF!</f>
        <v>#REF!</v>
      </c>
      <c r="F50" s="278" t="e">
        <f>+D50*E50</f>
        <v>#REF!</v>
      </c>
    </row>
    <row r="51" spans="1:6" s="280" customFormat="1" ht="34.5" customHeight="1">
      <c r="A51" s="13"/>
      <c r="B51" s="287" t="e">
        <f>'PL CTĐG'!#REF!</f>
        <v>#REF!</v>
      </c>
      <c r="C51" s="139"/>
      <c r="D51" s="288"/>
      <c r="E51" s="278"/>
      <c r="F51" s="278"/>
    </row>
    <row r="52" spans="1:6" s="280" customFormat="1" ht="18" customHeight="1">
      <c r="A52" s="13" t="e">
        <f>'PL CTĐG'!#REF!</f>
        <v>#REF!</v>
      </c>
      <c r="B52" s="289" t="e">
        <f>'PL CTĐG'!#REF!</f>
        <v>#REF!</v>
      </c>
      <c r="C52" s="139" t="e">
        <f>'PL CTĐG'!#REF!</f>
        <v>#REF!</v>
      </c>
      <c r="D52" s="288" t="e">
        <f>'PL CTĐG'!#REF!</f>
        <v>#REF!</v>
      </c>
      <c r="E52" s="278" t="e">
        <f>'PL CTĐG'!#REF!</f>
        <v>#REF!</v>
      </c>
      <c r="F52" s="278" t="e">
        <f t="shared" si="0"/>
        <v>#REF!</v>
      </c>
    </row>
    <row r="53" spans="1:6" s="280" customFormat="1" ht="18" customHeight="1">
      <c r="A53" s="13" t="e">
        <f>'PL CTĐG'!#REF!</f>
        <v>#REF!</v>
      </c>
      <c r="B53" s="289" t="e">
        <f>'PL CTĐG'!#REF!</f>
        <v>#REF!</v>
      </c>
      <c r="C53" s="139" t="e">
        <f>'PL CTĐG'!#REF!</f>
        <v>#REF!</v>
      </c>
      <c r="D53" s="288" t="e">
        <f>'PL CTĐG'!#REF!</f>
        <v>#REF!</v>
      </c>
      <c r="E53" s="278" t="e">
        <f>'PL CTĐG'!#REF!</f>
        <v>#REF!</v>
      </c>
      <c r="F53" s="278" t="e">
        <f t="shared" si="0"/>
        <v>#REF!</v>
      </c>
    </row>
    <row r="54" spans="1:6" s="280" customFormat="1" ht="18" customHeight="1">
      <c r="A54" s="13" t="e">
        <f>'PL CTĐG'!#REF!</f>
        <v>#REF!</v>
      </c>
      <c r="B54" s="289" t="e">
        <f>'PL CTĐG'!#REF!</f>
        <v>#REF!</v>
      </c>
      <c r="C54" s="139" t="e">
        <f>'PL CTĐG'!#REF!</f>
        <v>#REF!</v>
      </c>
      <c r="D54" s="288" t="e">
        <f>'PL CTĐG'!#REF!</f>
        <v>#REF!</v>
      </c>
      <c r="E54" s="278" t="e">
        <f>'PL CTĐG'!#REF!</f>
        <v>#REF!</v>
      </c>
      <c r="F54" s="278" t="e">
        <f t="shared" si="0"/>
        <v>#REF!</v>
      </c>
    </row>
    <row r="55" spans="1:6" s="280" customFormat="1" ht="18" customHeight="1">
      <c r="A55" s="13" t="e">
        <f>'PL CTĐG'!#REF!</f>
        <v>#REF!</v>
      </c>
      <c r="B55" s="289" t="e">
        <f>'PL CTĐG'!#REF!</f>
        <v>#REF!</v>
      </c>
      <c r="C55" s="139" t="e">
        <f>'PL CTĐG'!#REF!</f>
        <v>#REF!</v>
      </c>
      <c r="D55" s="288" t="e">
        <f>'PL CTĐG'!#REF!</f>
        <v>#REF!</v>
      </c>
      <c r="E55" s="278" t="e">
        <f>'PL CTĐG'!#REF!</f>
        <v>#REF!</v>
      </c>
      <c r="F55" s="278" t="e">
        <f t="shared" si="0"/>
        <v>#REF!</v>
      </c>
    </row>
    <row r="56" spans="1:6" s="280" customFormat="1" ht="31.5" customHeight="1">
      <c r="A56" s="13"/>
      <c r="B56" s="287" t="e">
        <f>'PL CTĐG'!#REF!</f>
        <v>#REF!</v>
      </c>
      <c r="C56" s="139"/>
      <c r="D56" s="288"/>
      <c r="E56" s="278"/>
      <c r="F56" s="278"/>
    </row>
    <row r="57" spans="1:6" s="280" customFormat="1" ht="18" customHeight="1">
      <c r="A57" s="13"/>
      <c r="B57" s="287" t="e">
        <f>'PL CTĐG'!#REF!</f>
        <v>#REF!</v>
      </c>
      <c r="C57" s="139"/>
      <c r="D57" s="288"/>
      <c r="E57" s="278"/>
      <c r="F57" s="278"/>
    </row>
    <row r="58" spans="1:6" s="280" customFormat="1" ht="18" customHeight="1">
      <c r="A58" s="13" t="e">
        <f>'PL CTĐG'!#REF!</f>
        <v>#REF!</v>
      </c>
      <c r="B58" s="289" t="e">
        <f>'PL CTĐG'!#REF!</f>
        <v>#REF!</v>
      </c>
      <c r="C58" s="139" t="e">
        <f>'PL CTĐG'!#REF!</f>
        <v>#REF!</v>
      </c>
      <c r="D58" s="288" t="e">
        <f>'PL CTĐG'!#REF!</f>
        <v>#REF!</v>
      </c>
      <c r="E58" s="278" t="e">
        <f>'PL CTĐG'!#REF!</f>
        <v>#REF!</v>
      </c>
      <c r="F58" s="278" t="e">
        <f t="shared" si="0"/>
        <v>#REF!</v>
      </c>
    </row>
    <row r="59" spans="1:6" s="280" customFormat="1" ht="18" customHeight="1">
      <c r="A59" s="13" t="e">
        <f>'PL CTĐG'!#REF!</f>
        <v>#REF!</v>
      </c>
      <c r="B59" s="289" t="e">
        <f>'PL CTĐG'!#REF!</f>
        <v>#REF!</v>
      </c>
      <c r="C59" s="139" t="e">
        <f>'PL CTĐG'!#REF!</f>
        <v>#REF!</v>
      </c>
      <c r="D59" s="288" t="e">
        <f>'PL CTĐG'!#REF!</f>
        <v>#REF!</v>
      </c>
      <c r="E59" s="278" t="e">
        <f>'PL CTĐG'!#REF!</f>
        <v>#REF!</v>
      </c>
      <c r="F59" s="278" t="e">
        <f t="shared" si="0"/>
        <v>#REF!</v>
      </c>
    </row>
    <row r="60" spans="1:6" s="280" customFormat="1" ht="18" customHeight="1">
      <c r="A60" s="13" t="e">
        <f>'PL CTĐG'!#REF!</f>
        <v>#REF!</v>
      </c>
      <c r="B60" s="289" t="e">
        <f>'PL CTĐG'!#REF!</f>
        <v>#REF!</v>
      </c>
      <c r="C60" s="139" t="e">
        <f>'PL CTĐG'!#REF!</f>
        <v>#REF!</v>
      </c>
      <c r="D60" s="288" t="e">
        <f>'PL CTĐG'!#REF!</f>
        <v>#REF!</v>
      </c>
      <c r="E60" s="278" t="e">
        <f>'PL CTĐG'!#REF!</f>
        <v>#REF!</v>
      </c>
      <c r="F60" s="278" t="e">
        <f t="shared" si="0"/>
        <v>#REF!</v>
      </c>
    </row>
    <row r="61" spans="1:6" s="280" customFormat="1" ht="18" customHeight="1">
      <c r="A61" s="13"/>
      <c r="B61" s="287" t="e">
        <f>'PL CTĐG'!#REF!</f>
        <v>#REF!</v>
      </c>
      <c r="C61" s="139"/>
      <c r="D61" s="288"/>
      <c r="E61" s="278"/>
      <c r="F61" s="278"/>
    </row>
    <row r="62" spans="1:6" s="280" customFormat="1" ht="18" customHeight="1">
      <c r="A62" s="13" t="e">
        <f>'PL CTĐG'!#REF!</f>
        <v>#REF!</v>
      </c>
      <c r="B62" s="289" t="e">
        <f>'PL CTĐG'!#REF!</f>
        <v>#REF!</v>
      </c>
      <c r="C62" s="139" t="e">
        <f>'PL CTĐG'!#REF!</f>
        <v>#REF!</v>
      </c>
      <c r="D62" s="288" t="e">
        <f>'PL CTĐG'!#REF!</f>
        <v>#REF!</v>
      </c>
      <c r="E62" s="278" t="e">
        <f>'PL CTĐG'!#REF!</f>
        <v>#REF!</v>
      </c>
      <c r="F62" s="278" t="e">
        <f t="shared" si="0"/>
        <v>#REF!</v>
      </c>
    </row>
    <row r="63" spans="1:6" s="280" customFormat="1" ht="18" customHeight="1">
      <c r="A63" s="13" t="e">
        <f>'PL CTĐG'!#REF!</f>
        <v>#REF!</v>
      </c>
      <c r="B63" s="289" t="e">
        <f>'PL CTĐG'!#REF!</f>
        <v>#REF!</v>
      </c>
      <c r="C63" s="139" t="e">
        <f>'PL CTĐG'!#REF!</f>
        <v>#REF!</v>
      </c>
      <c r="D63" s="288" t="e">
        <f>'PL CTĐG'!#REF!</f>
        <v>#REF!</v>
      </c>
      <c r="E63" s="278" t="e">
        <f>'PL CTĐG'!#REF!</f>
        <v>#REF!</v>
      </c>
      <c r="F63" s="278" t="e">
        <f t="shared" si="0"/>
        <v>#REF!</v>
      </c>
    </row>
    <row r="64" spans="1:6" s="280" customFormat="1" ht="18" customHeight="1">
      <c r="A64" s="13" t="e">
        <f>'PL CTĐG'!#REF!</f>
        <v>#REF!</v>
      </c>
      <c r="B64" s="289" t="e">
        <f>'PL CTĐG'!#REF!</f>
        <v>#REF!</v>
      </c>
      <c r="C64" s="139" t="e">
        <f>'PL CTĐG'!#REF!</f>
        <v>#REF!</v>
      </c>
      <c r="D64" s="288" t="e">
        <f>'PL CTĐG'!#REF!</f>
        <v>#REF!</v>
      </c>
      <c r="E64" s="278" t="e">
        <f>'PL CTĐG'!#REF!</f>
        <v>#REF!</v>
      </c>
      <c r="F64" s="278" t="e">
        <f t="shared" si="0"/>
        <v>#REF!</v>
      </c>
    </row>
    <row r="65" spans="1:6" s="280" customFormat="1" ht="18" customHeight="1">
      <c r="A65" s="13"/>
      <c r="B65" s="287" t="e">
        <f>'PL CTĐG'!#REF!</f>
        <v>#REF!</v>
      </c>
      <c r="C65" s="139"/>
      <c r="D65" s="288"/>
      <c r="E65" s="278"/>
      <c r="F65" s="278"/>
    </row>
    <row r="66" spans="1:6" s="280" customFormat="1" ht="18" customHeight="1">
      <c r="A66" s="13" t="e">
        <f>'PL CTĐG'!#REF!</f>
        <v>#REF!</v>
      </c>
      <c r="B66" s="289" t="e">
        <f>'PL CTĐG'!#REF!</f>
        <v>#REF!</v>
      </c>
      <c r="C66" s="139" t="e">
        <f>'PL CTĐG'!#REF!</f>
        <v>#REF!</v>
      </c>
      <c r="D66" s="288" t="e">
        <f>'PL CTĐG'!#REF!</f>
        <v>#REF!</v>
      </c>
      <c r="E66" s="278" t="e">
        <f>'PL CTĐG'!#REF!</f>
        <v>#REF!</v>
      </c>
      <c r="F66" s="278" t="e">
        <f t="shared" si="0"/>
        <v>#REF!</v>
      </c>
    </row>
    <row r="67" spans="1:6" s="280" customFormat="1" ht="18" customHeight="1">
      <c r="A67" s="13" t="e">
        <f>'PL CTĐG'!#REF!</f>
        <v>#REF!</v>
      </c>
      <c r="B67" s="289" t="e">
        <f>'PL CTĐG'!#REF!</f>
        <v>#REF!</v>
      </c>
      <c r="C67" s="139" t="e">
        <f>'PL CTĐG'!#REF!</f>
        <v>#REF!</v>
      </c>
      <c r="D67" s="288" t="e">
        <f>'PL CTĐG'!#REF!</f>
        <v>#REF!</v>
      </c>
      <c r="E67" s="278" t="e">
        <f>'PL CTĐG'!#REF!</f>
        <v>#REF!</v>
      </c>
      <c r="F67" s="278" t="e">
        <f t="shared" si="0"/>
        <v>#REF!</v>
      </c>
    </row>
    <row r="68" spans="1:6" s="280" customFormat="1" ht="18" customHeight="1">
      <c r="A68" s="290" t="e">
        <f>'PL CTĐG'!#REF!</f>
        <v>#REF!</v>
      </c>
      <c r="B68" s="291" t="e">
        <f>'PL CTĐG'!#REF!</f>
        <v>#REF!</v>
      </c>
      <c r="C68" s="292" t="e">
        <f>'PL CTĐG'!#REF!</f>
        <v>#REF!</v>
      </c>
      <c r="D68" s="293" t="e">
        <f>'PL CTĐG'!#REF!</f>
        <v>#REF!</v>
      </c>
      <c r="E68" s="294" t="e">
        <f>'PL CTĐG'!#REF!</f>
        <v>#REF!</v>
      </c>
      <c r="F68" s="294" t="e">
        <f t="shared" si="0"/>
        <v>#REF!</v>
      </c>
    </row>
    <row r="69" spans="1:6" s="280" customFormat="1" ht="29.25" customHeight="1">
      <c r="A69" s="12" t="e">
        <f>'PL CTĐG'!#REF!</f>
        <v>#REF!</v>
      </c>
      <c r="B69" s="507" t="e">
        <f>'PL CTĐG'!#REF!</f>
        <v>#REF!</v>
      </c>
      <c r="C69" s="276"/>
      <c r="D69" s="277"/>
      <c r="E69" s="286"/>
      <c r="F69" s="508" t="e">
        <f>SUM(F71:F97)</f>
        <v>#REF!</v>
      </c>
    </row>
    <row r="70" spans="1:6" s="280" customFormat="1" ht="31.5" customHeight="1">
      <c r="A70" s="96"/>
      <c r="B70" s="287" t="e">
        <f>'PL CTĐG'!#REF!</f>
        <v>#REF!</v>
      </c>
      <c r="C70" s="139"/>
      <c r="D70" s="288"/>
      <c r="E70" s="278"/>
      <c r="F70" s="278"/>
    </row>
    <row r="71" spans="1:6" s="280" customFormat="1" ht="18" customHeight="1">
      <c r="A71" s="13" t="e">
        <f>'PL CTĐG'!#REF!</f>
        <v>#REF!</v>
      </c>
      <c r="B71" s="289" t="e">
        <f>'PL CTĐG'!#REF!</f>
        <v>#REF!</v>
      </c>
      <c r="C71" s="139" t="e">
        <f>'PL CTĐG'!#REF!</f>
        <v>#REF!</v>
      </c>
      <c r="D71" s="288" t="e">
        <f>'PL CTĐG'!#REF!</f>
        <v>#REF!</v>
      </c>
      <c r="E71" s="278" t="e">
        <f>'PL CTĐG'!#REF!</f>
        <v>#REF!</v>
      </c>
      <c r="F71" s="278" t="e">
        <f t="shared" si="0"/>
        <v>#REF!</v>
      </c>
    </row>
    <row r="72" spans="1:6" s="280" customFormat="1" ht="18" customHeight="1">
      <c r="A72" s="13" t="e">
        <f>'PL CTĐG'!#REF!</f>
        <v>#REF!</v>
      </c>
      <c r="B72" s="289" t="e">
        <f>'PL CTĐG'!#REF!</f>
        <v>#REF!</v>
      </c>
      <c r="C72" s="139" t="e">
        <f>'PL CTĐG'!#REF!</f>
        <v>#REF!</v>
      </c>
      <c r="D72" s="288" t="e">
        <f>'PL CTĐG'!#REF!</f>
        <v>#REF!</v>
      </c>
      <c r="E72" s="278" t="e">
        <f>'PL CTĐG'!#REF!</f>
        <v>#REF!</v>
      </c>
      <c r="F72" s="278" t="e">
        <f t="shared" si="0"/>
        <v>#REF!</v>
      </c>
    </row>
    <row r="73" spans="1:6" s="280" customFormat="1" ht="27" customHeight="1">
      <c r="A73" s="13" t="e">
        <f>'PL CTĐG'!#REF!</f>
        <v>#REF!</v>
      </c>
      <c r="B73" s="289" t="e">
        <f>'PL CTĐG'!#REF!</f>
        <v>#REF!</v>
      </c>
      <c r="C73" s="139" t="e">
        <f>'PL CTĐG'!#REF!</f>
        <v>#REF!</v>
      </c>
      <c r="D73" s="288" t="e">
        <f>'PL CTĐG'!#REF!</f>
        <v>#REF!</v>
      </c>
      <c r="E73" s="278" t="e">
        <f>'PL CTĐG'!#REF!</f>
        <v>#REF!</v>
      </c>
      <c r="F73" s="278" t="e">
        <f t="shared" si="0"/>
        <v>#REF!</v>
      </c>
    </row>
    <row r="74" spans="1:6" s="280" customFormat="1" ht="18" customHeight="1">
      <c r="A74" s="13" t="e">
        <f>'PL CTĐG'!#REF!</f>
        <v>#REF!</v>
      </c>
      <c r="B74" s="289" t="e">
        <f>'PL CTĐG'!#REF!</f>
        <v>#REF!</v>
      </c>
      <c r="C74" s="139" t="e">
        <f>'PL CTĐG'!#REF!</f>
        <v>#REF!</v>
      </c>
      <c r="D74" s="288" t="e">
        <f>'PL CTĐG'!#REF!</f>
        <v>#REF!</v>
      </c>
      <c r="E74" s="278" t="e">
        <f>'PL CTĐG'!#REF!</f>
        <v>#REF!</v>
      </c>
      <c r="F74" s="278" t="e">
        <f t="shared" si="0"/>
        <v>#REF!</v>
      </c>
    </row>
    <row r="75" spans="1:6" s="280" customFormat="1" ht="27" customHeight="1">
      <c r="A75" s="13" t="e">
        <f>'PL CTĐG'!#REF!</f>
        <v>#REF!</v>
      </c>
      <c r="B75" s="289" t="e">
        <f>'PL CTĐG'!#REF!</f>
        <v>#REF!</v>
      </c>
      <c r="C75" s="139" t="e">
        <f>'PL CTĐG'!#REF!</f>
        <v>#REF!</v>
      </c>
      <c r="D75" s="288" t="e">
        <f>'PL CTĐG'!#REF!</f>
        <v>#REF!</v>
      </c>
      <c r="E75" s="278" t="e">
        <f>'PL CTĐG'!#REF!</f>
        <v>#REF!</v>
      </c>
      <c r="F75" s="278" t="e">
        <f t="shared" si="0"/>
        <v>#REF!</v>
      </c>
    </row>
    <row r="76" spans="1:6" s="280" customFormat="1" ht="18" customHeight="1">
      <c r="A76" s="13" t="e">
        <f>'PL CTĐG'!#REF!</f>
        <v>#REF!</v>
      </c>
      <c r="B76" s="289" t="e">
        <f>'PL CTĐG'!#REF!</f>
        <v>#REF!</v>
      </c>
      <c r="C76" s="139" t="e">
        <f>'PL CTĐG'!#REF!</f>
        <v>#REF!</v>
      </c>
      <c r="D76" s="288" t="e">
        <f>'PL CTĐG'!#REF!</f>
        <v>#REF!</v>
      </c>
      <c r="E76" s="278" t="e">
        <f>'PL CTĐG'!#REF!</f>
        <v>#REF!</v>
      </c>
      <c r="F76" s="278" t="e">
        <f t="shared" si="0"/>
        <v>#REF!</v>
      </c>
    </row>
    <row r="77" spans="1:6" s="280" customFormat="1" ht="18" customHeight="1">
      <c r="A77" s="13" t="e">
        <f>'PL CTĐG'!#REF!</f>
        <v>#REF!</v>
      </c>
      <c r="B77" s="289" t="e">
        <f>'PL CTĐG'!#REF!</f>
        <v>#REF!</v>
      </c>
      <c r="C77" s="139" t="e">
        <f>'PL CTĐG'!#REF!</f>
        <v>#REF!</v>
      </c>
      <c r="D77" s="288" t="e">
        <f>'PL CTĐG'!#REF!</f>
        <v>#REF!</v>
      </c>
      <c r="E77" s="278" t="e">
        <f>'PL CTĐG'!#REF!</f>
        <v>#REF!</v>
      </c>
      <c r="F77" s="278" t="e">
        <f t="shared" si="0"/>
        <v>#REF!</v>
      </c>
    </row>
    <row r="78" spans="1:6" s="280" customFormat="1" ht="18" customHeight="1">
      <c r="A78" s="13" t="e">
        <f>'PL CTĐG'!#REF!</f>
        <v>#REF!</v>
      </c>
      <c r="B78" s="289" t="e">
        <f>'PL CTĐG'!#REF!</f>
        <v>#REF!</v>
      </c>
      <c r="C78" s="139" t="e">
        <f>'PL CTĐG'!#REF!</f>
        <v>#REF!</v>
      </c>
      <c r="D78" s="288" t="e">
        <f>'PL CTĐG'!#REF!</f>
        <v>#REF!</v>
      </c>
      <c r="E78" s="278" t="e">
        <f>'PL CTĐG'!#REF!</f>
        <v>#REF!</v>
      </c>
      <c r="F78" s="278" t="e">
        <f t="shared" si="0"/>
        <v>#REF!</v>
      </c>
    </row>
    <row r="79" spans="1:6" s="280" customFormat="1" ht="18" customHeight="1">
      <c r="A79" s="13" t="e">
        <f>'PL CTĐG'!#REF!</f>
        <v>#REF!</v>
      </c>
      <c r="B79" s="289" t="e">
        <f>'PL CTĐG'!#REF!</f>
        <v>#REF!</v>
      </c>
      <c r="C79" s="139" t="e">
        <f>'PL CTĐG'!#REF!</f>
        <v>#REF!</v>
      </c>
      <c r="D79" s="288" t="e">
        <f>'PL CTĐG'!#REF!</f>
        <v>#REF!</v>
      </c>
      <c r="E79" s="278" t="e">
        <f>'PL CTĐG'!#REF!</f>
        <v>#REF!</v>
      </c>
      <c r="F79" s="278" t="e">
        <f t="shared" si="0"/>
        <v>#REF!</v>
      </c>
    </row>
    <row r="80" spans="1:6" s="280" customFormat="1" ht="18" customHeight="1">
      <c r="A80" s="13" t="e">
        <f>'PL CTĐG'!#REF!</f>
        <v>#REF!</v>
      </c>
      <c r="B80" s="289" t="e">
        <f>'PL CTĐG'!#REF!</f>
        <v>#REF!</v>
      </c>
      <c r="C80" s="139" t="e">
        <f>'PL CTĐG'!#REF!</f>
        <v>#REF!</v>
      </c>
      <c r="D80" s="288" t="e">
        <f>'PL CTĐG'!#REF!</f>
        <v>#REF!</v>
      </c>
      <c r="E80" s="278" t="e">
        <f>'PL CTĐG'!#REF!</f>
        <v>#REF!</v>
      </c>
      <c r="F80" s="278" t="e">
        <f t="shared" ref="F80:F150" si="1">E80*D80</f>
        <v>#REF!</v>
      </c>
    </row>
    <row r="81" spans="1:6" s="280" customFormat="1" ht="18" customHeight="1">
      <c r="A81" s="13" t="e">
        <f>+'PL CTĐG'!#REF!</f>
        <v>#REF!</v>
      </c>
      <c r="B81" s="289" t="e">
        <f>+'PL CTĐG'!#REF!</f>
        <v>#REF!</v>
      </c>
      <c r="C81" s="13" t="e">
        <f>+'PL CTĐG'!#REF!</f>
        <v>#REF!</v>
      </c>
      <c r="D81" s="288" t="e">
        <f>+'PL CTĐG'!#REF!</f>
        <v>#REF!</v>
      </c>
      <c r="E81" s="278" t="e">
        <f>+'PL CTĐG'!#REF!</f>
        <v>#REF!</v>
      </c>
      <c r="F81" s="278" t="e">
        <f>+D81*E81</f>
        <v>#REF!</v>
      </c>
    </row>
    <row r="82" spans="1:6" s="280" customFormat="1" ht="18" customHeight="1">
      <c r="A82" s="13" t="e">
        <f>+'PL CTĐG'!#REF!</f>
        <v>#REF!</v>
      </c>
      <c r="B82" s="289" t="e">
        <f>+'PL CTĐG'!#REF!</f>
        <v>#REF!</v>
      </c>
      <c r="C82" s="13" t="e">
        <f>+'PL CTĐG'!#REF!</f>
        <v>#REF!</v>
      </c>
      <c r="D82" s="288" t="e">
        <f>+'PL CTĐG'!#REF!</f>
        <v>#REF!</v>
      </c>
      <c r="E82" s="278" t="e">
        <f>+'PL CTĐG'!#REF!</f>
        <v>#REF!</v>
      </c>
      <c r="F82" s="278" t="e">
        <f>+D82*E82</f>
        <v>#REF!</v>
      </c>
    </row>
    <row r="83" spans="1:6" s="280" customFormat="1" ht="18" customHeight="1">
      <c r="A83" s="13" t="e">
        <f>+'PL CTĐG'!#REF!</f>
        <v>#REF!</v>
      </c>
      <c r="B83" s="289" t="e">
        <f>+'PL CTĐG'!#REF!</f>
        <v>#REF!</v>
      </c>
      <c r="C83" s="13" t="e">
        <f>+'PL CTĐG'!#REF!</f>
        <v>#REF!</v>
      </c>
      <c r="D83" s="288" t="e">
        <f>+'PL CTĐG'!#REF!</f>
        <v>#REF!</v>
      </c>
      <c r="E83" s="278" t="e">
        <f>+'PL CTĐG'!#REF!</f>
        <v>#REF!</v>
      </c>
      <c r="F83" s="278" t="e">
        <f>+D83*E83</f>
        <v>#REF!</v>
      </c>
    </row>
    <row r="84" spans="1:6" s="280" customFormat="1" ht="30.75" customHeight="1">
      <c r="A84" s="13"/>
      <c r="B84" s="287" t="e">
        <f>'PL CTĐG'!#REF!</f>
        <v>#REF!</v>
      </c>
      <c r="C84" s="139"/>
      <c r="D84" s="288"/>
      <c r="E84" s="278"/>
      <c r="F84" s="278"/>
    </row>
    <row r="85" spans="1:6" s="280" customFormat="1" ht="18" customHeight="1">
      <c r="A85" s="13" t="e">
        <f>'PL CTĐG'!#REF!</f>
        <v>#REF!</v>
      </c>
      <c r="B85" s="289" t="e">
        <f>'PL CTĐG'!#REF!</f>
        <v>#REF!</v>
      </c>
      <c r="C85" s="139" t="e">
        <f>'PL CTĐG'!#REF!</f>
        <v>#REF!</v>
      </c>
      <c r="D85" s="288" t="e">
        <f>'PL CTĐG'!#REF!</f>
        <v>#REF!</v>
      </c>
      <c r="E85" s="278" t="e">
        <f>'PL CTĐG'!#REF!</f>
        <v>#REF!</v>
      </c>
      <c r="F85" s="278" t="e">
        <f t="shared" si="1"/>
        <v>#REF!</v>
      </c>
    </row>
    <row r="86" spans="1:6" s="280" customFormat="1" ht="18" customHeight="1">
      <c r="A86" s="13" t="e">
        <f>'PL CTĐG'!#REF!</f>
        <v>#REF!</v>
      </c>
      <c r="B86" s="289" t="e">
        <f>'PL CTĐG'!#REF!</f>
        <v>#REF!</v>
      </c>
      <c r="C86" s="139" t="e">
        <f>'PL CTĐG'!#REF!</f>
        <v>#REF!</v>
      </c>
      <c r="D86" s="288" t="e">
        <f>'PL CTĐG'!#REF!</f>
        <v>#REF!</v>
      </c>
      <c r="E86" s="278" t="e">
        <f>'PL CTĐG'!#REF!</f>
        <v>#REF!</v>
      </c>
      <c r="F86" s="278" t="e">
        <f t="shared" si="1"/>
        <v>#REF!</v>
      </c>
    </row>
    <row r="87" spans="1:6" s="280" customFormat="1" ht="18" customHeight="1">
      <c r="A87" s="13" t="e">
        <f>'PL CTĐG'!#REF!</f>
        <v>#REF!</v>
      </c>
      <c r="B87" s="289" t="e">
        <f>'PL CTĐG'!#REF!</f>
        <v>#REF!</v>
      </c>
      <c r="C87" s="139" t="e">
        <f>'PL CTĐG'!#REF!</f>
        <v>#REF!</v>
      </c>
      <c r="D87" s="288" t="e">
        <f>'PL CTĐG'!#REF!</f>
        <v>#REF!</v>
      </c>
      <c r="E87" s="278" t="e">
        <f>'PL CTĐG'!#REF!</f>
        <v>#REF!</v>
      </c>
      <c r="F87" s="278" t="e">
        <f t="shared" si="1"/>
        <v>#REF!</v>
      </c>
    </row>
    <row r="88" spans="1:6" s="280" customFormat="1" ht="18" customHeight="1">
      <c r="A88" s="13" t="e">
        <f>'PL CTĐG'!#REF!</f>
        <v>#REF!</v>
      </c>
      <c r="B88" s="289" t="e">
        <f>'PL CTĐG'!#REF!</f>
        <v>#REF!</v>
      </c>
      <c r="C88" s="139" t="e">
        <f>'PL CTĐG'!#REF!</f>
        <v>#REF!</v>
      </c>
      <c r="D88" s="288" t="e">
        <f>'PL CTĐG'!#REF!</f>
        <v>#REF!</v>
      </c>
      <c r="E88" s="278" t="e">
        <f>'PL CTĐG'!#REF!</f>
        <v>#REF!</v>
      </c>
      <c r="F88" s="278" t="e">
        <f t="shared" si="1"/>
        <v>#REF!</v>
      </c>
    </row>
    <row r="89" spans="1:6" s="280" customFormat="1" ht="29.25" customHeight="1">
      <c r="A89" s="13"/>
      <c r="B89" s="287" t="e">
        <f>'PL CTĐG'!#REF!</f>
        <v>#REF!</v>
      </c>
      <c r="C89" s="139"/>
      <c r="D89" s="288"/>
      <c r="E89" s="278"/>
      <c r="F89" s="278"/>
    </row>
    <row r="90" spans="1:6" s="280" customFormat="1" ht="18" customHeight="1">
      <c r="A90" s="13"/>
      <c r="B90" s="287" t="e">
        <f>'PL CTĐG'!#REF!</f>
        <v>#REF!</v>
      </c>
      <c r="C90" s="139"/>
      <c r="D90" s="288"/>
      <c r="E90" s="278"/>
      <c r="F90" s="278"/>
    </row>
    <row r="91" spans="1:6" s="280" customFormat="1" ht="18" customHeight="1">
      <c r="A91" s="13" t="e">
        <f>'PL CTĐG'!#REF!</f>
        <v>#REF!</v>
      </c>
      <c r="B91" s="289" t="e">
        <f>'PL CTĐG'!#REF!</f>
        <v>#REF!</v>
      </c>
      <c r="C91" s="139" t="e">
        <f>'PL CTĐG'!#REF!</f>
        <v>#REF!</v>
      </c>
      <c r="D91" s="288" t="e">
        <f>'PL CTĐG'!#REF!</f>
        <v>#REF!</v>
      </c>
      <c r="E91" s="278" t="e">
        <f>'PL CTĐG'!#REF!</f>
        <v>#REF!</v>
      </c>
      <c r="F91" s="278" t="e">
        <f t="shared" si="1"/>
        <v>#REF!</v>
      </c>
    </row>
    <row r="92" spans="1:6" s="280" customFormat="1" ht="18" customHeight="1">
      <c r="A92" s="13" t="e">
        <f>'PL CTĐG'!#REF!</f>
        <v>#REF!</v>
      </c>
      <c r="B92" s="289" t="e">
        <f>'PL CTĐG'!#REF!</f>
        <v>#REF!</v>
      </c>
      <c r="C92" s="139" t="e">
        <f>'PL CTĐG'!#REF!</f>
        <v>#REF!</v>
      </c>
      <c r="D92" s="288" t="e">
        <f>'PL CTĐG'!#REF!</f>
        <v>#REF!</v>
      </c>
      <c r="E92" s="278" t="e">
        <f>'PL CTĐG'!#REF!</f>
        <v>#REF!</v>
      </c>
      <c r="F92" s="278" t="e">
        <f t="shared" si="1"/>
        <v>#REF!</v>
      </c>
    </row>
    <row r="93" spans="1:6" s="280" customFormat="1" ht="18" customHeight="1">
      <c r="A93" s="13" t="e">
        <f>'PL CTĐG'!#REF!</f>
        <v>#REF!</v>
      </c>
      <c r="B93" s="289" t="e">
        <f>'PL CTĐG'!#REF!</f>
        <v>#REF!</v>
      </c>
      <c r="C93" s="139" t="e">
        <f>'PL CTĐG'!#REF!</f>
        <v>#REF!</v>
      </c>
      <c r="D93" s="288" t="e">
        <f>'PL CTĐG'!#REF!</f>
        <v>#REF!</v>
      </c>
      <c r="E93" s="278" t="e">
        <f>'PL CTĐG'!#REF!</f>
        <v>#REF!</v>
      </c>
      <c r="F93" s="278" t="e">
        <f t="shared" si="1"/>
        <v>#REF!</v>
      </c>
    </row>
    <row r="94" spans="1:6" s="280" customFormat="1" ht="18" customHeight="1">
      <c r="A94" s="13"/>
      <c r="B94" s="287" t="e">
        <f>'PL CTĐG'!#REF!</f>
        <v>#REF!</v>
      </c>
      <c r="C94" s="139"/>
      <c r="D94" s="288"/>
      <c r="E94" s="278"/>
      <c r="F94" s="278"/>
    </row>
    <row r="95" spans="1:6" s="280" customFormat="1" ht="18" customHeight="1">
      <c r="A95" s="13" t="e">
        <f>'PL CTĐG'!#REF!</f>
        <v>#REF!</v>
      </c>
      <c r="B95" s="289" t="e">
        <f>'PL CTĐG'!#REF!</f>
        <v>#REF!</v>
      </c>
      <c r="C95" s="139" t="e">
        <f>'PL CTĐG'!#REF!</f>
        <v>#REF!</v>
      </c>
      <c r="D95" s="288" t="e">
        <f>'PL CTĐG'!#REF!</f>
        <v>#REF!</v>
      </c>
      <c r="E95" s="278" t="e">
        <f>'PL CTĐG'!#REF!</f>
        <v>#REF!</v>
      </c>
      <c r="F95" s="278" t="e">
        <f t="shared" si="1"/>
        <v>#REF!</v>
      </c>
    </row>
    <row r="96" spans="1:6" s="280" customFormat="1" ht="18" customHeight="1">
      <c r="A96" s="13" t="e">
        <f>'PL CTĐG'!#REF!</f>
        <v>#REF!</v>
      </c>
      <c r="B96" s="289" t="e">
        <f>'PL CTĐG'!#REF!</f>
        <v>#REF!</v>
      </c>
      <c r="C96" s="139" t="e">
        <f>'PL CTĐG'!#REF!</f>
        <v>#REF!</v>
      </c>
      <c r="D96" s="288" t="e">
        <f>'PL CTĐG'!#REF!</f>
        <v>#REF!</v>
      </c>
      <c r="E96" s="278" t="e">
        <f>'PL CTĐG'!#REF!</f>
        <v>#REF!</v>
      </c>
      <c r="F96" s="278" t="e">
        <f t="shared" si="1"/>
        <v>#REF!</v>
      </c>
    </row>
    <row r="97" spans="1:6" s="280" customFormat="1" ht="18" customHeight="1">
      <c r="A97" s="290" t="e">
        <f>'PL CTĐG'!#REF!</f>
        <v>#REF!</v>
      </c>
      <c r="B97" s="291" t="e">
        <f>'PL CTĐG'!#REF!</f>
        <v>#REF!</v>
      </c>
      <c r="C97" s="292" t="e">
        <f>'PL CTĐG'!#REF!</f>
        <v>#REF!</v>
      </c>
      <c r="D97" s="293" t="e">
        <f>'PL CTĐG'!#REF!</f>
        <v>#REF!</v>
      </c>
      <c r="E97" s="294" t="e">
        <f>'PL CTĐG'!#REF!</f>
        <v>#REF!</v>
      </c>
      <c r="F97" s="294" t="e">
        <f t="shared" si="1"/>
        <v>#REF!</v>
      </c>
    </row>
    <row r="98" spans="1:6" s="280" customFormat="1" ht="29.25" customHeight="1">
      <c r="A98" s="12" t="e">
        <f>'PL CTĐG'!#REF!</f>
        <v>#REF!</v>
      </c>
      <c r="B98" s="507" t="e">
        <f>'PL CTĐG'!#REF!</f>
        <v>#REF!</v>
      </c>
      <c r="C98" s="276"/>
      <c r="D98" s="277"/>
      <c r="E98" s="286"/>
      <c r="F98" s="508" t="e">
        <f>SUM(F100:F130)</f>
        <v>#REF!</v>
      </c>
    </row>
    <row r="99" spans="1:6" s="280" customFormat="1" ht="30.75" customHeight="1">
      <c r="A99" s="96"/>
      <c r="B99" s="287" t="e">
        <f>'PL CTĐG'!#REF!</f>
        <v>#REF!</v>
      </c>
      <c r="C99" s="139"/>
      <c r="D99" s="288"/>
      <c r="E99" s="278"/>
      <c r="F99" s="278"/>
    </row>
    <row r="100" spans="1:6" s="280" customFormat="1" ht="18" customHeight="1">
      <c r="A100" s="13" t="e">
        <f>'PL CTĐG'!#REF!</f>
        <v>#REF!</v>
      </c>
      <c r="B100" s="289" t="e">
        <f>'PL CTĐG'!#REF!</f>
        <v>#REF!</v>
      </c>
      <c r="C100" s="139" t="e">
        <f>'PL CTĐG'!#REF!</f>
        <v>#REF!</v>
      </c>
      <c r="D100" s="288" t="e">
        <f>'PL CTĐG'!#REF!</f>
        <v>#REF!</v>
      </c>
      <c r="E100" s="278" t="e">
        <f>'PL CTĐG'!#REF!</f>
        <v>#REF!</v>
      </c>
      <c r="F100" s="278" t="e">
        <f t="shared" si="1"/>
        <v>#REF!</v>
      </c>
    </row>
    <row r="101" spans="1:6" s="280" customFormat="1" ht="18" customHeight="1">
      <c r="A101" s="13" t="e">
        <f>'PL CTĐG'!#REF!</f>
        <v>#REF!</v>
      </c>
      <c r="B101" s="289" t="e">
        <f>'PL CTĐG'!#REF!</f>
        <v>#REF!</v>
      </c>
      <c r="C101" s="139" t="e">
        <f>'PL CTĐG'!#REF!</f>
        <v>#REF!</v>
      </c>
      <c r="D101" s="288" t="e">
        <f>'PL CTĐG'!#REF!</f>
        <v>#REF!</v>
      </c>
      <c r="E101" s="278" t="e">
        <f>'PL CTĐG'!#REF!</f>
        <v>#REF!</v>
      </c>
      <c r="F101" s="278" t="e">
        <f t="shared" si="1"/>
        <v>#REF!</v>
      </c>
    </row>
    <row r="102" spans="1:6" s="280" customFormat="1" ht="31.5" customHeight="1">
      <c r="A102" s="13" t="e">
        <f>'PL CTĐG'!#REF!</f>
        <v>#REF!</v>
      </c>
      <c r="B102" s="289" t="e">
        <f>'PL CTĐG'!#REF!</f>
        <v>#REF!</v>
      </c>
      <c r="C102" s="139" t="e">
        <f>'PL CTĐG'!#REF!</f>
        <v>#REF!</v>
      </c>
      <c r="D102" s="288" t="e">
        <f>'PL CTĐG'!#REF!</f>
        <v>#REF!</v>
      </c>
      <c r="E102" s="278" t="e">
        <f>'PL CTĐG'!#REF!</f>
        <v>#REF!</v>
      </c>
      <c r="F102" s="278" t="e">
        <f t="shared" si="1"/>
        <v>#REF!</v>
      </c>
    </row>
    <row r="103" spans="1:6" s="280" customFormat="1" ht="18" customHeight="1">
      <c r="A103" s="13" t="e">
        <f>'PL CTĐG'!#REF!</f>
        <v>#REF!</v>
      </c>
      <c r="B103" s="289" t="e">
        <f>'PL CTĐG'!#REF!</f>
        <v>#REF!</v>
      </c>
      <c r="C103" s="139" t="e">
        <f>'PL CTĐG'!#REF!</f>
        <v>#REF!</v>
      </c>
      <c r="D103" s="288" t="e">
        <f>'PL CTĐG'!#REF!</f>
        <v>#REF!</v>
      </c>
      <c r="E103" s="278" t="e">
        <f>'PL CTĐG'!#REF!</f>
        <v>#REF!</v>
      </c>
      <c r="F103" s="278" t="e">
        <f t="shared" si="1"/>
        <v>#REF!</v>
      </c>
    </row>
    <row r="104" spans="1:6" s="280" customFormat="1" ht="27" customHeight="1">
      <c r="A104" s="13" t="e">
        <f>'PL CTĐG'!#REF!</f>
        <v>#REF!</v>
      </c>
      <c r="B104" s="289" t="e">
        <f>'PL CTĐG'!#REF!</f>
        <v>#REF!</v>
      </c>
      <c r="C104" s="139" t="e">
        <f>'PL CTĐG'!#REF!</f>
        <v>#REF!</v>
      </c>
      <c r="D104" s="288" t="e">
        <f>'PL CTĐG'!#REF!</f>
        <v>#REF!</v>
      </c>
      <c r="E104" s="278" t="e">
        <f>'PL CTĐG'!#REF!</f>
        <v>#REF!</v>
      </c>
      <c r="F104" s="278" t="e">
        <f t="shared" si="1"/>
        <v>#REF!</v>
      </c>
    </row>
    <row r="105" spans="1:6" s="280" customFormat="1" ht="18" customHeight="1">
      <c r="A105" s="13" t="e">
        <f>'PL CTĐG'!#REF!</f>
        <v>#REF!</v>
      </c>
      <c r="B105" s="289" t="e">
        <f>'PL CTĐG'!#REF!</f>
        <v>#REF!</v>
      </c>
      <c r="C105" s="139" t="e">
        <f>'PL CTĐG'!#REF!</f>
        <v>#REF!</v>
      </c>
      <c r="D105" s="288" t="e">
        <f>'PL CTĐG'!#REF!</f>
        <v>#REF!</v>
      </c>
      <c r="E105" s="278" t="e">
        <f>'PL CTĐG'!#REF!</f>
        <v>#REF!</v>
      </c>
      <c r="F105" s="278" t="e">
        <f t="shared" si="1"/>
        <v>#REF!</v>
      </c>
    </row>
    <row r="106" spans="1:6" s="280" customFormat="1" ht="18" customHeight="1">
      <c r="A106" s="13" t="e">
        <f>'PL CTĐG'!#REF!</f>
        <v>#REF!</v>
      </c>
      <c r="B106" s="289" t="e">
        <f>'PL CTĐG'!#REF!</f>
        <v>#REF!</v>
      </c>
      <c r="C106" s="139" t="e">
        <f>'PL CTĐG'!#REF!</f>
        <v>#REF!</v>
      </c>
      <c r="D106" s="288" t="e">
        <f>'PL CTĐG'!#REF!</f>
        <v>#REF!</v>
      </c>
      <c r="E106" s="278" t="e">
        <f>'PL CTĐG'!#REF!</f>
        <v>#REF!</v>
      </c>
      <c r="F106" s="278" t="e">
        <f t="shared" si="1"/>
        <v>#REF!</v>
      </c>
    </row>
    <row r="107" spans="1:6" s="280" customFormat="1" ht="18" customHeight="1">
      <c r="A107" s="13" t="e">
        <f>'PL CTĐG'!#REF!</f>
        <v>#REF!</v>
      </c>
      <c r="B107" s="289" t="e">
        <f>'PL CTĐG'!#REF!</f>
        <v>#REF!</v>
      </c>
      <c r="C107" s="139" t="e">
        <f>'PL CTĐG'!#REF!</f>
        <v>#REF!</v>
      </c>
      <c r="D107" s="288" t="e">
        <f>'PL CTĐG'!#REF!</f>
        <v>#REF!</v>
      </c>
      <c r="E107" s="278" t="e">
        <f>'PL CTĐG'!#REF!</f>
        <v>#REF!</v>
      </c>
      <c r="F107" s="278" t="e">
        <f t="shared" si="1"/>
        <v>#REF!</v>
      </c>
    </row>
    <row r="108" spans="1:6" s="280" customFormat="1" ht="18" customHeight="1">
      <c r="A108" s="13" t="e">
        <f>'PL CTĐG'!#REF!</f>
        <v>#REF!</v>
      </c>
      <c r="B108" s="289" t="e">
        <f>'PL CTĐG'!#REF!</f>
        <v>#REF!</v>
      </c>
      <c r="C108" s="139" t="e">
        <f>'PL CTĐG'!#REF!</f>
        <v>#REF!</v>
      </c>
      <c r="D108" s="288" t="e">
        <f>'PL CTĐG'!#REF!</f>
        <v>#REF!</v>
      </c>
      <c r="E108" s="278" t="e">
        <f>'PL CTĐG'!#REF!</f>
        <v>#REF!</v>
      </c>
      <c r="F108" s="278" t="e">
        <f t="shared" si="1"/>
        <v>#REF!</v>
      </c>
    </row>
    <row r="109" spans="1:6" s="280" customFormat="1" ht="18" customHeight="1">
      <c r="A109" s="13" t="e">
        <f>'PL CTĐG'!#REF!</f>
        <v>#REF!</v>
      </c>
      <c r="B109" s="289" t="e">
        <f>'PL CTĐG'!#REF!</f>
        <v>#REF!</v>
      </c>
      <c r="C109" s="139" t="e">
        <f>'PL CTĐG'!#REF!</f>
        <v>#REF!</v>
      </c>
      <c r="D109" s="288" t="e">
        <f>'PL CTĐG'!#REF!</f>
        <v>#REF!</v>
      </c>
      <c r="E109" s="278" t="e">
        <f>'PL CTĐG'!#REF!</f>
        <v>#REF!</v>
      </c>
      <c r="F109" s="278" t="e">
        <f t="shared" si="1"/>
        <v>#REF!</v>
      </c>
    </row>
    <row r="110" spans="1:6" s="280" customFormat="1" ht="18" customHeight="1">
      <c r="A110" s="13" t="e">
        <f>+'PL CTĐG'!#REF!</f>
        <v>#REF!</v>
      </c>
      <c r="B110" s="289" t="e">
        <f>+'PL CTĐG'!#REF!</f>
        <v>#REF!</v>
      </c>
      <c r="C110" s="13" t="e">
        <f>+'PL CTĐG'!#REF!</f>
        <v>#REF!</v>
      </c>
      <c r="D110" s="288" t="e">
        <f>+'PL CTĐG'!#REF!</f>
        <v>#REF!</v>
      </c>
      <c r="E110" s="278" t="e">
        <f>+'PL CTĐG'!#REF!</f>
        <v>#REF!</v>
      </c>
      <c r="F110" s="278" t="e">
        <f>+D110*E110</f>
        <v>#REF!</v>
      </c>
    </row>
    <row r="111" spans="1:6" s="280" customFormat="1" ht="18" customHeight="1">
      <c r="A111" s="13" t="e">
        <f>+'PL CTĐG'!#REF!</f>
        <v>#REF!</v>
      </c>
      <c r="B111" s="289" t="e">
        <f>+'PL CTĐG'!#REF!</f>
        <v>#REF!</v>
      </c>
      <c r="C111" s="13" t="e">
        <f>+'PL CTĐG'!#REF!</f>
        <v>#REF!</v>
      </c>
      <c r="D111" s="288" t="e">
        <f>+'PL CTĐG'!#REF!</f>
        <v>#REF!</v>
      </c>
      <c r="E111" s="278" t="e">
        <f>+'PL CTĐG'!#REF!</f>
        <v>#REF!</v>
      </c>
      <c r="F111" s="278" t="e">
        <f>+D111*E111</f>
        <v>#REF!</v>
      </c>
    </row>
    <row r="112" spans="1:6" s="280" customFormat="1" ht="18" customHeight="1">
      <c r="A112" s="13" t="e">
        <f>+'PL CTĐG'!#REF!</f>
        <v>#REF!</v>
      </c>
      <c r="B112" s="289" t="e">
        <f>+'PL CTĐG'!#REF!</f>
        <v>#REF!</v>
      </c>
      <c r="C112" s="13" t="e">
        <f>+'PL CTĐG'!#REF!</f>
        <v>#REF!</v>
      </c>
      <c r="D112" s="288" t="e">
        <f>+'PL CTĐG'!#REF!</f>
        <v>#REF!</v>
      </c>
      <c r="E112" s="278" t="e">
        <f>+'PL CTĐG'!#REF!</f>
        <v>#REF!</v>
      </c>
      <c r="F112" s="278" t="e">
        <f>+D112*E112</f>
        <v>#REF!</v>
      </c>
    </row>
    <row r="113" spans="1:6" s="280" customFormat="1" ht="29.25" customHeight="1">
      <c r="A113" s="13"/>
      <c r="B113" s="287" t="e">
        <f>'PL CTĐG'!#REF!</f>
        <v>#REF!</v>
      </c>
      <c r="C113" s="139"/>
      <c r="D113" s="288"/>
      <c r="E113" s="278"/>
      <c r="F113" s="278"/>
    </row>
    <row r="114" spans="1:6" s="280" customFormat="1" ht="18" customHeight="1">
      <c r="A114" s="13" t="e">
        <f>'PL CTĐG'!#REF!</f>
        <v>#REF!</v>
      </c>
      <c r="B114" s="289" t="e">
        <f>'PL CTĐG'!#REF!</f>
        <v>#REF!</v>
      </c>
      <c r="C114" s="139" t="e">
        <f>'PL CTĐG'!#REF!</f>
        <v>#REF!</v>
      </c>
      <c r="D114" s="288" t="e">
        <f>'PL CTĐG'!#REF!</f>
        <v>#REF!</v>
      </c>
      <c r="E114" s="278" t="e">
        <f>'PL CTĐG'!#REF!</f>
        <v>#REF!</v>
      </c>
      <c r="F114" s="278" t="e">
        <f t="shared" si="1"/>
        <v>#REF!</v>
      </c>
    </row>
    <row r="115" spans="1:6" s="280" customFormat="1" ht="18" customHeight="1">
      <c r="A115" s="13" t="e">
        <f>'PL CTĐG'!#REF!</f>
        <v>#REF!</v>
      </c>
      <c r="B115" s="289" t="e">
        <f>'PL CTĐG'!#REF!</f>
        <v>#REF!</v>
      </c>
      <c r="C115" s="139" t="e">
        <f>'PL CTĐG'!#REF!</f>
        <v>#REF!</v>
      </c>
      <c r="D115" s="288" t="e">
        <f>'PL CTĐG'!#REF!</f>
        <v>#REF!</v>
      </c>
      <c r="E115" s="278" t="e">
        <f>'PL CTĐG'!#REF!</f>
        <v>#REF!</v>
      </c>
      <c r="F115" s="278" t="e">
        <f t="shared" si="1"/>
        <v>#REF!</v>
      </c>
    </row>
    <row r="116" spans="1:6" s="280" customFormat="1" ht="18" customHeight="1">
      <c r="A116" s="13" t="e">
        <f>'PL CTĐG'!#REF!</f>
        <v>#REF!</v>
      </c>
      <c r="B116" s="289" t="e">
        <f>'PL CTĐG'!#REF!</f>
        <v>#REF!</v>
      </c>
      <c r="C116" s="139" t="e">
        <f>'PL CTĐG'!#REF!</f>
        <v>#REF!</v>
      </c>
      <c r="D116" s="288" t="e">
        <f>'PL CTĐG'!#REF!</f>
        <v>#REF!</v>
      </c>
      <c r="E116" s="278" t="e">
        <f>'PL CTĐG'!#REF!</f>
        <v>#REF!</v>
      </c>
      <c r="F116" s="278" t="e">
        <f t="shared" si="1"/>
        <v>#REF!</v>
      </c>
    </row>
    <row r="117" spans="1:6" s="280" customFormat="1" ht="18" customHeight="1">
      <c r="A117" s="13" t="e">
        <f>'PL CTĐG'!#REF!</f>
        <v>#REF!</v>
      </c>
      <c r="B117" s="289" t="e">
        <f>'PL CTĐG'!#REF!</f>
        <v>#REF!</v>
      </c>
      <c r="C117" s="139" t="e">
        <f>'PL CTĐG'!#REF!</f>
        <v>#REF!</v>
      </c>
      <c r="D117" s="288" t="e">
        <f>'PL CTĐG'!#REF!</f>
        <v>#REF!</v>
      </c>
      <c r="E117" s="278" t="e">
        <f>'PL CTĐG'!#REF!</f>
        <v>#REF!</v>
      </c>
      <c r="F117" s="278" t="e">
        <f t="shared" si="1"/>
        <v>#REF!</v>
      </c>
    </row>
    <row r="118" spans="1:6" s="280" customFormat="1" ht="30" customHeight="1">
      <c r="A118" s="13"/>
      <c r="B118" s="287" t="e">
        <f>'PL CTĐG'!#REF!</f>
        <v>#REF!</v>
      </c>
      <c r="C118" s="139"/>
      <c r="D118" s="288"/>
      <c r="E118" s="278"/>
      <c r="F118" s="278"/>
    </row>
    <row r="119" spans="1:6" s="280" customFormat="1" ht="18" customHeight="1">
      <c r="A119" s="13"/>
      <c r="B119" s="287" t="e">
        <f>'PL CTĐG'!#REF!</f>
        <v>#REF!</v>
      </c>
      <c r="C119" s="139"/>
      <c r="D119" s="288"/>
      <c r="E119" s="278"/>
      <c r="F119" s="278"/>
    </row>
    <row r="120" spans="1:6" s="280" customFormat="1" ht="18" customHeight="1">
      <c r="A120" s="13" t="e">
        <f>'PL CTĐG'!#REF!</f>
        <v>#REF!</v>
      </c>
      <c r="B120" s="289" t="e">
        <f>'PL CTĐG'!#REF!</f>
        <v>#REF!</v>
      </c>
      <c r="C120" s="139" t="e">
        <f>'PL CTĐG'!#REF!</f>
        <v>#REF!</v>
      </c>
      <c r="D120" s="288" t="e">
        <f>'PL CTĐG'!#REF!</f>
        <v>#REF!</v>
      </c>
      <c r="E120" s="278" t="e">
        <f>'PL CTĐG'!#REF!</f>
        <v>#REF!</v>
      </c>
      <c r="F120" s="278" t="e">
        <f t="shared" si="1"/>
        <v>#REF!</v>
      </c>
    </row>
    <row r="121" spans="1:6" s="280" customFormat="1" ht="18" customHeight="1">
      <c r="A121" s="13" t="e">
        <f>'PL CTĐG'!#REF!</f>
        <v>#REF!</v>
      </c>
      <c r="B121" s="289" t="e">
        <f>'PL CTĐG'!#REF!</f>
        <v>#REF!</v>
      </c>
      <c r="C121" s="139" t="e">
        <f>'PL CTĐG'!#REF!</f>
        <v>#REF!</v>
      </c>
      <c r="D121" s="288" t="e">
        <f>'PL CTĐG'!#REF!</f>
        <v>#REF!</v>
      </c>
      <c r="E121" s="278" t="e">
        <f>'PL CTĐG'!#REF!</f>
        <v>#REF!</v>
      </c>
      <c r="F121" s="278" t="e">
        <f t="shared" si="1"/>
        <v>#REF!</v>
      </c>
    </row>
    <row r="122" spans="1:6" s="280" customFormat="1" ht="18" customHeight="1">
      <c r="A122" s="13" t="e">
        <f>'PL CTĐG'!#REF!</f>
        <v>#REF!</v>
      </c>
      <c r="B122" s="289" t="e">
        <f>'PL CTĐG'!#REF!</f>
        <v>#REF!</v>
      </c>
      <c r="C122" s="139" t="e">
        <f>'PL CTĐG'!#REF!</f>
        <v>#REF!</v>
      </c>
      <c r="D122" s="288" t="e">
        <f>'PL CTĐG'!#REF!</f>
        <v>#REF!</v>
      </c>
      <c r="E122" s="278" t="e">
        <f>'PL CTĐG'!#REF!</f>
        <v>#REF!</v>
      </c>
      <c r="F122" s="278" t="e">
        <f t="shared" si="1"/>
        <v>#REF!</v>
      </c>
    </row>
    <row r="123" spans="1:6" s="280" customFormat="1" ht="18" customHeight="1">
      <c r="A123" s="13"/>
      <c r="B123" s="287" t="e">
        <f>'PL CTĐG'!#REF!</f>
        <v>#REF!</v>
      </c>
      <c r="C123" s="139"/>
      <c r="D123" s="288"/>
      <c r="E123" s="278"/>
      <c r="F123" s="278"/>
    </row>
    <row r="124" spans="1:6" s="280" customFormat="1" ht="18" customHeight="1">
      <c r="A124" s="13" t="e">
        <f>'PL CTĐG'!#REF!</f>
        <v>#REF!</v>
      </c>
      <c r="B124" s="289" t="e">
        <f>'PL CTĐG'!#REF!</f>
        <v>#REF!</v>
      </c>
      <c r="C124" s="139" t="e">
        <f>'PL CTĐG'!#REF!</f>
        <v>#REF!</v>
      </c>
      <c r="D124" s="288" t="e">
        <f>'PL CTĐG'!#REF!</f>
        <v>#REF!</v>
      </c>
      <c r="E124" s="278" t="e">
        <f>'PL CTĐG'!#REF!</f>
        <v>#REF!</v>
      </c>
      <c r="F124" s="278" t="e">
        <f t="shared" si="1"/>
        <v>#REF!</v>
      </c>
    </row>
    <row r="125" spans="1:6" s="280" customFormat="1" ht="18" customHeight="1">
      <c r="A125" s="13" t="e">
        <f>'PL CTĐG'!#REF!</f>
        <v>#REF!</v>
      </c>
      <c r="B125" s="289" t="e">
        <f>'PL CTĐG'!#REF!</f>
        <v>#REF!</v>
      </c>
      <c r="C125" s="139" t="e">
        <f>'PL CTĐG'!#REF!</f>
        <v>#REF!</v>
      </c>
      <c r="D125" s="288" t="e">
        <f>'PL CTĐG'!#REF!</f>
        <v>#REF!</v>
      </c>
      <c r="E125" s="278" t="e">
        <f>'PL CTĐG'!#REF!</f>
        <v>#REF!</v>
      </c>
      <c r="F125" s="278" t="e">
        <f t="shared" si="1"/>
        <v>#REF!</v>
      </c>
    </row>
    <row r="126" spans="1:6" s="280" customFormat="1" ht="18" customHeight="1">
      <c r="A126" s="13" t="e">
        <f>'PL CTĐG'!#REF!</f>
        <v>#REF!</v>
      </c>
      <c r="B126" s="289" t="e">
        <f>'PL CTĐG'!#REF!</f>
        <v>#REF!</v>
      </c>
      <c r="C126" s="139" t="e">
        <f>'PL CTĐG'!#REF!</f>
        <v>#REF!</v>
      </c>
      <c r="D126" s="288" t="e">
        <f>'PL CTĐG'!#REF!</f>
        <v>#REF!</v>
      </c>
      <c r="E126" s="278" t="e">
        <f>'PL CTĐG'!#REF!</f>
        <v>#REF!</v>
      </c>
      <c r="F126" s="278" t="e">
        <f t="shared" si="1"/>
        <v>#REF!</v>
      </c>
    </row>
    <row r="127" spans="1:6" s="280" customFormat="1" ht="18" customHeight="1">
      <c r="A127" s="13"/>
      <c r="B127" s="287" t="e">
        <f>'PL CTĐG'!#REF!</f>
        <v>#REF!</v>
      </c>
      <c r="C127" s="139"/>
      <c r="D127" s="288"/>
      <c r="E127" s="278"/>
      <c r="F127" s="278"/>
    </row>
    <row r="128" spans="1:6" s="280" customFormat="1" ht="18" customHeight="1">
      <c r="A128" s="13" t="e">
        <f>'PL CTĐG'!#REF!</f>
        <v>#REF!</v>
      </c>
      <c r="B128" s="289" t="e">
        <f>'PL CTĐG'!#REF!</f>
        <v>#REF!</v>
      </c>
      <c r="C128" s="139" t="e">
        <f>'PL CTĐG'!#REF!</f>
        <v>#REF!</v>
      </c>
      <c r="D128" s="288" t="e">
        <f>'PL CTĐG'!#REF!</f>
        <v>#REF!</v>
      </c>
      <c r="E128" s="278" t="e">
        <f>'PL CTĐG'!#REF!</f>
        <v>#REF!</v>
      </c>
      <c r="F128" s="278" t="e">
        <f t="shared" si="1"/>
        <v>#REF!</v>
      </c>
    </row>
    <row r="129" spans="1:6" s="280" customFormat="1" ht="18" customHeight="1">
      <c r="A129" s="13" t="e">
        <f>'PL CTĐG'!#REF!</f>
        <v>#REF!</v>
      </c>
      <c r="B129" s="289" t="e">
        <f>'PL CTĐG'!#REF!</f>
        <v>#REF!</v>
      </c>
      <c r="C129" s="139" t="e">
        <f>'PL CTĐG'!#REF!</f>
        <v>#REF!</v>
      </c>
      <c r="D129" s="288" t="e">
        <f>'PL CTĐG'!#REF!</f>
        <v>#REF!</v>
      </c>
      <c r="E129" s="278" t="e">
        <f>'PL CTĐG'!#REF!</f>
        <v>#REF!</v>
      </c>
      <c r="F129" s="278" t="e">
        <f t="shared" si="1"/>
        <v>#REF!</v>
      </c>
    </row>
    <row r="130" spans="1:6" s="280" customFormat="1" ht="18" customHeight="1">
      <c r="A130" s="290" t="e">
        <f>'PL CTĐG'!#REF!</f>
        <v>#REF!</v>
      </c>
      <c r="B130" s="291" t="e">
        <f>'PL CTĐG'!#REF!</f>
        <v>#REF!</v>
      </c>
      <c r="C130" s="292" t="e">
        <f>'PL CTĐG'!#REF!</f>
        <v>#REF!</v>
      </c>
      <c r="D130" s="293" t="e">
        <f>'PL CTĐG'!#REF!</f>
        <v>#REF!</v>
      </c>
      <c r="E130" s="294" t="e">
        <f>'PL CTĐG'!#REF!</f>
        <v>#REF!</v>
      </c>
      <c r="F130" s="294" t="e">
        <f t="shared" si="1"/>
        <v>#REF!</v>
      </c>
    </row>
    <row r="131" spans="1:6" s="280" customFormat="1" ht="30" customHeight="1">
      <c r="A131" s="12" t="e">
        <f>'PL CTĐG'!#REF!</f>
        <v>#REF!</v>
      </c>
      <c r="B131" s="507" t="e">
        <f>'PL CTĐG'!#REF!</f>
        <v>#REF!</v>
      </c>
      <c r="C131" s="276"/>
      <c r="D131" s="277"/>
      <c r="E131" s="286"/>
      <c r="F131" s="508" t="e">
        <f>SUM(F133:F159)</f>
        <v>#REF!</v>
      </c>
    </row>
    <row r="132" spans="1:6" s="280" customFormat="1" ht="30" customHeight="1">
      <c r="A132" s="96"/>
      <c r="B132" s="287" t="e">
        <f>'PL CTĐG'!#REF!</f>
        <v>#REF!</v>
      </c>
      <c r="C132" s="139"/>
      <c r="D132" s="288"/>
      <c r="E132" s="278"/>
      <c r="F132" s="278"/>
    </row>
    <row r="133" spans="1:6" s="280" customFormat="1" ht="18" customHeight="1">
      <c r="A133" s="13" t="e">
        <f>'PL CTĐG'!#REF!</f>
        <v>#REF!</v>
      </c>
      <c r="B133" s="289" t="e">
        <f>'PL CTĐG'!#REF!</f>
        <v>#REF!</v>
      </c>
      <c r="C133" s="139" t="e">
        <f>'PL CTĐG'!#REF!</f>
        <v>#REF!</v>
      </c>
      <c r="D133" s="288" t="e">
        <f>'PL CTĐG'!#REF!</f>
        <v>#REF!</v>
      </c>
      <c r="E133" s="278" t="e">
        <f>'PL CTĐG'!#REF!</f>
        <v>#REF!</v>
      </c>
      <c r="F133" s="278" t="e">
        <f t="shared" si="1"/>
        <v>#REF!</v>
      </c>
    </row>
    <row r="134" spans="1:6" s="280" customFormat="1" ht="18" customHeight="1">
      <c r="A134" s="13" t="e">
        <f>'PL CTĐG'!#REF!</f>
        <v>#REF!</v>
      </c>
      <c r="B134" s="289" t="e">
        <f>'PL CTĐG'!#REF!</f>
        <v>#REF!</v>
      </c>
      <c r="C134" s="139" t="e">
        <f>'PL CTĐG'!#REF!</f>
        <v>#REF!</v>
      </c>
      <c r="D134" s="288" t="e">
        <f>'PL CTĐG'!#REF!</f>
        <v>#REF!</v>
      </c>
      <c r="E134" s="278" t="e">
        <f>'PL CTĐG'!#REF!</f>
        <v>#REF!</v>
      </c>
      <c r="F134" s="278" t="e">
        <f t="shared" si="1"/>
        <v>#REF!</v>
      </c>
    </row>
    <row r="135" spans="1:6" s="280" customFormat="1" ht="29.25" customHeight="1">
      <c r="A135" s="13" t="e">
        <f>'PL CTĐG'!#REF!</f>
        <v>#REF!</v>
      </c>
      <c r="B135" s="289" t="e">
        <f>'PL CTĐG'!#REF!</f>
        <v>#REF!</v>
      </c>
      <c r="C135" s="139" t="e">
        <f>'PL CTĐG'!#REF!</f>
        <v>#REF!</v>
      </c>
      <c r="D135" s="288" t="e">
        <f>'PL CTĐG'!#REF!</f>
        <v>#REF!</v>
      </c>
      <c r="E135" s="278" t="e">
        <f>'PL CTĐG'!#REF!</f>
        <v>#REF!</v>
      </c>
      <c r="F135" s="278" t="e">
        <f t="shared" si="1"/>
        <v>#REF!</v>
      </c>
    </row>
    <row r="136" spans="1:6" s="280" customFormat="1" ht="18" customHeight="1">
      <c r="A136" s="13" t="e">
        <f>'PL CTĐG'!#REF!</f>
        <v>#REF!</v>
      </c>
      <c r="B136" s="289" t="e">
        <f>'PL CTĐG'!#REF!</f>
        <v>#REF!</v>
      </c>
      <c r="C136" s="139" t="e">
        <f>'PL CTĐG'!#REF!</f>
        <v>#REF!</v>
      </c>
      <c r="D136" s="288" t="e">
        <f>'PL CTĐG'!#REF!</f>
        <v>#REF!</v>
      </c>
      <c r="E136" s="278" t="e">
        <f>'PL CTĐG'!#REF!</f>
        <v>#REF!</v>
      </c>
      <c r="F136" s="278" t="e">
        <f t="shared" si="1"/>
        <v>#REF!</v>
      </c>
    </row>
    <row r="137" spans="1:6" s="280" customFormat="1" ht="26.25" customHeight="1">
      <c r="A137" s="13" t="e">
        <f>'PL CTĐG'!#REF!</f>
        <v>#REF!</v>
      </c>
      <c r="B137" s="289" t="e">
        <f>'PL CTĐG'!#REF!</f>
        <v>#REF!</v>
      </c>
      <c r="C137" s="139" t="e">
        <f>'PL CTĐG'!#REF!</f>
        <v>#REF!</v>
      </c>
      <c r="D137" s="288" t="e">
        <f>'PL CTĐG'!#REF!</f>
        <v>#REF!</v>
      </c>
      <c r="E137" s="278" t="e">
        <f>'PL CTĐG'!#REF!</f>
        <v>#REF!</v>
      </c>
      <c r="F137" s="278" t="e">
        <f t="shared" si="1"/>
        <v>#REF!</v>
      </c>
    </row>
    <row r="138" spans="1:6" s="280" customFormat="1" ht="18" customHeight="1">
      <c r="A138" s="13" t="e">
        <f>'PL CTĐG'!#REF!</f>
        <v>#REF!</v>
      </c>
      <c r="B138" s="289" t="e">
        <f>'PL CTĐG'!#REF!</f>
        <v>#REF!</v>
      </c>
      <c r="C138" s="139" t="e">
        <f>'PL CTĐG'!#REF!</f>
        <v>#REF!</v>
      </c>
      <c r="D138" s="288" t="e">
        <f>'PL CTĐG'!#REF!</f>
        <v>#REF!</v>
      </c>
      <c r="E138" s="278" t="e">
        <f>'PL CTĐG'!#REF!</f>
        <v>#REF!</v>
      </c>
      <c r="F138" s="278" t="e">
        <f t="shared" si="1"/>
        <v>#REF!</v>
      </c>
    </row>
    <row r="139" spans="1:6" s="280" customFormat="1" ht="18" customHeight="1">
      <c r="A139" s="13" t="e">
        <f>'PL CTĐG'!#REF!</f>
        <v>#REF!</v>
      </c>
      <c r="B139" s="289" t="e">
        <f>'PL CTĐG'!#REF!</f>
        <v>#REF!</v>
      </c>
      <c r="C139" s="139" t="e">
        <f>'PL CTĐG'!#REF!</f>
        <v>#REF!</v>
      </c>
      <c r="D139" s="288" t="e">
        <f>'PL CTĐG'!#REF!</f>
        <v>#REF!</v>
      </c>
      <c r="E139" s="278" t="e">
        <f>'PL CTĐG'!#REF!</f>
        <v>#REF!</v>
      </c>
      <c r="F139" s="278" t="e">
        <f t="shared" si="1"/>
        <v>#REF!</v>
      </c>
    </row>
    <row r="140" spans="1:6" s="280" customFormat="1" ht="18" customHeight="1">
      <c r="A140" s="13" t="e">
        <f>'PL CTĐG'!#REF!</f>
        <v>#REF!</v>
      </c>
      <c r="B140" s="289" t="e">
        <f>'PL CTĐG'!#REF!</f>
        <v>#REF!</v>
      </c>
      <c r="C140" s="139" t="e">
        <f>'PL CTĐG'!#REF!</f>
        <v>#REF!</v>
      </c>
      <c r="D140" s="288" t="e">
        <f>'PL CTĐG'!#REF!</f>
        <v>#REF!</v>
      </c>
      <c r="E140" s="278" t="e">
        <f>'PL CTĐG'!#REF!</f>
        <v>#REF!</v>
      </c>
      <c r="F140" s="278" t="e">
        <f t="shared" si="1"/>
        <v>#REF!</v>
      </c>
    </row>
    <row r="141" spans="1:6" s="280" customFormat="1" ht="18" customHeight="1">
      <c r="A141" s="13" t="e">
        <f>'PL CTĐG'!#REF!</f>
        <v>#REF!</v>
      </c>
      <c r="B141" s="289" t="e">
        <f>'PL CTĐG'!#REF!</f>
        <v>#REF!</v>
      </c>
      <c r="C141" s="139" t="e">
        <f>'PL CTĐG'!#REF!</f>
        <v>#REF!</v>
      </c>
      <c r="D141" s="288" t="e">
        <f>'PL CTĐG'!#REF!</f>
        <v>#REF!</v>
      </c>
      <c r="E141" s="278" t="e">
        <f>'PL CTĐG'!#REF!</f>
        <v>#REF!</v>
      </c>
      <c r="F141" s="278" t="e">
        <f t="shared" si="1"/>
        <v>#REF!</v>
      </c>
    </row>
    <row r="142" spans="1:6" s="280" customFormat="1" ht="18" customHeight="1">
      <c r="A142" s="13" t="e">
        <f>'PL CTĐG'!#REF!</f>
        <v>#REF!</v>
      </c>
      <c r="B142" s="289" t="e">
        <f>'PL CTĐG'!#REF!</f>
        <v>#REF!</v>
      </c>
      <c r="C142" s="139" t="e">
        <f>'PL CTĐG'!#REF!</f>
        <v>#REF!</v>
      </c>
      <c r="D142" s="288" t="e">
        <f>'PL CTĐG'!#REF!</f>
        <v>#REF!</v>
      </c>
      <c r="E142" s="278" t="e">
        <f>'PL CTĐG'!#REF!</f>
        <v>#REF!</v>
      </c>
      <c r="F142" s="278" t="e">
        <f t="shared" si="1"/>
        <v>#REF!</v>
      </c>
    </row>
    <row r="143" spans="1:6" s="280" customFormat="1" ht="18" customHeight="1">
      <c r="A143" s="13" t="e">
        <f>+'PL CTĐG'!#REF!</f>
        <v>#REF!</v>
      </c>
      <c r="B143" s="289" t="e">
        <f>+'PL CTĐG'!#REF!</f>
        <v>#REF!</v>
      </c>
      <c r="C143" s="13" t="e">
        <f>+'PL CTĐG'!#REF!</f>
        <v>#REF!</v>
      </c>
      <c r="D143" s="288" t="e">
        <f>+'PL CTĐG'!#REF!</f>
        <v>#REF!</v>
      </c>
      <c r="E143" s="278" t="e">
        <f>+'PL CTĐG'!#REF!</f>
        <v>#REF!</v>
      </c>
      <c r="F143" s="278" t="e">
        <f>+D143*E143</f>
        <v>#REF!</v>
      </c>
    </row>
    <row r="144" spans="1:6" s="280" customFormat="1" ht="18" customHeight="1">
      <c r="A144" s="13" t="e">
        <f>+'PL CTĐG'!#REF!</f>
        <v>#REF!</v>
      </c>
      <c r="B144" s="289" t="e">
        <f>+'PL CTĐG'!#REF!</f>
        <v>#REF!</v>
      </c>
      <c r="C144" s="13" t="e">
        <f>+'PL CTĐG'!#REF!</f>
        <v>#REF!</v>
      </c>
      <c r="D144" s="288" t="e">
        <f>+'PL CTĐG'!#REF!</f>
        <v>#REF!</v>
      </c>
      <c r="E144" s="278" t="e">
        <f>+'PL CTĐG'!#REF!</f>
        <v>#REF!</v>
      </c>
      <c r="F144" s="278" t="e">
        <f>+D144*E144</f>
        <v>#REF!</v>
      </c>
    </row>
    <row r="145" spans="1:6" s="280" customFormat="1" ht="18" customHeight="1">
      <c r="A145" s="13" t="e">
        <f>+'PL CTĐG'!#REF!</f>
        <v>#REF!</v>
      </c>
      <c r="B145" s="289" t="e">
        <f>+'PL CTĐG'!#REF!</f>
        <v>#REF!</v>
      </c>
      <c r="C145" s="13" t="e">
        <f>+'PL CTĐG'!#REF!</f>
        <v>#REF!</v>
      </c>
      <c r="D145" s="288" t="e">
        <f>+'PL CTĐG'!#REF!</f>
        <v>#REF!</v>
      </c>
      <c r="E145" s="278" t="e">
        <f>+'PL CTĐG'!#REF!</f>
        <v>#REF!</v>
      </c>
      <c r="F145" s="278" t="e">
        <f>+D145*E145</f>
        <v>#REF!</v>
      </c>
    </row>
    <row r="146" spans="1:6" s="280" customFormat="1" ht="30.75" customHeight="1">
      <c r="A146" s="13"/>
      <c r="B146" s="287" t="e">
        <f>'PL CTĐG'!#REF!</f>
        <v>#REF!</v>
      </c>
      <c r="C146" s="139"/>
      <c r="D146" s="288"/>
      <c r="E146" s="278"/>
      <c r="F146" s="278"/>
    </row>
    <row r="147" spans="1:6" s="280" customFormat="1" ht="18" customHeight="1">
      <c r="A147" s="13" t="e">
        <f>'PL CTĐG'!#REF!</f>
        <v>#REF!</v>
      </c>
      <c r="B147" s="289" t="e">
        <f>'PL CTĐG'!#REF!</f>
        <v>#REF!</v>
      </c>
      <c r="C147" s="139" t="e">
        <f>'PL CTĐG'!#REF!</f>
        <v>#REF!</v>
      </c>
      <c r="D147" s="288" t="e">
        <f>'PL CTĐG'!#REF!</f>
        <v>#REF!</v>
      </c>
      <c r="E147" s="278" t="e">
        <f>'PL CTĐG'!#REF!</f>
        <v>#REF!</v>
      </c>
      <c r="F147" s="278" t="e">
        <f t="shared" si="1"/>
        <v>#REF!</v>
      </c>
    </row>
    <row r="148" spans="1:6" s="280" customFormat="1" ht="18" customHeight="1">
      <c r="A148" s="13" t="e">
        <f>'PL CTĐG'!#REF!</f>
        <v>#REF!</v>
      </c>
      <c r="B148" s="289" t="e">
        <f>'PL CTĐG'!#REF!</f>
        <v>#REF!</v>
      </c>
      <c r="C148" s="139" t="e">
        <f>'PL CTĐG'!#REF!</f>
        <v>#REF!</v>
      </c>
      <c r="D148" s="288" t="e">
        <f>'PL CTĐG'!#REF!</f>
        <v>#REF!</v>
      </c>
      <c r="E148" s="278" t="e">
        <f>'PL CTĐG'!#REF!</f>
        <v>#REF!</v>
      </c>
      <c r="F148" s="278" t="e">
        <f t="shared" si="1"/>
        <v>#REF!</v>
      </c>
    </row>
    <row r="149" spans="1:6" s="280" customFormat="1" ht="18" customHeight="1">
      <c r="A149" s="13" t="e">
        <f>'PL CTĐG'!#REF!</f>
        <v>#REF!</v>
      </c>
      <c r="B149" s="289" t="e">
        <f>'PL CTĐG'!#REF!</f>
        <v>#REF!</v>
      </c>
      <c r="C149" s="139" t="e">
        <f>'PL CTĐG'!#REF!</f>
        <v>#REF!</v>
      </c>
      <c r="D149" s="288" t="e">
        <f>'PL CTĐG'!#REF!</f>
        <v>#REF!</v>
      </c>
      <c r="E149" s="278" t="e">
        <f>'PL CTĐG'!#REF!</f>
        <v>#REF!</v>
      </c>
      <c r="F149" s="278" t="e">
        <f t="shared" si="1"/>
        <v>#REF!</v>
      </c>
    </row>
    <row r="150" spans="1:6" s="280" customFormat="1" ht="18" customHeight="1">
      <c r="A150" s="13" t="e">
        <f>'PL CTĐG'!#REF!</f>
        <v>#REF!</v>
      </c>
      <c r="B150" s="289" t="e">
        <f>'PL CTĐG'!#REF!</f>
        <v>#REF!</v>
      </c>
      <c r="C150" s="139" t="e">
        <f>'PL CTĐG'!#REF!</f>
        <v>#REF!</v>
      </c>
      <c r="D150" s="288" t="e">
        <f>'PL CTĐG'!#REF!</f>
        <v>#REF!</v>
      </c>
      <c r="E150" s="278" t="e">
        <f>'PL CTĐG'!#REF!</f>
        <v>#REF!</v>
      </c>
      <c r="F150" s="278" t="e">
        <f t="shared" si="1"/>
        <v>#REF!</v>
      </c>
    </row>
    <row r="151" spans="1:6" s="280" customFormat="1" ht="28.5" customHeight="1">
      <c r="A151" s="13"/>
      <c r="B151" s="287" t="e">
        <f>'PL CTĐG'!#REF!</f>
        <v>#REF!</v>
      </c>
      <c r="C151" s="139"/>
      <c r="D151" s="288"/>
      <c r="E151" s="278"/>
      <c r="F151" s="278"/>
    </row>
    <row r="152" spans="1:6" s="280" customFormat="1" ht="18" customHeight="1">
      <c r="A152" s="13"/>
      <c r="B152" s="287" t="e">
        <f>'PL CTĐG'!#REF!</f>
        <v>#REF!</v>
      </c>
      <c r="C152" s="139"/>
      <c r="D152" s="288"/>
      <c r="E152" s="278"/>
      <c r="F152" s="278"/>
    </row>
    <row r="153" spans="1:6" s="280" customFormat="1" ht="18" customHeight="1">
      <c r="A153" s="13" t="e">
        <f>'PL CTĐG'!#REF!</f>
        <v>#REF!</v>
      </c>
      <c r="B153" s="289" t="e">
        <f>'PL CTĐG'!#REF!</f>
        <v>#REF!</v>
      </c>
      <c r="C153" s="139" t="e">
        <f>'PL CTĐG'!#REF!</f>
        <v>#REF!</v>
      </c>
      <c r="D153" s="288" t="e">
        <f>'PL CTĐG'!#REF!</f>
        <v>#REF!</v>
      </c>
      <c r="E153" s="278" t="e">
        <f>'PL CTĐG'!#REF!</f>
        <v>#REF!</v>
      </c>
      <c r="F153" s="278" t="e">
        <f t="shared" ref="F153:F159" si="2">E153*D153</f>
        <v>#REF!</v>
      </c>
    </row>
    <row r="154" spans="1:6" s="280" customFormat="1" ht="18" customHeight="1">
      <c r="A154" s="13" t="e">
        <f>'PL CTĐG'!#REF!</f>
        <v>#REF!</v>
      </c>
      <c r="B154" s="289" t="e">
        <f>'PL CTĐG'!#REF!</f>
        <v>#REF!</v>
      </c>
      <c r="C154" s="139" t="e">
        <f>'PL CTĐG'!#REF!</f>
        <v>#REF!</v>
      </c>
      <c r="D154" s="288" t="e">
        <f>'PL CTĐG'!#REF!</f>
        <v>#REF!</v>
      </c>
      <c r="E154" s="278" t="e">
        <f>'PL CTĐG'!#REF!</f>
        <v>#REF!</v>
      </c>
      <c r="F154" s="278" t="e">
        <f t="shared" si="2"/>
        <v>#REF!</v>
      </c>
    </row>
    <row r="155" spans="1:6" s="280" customFormat="1" ht="18" customHeight="1">
      <c r="A155" s="13" t="e">
        <f>'PL CTĐG'!#REF!</f>
        <v>#REF!</v>
      </c>
      <c r="B155" s="289" t="e">
        <f>'PL CTĐG'!#REF!</f>
        <v>#REF!</v>
      </c>
      <c r="C155" s="139" t="e">
        <f>'PL CTĐG'!#REF!</f>
        <v>#REF!</v>
      </c>
      <c r="D155" s="288" t="e">
        <f>'PL CTĐG'!#REF!</f>
        <v>#REF!</v>
      </c>
      <c r="E155" s="278" t="e">
        <f>'PL CTĐG'!#REF!</f>
        <v>#REF!</v>
      </c>
      <c r="F155" s="278" t="e">
        <f t="shared" si="2"/>
        <v>#REF!</v>
      </c>
    </row>
    <row r="156" spans="1:6" s="280" customFormat="1" ht="18" customHeight="1">
      <c r="A156" s="13"/>
      <c r="B156" s="287" t="e">
        <f>'PL CTĐG'!#REF!</f>
        <v>#REF!</v>
      </c>
      <c r="C156" s="139"/>
      <c r="D156" s="288"/>
      <c r="E156" s="278"/>
      <c r="F156" s="278"/>
    </row>
    <row r="157" spans="1:6" s="280" customFormat="1" ht="18" customHeight="1">
      <c r="A157" s="13" t="e">
        <f>'PL CTĐG'!#REF!</f>
        <v>#REF!</v>
      </c>
      <c r="B157" s="289" t="e">
        <f>'PL CTĐG'!#REF!</f>
        <v>#REF!</v>
      </c>
      <c r="C157" s="139" t="e">
        <f>'PL CTĐG'!#REF!</f>
        <v>#REF!</v>
      </c>
      <c r="D157" s="288" t="e">
        <f>'PL CTĐG'!#REF!</f>
        <v>#REF!</v>
      </c>
      <c r="E157" s="278" t="e">
        <f>'PL CTĐG'!#REF!</f>
        <v>#REF!</v>
      </c>
      <c r="F157" s="278" t="e">
        <f t="shared" si="2"/>
        <v>#REF!</v>
      </c>
    </row>
    <row r="158" spans="1:6" s="280" customFormat="1" ht="18" customHeight="1">
      <c r="A158" s="13" t="e">
        <f>'PL CTĐG'!#REF!</f>
        <v>#REF!</v>
      </c>
      <c r="B158" s="289" t="e">
        <f>'PL CTĐG'!#REF!</f>
        <v>#REF!</v>
      </c>
      <c r="C158" s="139" t="e">
        <f>'PL CTĐG'!#REF!</f>
        <v>#REF!</v>
      </c>
      <c r="D158" s="288" t="e">
        <f>'PL CTĐG'!#REF!</f>
        <v>#REF!</v>
      </c>
      <c r="E158" s="278" t="e">
        <f>'PL CTĐG'!#REF!</f>
        <v>#REF!</v>
      </c>
      <c r="F158" s="278" t="e">
        <f t="shared" si="2"/>
        <v>#REF!</v>
      </c>
    </row>
    <row r="159" spans="1:6" s="280" customFormat="1" ht="18" customHeight="1">
      <c r="A159" s="290" t="e">
        <f>'PL CTĐG'!#REF!</f>
        <v>#REF!</v>
      </c>
      <c r="B159" s="291" t="e">
        <f>'PL CTĐG'!#REF!</f>
        <v>#REF!</v>
      </c>
      <c r="C159" s="292" t="e">
        <f>'PL CTĐG'!#REF!</f>
        <v>#REF!</v>
      </c>
      <c r="D159" s="293" t="e">
        <f>'PL CTĐG'!#REF!</f>
        <v>#REF!</v>
      </c>
      <c r="E159" s="294" t="e">
        <f>'PL CTĐG'!#REF!</f>
        <v>#REF!</v>
      </c>
      <c r="F159" s="294" t="e">
        <f t="shared" si="2"/>
        <v>#REF!</v>
      </c>
    </row>
    <row r="160" spans="1:6" s="280" customFormat="1" ht="30" customHeight="1">
      <c r="A160" s="12" t="e">
        <f>'PL CTĐG'!#REF!</f>
        <v>#REF!</v>
      </c>
      <c r="B160" s="507" t="e">
        <f>'PL CTĐG'!#REF!</f>
        <v>#REF!</v>
      </c>
      <c r="C160" s="276"/>
      <c r="D160" s="277"/>
      <c r="E160" s="286"/>
      <c r="F160" s="508" t="e">
        <f>SUM(F162:F184)</f>
        <v>#REF!</v>
      </c>
    </row>
    <row r="161" spans="1:6" s="280" customFormat="1" ht="29.25" customHeight="1">
      <c r="A161" s="96"/>
      <c r="B161" s="287" t="e">
        <f>'PL CTĐG'!#REF!</f>
        <v>#REF!</v>
      </c>
      <c r="C161" s="139"/>
      <c r="D161" s="288"/>
      <c r="E161" s="278"/>
      <c r="F161" s="278"/>
    </row>
    <row r="162" spans="1:6" s="280" customFormat="1" ht="18" customHeight="1">
      <c r="A162" s="13" t="e">
        <f>'PL CTĐG'!#REF!</f>
        <v>#REF!</v>
      </c>
      <c r="B162" s="289" t="e">
        <f>'PL CTĐG'!#REF!</f>
        <v>#REF!</v>
      </c>
      <c r="C162" s="139" t="e">
        <f>'PL CTĐG'!#REF!</f>
        <v>#REF!</v>
      </c>
      <c r="D162" s="288" t="e">
        <f>'PL CTĐG'!#REF!</f>
        <v>#REF!</v>
      </c>
      <c r="E162" s="278" t="e">
        <f>'PL CTĐG'!#REF!</f>
        <v>#REF!</v>
      </c>
      <c r="F162" s="278" t="e">
        <f t="shared" ref="F162:F225" si="3">E162*D162</f>
        <v>#REF!</v>
      </c>
    </row>
    <row r="163" spans="1:6" s="280" customFormat="1" ht="18" customHeight="1">
      <c r="A163" s="13" t="e">
        <f>'PL CTĐG'!#REF!</f>
        <v>#REF!</v>
      </c>
      <c r="B163" s="289" t="e">
        <f>'PL CTĐG'!#REF!</f>
        <v>#REF!</v>
      </c>
      <c r="C163" s="139" t="e">
        <f>'PL CTĐG'!#REF!</f>
        <v>#REF!</v>
      </c>
      <c r="D163" s="288" t="e">
        <f>'PL CTĐG'!#REF!</f>
        <v>#REF!</v>
      </c>
      <c r="E163" s="278" t="e">
        <f>'PL CTĐG'!#REF!</f>
        <v>#REF!</v>
      </c>
      <c r="F163" s="278" t="e">
        <f t="shared" si="3"/>
        <v>#REF!</v>
      </c>
    </row>
    <row r="164" spans="1:6" s="280" customFormat="1" ht="30.75" customHeight="1">
      <c r="A164" s="13" t="e">
        <f>'PL CTĐG'!#REF!</f>
        <v>#REF!</v>
      </c>
      <c r="B164" s="289" t="e">
        <f>'PL CTĐG'!#REF!</f>
        <v>#REF!</v>
      </c>
      <c r="C164" s="139" t="e">
        <f>'PL CTĐG'!#REF!</f>
        <v>#REF!</v>
      </c>
      <c r="D164" s="288" t="e">
        <f>'PL CTĐG'!#REF!</f>
        <v>#REF!</v>
      </c>
      <c r="E164" s="278" t="e">
        <f>'PL CTĐG'!#REF!</f>
        <v>#REF!</v>
      </c>
      <c r="F164" s="278" t="e">
        <f t="shared" si="3"/>
        <v>#REF!</v>
      </c>
    </row>
    <row r="165" spans="1:6" s="280" customFormat="1" ht="18" customHeight="1">
      <c r="A165" s="13" t="e">
        <f>'PL CTĐG'!#REF!</f>
        <v>#REF!</v>
      </c>
      <c r="B165" s="289" t="e">
        <f>'PL CTĐG'!#REF!</f>
        <v>#REF!</v>
      </c>
      <c r="C165" s="139" t="e">
        <f>'PL CTĐG'!#REF!</f>
        <v>#REF!</v>
      </c>
      <c r="D165" s="288" t="e">
        <f>'PL CTĐG'!#REF!</f>
        <v>#REF!</v>
      </c>
      <c r="E165" s="278" t="e">
        <f>'PL CTĐG'!#REF!</f>
        <v>#REF!</v>
      </c>
      <c r="F165" s="278" t="e">
        <f t="shared" si="3"/>
        <v>#REF!</v>
      </c>
    </row>
    <row r="166" spans="1:6" s="280" customFormat="1" ht="27.75" customHeight="1">
      <c r="A166" s="13" t="e">
        <f>'PL CTĐG'!#REF!</f>
        <v>#REF!</v>
      </c>
      <c r="B166" s="289" t="e">
        <f>'PL CTĐG'!#REF!</f>
        <v>#REF!</v>
      </c>
      <c r="C166" s="139" t="e">
        <f>'PL CTĐG'!#REF!</f>
        <v>#REF!</v>
      </c>
      <c r="D166" s="288" t="e">
        <f>'PL CTĐG'!#REF!</f>
        <v>#REF!</v>
      </c>
      <c r="E166" s="278" t="e">
        <f>'PL CTĐG'!#REF!</f>
        <v>#REF!</v>
      </c>
      <c r="F166" s="278" t="e">
        <f t="shared" si="3"/>
        <v>#REF!</v>
      </c>
    </row>
    <row r="167" spans="1:6" s="280" customFormat="1" ht="18" customHeight="1">
      <c r="A167" s="13" t="e">
        <f>'PL CTĐG'!#REF!</f>
        <v>#REF!</v>
      </c>
      <c r="B167" s="289" t="e">
        <f>'PL CTĐG'!#REF!</f>
        <v>#REF!</v>
      </c>
      <c r="C167" s="139" t="e">
        <f>'PL CTĐG'!#REF!</f>
        <v>#REF!</v>
      </c>
      <c r="D167" s="288" t="e">
        <f>'PL CTĐG'!#REF!</f>
        <v>#REF!</v>
      </c>
      <c r="E167" s="278" t="e">
        <f>'PL CTĐG'!#REF!</f>
        <v>#REF!</v>
      </c>
      <c r="F167" s="278" t="e">
        <f t="shared" si="3"/>
        <v>#REF!</v>
      </c>
    </row>
    <row r="168" spans="1:6" s="280" customFormat="1" ht="18" customHeight="1">
      <c r="A168" s="13" t="e">
        <f>'PL CTĐG'!#REF!</f>
        <v>#REF!</v>
      </c>
      <c r="B168" s="289" t="e">
        <f>'PL CTĐG'!#REF!</f>
        <v>#REF!</v>
      </c>
      <c r="C168" s="139" t="e">
        <f>'PL CTĐG'!#REF!</f>
        <v>#REF!</v>
      </c>
      <c r="D168" s="288" t="e">
        <f>'PL CTĐG'!#REF!</f>
        <v>#REF!</v>
      </c>
      <c r="E168" s="278" t="e">
        <f>'PL CTĐG'!#REF!</f>
        <v>#REF!</v>
      </c>
      <c r="F168" s="278" t="e">
        <f t="shared" si="3"/>
        <v>#REF!</v>
      </c>
    </row>
    <row r="169" spans="1:6" s="280" customFormat="1" ht="18" customHeight="1">
      <c r="A169" s="13" t="e">
        <f>'PL CTĐG'!#REF!</f>
        <v>#REF!</v>
      </c>
      <c r="B169" s="289" t="e">
        <f>'PL CTĐG'!#REF!</f>
        <v>#REF!</v>
      </c>
      <c r="C169" s="139" t="e">
        <f>'PL CTĐG'!#REF!</f>
        <v>#REF!</v>
      </c>
      <c r="D169" s="288" t="e">
        <f>'PL CTĐG'!#REF!</f>
        <v>#REF!</v>
      </c>
      <c r="E169" s="278" t="e">
        <f>'PL CTĐG'!#REF!</f>
        <v>#REF!</v>
      </c>
      <c r="F169" s="278" t="e">
        <f t="shared" si="3"/>
        <v>#REF!</v>
      </c>
    </row>
    <row r="170" spans="1:6" s="280" customFormat="1" ht="18" customHeight="1">
      <c r="A170" s="13" t="e">
        <f>'PL CTĐG'!#REF!</f>
        <v>#REF!</v>
      </c>
      <c r="B170" s="289" t="e">
        <f>'PL CTĐG'!#REF!</f>
        <v>#REF!</v>
      </c>
      <c r="C170" s="139" t="e">
        <f>'PL CTĐG'!#REF!</f>
        <v>#REF!</v>
      </c>
      <c r="D170" s="288" t="e">
        <f>'PL CTĐG'!#REF!</f>
        <v>#REF!</v>
      </c>
      <c r="E170" s="278" t="e">
        <f>'PL CTĐG'!#REF!</f>
        <v>#REF!</v>
      </c>
      <c r="F170" s="278" t="e">
        <f t="shared" si="3"/>
        <v>#REF!</v>
      </c>
    </row>
    <row r="171" spans="1:6" s="280" customFormat="1" ht="18" customHeight="1">
      <c r="A171" s="13" t="e">
        <f>'PL CTĐG'!#REF!</f>
        <v>#REF!</v>
      </c>
      <c r="B171" s="289" t="e">
        <f>'PL CTĐG'!#REF!</f>
        <v>#REF!</v>
      </c>
      <c r="C171" s="139" t="e">
        <f>'PL CTĐG'!#REF!</f>
        <v>#REF!</v>
      </c>
      <c r="D171" s="288" t="e">
        <f>'PL CTĐG'!#REF!</f>
        <v>#REF!</v>
      </c>
      <c r="E171" s="278" t="e">
        <f>'PL CTĐG'!#REF!</f>
        <v>#REF!</v>
      </c>
      <c r="F171" s="278" t="e">
        <f t="shared" si="3"/>
        <v>#REF!</v>
      </c>
    </row>
    <row r="172" spans="1:6" s="280" customFormat="1" ht="18" customHeight="1">
      <c r="A172" s="13" t="e">
        <f>+'PL CTĐG'!#REF!</f>
        <v>#REF!</v>
      </c>
      <c r="B172" s="289" t="e">
        <f>+'PL CTĐG'!#REF!</f>
        <v>#REF!</v>
      </c>
      <c r="C172" s="13" t="e">
        <f>+'PL CTĐG'!#REF!</f>
        <v>#REF!</v>
      </c>
      <c r="D172" s="288" t="e">
        <f>+'PL CTĐG'!#REF!</f>
        <v>#REF!</v>
      </c>
      <c r="E172" s="278" t="e">
        <f>+'PL CTĐG'!#REF!</f>
        <v>#REF!</v>
      </c>
      <c r="F172" s="278" t="e">
        <f>+D172*E172</f>
        <v>#REF!</v>
      </c>
    </row>
    <row r="173" spans="1:6" s="280" customFormat="1" ht="18" customHeight="1">
      <c r="A173" s="13" t="e">
        <f>+'PL CTĐG'!#REF!</f>
        <v>#REF!</v>
      </c>
      <c r="B173" s="289" t="e">
        <f>+'PL CTĐG'!#REF!</f>
        <v>#REF!</v>
      </c>
      <c r="C173" s="13" t="e">
        <f>+'PL CTĐG'!#REF!</f>
        <v>#REF!</v>
      </c>
      <c r="D173" s="288" t="e">
        <f>+'PL CTĐG'!#REF!</f>
        <v>#REF!</v>
      </c>
      <c r="E173" s="278" t="e">
        <f>+'PL CTĐG'!#REF!</f>
        <v>#REF!</v>
      </c>
      <c r="F173" s="278" t="e">
        <f>+D173*E173</f>
        <v>#REF!</v>
      </c>
    </row>
    <row r="174" spans="1:6" s="280" customFormat="1" ht="18" customHeight="1">
      <c r="A174" s="13" t="e">
        <f>+'PL CTĐG'!#REF!</f>
        <v>#REF!</v>
      </c>
      <c r="B174" s="289" t="e">
        <f>+'PL CTĐG'!#REF!</f>
        <v>#REF!</v>
      </c>
      <c r="C174" s="13" t="e">
        <f>+'PL CTĐG'!#REF!</f>
        <v>#REF!</v>
      </c>
      <c r="D174" s="288" t="e">
        <f>+'PL CTĐG'!#REF!</f>
        <v>#REF!</v>
      </c>
      <c r="E174" s="278" t="e">
        <f>+'PL CTĐG'!#REF!</f>
        <v>#REF!</v>
      </c>
      <c r="F174" s="278" t="e">
        <f>+D174*E174</f>
        <v>#REF!</v>
      </c>
    </row>
    <row r="175" spans="1:6" s="280" customFormat="1" ht="27.75" customHeight="1">
      <c r="A175" s="13"/>
      <c r="B175" s="289" t="e">
        <f>'PL CTĐG'!#REF!</f>
        <v>#REF!</v>
      </c>
      <c r="C175" s="139" t="e">
        <f>'PL CTĐG'!#REF!</f>
        <v>#REF!</v>
      </c>
      <c r="D175" s="288" t="e">
        <f>'PL CTĐG'!#REF!</f>
        <v>#REF!</v>
      </c>
      <c r="E175" s="278" t="e">
        <f>'PL CTĐG'!#REF!</f>
        <v>#REF!</v>
      </c>
      <c r="F175" s="278" t="e">
        <f t="shared" si="3"/>
        <v>#REF!</v>
      </c>
    </row>
    <row r="176" spans="1:6" s="280" customFormat="1" ht="18" customHeight="1">
      <c r="A176" s="13" t="e">
        <f>'PL CTĐG'!#REF!</f>
        <v>#REF!</v>
      </c>
      <c r="B176" s="289" t="e">
        <f>'PL CTĐG'!#REF!</f>
        <v>#REF!</v>
      </c>
      <c r="C176" s="139" t="e">
        <f>'PL CTĐG'!#REF!</f>
        <v>#REF!</v>
      </c>
      <c r="D176" s="288" t="e">
        <f>'PL CTĐG'!#REF!</f>
        <v>#REF!</v>
      </c>
      <c r="E176" s="278" t="e">
        <f>'PL CTĐG'!#REF!</f>
        <v>#REF!</v>
      </c>
      <c r="F176" s="278" t="e">
        <f t="shared" si="3"/>
        <v>#REF!</v>
      </c>
    </row>
    <row r="177" spans="1:6" s="280" customFormat="1" ht="18" customHeight="1">
      <c r="A177" s="13" t="e">
        <f>'PL CTĐG'!#REF!</f>
        <v>#REF!</v>
      </c>
      <c r="B177" s="289" t="e">
        <f>'PL CTĐG'!#REF!</f>
        <v>#REF!</v>
      </c>
      <c r="C177" s="139" t="e">
        <f>'PL CTĐG'!#REF!</f>
        <v>#REF!</v>
      </c>
      <c r="D177" s="288" t="e">
        <f>'PL CTĐG'!#REF!</f>
        <v>#REF!</v>
      </c>
      <c r="E177" s="278" t="e">
        <f>'PL CTĐG'!#REF!</f>
        <v>#REF!</v>
      </c>
      <c r="F177" s="278" t="e">
        <f t="shared" si="3"/>
        <v>#REF!</v>
      </c>
    </row>
    <row r="178" spans="1:6" s="280" customFormat="1" ht="18" customHeight="1">
      <c r="A178" s="13" t="e">
        <f>'PL CTĐG'!#REF!</f>
        <v>#REF!</v>
      </c>
      <c r="B178" s="289" t="e">
        <f>'PL CTĐG'!#REF!</f>
        <v>#REF!</v>
      </c>
      <c r="C178" s="139" t="e">
        <f>'PL CTĐG'!#REF!</f>
        <v>#REF!</v>
      </c>
      <c r="D178" s="288" t="e">
        <f>'PL CTĐG'!#REF!</f>
        <v>#REF!</v>
      </c>
      <c r="E178" s="278" t="e">
        <f>'PL CTĐG'!#REF!</f>
        <v>#REF!</v>
      </c>
      <c r="F178" s="278" t="e">
        <f t="shared" si="3"/>
        <v>#REF!</v>
      </c>
    </row>
    <row r="179" spans="1:6" s="280" customFormat="1" ht="18" customHeight="1">
      <c r="A179" s="13" t="e">
        <f>'PL CTĐG'!#REF!</f>
        <v>#REF!</v>
      </c>
      <c r="B179" s="289" t="e">
        <f>'PL CTĐG'!#REF!</f>
        <v>#REF!</v>
      </c>
      <c r="C179" s="139" t="e">
        <f>'PL CTĐG'!#REF!</f>
        <v>#REF!</v>
      </c>
      <c r="D179" s="288" t="e">
        <f>'PL CTĐG'!#REF!</f>
        <v>#REF!</v>
      </c>
      <c r="E179" s="278" t="e">
        <f>'PL CTĐG'!#REF!</f>
        <v>#REF!</v>
      </c>
      <c r="F179" s="278" t="e">
        <f t="shared" si="3"/>
        <v>#REF!</v>
      </c>
    </row>
    <row r="180" spans="1:6" s="280" customFormat="1" ht="30" customHeight="1">
      <c r="A180" s="13"/>
      <c r="B180" s="287" t="e">
        <f>'PL CTĐG'!#REF!</f>
        <v>#REF!</v>
      </c>
      <c r="C180" s="139"/>
      <c r="D180" s="288"/>
      <c r="E180" s="278"/>
      <c r="F180" s="278"/>
    </row>
    <row r="181" spans="1:6" s="280" customFormat="1" ht="18" customHeight="1">
      <c r="A181" s="13"/>
      <c r="B181" s="287" t="e">
        <f>'PL CTĐG'!#REF!</f>
        <v>#REF!</v>
      </c>
      <c r="C181" s="139"/>
      <c r="D181" s="288"/>
      <c r="E181" s="278"/>
      <c r="F181" s="278"/>
    </row>
    <row r="182" spans="1:6" s="280" customFormat="1" ht="18" customHeight="1">
      <c r="A182" s="13" t="e">
        <f>'PL CTĐG'!#REF!</f>
        <v>#REF!</v>
      </c>
      <c r="B182" s="289" t="e">
        <f>'PL CTĐG'!#REF!</f>
        <v>#REF!</v>
      </c>
      <c r="C182" s="139" t="e">
        <f>'PL CTĐG'!#REF!</f>
        <v>#REF!</v>
      </c>
      <c r="D182" s="288" t="e">
        <f>'PL CTĐG'!#REF!</f>
        <v>#REF!</v>
      </c>
      <c r="E182" s="278" t="e">
        <f>'PL CTĐG'!#REF!</f>
        <v>#REF!</v>
      </c>
      <c r="F182" s="278" t="e">
        <f t="shared" si="3"/>
        <v>#REF!</v>
      </c>
    </row>
    <row r="183" spans="1:6" s="280" customFormat="1" ht="18" customHeight="1">
      <c r="A183" s="13" t="e">
        <f>'PL CTĐG'!#REF!</f>
        <v>#REF!</v>
      </c>
      <c r="B183" s="289" t="e">
        <f>'PL CTĐG'!#REF!</f>
        <v>#REF!</v>
      </c>
      <c r="C183" s="139" t="e">
        <f>'PL CTĐG'!#REF!</f>
        <v>#REF!</v>
      </c>
      <c r="D183" s="288" t="e">
        <f>'PL CTĐG'!#REF!</f>
        <v>#REF!</v>
      </c>
      <c r="E183" s="278" t="e">
        <f>'PL CTĐG'!#REF!</f>
        <v>#REF!</v>
      </c>
      <c r="F183" s="278" t="e">
        <f t="shared" si="3"/>
        <v>#REF!</v>
      </c>
    </row>
    <row r="184" spans="1:6" s="280" customFormat="1" ht="18" customHeight="1">
      <c r="A184" s="290" t="e">
        <f>'PL CTĐG'!#REF!</f>
        <v>#REF!</v>
      </c>
      <c r="B184" s="291" t="e">
        <f>'PL CTĐG'!#REF!</f>
        <v>#REF!</v>
      </c>
      <c r="C184" s="292" t="e">
        <f>'PL CTĐG'!#REF!</f>
        <v>#REF!</v>
      </c>
      <c r="D184" s="293" t="e">
        <f>'PL CTĐG'!#REF!</f>
        <v>#REF!</v>
      </c>
      <c r="E184" s="294" t="e">
        <f>'PL CTĐG'!#REF!</f>
        <v>#REF!</v>
      </c>
      <c r="F184" s="294" t="e">
        <f t="shared" si="3"/>
        <v>#REF!</v>
      </c>
    </row>
    <row r="185" spans="1:6" s="495" customFormat="1" ht="30.75" customHeight="1">
      <c r="A185" s="12" t="e">
        <f>'PL CTĐG'!#REF!</f>
        <v>#REF!</v>
      </c>
      <c r="B185" s="507" t="e">
        <f>'PL CTĐG'!#REF!</f>
        <v>#REF!</v>
      </c>
      <c r="C185" s="509"/>
      <c r="D185" s="510"/>
      <c r="E185" s="508"/>
      <c r="F185" s="508" t="e">
        <f>SUM(F187:F213)</f>
        <v>#REF!</v>
      </c>
    </row>
    <row r="186" spans="1:6" s="495" customFormat="1" ht="31.5" customHeight="1">
      <c r="A186" s="96"/>
      <c r="B186" s="287" t="e">
        <f>'PL CTĐG'!#REF!</f>
        <v>#REF!</v>
      </c>
      <c r="C186" s="295"/>
      <c r="D186" s="296"/>
      <c r="E186" s="279"/>
      <c r="F186" s="279"/>
    </row>
    <row r="187" spans="1:6" s="280" customFormat="1" ht="18" customHeight="1">
      <c r="A187" s="13" t="e">
        <f>'PL CTĐG'!#REF!</f>
        <v>#REF!</v>
      </c>
      <c r="B187" s="289" t="e">
        <f>'PL CTĐG'!#REF!</f>
        <v>#REF!</v>
      </c>
      <c r="C187" s="139" t="e">
        <f>'PL CTĐG'!#REF!</f>
        <v>#REF!</v>
      </c>
      <c r="D187" s="288" t="e">
        <f>'PL CTĐG'!#REF!</f>
        <v>#REF!</v>
      </c>
      <c r="E187" s="278" t="e">
        <f>'PL CTĐG'!#REF!</f>
        <v>#REF!</v>
      </c>
      <c r="F187" s="278" t="e">
        <f t="shared" si="3"/>
        <v>#REF!</v>
      </c>
    </row>
    <row r="188" spans="1:6" s="280" customFormat="1" ht="18" customHeight="1">
      <c r="A188" s="13" t="e">
        <f>'PL CTĐG'!#REF!</f>
        <v>#REF!</v>
      </c>
      <c r="B188" s="289" t="e">
        <f>'PL CTĐG'!#REF!</f>
        <v>#REF!</v>
      </c>
      <c r="C188" s="139" t="e">
        <f>'PL CTĐG'!#REF!</f>
        <v>#REF!</v>
      </c>
      <c r="D188" s="288" t="e">
        <f>'PL CTĐG'!#REF!</f>
        <v>#REF!</v>
      </c>
      <c r="E188" s="278" t="e">
        <f>'PL CTĐG'!#REF!</f>
        <v>#REF!</v>
      </c>
      <c r="F188" s="278" t="e">
        <f t="shared" si="3"/>
        <v>#REF!</v>
      </c>
    </row>
    <row r="189" spans="1:6" s="280" customFormat="1" ht="30" customHeight="1">
      <c r="A189" s="13" t="e">
        <f>'PL CTĐG'!#REF!</f>
        <v>#REF!</v>
      </c>
      <c r="B189" s="289" t="e">
        <f>'PL CTĐG'!#REF!</f>
        <v>#REF!</v>
      </c>
      <c r="C189" s="139" t="e">
        <f>'PL CTĐG'!#REF!</f>
        <v>#REF!</v>
      </c>
      <c r="D189" s="288" t="e">
        <f>'PL CTĐG'!#REF!</f>
        <v>#REF!</v>
      </c>
      <c r="E189" s="278" t="e">
        <f>'PL CTĐG'!#REF!</f>
        <v>#REF!</v>
      </c>
      <c r="F189" s="278" t="e">
        <f t="shared" si="3"/>
        <v>#REF!</v>
      </c>
    </row>
    <row r="190" spans="1:6" s="280" customFormat="1" ht="18" customHeight="1">
      <c r="A190" s="13" t="e">
        <f>'PL CTĐG'!#REF!</f>
        <v>#REF!</v>
      </c>
      <c r="B190" s="289" t="e">
        <f>'PL CTĐG'!#REF!</f>
        <v>#REF!</v>
      </c>
      <c r="C190" s="139" t="e">
        <f>'PL CTĐG'!#REF!</f>
        <v>#REF!</v>
      </c>
      <c r="D190" s="288" t="e">
        <f>'PL CTĐG'!#REF!</f>
        <v>#REF!</v>
      </c>
      <c r="E190" s="278" t="e">
        <f>'PL CTĐG'!#REF!</f>
        <v>#REF!</v>
      </c>
      <c r="F190" s="278" t="e">
        <f t="shared" si="3"/>
        <v>#REF!</v>
      </c>
    </row>
    <row r="191" spans="1:6" s="280" customFormat="1" ht="27.75" customHeight="1">
      <c r="A191" s="13" t="e">
        <f>'PL CTĐG'!#REF!</f>
        <v>#REF!</v>
      </c>
      <c r="B191" s="289" t="e">
        <f>'PL CTĐG'!#REF!</f>
        <v>#REF!</v>
      </c>
      <c r="C191" s="139" t="e">
        <f>'PL CTĐG'!#REF!</f>
        <v>#REF!</v>
      </c>
      <c r="D191" s="288" t="e">
        <f>'PL CTĐG'!#REF!</f>
        <v>#REF!</v>
      </c>
      <c r="E191" s="278" t="e">
        <f>'PL CTĐG'!#REF!</f>
        <v>#REF!</v>
      </c>
      <c r="F191" s="278" t="e">
        <f t="shared" si="3"/>
        <v>#REF!</v>
      </c>
    </row>
    <row r="192" spans="1:6" s="280" customFormat="1" ht="18" customHeight="1">
      <c r="A192" s="13" t="e">
        <f>'PL CTĐG'!#REF!</f>
        <v>#REF!</v>
      </c>
      <c r="B192" s="289" t="e">
        <f>'PL CTĐG'!#REF!</f>
        <v>#REF!</v>
      </c>
      <c r="C192" s="139" t="e">
        <f>'PL CTĐG'!#REF!</f>
        <v>#REF!</v>
      </c>
      <c r="D192" s="288" t="e">
        <f>'PL CTĐG'!#REF!</f>
        <v>#REF!</v>
      </c>
      <c r="E192" s="278" t="e">
        <f>'PL CTĐG'!#REF!</f>
        <v>#REF!</v>
      </c>
      <c r="F192" s="278" t="e">
        <f t="shared" si="3"/>
        <v>#REF!</v>
      </c>
    </row>
    <row r="193" spans="1:6" s="280" customFormat="1" ht="18" customHeight="1">
      <c r="A193" s="13" t="e">
        <f>'PL CTĐG'!#REF!</f>
        <v>#REF!</v>
      </c>
      <c r="B193" s="289" t="e">
        <f>'PL CTĐG'!#REF!</f>
        <v>#REF!</v>
      </c>
      <c r="C193" s="139" t="e">
        <f>'PL CTĐG'!#REF!</f>
        <v>#REF!</v>
      </c>
      <c r="D193" s="288" t="e">
        <f>'PL CTĐG'!#REF!</f>
        <v>#REF!</v>
      </c>
      <c r="E193" s="278" t="e">
        <f>'PL CTĐG'!#REF!</f>
        <v>#REF!</v>
      </c>
      <c r="F193" s="278" t="e">
        <f t="shared" si="3"/>
        <v>#REF!</v>
      </c>
    </row>
    <row r="194" spans="1:6" s="280" customFormat="1" ht="18" customHeight="1">
      <c r="A194" s="13" t="e">
        <f>'PL CTĐG'!#REF!</f>
        <v>#REF!</v>
      </c>
      <c r="B194" s="289" t="e">
        <f>'PL CTĐG'!#REF!</f>
        <v>#REF!</v>
      </c>
      <c r="C194" s="139" t="e">
        <f>'PL CTĐG'!#REF!</f>
        <v>#REF!</v>
      </c>
      <c r="D194" s="288" t="e">
        <f>'PL CTĐG'!#REF!</f>
        <v>#REF!</v>
      </c>
      <c r="E194" s="278" t="e">
        <f>'PL CTĐG'!#REF!</f>
        <v>#REF!</v>
      </c>
      <c r="F194" s="278" t="e">
        <f t="shared" si="3"/>
        <v>#REF!</v>
      </c>
    </row>
    <row r="195" spans="1:6" s="280" customFormat="1" ht="18" customHeight="1">
      <c r="A195" s="13" t="e">
        <f>'PL CTĐG'!#REF!</f>
        <v>#REF!</v>
      </c>
      <c r="B195" s="289" t="e">
        <f>'PL CTĐG'!#REF!</f>
        <v>#REF!</v>
      </c>
      <c r="C195" s="139" t="e">
        <f>'PL CTĐG'!#REF!</f>
        <v>#REF!</v>
      </c>
      <c r="D195" s="288" t="e">
        <f>'PL CTĐG'!#REF!</f>
        <v>#REF!</v>
      </c>
      <c r="E195" s="278" t="e">
        <f>'PL CTĐG'!#REF!</f>
        <v>#REF!</v>
      </c>
      <c r="F195" s="278" t="e">
        <f t="shared" si="3"/>
        <v>#REF!</v>
      </c>
    </row>
    <row r="196" spans="1:6" s="280" customFormat="1" ht="18" customHeight="1">
      <c r="A196" s="13" t="e">
        <f>'PL CTĐG'!#REF!</f>
        <v>#REF!</v>
      </c>
      <c r="B196" s="289" t="e">
        <f>'PL CTĐG'!#REF!</f>
        <v>#REF!</v>
      </c>
      <c r="C196" s="139" t="e">
        <f>'PL CTĐG'!#REF!</f>
        <v>#REF!</v>
      </c>
      <c r="D196" s="288" t="e">
        <f>'PL CTĐG'!#REF!</f>
        <v>#REF!</v>
      </c>
      <c r="E196" s="278" t="e">
        <f>'PL CTĐG'!#REF!</f>
        <v>#REF!</v>
      </c>
      <c r="F196" s="278" t="e">
        <f t="shared" si="3"/>
        <v>#REF!</v>
      </c>
    </row>
    <row r="197" spans="1:6" s="280" customFormat="1" ht="18" customHeight="1">
      <c r="A197" s="13" t="e">
        <f>+'PL CTĐG'!#REF!</f>
        <v>#REF!</v>
      </c>
      <c r="B197" s="289" t="e">
        <f>+'PL CTĐG'!#REF!</f>
        <v>#REF!</v>
      </c>
      <c r="C197" s="13" t="e">
        <f>+'PL CTĐG'!#REF!</f>
        <v>#REF!</v>
      </c>
      <c r="D197" s="288" t="e">
        <f>+'PL CTĐG'!#REF!</f>
        <v>#REF!</v>
      </c>
      <c r="E197" s="278" t="e">
        <f>+'PL CTĐG'!#REF!</f>
        <v>#REF!</v>
      </c>
      <c r="F197" s="278" t="e">
        <f>+D197*E197</f>
        <v>#REF!</v>
      </c>
    </row>
    <row r="198" spans="1:6" s="280" customFormat="1" ht="18" customHeight="1">
      <c r="A198" s="13" t="e">
        <f>+'PL CTĐG'!#REF!</f>
        <v>#REF!</v>
      </c>
      <c r="B198" s="289" t="e">
        <f>+'PL CTĐG'!#REF!</f>
        <v>#REF!</v>
      </c>
      <c r="C198" s="13" t="e">
        <f>+'PL CTĐG'!#REF!</f>
        <v>#REF!</v>
      </c>
      <c r="D198" s="288" t="e">
        <f>+'PL CTĐG'!#REF!</f>
        <v>#REF!</v>
      </c>
      <c r="E198" s="278" t="e">
        <f>+'PL CTĐG'!#REF!</f>
        <v>#REF!</v>
      </c>
      <c r="F198" s="278" t="e">
        <f>+D198*E198</f>
        <v>#REF!</v>
      </c>
    </row>
    <row r="199" spans="1:6" s="280" customFormat="1" ht="18" customHeight="1">
      <c r="A199" s="13" t="e">
        <f>+'PL CTĐG'!#REF!</f>
        <v>#REF!</v>
      </c>
      <c r="B199" s="289" t="e">
        <f>+'PL CTĐG'!#REF!</f>
        <v>#REF!</v>
      </c>
      <c r="C199" s="13" t="e">
        <f>+'PL CTĐG'!#REF!</f>
        <v>#REF!</v>
      </c>
      <c r="D199" s="288" t="e">
        <f>+'PL CTĐG'!#REF!</f>
        <v>#REF!</v>
      </c>
      <c r="E199" s="278" t="e">
        <f>+'PL CTĐG'!#REF!</f>
        <v>#REF!</v>
      </c>
      <c r="F199" s="278" t="e">
        <f>+D199*E199</f>
        <v>#REF!</v>
      </c>
    </row>
    <row r="200" spans="1:6" s="280" customFormat="1" ht="31.5" customHeight="1">
      <c r="A200" s="13"/>
      <c r="B200" s="287" t="e">
        <f>'PL CTĐG'!#REF!</f>
        <v>#REF!</v>
      </c>
      <c r="C200" s="139"/>
      <c r="D200" s="288"/>
      <c r="E200" s="278"/>
      <c r="F200" s="278"/>
    </row>
    <row r="201" spans="1:6" s="280" customFormat="1" ht="18" customHeight="1">
      <c r="A201" s="13" t="e">
        <f>'PL CTĐG'!#REF!</f>
        <v>#REF!</v>
      </c>
      <c r="B201" s="289" t="e">
        <f>'PL CTĐG'!#REF!</f>
        <v>#REF!</v>
      </c>
      <c r="C201" s="139" t="e">
        <f>'PL CTĐG'!#REF!</f>
        <v>#REF!</v>
      </c>
      <c r="D201" s="288" t="e">
        <f>'PL CTĐG'!#REF!</f>
        <v>#REF!</v>
      </c>
      <c r="E201" s="278" t="e">
        <f>'PL CTĐG'!#REF!</f>
        <v>#REF!</v>
      </c>
      <c r="F201" s="278" t="e">
        <f t="shared" si="3"/>
        <v>#REF!</v>
      </c>
    </row>
    <row r="202" spans="1:6" s="280" customFormat="1" ht="18" customHeight="1">
      <c r="A202" s="13" t="e">
        <f>'PL CTĐG'!#REF!</f>
        <v>#REF!</v>
      </c>
      <c r="B202" s="289" t="e">
        <f>'PL CTĐG'!#REF!</f>
        <v>#REF!</v>
      </c>
      <c r="C202" s="139" t="e">
        <f>'PL CTĐG'!#REF!</f>
        <v>#REF!</v>
      </c>
      <c r="D202" s="288" t="e">
        <f>'PL CTĐG'!#REF!</f>
        <v>#REF!</v>
      </c>
      <c r="E202" s="278" t="e">
        <f>'PL CTĐG'!#REF!</f>
        <v>#REF!</v>
      </c>
      <c r="F202" s="278" t="e">
        <f t="shared" si="3"/>
        <v>#REF!</v>
      </c>
    </row>
    <row r="203" spans="1:6" s="280" customFormat="1" ht="18" customHeight="1">
      <c r="A203" s="13" t="e">
        <f>'PL CTĐG'!#REF!</f>
        <v>#REF!</v>
      </c>
      <c r="B203" s="289" t="e">
        <f>'PL CTĐG'!#REF!</f>
        <v>#REF!</v>
      </c>
      <c r="C203" s="139" t="e">
        <f>'PL CTĐG'!#REF!</f>
        <v>#REF!</v>
      </c>
      <c r="D203" s="288" t="e">
        <f>'PL CTĐG'!#REF!</f>
        <v>#REF!</v>
      </c>
      <c r="E203" s="278" t="e">
        <f>'PL CTĐG'!#REF!</f>
        <v>#REF!</v>
      </c>
      <c r="F203" s="278" t="e">
        <f t="shared" si="3"/>
        <v>#REF!</v>
      </c>
    </row>
    <row r="204" spans="1:6" s="280" customFormat="1" ht="18" customHeight="1">
      <c r="A204" s="13" t="e">
        <f>'PL CTĐG'!#REF!</f>
        <v>#REF!</v>
      </c>
      <c r="B204" s="289" t="e">
        <f>'PL CTĐG'!#REF!</f>
        <v>#REF!</v>
      </c>
      <c r="C204" s="139" t="e">
        <f>'PL CTĐG'!#REF!</f>
        <v>#REF!</v>
      </c>
      <c r="D204" s="288" t="e">
        <f>'PL CTĐG'!#REF!</f>
        <v>#REF!</v>
      </c>
      <c r="E204" s="278" t="e">
        <f>'PL CTĐG'!#REF!</f>
        <v>#REF!</v>
      </c>
      <c r="F204" s="278" t="e">
        <f t="shared" si="3"/>
        <v>#REF!</v>
      </c>
    </row>
    <row r="205" spans="1:6" s="280" customFormat="1" ht="28.5" customHeight="1">
      <c r="A205" s="13"/>
      <c r="B205" s="287" t="e">
        <f>'PL CTĐG'!#REF!</f>
        <v>#REF!</v>
      </c>
      <c r="C205" s="139"/>
      <c r="D205" s="288"/>
      <c r="E205" s="278"/>
      <c r="F205" s="278"/>
    </row>
    <row r="206" spans="1:6" s="280" customFormat="1" ht="18" customHeight="1">
      <c r="A206" s="13"/>
      <c r="B206" s="287" t="e">
        <f>'PL CTĐG'!#REF!</f>
        <v>#REF!</v>
      </c>
      <c r="C206" s="139"/>
      <c r="D206" s="288"/>
      <c r="E206" s="278"/>
      <c r="F206" s="278"/>
    </row>
    <row r="207" spans="1:6" s="280" customFormat="1" ht="18" customHeight="1">
      <c r="A207" s="13" t="e">
        <f>'PL CTĐG'!#REF!</f>
        <v>#REF!</v>
      </c>
      <c r="B207" s="289" t="e">
        <f>'PL CTĐG'!#REF!</f>
        <v>#REF!</v>
      </c>
      <c r="C207" s="139" t="e">
        <f>'PL CTĐG'!#REF!</f>
        <v>#REF!</v>
      </c>
      <c r="D207" s="288" t="e">
        <f>'PL CTĐG'!#REF!</f>
        <v>#REF!</v>
      </c>
      <c r="E207" s="278" t="e">
        <f>'PL CTĐG'!#REF!</f>
        <v>#REF!</v>
      </c>
      <c r="F207" s="278" t="e">
        <f t="shared" si="3"/>
        <v>#REF!</v>
      </c>
    </row>
    <row r="208" spans="1:6" s="280" customFormat="1" ht="18" customHeight="1">
      <c r="A208" s="13" t="e">
        <f>'PL CTĐG'!#REF!</f>
        <v>#REF!</v>
      </c>
      <c r="B208" s="289" t="e">
        <f>'PL CTĐG'!#REF!</f>
        <v>#REF!</v>
      </c>
      <c r="C208" s="139" t="e">
        <f>'PL CTĐG'!#REF!</f>
        <v>#REF!</v>
      </c>
      <c r="D208" s="288" t="e">
        <f>'PL CTĐG'!#REF!</f>
        <v>#REF!</v>
      </c>
      <c r="E208" s="278" t="e">
        <f>'PL CTĐG'!#REF!</f>
        <v>#REF!</v>
      </c>
      <c r="F208" s="278" t="e">
        <f t="shared" si="3"/>
        <v>#REF!</v>
      </c>
    </row>
    <row r="209" spans="1:6" s="280" customFormat="1" ht="18" customHeight="1">
      <c r="A209" s="13" t="e">
        <f>'PL CTĐG'!#REF!</f>
        <v>#REF!</v>
      </c>
      <c r="B209" s="289" t="e">
        <f>'PL CTĐG'!#REF!</f>
        <v>#REF!</v>
      </c>
      <c r="C209" s="139" t="e">
        <f>'PL CTĐG'!#REF!</f>
        <v>#REF!</v>
      </c>
      <c r="D209" s="288" t="e">
        <f>'PL CTĐG'!#REF!</f>
        <v>#REF!</v>
      </c>
      <c r="E209" s="278" t="e">
        <f>'PL CTĐG'!#REF!</f>
        <v>#REF!</v>
      </c>
      <c r="F209" s="278" t="e">
        <f t="shared" si="3"/>
        <v>#REF!</v>
      </c>
    </row>
    <row r="210" spans="1:6" s="280" customFormat="1" ht="18" customHeight="1">
      <c r="A210" s="13"/>
      <c r="B210" s="287" t="e">
        <f>'PL CTĐG'!#REF!</f>
        <v>#REF!</v>
      </c>
      <c r="C210" s="139"/>
      <c r="D210" s="288"/>
      <c r="E210" s="278"/>
      <c r="F210" s="278"/>
    </row>
    <row r="211" spans="1:6" s="280" customFormat="1" ht="18" customHeight="1">
      <c r="A211" s="13" t="e">
        <f>'PL CTĐG'!#REF!</f>
        <v>#REF!</v>
      </c>
      <c r="B211" s="289" t="e">
        <f>'PL CTĐG'!#REF!</f>
        <v>#REF!</v>
      </c>
      <c r="C211" s="139" t="e">
        <f>'PL CTĐG'!#REF!</f>
        <v>#REF!</v>
      </c>
      <c r="D211" s="288" t="e">
        <f>'PL CTĐG'!#REF!</f>
        <v>#REF!</v>
      </c>
      <c r="E211" s="278" t="e">
        <f>'PL CTĐG'!#REF!</f>
        <v>#REF!</v>
      </c>
      <c r="F211" s="278" t="e">
        <f t="shared" si="3"/>
        <v>#REF!</v>
      </c>
    </row>
    <row r="212" spans="1:6" s="280" customFormat="1" ht="18" customHeight="1">
      <c r="A212" s="13" t="e">
        <f>'PL CTĐG'!#REF!</f>
        <v>#REF!</v>
      </c>
      <c r="B212" s="289" t="e">
        <f>'PL CTĐG'!#REF!</f>
        <v>#REF!</v>
      </c>
      <c r="C212" s="139" t="e">
        <f>'PL CTĐG'!#REF!</f>
        <v>#REF!</v>
      </c>
      <c r="D212" s="288" t="e">
        <f>'PL CTĐG'!#REF!</f>
        <v>#REF!</v>
      </c>
      <c r="E212" s="278" t="e">
        <f>'PL CTĐG'!#REF!</f>
        <v>#REF!</v>
      </c>
      <c r="F212" s="278" t="e">
        <f t="shared" si="3"/>
        <v>#REF!</v>
      </c>
    </row>
    <row r="213" spans="1:6" s="280" customFormat="1" ht="18" customHeight="1">
      <c r="A213" s="290" t="e">
        <f>'PL CTĐG'!#REF!</f>
        <v>#REF!</v>
      </c>
      <c r="B213" s="291" t="e">
        <f>'PL CTĐG'!#REF!</f>
        <v>#REF!</v>
      </c>
      <c r="C213" s="292" t="e">
        <f>'PL CTĐG'!#REF!</f>
        <v>#REF!</v>
      </c>
      <c r="D213" s="293" t="e">
        <f>'PL CTĐG'!#REF!</f>
        <v>#REF!</v>
      </c>
      <c r="E213" s="294" t="e">
        <f>'PL CTĐG'!#REF!</f>
        <v>#REF!</v>
      </c>
      <c r="F213" s="294" t="e">
        <f t="shared" si="3"/>
        <v>#REF!</v>
      </c>
    </row>
    <row r="214" spans="1:6" s="280" customFormat="1" ht="32.25" customHeight="1">
      <c r="A214" s="12" t="e">
        <f>'PL CTĐG'!#REF!</f>
        <v>#REF!</v>
      </c>
      <c r="B214" s="507" t="e">
        <f>'PL CTĐG'!#REF!</f>
        <v>#REF!</v>
      </c>
      <c r="C214" s="276"/>
      <c r="D214" s="277"/>
      <c r="E214" s="286"/>
      <c r="F214" s="508" t="e">
        <f>SUM(F216:F242)</f>
        <v>#REF!</v>
      </c>
    </row>
    <row r="215" spans="1:6" s="280" customFormat="1" ht="32.25" customHeight="1">
      <c r="A215" s="96"/>
      <c r="B215" s="287" t="e">
        <f>'PL CTĐG'!#REF!</f>
        <v>#REF!</v>
      </c>
      <c r="C215" s="139"/>
      <c r="D215" s="288"/>
      <c r="E215" s="278"/>
      <c r="F215" s="278"/>
    </row>
    <row r="216" spans="1:6" s="280" customFormat="1" ht="18" customHeight="1">
      <c r="A216" s="13" t="e">
        <f>'PL CTĐG'!#REF!</f>
        <v>#REF!</v>
      </c>
      <c r="B216" s="289" t="e">
        <f>'PL CTĐG'!#REF!</f>
        <v>#REF!</v>
      </c>
      <c r="C216" s="139" t="e">
        <f>'PL CTĐG'!#REF!</f>
        <v>#REF!</v>
      </c>
      <c r="D216" s="288" t="e">
        <f>'PL CTĐG'!#REF!</f>
        <v>#REF!</v>
      </c>
      <c r="E216" s="278" t="e">
        <f>'PL CTĐG'!#REF!</f>
        <v>#REF!</v>
      </c>
      <c r="F216" s="278" t="e">
        <f t="shared" si="3"/>
        <v>#REF!</v>
      </c>
    </row>
    <row r="217" spans="1:6" s="280" customFormat="1" ht="18" customHeight="1">
      <c r="A217" s="13" t="e">
        <f>'PL CTĐG'!#REF!</f>
        <v>#REF!</v>
      </c>
      <c r="B217" s="289" t="e">
        <f>'PL CTĐG'!#REF!</f>
        <v>#REF!</v>
      </c>
      <c r="C217" s="139" t="e">
        <f>'PL CTĐG'!#REF!</f>
        <v>#REF!</v>
      </c>
      <c r="D217" s="288" t="e">
        <f>'PL CTĐG'!#REF!</f>
        <v>#REF!</v>
      </c>
      <c r="E217" s="278" t="e">
        <f>'PL CTĐG'!#REF!</f>
        <v>#REF!</v>
      </c>
      <c r="F217" s="278" t="e">
        <f t="shared" si="3"/>
        <v>#REF!</v>
      </c>
    </row>
    <row r="218" spans="1:6" s="280" customFormat="1" ht="30" customHeight="1">
      <c r="A218" s="13" t="e">
        <f>'PL CTĐG'!#REF!</f>
        <v>#REF!</v>
      </c>
      <c r="B218" s="289" t="e">
        <f>'PL CTĐG'!#REF!</f>
        <v>#REF!</v>
      </c>
      <c r="C218" s="139" t="e">
        <f>'PL CTĐG'!#REF!</f>
        <v>#REF!</v>
      </c>
      <c r="D218" s="288" t="e">
        <f>'PL CTĐG'!#REF!</f>
        <v>#REF!</v>
      </c>
      <c r="E218" s="278" t="e">
        <f>'PL CTĐG'!#REF!</f>
        <v>#REF!</v>
      </c>
      <c r="F218" s="278" t="e">
        <f t="shared" si="3"/>
        <v>#REF!</v>
      </c>
    </row>
    <row r="219" spans="1:6" s="280" customFormat="1" ht="18" customHeight="1">
      <c r="A219" s="13" t="e">
        <f>'PL CTĐG'!#REF!</f>
        <v>#REF!</v>
      </c>
      <c r="B219" s="289" t="e">
        <f>'PL CTĐG'!#REF!</f>
        <v>#REF!</v>
      </c>
      <c r="C219" s="139" t="e">
        <f>'PL CTĐG'!#REF!</f>
        <v>#REF!</v>
      </c>
      <c r="D219" s="288" t="e">
        <f>'PL CTĐG'!#REF!</f>
        <v>#REF!</v>
      </c>
      <c r="E219" s="278" t="e">
        <f>'PL CTĐG'!#REF!</f>
        <v>#REF!</v>
      </c>
      <c r="F219" s="278" t="e">
        <f t="shared" si="3"/>
        <v>#REF!</v>
      </c>
    </row>
    <row r="220" spans="1:6" s="280" customFormat="1" ht="27.75" customHeight="1">
      <c r="A220" s="13" t="e">
        <f>'PL CTĐG'!#REF!</f>
        <v>#REF!</v>
      </c>
      <c r="B220" s="289" t="e">
        <f>'PL CTĐG'!#REF!</f>
        <v>#REF!</v>
      </c>
      <c r="C220" s="139" t="e">
        <f>'PL CTĐG'!#REF!</f>
        <v>#REF!</v>
      </c>
      <c r="D220" s="288" t="e">
        <f>'PL CTĐG'!#REF!</f>
        <v>#REF!</v>
      </c>
      <c r="E220" s="278" t="e">
        <f>'PL CTĐG'!#REF!</f>
        <v>#REF!</v>
      </c>
      <c r="F220" s="278" t="e">
        <f t="shared" si="3"/>
        <v>#REF!</v>
      </c>
    </row>
    <row r="221" spans="1:6" s="280" customFormat="1" ht="18" customHeight="1">
      <c r="A221" s="13" t="e">
        <f>'PL CTĐG'!#REF!</f>
        <v>#REF!</v>
      </c>
      <c r="B221" s="289" t="e">
        <f>'PL CTĐG'!#REF!</f>
        <v>#REF!</v>
      </c>
      <c r="C221" s="139" t="e">
        <f>'PL CTĐG'!#REF!</f>
        <v>#REF!</v>
      </c>
      <c r="D221" s="288" t="e">
        <f>'PL CTĐG'!#REF!</f>
        <v>#REF!</v>
      </c>
      <c r="E221" s="278" t="e">
        <f>'PL CTĐG'!#REF!</f>
        <v>#REF!</v>
      </c>
      <c r="F221" s="278" t="e">
        <f t="shared" si="3"/>
        <v>#REF!</v>
      </c>
    </row>
    <row r="222" spans="1:6" s="280" customFormat="1" ht="18" customHeight="1">
      <c r="A222" s="13" t="e">
        <f>'PL CTĐG'!#REF!</f>
        <v>#REF!</v>
      </c>
      <c r="B222" s="289" t="e">
        <f>'PL CTĐG'!#REF!</f>
        <v>#REF!</v>
      </c>
      <c r="C222" s="139" t="e">
        <f>'PL CTĐG'!#REF!</f>
        <v>#REF!</v>
      </c>
      <c r="D222" s="288" t="e">
        <f>'PL CTĐG'!#REF!</f>
        <v>#REF!</v>
      </c>
      <c r="E222" s="278" t="e">
        <f>'PL CTĐG'!#REF!</f>
        <v>#REF!</v>
      </c>
      <c r="F222" s="278" t="e">
        <f t="shared" si="3"/>
        <v>#REF!</v>
      </c>
    </row>
    <row r="223" spans="1:6" s="280" customFormat="1" ht="18" customHeight="1">
      <c r="A223" s="13" t="e">
        <f>'PL CTĐG'!#REF!</f>
        <v>#REF!</v>
      </c>
      <c r="B223" s="289" t="e">
        <f>'PL CTĐG'!#REF!</f>
        <v>#REF!</v>
      </c>
      <c r="C223" s="139" t="e">
        <f>'PL CTĐG'!#REF!</f>
        <v>#REF!</v>
      </c>
      <c r="D223" s="288" t="e">
        <f>'PL CTĐG'!#REF!</f>
        <v>#REF!</v>
      </c>
      <c r="E223" s="278" t="e">
        <f>'PL CTĐG'!#REF!</f>
        <v>#REF!</v>
      </c>
      <c r="F223" s="278" t="e">
        <f t="shared" si="3"/>
        <v>#REF!</v>
      </c>
    </row>
    <row r="224" spans="1:6" s="280" customFormat="1" ht="18" customHeight="1">
      <c r="A224" s="13" t="e">
        <f>'PL CTĐG'!#REF!</f>
        <v>#REF!</v>
      </c>
      <c r="B224" s="289" t="e">
        <f>'PL CTĐG'!#REF!</f>
        <v>#REF!</v>
      </c>
      <c r="C224" s="139" t="e">
        <f>'PL CTĐG'!#REF!</f>
        <v>#REF!</v>
      </c>
      <c r="D224" s="288" t="e">
        <f>'PL CTĐG'!#REF!</f>
        <v>#REF!</v>
      </c>
      <c r="E224" s="278" t="e">
        <f>'PL CTĐG'!#REF!</f>
        <v>#REF!</v>
      </c>
      <c r="F224" s="278" t="e">
        <f t="shared" si="3"/>
        <v>#REF!</v>
      </c>
    </row>
    <row r="225" spans="1:6" s="280" customFormat="1" ht="18" customHeight="1">
      <c r="A225" s="13" t="e">
        <f>'PL CTĐG'!#REF!</f>
        <v>#REF!</v>
      </c>
      <c r="B225" s="289" t="e">
        <f>'PL CTĐG'!#REF!</f>
        <v>#REF!</v>
      </c>
      <c r="C225" s="139" t="e">
        <f>'PL CTĐG'!#REF!</f>
        <v>#REF!</v>
      </c>
      <c r="D225" s="288" t="e">
        <f>'PL CTĐG'!#REF!</f>
        <v>#REF!</v>
      </c>
      <c r="E225" s="278" t="e">
        <f>'PL CTĐG'!#REF!</f>
        <v>#REF!</v>
      </c>
      <c r="F225" s="278" t="e">
        <f t="shared" si="3"/>
        <v>#REF!</v>
      </c>
    </row>
    <row r="226" spans="1:6" s="280" customFormat="1" ht="18" customHeight="1">
      <c r="A226" s="13" t="e">
        <f>+'PL CTĐG'!#REF!</f>
        <v>#REF!</v>
      </c>
      <c r="B226" s="289" t="e">
        <f>+'PL CTĐG'!#REF!</f>
        <v>#REF!</v>
      </c>
      <c r="C226" s="13" t="e">
        <f>+'PL CTĐG'!#REF!</f>
        <v>#REF!</v>
      </c>
      <c r="D226" s="288" t="e">
        <f>+'PL CTĐG'!#REF!</f>
        <v>#REF!</v>
      </c>
      <c r="E226" s="278" t="e">
        <f>+'PL CTĐG'!#REF!</f>
        <v>#REF!</v>
      </c>
      <c r="F226" s="278" t="e">
        <f>+D226*E226</f>
        <v>#REF!</v>
      </c>
    </row>
    <row r="227" spans="1:6" s="280" customFormat="1" ht="18" customHeight="1">
      <c r="A227" s="13" t="e">
        <f>+'PL CTĐG'!#REF!</f>
        <v>#REF!</v>
      </c>
      <c r="B227" s="289" t="e">
        <f>+'PL CTĐG'!#REF!</f>
        <v>#REF!</v>
      </c>
      <c r="C227" s="13" t="e">
        <f>+'PL CTĐG'!#REF!</f>
        <v>#REF!</v>
      </c>
      <c r="D227" s="288" t="e">
        <f>+'PL CTĐG'!#REF!</f>
        <v>#REF!</v>
      </c>
      <c r="E227" s="278" t="e">
        <f>+'PL CTĐG'!#REF!</f>
        <v>#REF!</v>
      </c>
      <c r="F227" s="278" t="e">
        <f>+D227*E227</f>
        <v>#REF!</v>
      </c>
    </row>
    <row r="228" spans="1:6" s="280" customFormat="1" ht="18" customHeight="1">
      <c r="A228" s="13" t="e">
        <f>+'PL CTĐG'!#REF!</f>
        <v>#REF!</v>
      </c>
      <c r="B228" s="289" t="e">
        <f>+'PL CTĐG'!#REF!</f>
        <v>#REF!</v>
      </c>
      <c r="C228" s="13" t="e">
        <f>+'PL CTĐG'!#REF!</f>
        <v>#REF!</v>
      </c>
      <c r="D228" s="288" t="e">
        <f>+'PL CTĐG'!#REF!</f>
        <v>#REF!</v>
      </c>
      <c r="E228" s="278" t="e">
        <f>+'PL CTĐG'!#REF!</f>
        <v>#REF!</v>
      </c>
      <c r="F228" s="278" t="e">
        <f>+D228*E228</f>
        <v>#REF!</v>
      </c>
    </row>
    <row r="229" spans="1:6" s="280" customFormat="1" ht="27.75" customHeight="1">
      <c r="A229" s="13"/>
      <c r="B229" s="287" t="e">
        <f>'PL CTĐG'!#REF!</f>
        <v>#REF!</v>
      </c>
      <c r="C229" s="139"/>
      <c r="D229" s="288"/>
      <c r="E229" s="278"/>
      <c r="F229" s="278"/>
    </row>
    <row r="230" spans="1:6" s="280" customFormat="1" ht="18" customHeight="1">
      <c r="A230" s="13" t="e">
        <f>'PL CTĐG'!#REF!</f>
        <v>#REF!</v>
      </c>
      <c r="B230" s="289" t="e">
        <f>'PL CTĐG'!#REF!</f>
        <v>#REF!</v>
      </c>
      <c r="C230" s="139" t="e">
        <f>'PL CTĐG'!#REF!</f>
        <v>#REF!</v>
      </c>
      <c r="D230" s="288" t="e">
        <f>'PL CTĐG'!#REF!</f>
        <v>#REF!</v>
      </c>
      <c r="E230" s="278" t="e">
        <f>'PL CTĐG'!#REF!</f>
        <v>#REF!</v>
      </c>
      <c r="F230" s="278" t="e">
        <f t="shared" ref="F230:F269" si="4">E230*D230</f>
        <v>#REF!</v>
      </c>
    </row>
    <row r="231" spans="1:6" s="280" customFormat="1" ht="18" customHeight="1">
      <c r="A231" s="13" t="e">
        <f>'PL CTĐG'!#REF!</f>
        <v>#REF!</v>
      </c>
      <c r="B231" s="289" t="e">
        <f>'PL CTĐG'!#REF!</f>
        <v>#REF!</v>
      </c>
      <c r="C231" s="139" t="e">
        <f>'PL CTĐG'!#REF!</f>
        <v>#REF!</v>
      </c>
      <c r="D231" s="288" t="e">
        <f>'PL CTĐG'!#REF!</f>
        <v>#REF!</v>
      </c>
      <c r="E231" s="278" t="e">
        <f>'PL CTĐG'!#REF!</f>
        <v>#REF!</v>
      </c>
      <c r="F231" s="278" t="e">
        <f t="shared" si="4"/>
        <v>#REF!</v>
      </c>
    </row>
    <row r="232" spans="1:6" s="280" customFormat="1" ht="18" customHeight="1">
      <c r="A232" s="13" t="e">
        <f>'PL CTĐG'!#REF!</f>
        <v>#REF!</v>
      </c>
      <c r="B232" s="289" t="e">
        <f>'PL CTĐG'!#REF!</f>
        <v>#REF!</v>
      </c>
      <c r="C232" s="139" t="e">
        <f>'PL CTĐG'!#REF!</f>
        <v>#REF!</v>
      </c>
      <c r="D232" s="288" t="e">
        <f>'PL CTĐG'!#REF!</f>
        <v>#REF!</v>
      </c>
      <c r="E232" s="278" t="e">
        <f>'PL CTĐG'!#REF!</f>
        <v>#REF!</v>
      </c>
      <c r="F232" s="278" t="e">
        <f t="shared" si="4"/>
        <v>#REF!</v>
      </c>
    </row>
    <row r="233" spans="1:6" s="280" customFormat="1" ht="18" customHeight="1">
      <c r="A233" s="13" t="e">
        <f>'PL CTĐG'!#REF!</f>
        <v>#REF!</v>
      </c>
      <c r="B233" s="289" t="e">
        <f>'PL CTĐG'!#REF!</f>
        <v>#REF!</v>
      </c>
      <c r="C233" s="139" t="e">
        <f>'PL CTĐG'!#REF!</f>
        <v>#REF!</v>
      </c>
      <c r="D233" s="288" t="e">
        <f>'PL CTĐG'!#REF!</f>
        <v>#REF!</v>
      </c>
      <c r="E233" s="278" t="e">
        <f>'PL CTĐG'!#REF!</f>
        <v>#REF!</v>
      </c>
      <c r="F233" s="278" t="e">
        <f t="shared" si="4"/>
        <v>#REF!</v>
      </c>
    </row>
    <row r="234" spans="1:6" s="280" customFormat="1" ht="28.5" customHeight="1">
      <c r="A234" s="13"/>
      <c r="B234" s="287" t="e">
        <f>'PL CTĐG'!#REF!</f>
        <v>#REF!</v>
      </c>
      <c r="C234" s="139"/>
      <c r="D234" s="288"/>
      <c r="E234" s="278"/>
      <c r="F234" s="278"/>
    </row>
    <row r="235" spans="1:6" s="280" customFormat="1" ht="18" customHeight="1">
      <c r="A235" s="13"/>
      <c r="B235" s="287" t="e">
        <f>'PL CTĐG'!#REF!</f>
        <v>#REF!</v>
      </c>
      <c r="C235" s="139"/>
      <c r="D235" s="288"/>
      <c r="E235" s="278"/>
      <c r="F235" s="278"/>
    </row>
    <row r="236" spans="1:6" s="280" customFormat="1" ht="18" customHeight="1">
      <c r="A236" s="13" t="e">
        <f>'PL CTĐG'!#REF!</f>
        <v>#REF!</v>
      </c>
      <c r="B236" s="289" t="e">
        <f>'PL CTĐG'!#REF!</f>
        <v>#REF!</v>
      </c>
      <c r="C236" s="139" t="e">
        <f>'PL CTĐG'!#REF!</f>
        <v>#REF!</v>
      </c>
      <c r="D236" s="288" t="e">
        <f>'PL CTĐG'!#REF!</f>
        <v>#REF!</v>
      </c>
      <c r="E236" s="278" t="e">
        <f>'PL CTĐG'!#REF!</f>
        <v>#REF!</v>
      </c>
      <c r="F236" s="278" t="e">
        <f t="shared" si="4"/>
        <v>#REF!</v>
      </c>
    </row>
    <row r="237" spans="1:6" s="280" customFormat="1" ht="18" customHeight="1">
      <c r="A237" s="13" t="e">
        <f>'PL CTĐG'!#REF!</f>
        <v>#REF!</v>
      </c>
      <c r="B237" s="289" t="e">
        <f>'PL CTĐG'!#REF!</f>
        <v>#REF!</v>
      </c>
      <c r="C237" s="139" t="e">
        <f>'PL CTĐG'!#REF!</f>
        <v>#REF!</v>
      </c>
      <c r="D237" s="288" t="e">
        <f>'PL CTĐG'!#REF!</f>
        <v>#REF!</v>
      </c>
      <c r="E237" s="278" t="e">
        <f>'PL CTĐG'!#REF!</f>
        <v>#REF!</v>
      </c>
      <c r="F237" s="278" t="e">
        <f t="shared" si="4"/>
        <v>#REF!</v>
      </c>
    </row>
    <row r="238" spans="1:6" s="280" customFormat="1" ht="18" customHeight="1">
      <c r="A238" s="13" t="e">
        <f>'PL CTĐG'!#REF!</f>
        <v>#REF!</v>
      </c>
      <c r="B238" s="289" t="e">
        <f>'PL CTĐG'!#REF!</f>
        <v>#REF!</v>
      </c>
      <c r="C238" s="139" t="e">
        <f>'PL CTĐG'!#REF!</f>
        <v>#REF!</v>
      </c>
      <c r="D238" s="288" t="e">
        <f>'PL CTĐG'!#REF!</f>
        <v>#REF!</v>
      </c>
      <c r="E238" s="278" t="e">
        <f>'PL CTĐG'!#REF!</f>
        <v>#REF!</v>
      </c>
      <c r="F238" s="278" t="e">
        <f t="shared" si="4"/>
        <v>#REF!</v>
      </c>
    </row>
    <row r="239" spans="1:6" s="280" customFormat="1" ht="18" customHeight="1">
      <c r="A239" s="13"/>
      <c r="B239" s="287" t="e">
        <f>'PL CTĐG'!#REF!</f>
        <v>#REF!</v>
      </c>
      <c r="C239" s="139"/>
      <c r="D239" s="288"/>
      <c r="E239" s="278"/>
      <c r="F239" s="278"/>
    </row>
    <row r="240" spans="1:6" s="280" customFormat="1" ht="18" customHeight="1">
      <c r="A240" s="13" t="e">
        <f>'PL CTĐG'!#REF!</f>
        <v>#REF!</v>
      </c>
      <c r="B240" s="289" t="e">
        <f>'PL CTĐG'!#REF!</f>
        <v>#REF!</v>
      </c>
      <c r="C240" s="139" t="e">
        <f>'PL CTĐG'!#REF!</f>
        <v>#REF!</v>
      </c>
      <c r="D240" s="288" t="e">
        <f>'PL CTĐG'!#REF!</f>
        <v>#REF!</v>
      </c>
      <c r="E240" s="278" t="e">
        <f>'PL CTĐG'!#REF!</f>
        <v>#REF!</v>
      </c>
      <c r="F240" s="278" t="e">
        <f t="shared" si="4"/>
        <v>#REF!</v>
      </c>
    </row>
    <row r="241" spans="1:6" s="280" customFormat="1" ht="18" customHeight="1">
      <c r="A241" s="13" t="e">
        <f>'PL CTĐG'!#REF!</f>
        <v>#REF!</v>
      </c>
      <c r="B241" s="289" t="e">
        <f>'PL CTĐG'!#REF!</f>
        <v>#REF!</v>
      </c>
      <c r="C241" s="139" t="e">
        <f>'PL CTĐG'!#REF!</f>
        <v>#REF!</v>
      </c>
      <c r="D241" s="288" t="e">
        <f>'PL CTĐG'!#REF!</f>
        <v>#REF!</v>
      </c>
      <c r="E241" s="278" t="e">
        <f>'PL CTĐG'!#REF!</f>
        <v>#REF!</v>
      </c>
      <c r="F241" s="278" t="e">
        <f t="shared" si="4"/>
        <v>#REF!</v>
      </c>
    </row>
    <row r="242" spans="1:6" s="280" customFormat="1" ht="18" customHeight="1">
      <c r="A242" s="290" t="e">
        <f>'PL CTĐG'!#REF!</f>
        <v>#REF!</v>
      </c>
      <c r="B242" s="291" t="e">
        <f>'PL CTĐG'!#REF!</f>
        <v>#REF!</v>
      </c>
      <c r="C242" s="292" t="e">
        <f>'PL CTĐG'!#REF!</f>
        <v>#REF!</v>
      </c>
      <c r="D242" s="293" t="e">
        <f>'PL CTĐG'!#REF!</f>
        <v>#REF!</v>
      </c>
      <c r="E242" s="294" t="e">
        <f>'PL CTĐG'!#REF!</f>
        <v>#REF!</v>
      </c>
      <c r="F242" s="294" t="e">
        <f t="shared" si="4"/>
        <v>#REF!</v>
      </c>
    </row>
    <row r="243" spans="1:6" s="280" customFormat="1" ht="30" customHeight="1">
      <c r="A243" s="12" t="e">
        <f>'PL CTĐG'!#REF!</f>
        <v>#REF!</v>
      </c>
      <c r="B243" s="507" t="e">
        <f>'PL CTĐG'!#REF!</f>
        <v>#REF!</v>
      </c>
      <c r="C243" s="276"/>
      <c r="D243" s="277"/>
      <c r="E243" s="286"/>
      <c r="F243" s="508" t="e">
        <f>SUM(F245:F275)</f>
        <v>#REF!</v>
      </c>
    </row>
    <row r="244" spans="1:6" s="280" customFormat="1" ht="33" customHeight="1">
      <c r="A244" s="96"/>
      <c r="B244" s="287" t="e">
        <f>'PL CTĐG'!#REF!</f>
        <v>#REF!</v>
      </c>
      <c r="C244" s="139"/>
      <c r="D244" s="288"/>
      <c r="E244" s="278"/>
      <c r="F244" s="278"/>
    </row>
    <row r="245" spans="1:6" s="280" customFormat="1" ht="18" customHeight="1">
      <c r="A245" s="13" t="e">
        <f>'PL CTĐG'!#REF!</f>
        <v>#REF!</v>
      </c>
      <c r="B245" s="289" t="e">
        <f>'PL CTĐG'!#REF!</f>
        <v>#REF!</v>
      </c>
      <c r="C245" s="139" t="e">
        <f>'PL CTĐG'!#REF!</f>
        <v>#REF!</v>
      </c>
      <c r="D245" s="288" t="e">
        <f>'PL CTĐG'!#REF!</f>
        <v>#REF!</v>
      </c>
      <c r="E245" s="278" t="e">
        <f>'PL CTĐG'!#REF!</f>
        <v>#REF!</v>
      </c>
      <c r="F245" s="278" t="e">
        <f t="shared" si="4"/>
        <v>#REF!</v>
      </c>
    </row>
    <row r="246" spans="1:6" s="280" customFormat="1" ht="18" customHeight="1">
      <c r="A246" s="13" t="e">
        <f>'PL CTĐG'!#REF!</f>
        <v>#REF!</v>
      </c>
      <c r="B246" s="289" t="e">
        <f>'PL CTĐG'!#REF!</f>
        <v>#REF!</v>
      </c>
      <c r="C246" s="139" t="e">
        <f>'PL CTĐG'!#REF!</f>
        <v>#REF!</v>
      </c>
      <c r="D246" s="288" t="e">
        <f>'PL CTĐG'!#REF!</f>
        <v>#REF!</v>
      </c>
      <c r="E246" s="278" t="e">
        <f>'PL CTĐG'!#REF!</f>
        <v>#REF!</v>
      </c>
      <c r="F246" s="278" t="e">
        <f t="shared" si="4"/>
        <v>#REF!</v>
      </c>
    </row>
    <row r="247" spans="1:6" s="280" customFormat="1" ht="31.5" customHeight="1">
      <c r="A247" s="13" t="e">
        <f>'PL CTĐG'!#REF!</f>
        <v>#REF!</v>
      </c>
      <c r="B247" s="289" t="e">
        <f>'PL CTĐG'!#REF!</f>
        <v>#REF!</v>
      </c>
      <c r="C247" s="139" t="e">
        <f>'PL CTĐG'!#REF!</f>
        <v>#REF!</v>
      </c>
      <c r="D247" s="288" t="e">
        <f>'PL CTĐG'!#REF!</f>
        <v>#REF!</v>
      </c>
      <c r="E247" s="278" t="e">
        <f>'PL CTĐG'!#REF!</f>
        <v>#REF!</v>
      </c>
      <c r="F247" s="278" t="e">
        <f t="shared" si="4"/>
        <v>#REF!</v>
      </c>
    </row>
    <row r="248" spans="1:6" s="280" customFormat="1" ht="18" customHeight="1">
      <c r="A248" s="13" t="e">
        <f>'PL CTĐG'!#REF!</f>
        <v>#REF!</v>
      </c>
      <c r="B248" s="289" t="e">
        <f>'PL CTĐG'!#REF!</f>
        <v>#REF!</v>
      </c>
      <c r="C248" s="139" t="e">
        <f>'PL CTĐG'!#REF!</f>
        <v>#REF!</v>
      </c>
      <c r="D248" s="288" t="e">
        <f>'PL CTĐG'!#REF!</f>
        <v>#REF!</v>
      </c>
      <c r="E248" s="278" t="e">
        <f>'PL CTĐG'!#REF!</f>
        <v>#REF!</v>
      </c>
      <c r="F248" s="278" t="e">
        <f t="shared" si="4"/>
        <v>#REF!</v>
      </c>
    </row>
    <row r="249" spans="1:6" s="280" customFormat="1" ht="30" customHeight="1">
      <c r="A249" s="13" t="e">
        <f>'PL CTĐG'!#REF!</f>
        <v>#REF!</v>
      </c>
      <c r="B249" s="289" t="e">
        <f>'PL CTĐG'!#REF!</f>
        <v>#REF!</v>
      </c>
      <c r="C249" s="139" t="e">
        <f>'PL CTĐG'!#REF!</f>
        <v>#REF!</v>
      </c>
      <c r="D249" s="288" t="e">
        <f>'PL CTĐG'!#REF!</f>
        <v>#REF!</v>
      </c>
      <c r="E249" s="278" t="e">
        <f>'PL CTĐG'!#REF!</f>
        <v>#REF!</v>
      </c>
      <c r="F249" s="278" t="e">
        <f t="shared" si="4"/>
        <v>#REF!</v>
      </c>
    </row>
    <row r="250" spans="1:6" s="280" customFormat="1" ht="18" customHeight="1">
      <c r="A250" s="13" t="e">
        <f>'PL CTĐG'!#REF!</f>
        <v>#REF!</v>
      </c>
      <c r="B250" s="289" t="e">
        <f>'PL CTĐG'!#REF!</f>
        <v>#REF!</v>
      </c>
      <c r="C250" s="139" t="e">
        <f>'PL CTĐG'!#REF!</f>
        <v>#REF!</v>
      </c>
      <c r="D250" s="288" t="e">
        <f>'PL CTĐG'!#REF!</f>
        <v>#REF!</v>
      </c>
      <c r="E250" s="278" t="e">
        <f>'PL CTĐG'!#REF!</f>
        <v>#REF!</v>
      </c>
      <c r="F250" s="278" t="e">
        <f t="shared" si="4"/>
        <v>#REF!</v>
      </c>
    </row>
    <row r="251" spans="1:6" s="280" customFormat="1" ht="18" customHeight="1">
      <c r="A251" s="13" t="e">
        <f>'PL CTĐG'!#REF!</f>
        <v>#REF!</v>
      </c>
      <c r="B251" s="289" t="e">
        <f>'PL CTĐG'!#REF!</f>
        <v>#REF!</v>
      </c>
      <c r="C251" s="139" t="e">
        <f>'PL CTĐG'!#REF!</f>
        <v>#REF!</v>
      </c>
      <c r="D251" s="288" t="e">
        <f>'PL CTĐG'!#REF!</f>
        <v>#REF!</v>
      </c>
      <c r="E251" s="278" t="e">
        <f>'PL CTĐG'!#REF!</f>
        <v>#REF!</v>
      </c>
      <c r="F251" s="278" t="e">
        <f t="shared" si="4"/>
        <v>#REF!</v>
      </c>
    </row>
    <row r="252" spans="1:6" s="280" customFormat="1" ht="18" customHeight="1">
      <c r="A252" s="13" t="e">
        <f>'PL CTĐG'!#REF!</f>
        <v>#REF!</v>
      </c>
      <c r="B252" s="289" t="e">
        <f>'PL CTĐG'!#REF!</f>
        <v>#REF!</v>
      </c>
      <c r="C252" s="139" t="e">
        <f>'PL CTĐG'!#REF!</f>
        <v>#REF!</v>
      </c>
      <c r="D252" s="288" t="e">
        <f>'PL CTĐG'!#REF!</f>
        <v>#REF!</v>
      </c>
      <c r="E252" s="278" t="e">
        <f>'PL CTĐG'!#REF!</f>
        <v>#REF!</v>
      </c>
      <c r="F252" s="278" t="e">
        <f t="shared" si="4"/>
        <v>#REF!</v>
      </c>
    </row>
    <row r="253" spans="1:6" s="280" customFormat="1" ht="18" customHeight="1">
      <c r="A253" s="13" t="e">
        <f>'PL CTĐG'!#REF!</f>
        <v>#REF!</v>
      </c>
      <c r="B253" s="289" t="e">
        <f>'PL CTĐG'!#REF!</f>
        <v>#REF!</v>
      </c>
      <c r="C253" s="139" t="e">
        <f>'PL CTĐG'!#REF!</f>
        <v>#REF!</v>
      </c>
      <c r="D253" s="288" t="e">
        <f>'PL CTĐG'!#REF!</f>
        <v>#REF!</v>
      </c>
      <c r="E253" s="278" t="e">
        <f>'PL CTĐG'!#REF!</f>
        <v>#REF!</v>
      </c>
      <c r="F253" s="278" t="e">
        <f t="shared" si="4"/>
        <v>#REF!</v>
      </c>
    </row>
    <row r="254" spans="1:6" s="280" customFormat="1" ht="18" customHeight="1">
      <c r="A254" s="13" t="e">
        <f>'PL CTĐG'!#REF!</f>
        <v>#REF!</v>
      </c>
      <c r="B254" s="289" t="e">
        <f>'PL CTĐG'!#REF!</f>
        <v>#REF!</v>
      </c>
      <c r="C254" s="139" t="e">
        <f>'PL CTĐG'!#REF!</f>
        <v>#REF!</v>
      </c>
      <c r="D254" s="288" t="e">
        <f>'PL CTĐG'!#REF!</f>
        <v>#REF!</v>
      </c>
      <c r="E254" s="278" t="e">
        <f>'PL CTĐG'!#REF!</f>
        <v>#REF!</v>
      </c>
      <c r="F254" s="278" t="e">
        <f t="shared" si="4"/>
        <v>#REF!</v>
      </c>
    </row>
    <row r="255" spans="1:6" s="280" customFormat="1" ht="18" customHeight="1">
      <c r="A255" s="13" t="e">
        <f>+'PL CTĐG'!#REF!</f>
        <v>#REF!</v>
      </c>
      <c r="B255" s="289" t="e">
        <f>+'PL CTĐG'!#REF!</f>
        <v>#REF!</v>
      </c>
      <c r="C255" s="13" t="e">
        <f>+'PL CTĐG'!#REF!</f>
        <v>#REF!</v>
      </c>
      <c r="D255" s="288" t="e">
        <f>+'PL CTĐG'!#REF!</f>
        <v>#REF!</v>
      </c>
      <c r="E255" s="278" t="e">
        <f>+'PL CTĐG'!#REF!</f>
        <v>#REF!</v>
      </c>
      <c r="F255" s="278" t="e">
        <f>+D255*E255</f>
        <v>#REF!</v>
      </c>
    </row>
    <row r="256" spans="1:6" s="280" customFormat="1" ht="18" customHeight="1">
      <c r="A256" s="13" t="e">
        <f>+'PL CTĐG'!#REF!</f>
        <v>#REF!</v>
      </c>
      <c r="B256" s="289" t="e">
        <f>+'PL CTĐG'!#REF!</f>
        <v>#REF!</v>
      </c>
      <c r="C256" s="13" t="e">
        <f>+'PL CTĐG'!#REF!</f>
        <v>#REF!</v>
      </c>
      <c r="D256" s="288" t="e">
        <f>+'PL CTĐG'!#REF!</f>
        <v>#REF!</v>
      </c>
      <c r="E256" s="278" t="e">
        <f>+'PL CTĐG'!#REF!</f>
        <v>#REF!</v>
      </c>
      <c r="F256" s="278" t="e">
        <f>+D256*E256</f>
        <v>#REF!</v>
      </c>
    </row>
    <row r="257" spans="1:6" s="280" customFormat="1" ht="18" customHeight="1">
      <c r="A257" s="13" t="e">
        <f>+'PL CTĐG'!#REF!</f>
        <v>#REF!</v>
      </c>
      <c r="B257" s="289" t="e">
        <f>+'PL CTĐG'!#REF!</f>
        <v>#REF!</v>
      </c>
      <c r="C257" s="13" t="e">
        <f>+'PL CTĐG'!#REF!</f>
        <v>#REF!</v>
      </c>
      <c r="D257" s="288" t="e">
        <f>+'PL CTĐG'!#REF!</f>
        <v>#REF!</v>
      </c>
      <c r="E257" s="278" t="e">
        <f>+'PL CTĐG'!#REF!</f>
        <v>#REF!</v>
      </c>
      <c r="F257" s="278" t="e">
        <f>+D257*E257</f>
        <v>#REF!</v>
      </c>
    </row>
    <row r="258" spans="1:6" s="280" customFormat="1" ht="30.75" customHeight="1">
      <c r="A258" s="13"/>
      <c r="B258" s="287" t="e">
        <f>'PL CTĐG'!#REF!</f>
        <v>#REF!</v>
      </c>
      <c r="C258" s="139"/>
      <c r="D258" s="288"/>
      <c r="E258" s="278"/>
      <c r="F258" s="278"/>
    </row>
    <row r="259" spans="1:6" s="280" customFormat="1" ht="18" customHeight="1">
      <c r="A259" s="13" t="e">
        <f>'PL CTĐG'!#REF!</f>
        <v>#REF!</v>
      </c>
      <c r="B259" s="289" t="e">
        <f>'PL CTĐG'!#REF!</f>
        <v>#REF!</v>
      </c>
      <c r="C259" s="139" t="e">
        <f>'PL CTĐG'!#REF!</f>
        <v>#REF!</v>
      </c>
      <c r="D259" s="288" t="e">
        <f>'PL CTĐG'!#REF!</f>
        <v>#REF!</v>
      </c>
      <c r="E259" s="278" t="e">
        <f>'PL CTĐG'!#REF!</f>
        <v>#REF!</v>
      </c>
      <c r="F259" s="278" t="e">
        <f t="shared" si="4"/>
        <v>#REF!</v>
      </c>
    </row>
    <row r="260" spans="1:6" s="280" customFormat="1" ht="18" customHeight="1">
      <c r="A260" s="13" t="e">
        <f>'PL CTĐG'!#REF!</f>
        <v>#REF!</v>
      </c>
      <c r="B260" s="289" t="e">
        <f>'PL CTĐG'!#REF!</f>
        <v>#REF!</v>
      </c>
      <c r="C260" s="139" t="e">
        <f>'PL CTĐG'!#REF!</f>
        <v>#REF!</v>
      </c>
      <c r="D260" s="288" t="e">
        <f>'PL CTĐG'!#REF!</f>
        <v>#REF!</v>
      </c>
      <c r="E260" s="278" t="e">
        <f>'PL CTĐG'!#REF!</f>
        <v>#REF!</v>
      </c>
      <c r="F260" s="278" t="e">
        <f t="shared" si="4"/>
        <v>#REF!</v>
      </c>
    </row>
    <row r="261" spans="1:6" s="280" customFormat="1" ht="18" customHeight="1">
      <c r="A261" s="13" t="e">
        <f>'PL CTĐG'!#REF!</f>
        <v>#REF!</v>
      </c>
      <c r="B261" s="289" t="e">
        <f>'PL CTĐG'!#REF!</f>
        <v>#REF!</v>
      </c>
      <c r="C261" s="139" t="e">
        <f>'PL CTĐG'!#REF!</f>
        <v>#REF!</v>
      </c>
      <c r="D261" s="288" t="e">
        <f>'PL CTĐG'!#REF!</f>
        <v>#REF!</v>
      </c>
      <c r="E261" s="278" t="e">
        <f>'PL CTĐG'!#REF!</f>
        <v>#REF!</v>
      </c>
      <c r="F261" s="278" t="e">
        <f t="shared" si="4"/>
        <v>#REF!</v>
      </c>
    </row>
    <row r="262" spans="1:6" s="280" customFormat="1" ht="18" customHeight="1">
      <c r="A262" s="13" t="e">
        <f>'PL CTĐG'!#REF!</f>
        <v>#REF!</v>
      </c>
      <c r="B262" s="289" t="e">
        <f>'PL CTĐG'!#REF!</f>
        <v>#REF!</v>
      </c>
      <c r="C262" s="139" t="e">
        <f>'PL CTĐG'!#REF!</f>
        <v>#REF!</v>
      </c>
      <c r="D262" s="288" t="e">
        <f>'PL CTĐG'!#REF!</f>
        <v>#REF!</v>
      </c>
      <c r="E262" s="278" t="e">
        <f>'PL CTĐG'!#REF!</f>
        <v>#REF!</v>
      </c>
      <c r="F262" s="278" t="e">
        <f t="shared" si="4"/>
        <v>#REF!</v>
      </c>
    </row>
    <row r="263" spans="1:6" s="280" customFormat="1" ht="28.5" customHeight="1">
      <c r="A263" s="13"/>
      <c r="B263" s="287" t="e">
        <f>'PL CTĐG'!#REF!</f>
        <v>#REF!</v>
      </c>
      <c r="C263" s="139"/>
      <c r="D263" s="288"/>
      <c r="E263" s="278"/>
      <c r="F263" s="278"/>
    </row>
    <row r="264" spans="1:6" s="280" customFormat="1" ht="18" customHeight="1">
      <c r="A264" s="13"/>
      <c r="B264" s="287" t="e">
        <f>'PL CTĐG'!#REF!</f>
        <v>#REF!</v>
      </c>
      <c r="C264" s="139"/>
      <c r="D264" s="288"/>
      <c r="E264" s="278"/>
      <c r="F264" s="278"/>
    </row>
    <row r="265" spans="1:6" s="280" customFormat="1" ht="18" customHeight="1">
      <c r="A265" s="13" t="e">
        <f>'PL CTĐG'!#REF!</f>
        <v>#REF!</v>
      </c>
      <c r="B265" s="289" t="e">
        <f>'PL CTĐG'!#REF!</f>
        <v>#REF!</v>
      </c>
      <c r="C265" s="139" t="e">
        <f>'PL CTĐG'!#REF!</f>
        <v>#REF!</v>
      </c>
      <c r="D265" s="288" t="e">
        <f>'PL CTĐG'!#REF!</f>
        <v>#REF!</v>
      </c>
      <c r="E265" s="278" t="e">
        <f>'PL CTĐG'!#REF!</f>
        <v>#REF!</v>
      </c>
      <c r="F265" s="278" t="e">
        <f t="shared" si="4"/>
        <v>#REF!</v>
      </c>
    </row>
    <row r="266" spans="1:6" s="280" customFormat="1" ht="18" customHeight="1">
      <c r="A266" s="13" t="e">
        <f>'PL CTĐG'!#REF!</f>
        <v>#REF!</v>
      </c>
      <c r="B266" s="289" t="e">
        <f>'PL CTĐG'!#REF!</f>
        <v>#REF!</v>
      </c>
      <c r="C266" s="139" t="e">
        <f>'PL CTĐG'!#REF!</f>
        <v>#REF!</v>
      </c>
      <c r="D266" s="288" t="e">
        <f>'PL CTĐG'!#REF!</f>
        <v>#REF!</v>
      </c>
      <c r="E266" s="278" t="e">
        <f>'PL CTĐG'!#REF!</f>
        <v>#REF!</v>
      </c>
      <c r="F266" s="278" t="e">
        <f t="shared" si="4"/>
        <v>#REF!</v>
      </c>
    </row>
    <row r="267" spans="1:6" s="280" customFormat="1" ht="18" customHeight="1">
      <c r="A267" s="13" t="e">
        <f>'PL CTĐG'!#REF!</f>
        <v>#REF!</v>
      </c>
      <c r="B267" s="289" t="e">
        <f>'PL CTĐG'!#REF!</f>
        <v>#REF!</v>
      </c>
      <c r="C267" s="139" t="e">
        <f>'PL CTĐG'!#REF!</f>
        <v>#REF!</v>
      </c>
      <c r="D267" s="288" t="e">
        <f>'PL CTĐG'!#REF!</f>
        <v>#REF!</v>
      </c>
      <c r="E267" s="278" t="e">
        <f>'PL CTĐG'!#REF!</f>
        <v>#REF!</v>
      </c>
      <c r="F267" s="278" t="e">
        <f t="shared" si="4"/>
        <v>#REF!</v>
      </c>
    </row>
    <row r="268" spans="1:6" s="280" customFormat="1" ht="18" customHeight="1">
      <c r="A268" s="13"/>
      <c r="B268" s="287" t="e">
        <f>'PL CTĐG'!#REF!</f>
        <v>#REF!</v>
      </c>
      <c r="C268" s="139"/>
      <c r="D268" s="288"/>
      <c r="E268" s="278"/>
      <c r="F268" s="278"/>
    </row>
    <row r="269" spans="1:6" s="280" customFormat="1" ht="18" customHeight="1">
      <c r="A269" s="13" t="e">
        <f>'PL CTĐG'!#REF!</f>
        <v>#REF!</v>
      </c>
      <c r="B269" s="289" t="e">
        <f>'PL CTĐG'!#REF!</f>
        <v>#REF!</v>
      </c>
      <c r="C269" s="139" t="e">
        <f>'PL CTĐG'!#REF!</f>
        <v>#REF!</v>
      </c>
      <c r="D269" s="288" t="e">
        <f>'PL CTĐG'!#REF!</f>
        <v>#REF!</v>
      </c>
      <c r="E269" s="278" t="e">
        <f>'PL CTĐG'!#REF!</f>
        <v>#REF!</v>
      </c>
      <c r="F269" s="278" t="e">
        <f t="shared" si="4"/>
        <v>#REF!</v>
      </c>
    </row>
    <row r="270" spans="1:6" s="280" customFormat="1" ht="18" customHeight="1">
      <c r="A270" s="13" t="e">
        <f>'PL CTĐG'!#REF!</f>
        <v>#REF!</v>
      </c>
      <c r="B270" s="289" t="e">
        <f>'PL CTĐG'!#REF!</f>
        <v>#REF!</v>
      </c>
      <c r="C270" s="139" t="e">
        <f>'PL CTĐG'!#REF!</f>
        <v>#REF!</v>
      </c>
      <c r="D270" s="288" t="e">
        <f>'PL CTĐG'!#REF!</f>
        <v>#REF!</v>
      </c>
      <c r="E270" s="278" t="e">
        <f>'PL CTĐG'!#REF!</f>
        <v>#REF!</v>
      </c>
      <c r="F270" s="278" t="e">
        <f t="shared" ref="F270:F337" si="5">E270*D270</f>
        <v>#REF!</v>
      </c>
    </row>
    <row r="271" spans="1:6" s="280" customFormat="1" ht="18" customHeight="1">
      <c r="A271" s="13" t="e">
        <f>'PL CTĐG'!#REF!</f>
        <v>#REF!</v>
      </c>
      <c r="B271" s="289" t="e">
        <f>'PL CTĐG'!#REF!</f>
        <v>#REF!</v>
      </c>
      <c r="C271" s="139" t="e">
        <f>'PL CTĐG'!#REF!</f>
        <v>#REF!</v>
      </c>
      <c r="D271" s="288" t="e">
        <f>'PL CTĐG'!#REF!</f>
        <v>#REF!</v>
      </c>
      <c r="E271" s="278" t="e">
        <f>'PL CTĐG'!#REF!</f>
        <v>#REF!</v>
      </c>
      <c r="F271" s="278" t="e">
        <f t="shared" si="5"/>
        <v>#REF!</v>
      </c>
    </row>
    <row r="272" spans="1:6" s="280" customFormat="1" ht="18" customHeight="1">
      <c r="A272" s="13"/>
      <c r="B272" s="287" t="e">
        <f>'PL CTĐG'!#REF!</f>
        <v>#REF!</v>
      </c>
      <c r="C272" s="139"/>
      <c r="D272" s="288"/>
      <c r="E272" s="278"/>
      <c r="F272" s="278"/>
    </row>
    <row r="273" spans="1:6" s="280" customFormat="1" ht="18" customHeight="1">
      <c r="A273" s="13" t="e">
        <f>'PL CTĐG'!#REF!</f>
        <v>#REF!</v>
      </c>
      <c r="B273" s="289" t="e">
        <f>'PL CTĐG'!#REF!</f>
        <v>#REF!</v>
      </c>
      <c r="C273" s="139" t="e">
        <f>'PL CTĐG'!#REF!</f>
        <v>#REF!</v>
      </c>
      <c r="D273" s="288" t="e">
        <f>'PL CTĐG'!#REF!</f>
        <v>#REF!</v>
      </c>
      <c r="E273" s="278" t="e">
        <f>'PL CTĐG'!#REF!</f>
        <v>#REF!</v>
      </c>
      <c r="F273" s="278" t="e">
        <f t="shared" si="5"/>
        <v>#REF!</v>
      </c>
    </row>
    <row r="274" spans="1:6" s="280" customFormat="1" ht="18" customHeight="1">
      <c r="A274" s="13" t="e">
        <f>'PL CTĐG'!#REF!</f>
        <v>#REF!</v>
      </c>
      <c r="B274" s="289" t="e">
        <f>'PL CTĐG'!#REF!</f>
        <v>#REF!</v>
      </c>
      <c r="C274" s="139" t="e">
        <f>'PL CTĐG'!#REF!</f>
        <v>#REF!</v>
      </c>
      <c r="D274" s="288" t="e">
        <f>'PL CTĐG'!#REF!</f>
        <v>#REF!</v>
      </c>
      <c r="E274" s="278" t="e">
        <f>'PL CTĐG'!#REF!</f>
        <v>#REF!</v>
      </c>
      <c r="F274" s="278" t="e">
        <f t="shared" si="5"/>
        <v>#REF!</v>
      </c>
    </row>
    <row r="275" spans="1:6" s="280" customFormat="1" ht="18" customHeight="1">
      <c r="A275" s="290" t="e">
        <f>'PL CTĐG'!#REF!</f>
        <v>#REF!</v>
      </c>
      <c r="B275" s="291" t="e">
        <f>'PL CTĐG'!#REF!</f>
        <v>#REF!</v>
      </c>
      <c r="C275" s="292" t="e">
        <f>'PL CTĐG'!#REF!</f>
        <v>#REF!</v>
      </c>
      <c r="D275" s="293" t="e">
        <f>'PL CTĐG'!#REF!</f>
        <v>#REF!</v>
      </c>
      <c r="E275" s="294" t="e">
        <f>'PL CTĐG'!#REF!</f>
        <v>#REF!</v>
      </c>
      <c r="F275" s="294" t="e">
        <f t="shared" si="5"/>
        <v>#REF!</v>
      </c>
    </row>
    <row r="276" spans="1:6" s="280" customFormat="1" ht="30.75" customHeight="1">
      <c r="A276" s="12" t="e">
        <f>'PL CTĐG'!#REF!</f>
        <v>#REF!</v>
      </c>
      <c r="B276" s="507" t="e">
        <f>'PL CTĐG'!#REF!</f>
        <v>#REF!</v>
      </c>
      <c r="C276" s="509"/>
      <c r="D276" s="510"/>
      <c r="E276" s="508"/>
      <c r="F276" s="508" t="e">
        <f>SUM(F278:F299)</f>
        <v>#REF!</v>
      </c>
    </row>
    <row r="277" spans="1:6" s="280" customFormat="1" ht="34.5" customHeight="1">
      <c r="A277" s="13"/>
      <c r="B277" s="287" t="e">
        <f>'PL CTĐG'!#REF!</f>
        <v>#REF!</v>
      </c>
      <c r="C277" s="139"/>
      <c r="D277" s="288"/>
      <c r="E277" s="278"/>
      <c r="F277" s="278"/>
    </row>
    <row r="278" spans="1:6" s="280" customFormat="1" ht="18" customHeight="1">
      <c r="A278" s="13" t="e">
        <f>'PL CTĐG'!#REF!</f>
        <v>#REF!</v>
      </c>
      <c r="B278" s="289" t="e">
        <f>'PL CTĐG'!#REF!</f>
        <v>#REF!</v>
      </c>
      <c r="C278" s="139" t="e">
        <f>'PL CTĐG'!#REF!</f>
        <v>#REF!</v>
      </c>
      <c r="D278" s="288" t="e">
        <f>'PL CTĐG'!#REF!</f>
        <v>#REF!</v>
      </c>
      <c r="E278" s="278" t="e">
        <f>'PL CTĐG'!#REF!</f>
        <v>#REF!</v>
      </c>
      <c r="F278" s="278" t="e">
        <f t="shared" si="5"/>
        <v>#REF!</v>
      </c>
    </row>
    <row r="279" spans="1:6" s="280" customFormat="1" ht="18" customHeight="1">
      <c r="A279" s="13" t="e">
        <f>'PL CTĐG'!#REF!</f>
        <v>#REF!</v>
      </c>
      <c r="B279" s="289" t="e">
        <f>'PL CTĐG'!#REF!</f>
        <v>#REF!</v>
      </c>
      <c r="C279" s="139" t="e">
        <f>'PL CTĐG'!#REF!</f>
        <v>#REF!</v>
      </c>
      <c r="D279" s="288" t="e">
        <f>'PL CTĐG'!#REF!</f>
        <v>#REF!</v>
      </c>
      <c r="E279" s="278" t="e">
        <f>'PL CTĐG'!#REF!</f>
        <v>#REF!</v>
      </c>
      <c r="F279" s="278" t="e">
        <f t="shared" si="5"/>
        <v>#REF!</v>
      </c>
    </row>
    <row r="280" spans="1:6" s="280" customFormat="1" ht="33" customHeight="1">
      <c r="A280" s="13" t="e">
        <f>'PL CTĐG'!#REF!</f>
        <v>#REF!</v>
      </c>
      <c r="B280" s="289" t="e">
        <f>'PL CTĐG'!#REF!</f>
        <v>#REF!</v>
      </c>
      <c r="C280" s="139" t="e">
        <f>'PL CTĐG'!#REF!</f>
        <v>#REF!</v>
      </c>
      <c r="D280" s="288" t="e">
        <f>'PL CTĐG'!#REF!</f>
        <v>#REF!</v>
      </c>
      <c r="E280" s="278" t="e">
        <f>'PL CTĐG'!#REF!</f>
        <v>#REF!</v>
      </c>
      <c r="F280" s="278" t="e">
        <f t="shared" si="5"/>
        <v>#REF!</v>
      </c>
    </row>
    <row r="281" spans="1:6" s="280" customFormat="1" ht="18" customHeight="1">
      <c r="A281" s="13" t="e">
        <f>'PL CTĐG'!#REF!</f>
        <v>#REF!</v>
      </c>
      <c r="B281" s="289" t="e">
        <f>'PL CTĐG'!#REF!</f>
        <v>#REF!</v>
      </c>
      <c r="C281" s="139" t="e">
        <f>'PL CTĐG'!#REF!</f>
        <v>#REF!</v>
      </c>
      <c r="D281" s="288" t="e">
        <f>'PL CTĐG'!#REF!</f>
        <v>#REF!</v>
      </c>
      <c r="E281" s="278" t="e">
        <f>'PL CTĐG'!#REF!</f>
        <v>#REF!</v>
      </c>
      <c r="F281" s="278" t="e">
        <f t="shared" si="5"/>
        <v>#REF!</v>
      </c>
    </row>
    <row r="282" spans="1:6" s="280" customFormat="1" ht="30" customHeight="1">
      <c r="A282" s="13" t="e">
        <f>'PL CTĐG'!#REF!</f>
        <v>#REF!</v>
      </c>
      <c r="B282" s="289" t="e">
        <f>'PL CTĐG'!#REF!</f>
        <v>#REF!</v>
      </c>
      <c r="C282" s="139" t="e">
        <f>'PL CTĐG'!#REF!</f>
        <v>#REF!</v>
      </c>
      <c r="D282" s="288" t="e">
        <f>'PL CTĐG'!#REF!</f>
        <v>#REF!</v>
      </c>
      <c r="E282" s="278" t="e">
        <f>'PL CTĐG'!#REF!</f>
        <v>#REF!</v>
      </c>
      <c r="F282" s="278" t="e">
        <f t="shared" si="5"/>
        <v>#REF!</v>
      </c>
    </row>
    <row r="283" spans="1:6" s="280" customFormat="1" ht="18" customHeight="1">
      <c r="A283" s="13" t="e">
        <f>'PL CTĐG'!#REF!</f>
        <v>#REF!</v>
      </c>
      <c r="B283" s="289" t="e">
        <f>'PL CTĐG'!#REF!</f>
        <v>#REF!</v>
      </c>
      <c r="C283" s="139" t="e">
        <f>'PL CTĐG'!#REF!</f>
        <v>#REF!</v>
      </c>
      <c r="D283" s="288" t="e">
        <f>'PL CTĐG'!#REF!</f>
        <v>#REF!</v>
      </c>
      <c r="E283" s="278" t="e">
        <f>'PL CTĐG'!#REF!</f>
        <v>#REF!</v>
      </c>
      <c r="F283" s="278" t="e">
        <f t="shared" si="5"/>
        <v>#REF!</v>
      </c>
    </row>
    <row r="284" spans="1:6" s="280" customFormat="1" ht="18" customHeight="1">
      <c r="A284" s="13" t="e">
        <f>'PL CTĐG'!#REF!</f>
        <v>#REF!</v>
      </c>
      <c r="B284" s="289" t="e">
        <f>'PL CTĐG'!#REF!</f>
        <v>#REF!</v>
      </c>
      <c r="C284" s="139" t="e">
        <f>'PL CTĐG'!#REF!</f>
        <v>#REF!</v>
      </c>
      <c r="D284" s="288" t="e">
        <f>'PL CTĐG'!#REF!</f>
        <v>#REF!</v>
      </c>
      <c r="E284" s="278" t="e">
        <f>'PL CTĐG'!#REF!</f>
        <v>#REF!</v>
      </c>
      <c r="F284" s="278" t="e">
        <f t="shared" si="5"/>
        <v>#REF!</v>
      </c>
    </row>
    <row r="285" spans="1:6" s="280" customFormat="1" ht="18" customHeight="1">
      <c r="A285" s="13" t="e">
        <f>'PL CTĐG'!#REF!</f>
        <v>#REF!</v>
      </c>
      <c r="B285" s="289" t="e">
        <f>'PL CTĐG'!#REF!</f>
        <v>#REF!</v>
      </c>
      <c r="C285" s="139" t="e">
        <f>'PL CTĐG'!#REF!</f>
        <v>#REF!</v>
      </c>
      <c r="D285" s="288" t="e">
        <f>'PL CTĐG'!#REF!</f>
        <v>#REF!</v>
      </c>
      <c r="E285" s="278" t="e">
        <f>'PL CTĐG'!#REF!</f>
        <v>#REF!</v>
      </c>
      <c r="F285" s="278" t="e">
        <f t="shared" si="5"/>
        <v>#REF!</v>
      </c>
    </row>
    <row r="286" spans="1:6" s="280" customFormat="1" ht="18" customHeight="1">
      <c r="A286" s="13" t="e">
        <f>'PL CTĐG'!#REF!</f>
        <v>#REF!</v>
      </c>
      <c r="B286" s="289" t="e">
        <f>'PL CTĐG'!#REF!</f>
        <v>#REF!</v>
      </c>
      <c r="C286" s="139" t="e">
        <f>'PL CTĐG'!#REF!</f>
        <v>#REF!</v>
      </c>
      <c r="D286" s="288" t="e">
        <f>'PL CTĐG'!#REF!</f>
        <v>#REF!</v>
      </c>
      <c r="E286" s="278" t="e">
        <f>'PL CTĐG'!#REF!</f>
        <v>#REF!</v>
      </c>
      <c r="F286" s="278" t="e">
        <f t="shared" si="5"/>
        <v>#REF!</v>
      </c>
    </row>
    <row r="287" spans="1:6" s="280" customFormat="1" ht="18" customHeight="1">
      <c r="A287" s="13" t="e">
        <f>+'PL CTĐG'!#REF!</f>
        <v>#REF!</v>
      </c>
      <c r="B287" s="289" t="e">
        <f>+'PL CTĐG'!#REF!</f>
        <v>#REF!</v>
      </c>
      <c r="C287" s="13" t="e">
        <f>+'PL CTĐG'!#REF!</f>
        <v>#REF!</v>
      </c>
      <c r="D287" s="288" t="e">
        <f>+'PL CTĐG'!#REF!</f>
        <v>#REF!</v>
      </c>
      <c r="E287" s="278" t="e">
        <f>+'PL CTĐG'!#REF!</f>
        <v>#REF!</v>
      </c>
      <c r="F287" s="278" t="e">
        <f>+D287*E287</f>
        <v>#REF!</v>
      </c>
    </row>
    <row r="288" spans="1:6" s="280" customFormat="1" ht="18" customHeight="1">
      <c r="A288" s="13" t="e">
        <f>+'PL CTĐG'!#REF!</f>
        <v>#REF!</v>
      </c>
      <c r="B288" s="289" t="e">
        <f>+'PL CTĐG'!#REF!</f>
        <v>#REF!</v>
      </c>
      <c r="C288" s="13" t="e">
        <f>+'PL CTĐG'!#REF!</f>
        <v>#REF!</v>
      </c>
      <c r="D288" s="288" t="e">
        <f>+'PL CTĐG'!#REF!</f>
        <v>#REF!</v>
      </c>
      <c r="E288" s="278" t="e">
        <f>+'PL CTĐG'!#REF!</f>
        <v>#REF!</v>
      </c>
      <c r="F288" s="278" t="e">
        <f>+D288*E288</f>
        <v>#REF!</v>
      </c>
    </row>
    <row r="289" spans="1:6" s="280" customFormat="1" ht="18" customHeight="1">
      <c r="A289" s="13" t="e">
        <f>+'PL CTĐG'!#REF!</f>
        <v>#REF!</v>
      </c>
      <c r="B289" s="289" t="e">
        <f>+'PL CTĐG'!#REF!</f>
        <v>#REF!</v>
      </c>
      <c r="C289" s="13" t="e">
        <f>+'PL CTĐG'!#REF!</f>
        <v>#REF!</v>
      </c>
      <c r="D289" s="288" t="e">
        <f>+'PL CTĐG'!#REF!</f>
        <v>#REF!</v>
      </c>
      <c r="E289" s="278" t="e">
        <f>+'PL CTĐG'!#REF!</f>
        <v>#REF!</v>
      </c>
      <c r="F289" s="278" t="e">
        <f>+D289*E289</f>
        <v>#REF!</v>
      </c>
    </row>
    <row r="290" spans="1:6" s="280" customFormat="1" ht="32.25" customHeight="1">
      <c r="A290" s="13"/>
      <c r="B290" s="287" t="e">
        <f>'PL CTĐG'!#REF!</f>
        <v>#REF!</v>
      </c>
      <c r="C290" s="139"/>
      <c r="D290" s="288"/>
      <c r="E290" s="278"/>
      <c r="F290" s="278"/>
    </row>
    <row r="291" spans="1:6" s="280" customFormat="1" ht="18" customHeight="1">
      <c r="A291" s="13" t="e">
        <f>'PL CTĐG'!#REF!</f>
        <v>#REF!</v>
      </c>
      <c r="B291" s="289" t="e">
        <f>'PL CTĐG'!#REF!</f>
        <v>#REF!</v>
      </c>
      <c r="C291" s="139" t="e">
        <f>'PL CTĐG'!#REF!</f>
        <v>#REF!</v>
      </c>
      <c r="D291" s="288" t="e">
        <f>'PL CTĐG'!#REF!</f>
        <v>#REF!</v>
      </c>
      <c r="E291" s="278" t="e">
        <f>'PL CTĐG'!#REF!</f>
        <v>#REF!</v>
      </c>
      <c r="F291" s="278" t="e">
        <f t="shared" si="5"/>
        <v>#REF!</v>
      </c>
    </row>
    <row r="292" spans="1:6" s="280" customFormat="1" ht="18" customHeight="1">
      <c r="A292" s="13" t="e">
        <f>'PL CTĐG'!#REF!</f>
        <v>#REF!</v>
      </c>
      <c r="B292" s="289" t="e">
        <f>'PL CTĐG'!#REF!</f>
        <v>#REF!</v>
      </c>
      <c r="C292" s="139" t="e">
        <f>'PL CTĐG'!#REF!</f>
        <v>#REF!</v>
      </c>
      <c r="D292" s="288" t="e">
        <f>'PL CTĐG'!#REF!</f>
        <v>#REF!</v>
      </c>
      <c r="E292" s="278" t="e">
        <f>'PL CTĐG'!#REF!</f>
        <v>#REF!</v>
      </c>
      <c r="F292" s="278" t="e">
        <f t="shared" si="5"/>
        <v>#REF!</v>
      </c>
    </row>
    <row r="293" spans="1:6" s="280" customFormat="1" ht="18" customHeight="1">
      <c r="A293" s="13" t="e">
        <f>'PL CTĐG'!#REF!</f>
        <v>#REF!</v>
      </c>
      <c r="B293" s="289" t="e">
        <f>'PL CTĐG'!#REF!</f>
        <v>#REF!</v>
      </c>
      <c r="C293" s="139" t="e">
        <f>'PL CTĐG'!#REF!</f>
        <v>#REF!</v>
      </c>
      <c r="D293" s="288" t="e">
        <f>'PL CTĐG'!#REF!</f>
        <v>#REF!</v>
      </c>
      <c r="E293" s="278" t="e">
        <f>'PL CTĐG'!#REF!</f>
        <v>#REF!</v>
      </c>
      <c r="F293" s="278" t="e">
        <f t="shared" si="5"/>
        <v>#REF!</v>
      </c>
    </row>
    <row r="294" spans="1:6" s="280" customFormat="1" ht="18" customHeight="1">
      <c r="A294" s="13" t="e">
        <f>'PL CTĐG'!#REF!</f>
        <v>#REF!</v>
      </c>
      <c r="B294" s="289" t="e">
        <f>'PL CTĐG'!#REF!</f>
        <v>#REF!</v>
      </c>
      <c r="C294" s="139" t="e">
        <f>'PL CTĐG'!#REF!</f>
        <v>#REF!</v>
      </c>
      <c r="D294" s="288" t="e">
        <f>'PL CTĐG'!#REF!</f>
        <v>#REF!</v>
      </c>
      <c r="E294" s="278" t="e">
        <f>'PL CTĐG'!#REF!</f>
        <v>#REF!</v>
      </c>
      <c r="F294" s="278" t="e">
        <f t="shared" si="5"/>
        <v>#REF!</v>
      </c>
    </row>
    <row r="295" spans="1:6" s="280" customFormat="1" ht="28.5" customHeight="1">
      <c r="A295" s="13"/>
      <c r="B295" s="287" t="e">
        <f>'PL CTĐG'!#REF!</f>
        <v>#REF!</v>
      </c>
      <c r="C295" s="139"/>
      <c r="D295" s="288"/>
      <c r="E295" s="278"/>
      <c r="F295" s="278"/>
    </row>
    <row r="296" spans="1:6" s="280" customFormat="1" ht="18" customHeight="1">
      <c r="A296" s="13"/>
      <c r="B296" s="287" t="e">
        <f>'PL CTĐG'!#REF!</f>
        <v>#REF!</v>
      </c>
      <c r="C296" s="139"/>
      <c r="D296" s="288"/>
      <c r="E296" s="278"/>
      <c r="F296" s="278"/>
    </row>
    <row r="297" spans="1:6" s="280" customFormat="1" ht="18" customHeight="1">
      <c r="A297" s="13" t="e">
        <f>'PL CTĐG'!#REF!</f>
        <v>#REF!</v>
      </c>
      <c r="B297" s="289" t="e">
        <f>'PL CTĐG'!#REF!</f>
        <v>#REF!</v>
      </c>
      <c r="C297" s="139" t="e">
        <f>'PL CTĐG'!#REF!</f>
        <v>#REF!</v>
      </c>
      <c r="D297" s="288" t="e">
        <f>'PL CTĐG'!#REF!</f>
        <v>#REF!</v>
      </c>
      <c r="E297" s="278" t="e">
        <f>'PL CTĐG'!#REF!</f>
        <v>#REF!</v>
      </c>
      <c r="F297" s="278" t="e">
        <f t="shared" si="5"/>
        <v>#REF!</v>
      </c>
    </row>
    <row r="298" spans="1:6" s="280" customFormat="1" ht="18" customHeight="1">
      <c r="A298" s="13" t="e">
        <f>'PL CTĐG'!#REF!</f>
        <v>#REF!</v>
      </c>
      <c r="B298" s="289" t="e">
        <f>'PL CTĐG'!#REF!</f>
        <v>#REF!</v>
      </c>
      <c r="C298" s="139" t="e">
        <f>'PL CTĐG'!#REF!</f>
        <v>#REF!</v>
      </c>
      <c r="D298" s="288" t="e">
        <f>'PL CTĐG'!#REF!</f>
        <v>#REF!</v>
      </c>
      <c r="E298" s="278" t="e">
        <f>'PL CTĐG'!#REF!</f>
        <v>#REF!</v>
      </c>
      <c r="F298" s="278" t="e">
        <f t="shared" si="5"/>
        <v>#REF!</v>
      </c>
    </row>
    <row r="299" spans="1:6" s="280" customFormat="1" ht="18" customHeight="1">
      <c r="A299" s="290" t="e">
        <f>'PL CTĐG'!#REF!</f>
        <v>#REF!</v>
      </c>
      <c r="B299" s="291" t="e">
        <f>'PL CTĐG'!#REF!</f>
        <v>#REF!</v>
      </c>
      <c r="C299" s="292" t="e">
        <f>'PL CTĐG'!#REF!</f>
        <v>#REF!</v>
      </c>
      <c r="D299" s="293" t="e">
        <f>'PL CTĐG'!#REF!</f>
        <v>#REF!</v>
      </c>
      <c r="E299" s="294" t="e">
        <f>'PL CTĐG'!#REF!</f>
        <v>#REF!</v>
      </c>
      <c r="F299" s="294" t="e">
        <f t="shared" si="5"/>
        <v>#REF!</v>
      </c>
    </row>
    <row r="300" spans="1:6" s="280" customFormat="1" ht="42" customHeight="1">
      <c r="A300" s="12" t="e">
        <f>'PL CTĐG'!#REF!</f>
        <v>#REF!</v>
      </c>
      <c r="B300" s="511" t="e">
        <f>'PL CTĐG'!#REF!</f>
        <v>#REF!</v>
      </c>
      <c r="C300" s="276"/>
      <c r="D300" s="277"/>
      <c r="E300" s="286"/>
      <c r="F300" s="508" t="e">
        <f>SUM(F302:F331)</f>
        <v>#REF!</v>
      </c>
    </row>
    <row r="301" spans="1:6" s="280" customFormat="1" ht="38.25" customHeight="1">
      <c r="A301" s="13"/>
      <c r="B301" s="287" t="e">
        <f>'PL CTĐG'!#REF!</f>
        <v>#REF!</v>
      </c>
      <c r="C301" s="139"/>
      <c r="D301" s="288"/>
      <c r="E301" s="278"/>
      <c r="F301" s="278"/>
    </row>
    <row r="302" spans="1:6" s="280" customFormat="1" ht="18" customHeight="1">
      <c r="A302" s="13" t="e">
        <f>'PL CTĐG'!#REF!</f>
        <v>#REF!</v>
      </c>
      <c r="B302" s="289" t="e">
        <f>'PL CTĐG'!#REF!</f>
        <v>#REF!</v>
      </c>
      <c r="C302" s="139" t="e">
        <f>'PL CTĐG'!#REF!</f>
        <v>#REF!</v>
      </c>
      <c r="D302" s="288" t="e">
        <f>'PL CTĐG'!#REF!</f>
        <v>#REF!</v>
      </c>
      <c r="E302" s="278" t="e">
        <f>'PL CTĐG'!#REF!</f>
        <v>#REF!</v>
      </c>
      <c r="F302" s="278" t="e">
        <f t="shared" si="5"/>
        <v>#REF!</v>
      </c>
    </row>
    <row r="303" spans="1:6" s="280" customFormat="1" ht="18" customHeight="1">
      <c r="A303" s="13" t="e">
        <f>'PL CTĐG'!#REF!</f>
        <v>#REF!</v>
      </c>
      <c r="B303" s="289" t="e">
        <f>'PL CTĐG'!#REF!</f>
        <v>#REF!</v>
      </c>
      <c r="C303" s="139" t="e">
        <f>'PL CTĐG'!#REF!</f>
        <v>#REF!</v>
      </c>
      <c r="D303" s="288" t="e">
        <f>'PL CTĐG'!#REF!</f>
        <v>#REF!</v>
      </c>
      <c r="E303" s="278" t="e">
        <f>'PL CTĐG'!#REF!</f>
        <v>#REF!</v>
      </c>
      <c r="F303" s="278" t="e">
        <f t="shared" si="5"/>
        <v>#REF!</v>
      </c>
    </row>
    <row r="304" spans="1:6" s="280" customFormat="1" ht="30" customHeight="1">
      <c r="A304" s="13" t="e">
        <f>'PL CTĐG'!#REF!</f>
        <v>#REF!</v>
      </c>
      <c r="B304" s="289" t="e">
        <f>'PL CTĐG'!#REF!</f>
        <v>#REF!</v>
      </c>
      <c r="C304" s="139" t="e">
        <f>'PL CTĐG'!#REF!</f>
        <v>#REF!</v>
      </c>
      <c r="D304" s="288" t="e">
        <f>'PL CTĐG'!#REF!</f>
        <v>#REF!</v>
      </c>
      <c r="E304" s="278" t="e">
        <f>'PL CTĐG'!#REF!</f>
        <v>#REF!</v>
      </c>
      <c r="F304" s="278" t="e">
        <f t="shared" si="5"/>
        <v>#REF!</v>
      </c>
    </row>
    <row r="305" spans="1:6" s="280" customFormat="1" ht="18" customHeight="1">
      <c r="A305" s="13" t="e">
        <f>'PL CTĐG'!#REF!</f>
        <v>#REF!</v>
      </c>
      <c r="B305" s="289" t="e">
        <f>'PL CTĐG'!#REF!</f>
        <v>#REF!</v>
      </c>
      <c r="C305" s="139" t="e">
        <f>'PL CTĐG'!#REF!</f>
        <v>#REF!</v>
      </c>
      <c r="D305" s="288" t="e">
        <f>'PL CTĐG'!#REF!</f>
        <v>#REF!</v>
      </c>
      <c r="E305" s="278" t="e">
        <f>'PL CTĐG'!#REF!</f>
        <v>#REF!</v>
      </c>
      <c r="F305" s="278" t="e">
        <f t="shared" si="5"/>
        <v>#REF!</v>
      </c>
    </row>
    <row r="306" spans="1:6" s="280" customFormat="1" ht="30" customHeight="1">
      <c r="A306" s="13" t="e">
        <f>'PL CTĐG'!#REF!</f>
        <v>#REF!</v>
      </c>
      <c r="B306" s="289" t="e">
        <f>'PL CTĐG'!#REF!</f>
        <v>#REF!</v>
      </c>
      <c r="C306" s="139" t="e">
        <f>'PL CTĐG'!#REF!</f>
        <v>#REF!</v>
      </c>
      <c r="D306" s="288" t="e">
        <f>'PL CTĐG'!#REF!</f>
        <v>#REF!</v>
      </c>
      <c r="E306" s="278" t="e">
        <f>'PL CTĐG'!#REF!</f>
        <v>#REF!</v>
      </c>
      <c r="F306" s="278" t="e">
        <f t="shared" si="5"/>
        <v>#REF!</v>
      </c>
    </row>
    <row r="307" spans="1:6" s="280" customFormat="1" ht="18" customHeight="1">
      <c r="A307" s="13" t="e">
        <f>'PL CTĐG'!#REF!</f>
        <v>#REF!</v>
      </c>
      <c r="B307" s="289" t="e">
        <f>'PL CTĐG'!#REF!</f>
        <v>#REF!</v>
      </c>
      <c r="C307" s="139" t="e">
        <f>'PL CTĐG'!#REF!</f>
        <v>#REF!</v>
      </c>
      <c r="D307" s="288" t="e">
        <f>'PL CTĐG'!#REF!</f>
        <v>#REF!</v>
      </c>
      <c r="E307" s="278" t="e">
        <f>'PL CTĐG'!#REF!</f>
        <v>#REF!</v>
      </c>
      <c r="F307" s="278" t="e">
        <f t="shared" si="5"/>
        <v>#REF!</v>
      </c>
    </row>
    <row r="308" spans="1:6" s="280" customFormat="1" ht="18" customHeight="1">
      <c r="A308" s="13" t="e">
        <f>'PL CTĐG'!#REF!</f>
        <v>#REF!</v>
      </c>
      <c r="B308" s="289" t="e">
        <f>'PL CTĐG'!#REF!</f>
        <v>#REF!</v>
      </c>
      <c r="C308" s="139" t="e">
        <f>'PL CTĐG'!#REF!</f>
        <v>#REF!</v>
      </c>
      <c r="D308" s="288" t="e">
        <f>'PL CTĐG'!#REF!</f>
        <v>#REF!</v>
      </c>
      <c r="E308" s="278" t="e">
        <f>'PL CTĐG'!#REF!</f>
        <v>#REF!</v>
      </c>
      <c r="F308" s="278" t="e">
        <f t="shared" si="5"/>
        <v>#REF!</v>
      </c>
    </row>
    <row r="309" spans="1:6" s="280" customFormat="1" ht="18" customHeight="1">
      <c r="A309" s="13" t="e">
        <f>'PL CTĐG'!#REF!</f>
        <v>#REF!</v>
      </c>
      <c r="B309" s="289" t="e">
        <f>'PL CTĐG'!#REF!</f>
        <v>#REF!</v>
      </c>
      <c r="C309" s="139" t="e">
        <f>'PL CTĐG'!#REF!</f>
        <v>#REF!</v>
      </c>
      <c r="D309" s="288" t="e">
        <f>'PL CTĐG'!#REF!</f>
        <v>#REF!</v>
      </c>
      <c r="E309" s="278" t="e">
        <f>'PL CTĐG'!#REF!</f>
        <v>#REF!</v>
      </c>
      <c r="F309" s="278" t="e">
        <f t="shared" si="5"/>
        <v>#REF!</v>
      </c>
    </row>
    <row r="310" spans="1:6" s="280" customFormat="1" ht="18" customHeight="1">
      <c r="A310" s="13" t="e">
        <f>'PL CTĐG'!#REF!</f>
        <v>#REF!</v>
      </c>
      <c r="B310" s="289" t="e">
        <f>'PL CTĐG'!#REF!</f>
        <v>#REF!</v>
      </c>
      <c r="C310" s="139" t="e">
        <f>'PL CTĐG'!#REF!</f>
        <v>#REF!</v>
      </c>
      <c r="D310" s="288" t="e">
        <f>'PL CTĐG'!#REF!</f>
        <v>#REF!</v>
      </c>
      <c r="E310" s="278" t="e">
        <f>'PL CTĐG'!#REF!</f>
        <v>#REF!</v>
      </c>
      <c r="F310" s="278" t="e">
        <f t="shared" si="5"/>
        <v>#REF!</v>
      </c>
    </row>
    <row r="311" spans="1:6" s="280" customFormat="1" ht="18" customHeight="1">
      <c r="A311" s="13" t="e">
        <f>'PL CTĐG'!#REF!</f>
        <v>#REF!</v>
      </c>
      <c r="B311" s="289" t="e">
        <f>'PL CTĐG'!#REF!</f>
        <v>#REF!</v>
      </c>
      <c r="C311" s="139" t="e">
        <f>'PL CTĐG'!#REF!</f>
        <v>#REF!</v>
      </c>
      <c r="D311" s="288" t="e">
        <f>'PL CTĐG'!#REF!</f>
        <v>#REF!</v>
      </c>
      <c r="E311" s="278" t="e">
        <f>'PL CTĐG'!#REF!</f>
        <v>#REF!</v>
      </c>
      <c r="F311" s="278" t="e">
        <f t="shared" si="5"/>
        <v>#REF!</v>
      </c>
    </row>
    <row r="312" spans="1:6" s="280" customFormat="1" ht="18" customHeight="1">
      <c r="A312" s="13" t="e">
        <f>'PL CTĐG'!#REF!</f>
        <v>#REF!</v>
      </c>
      <c r="B312" s="289" t="e">
        <f>'PL CTĐG'!#REF!</f>
        <v>#REF!</v>
      </c>
      <c r="C312" s="139" t="e">
        <f>'PL CTĐG'!#REF!</f>
        <v>#REF!</v>
      </c>
      <c r="D312" s="288" t="e">
        <f>'PL CTĐG'!#REF!</f>
        <v>#REF!</v>
      </c>
      <c r="E312" s="278" t="e">
        <f>'PL CTĐG'!#REF!</f>
        <v>#REF!</v>
      </c>
      <c r="F312" s="278" t="e">
        <f t="shared" si="5"/>
        <v>#REF!</v>
      </c>
    </row>
    <row r="313" spans="1:6" s="280" customFormat="1" ht="18" customHeight="1">
      <c r="A313" s="13" t="e">
        <f>+'PL CTĐG'!#REF!</f>
        <v>#REF!</v>
      </c>
      <c r="B313" s="289" t="e">
        <f>+'PL CTĐG'!#REF!</f>
        <v>#REF!</v>
      </c>
      <c r="C313" s="13" t="e">
        <f>+'PL CTĐG'!#REF!</f>
        <v>#REF!</v>
      </c>
      <c r="D313" s="288" t="e">
        <f>+'PL CTĐG'!#REF!</f>
        <v>#REF!</v>
      </c>
      <c r="E313" s="278" t="e">
        <f>+'PL CTĐG'!#REF!</f>
        <v>#REF!</v>
      </c>
      <c r="F313" s="278" t="e">
        <f>+D313*E313</f>
        <v>#REF!</v>
      </c>
    </row>
    <row r="314" spans="1:6" s="280" customFormat="1" ht="32.25" customHeight="1">
      <c r="A314" s="13"/>
      <c r="B314" s="287" t="e">
        <f>'PL CTĐG'!#REF!</f>
        <v>#REF!</v>
      </c>
      <c r="C314" s="139"/>
      <c r="D314" s="288"/>
      <c r="E314" s="278"/>
      <c r="F314" s="278"/>
    </row>
    <row r="315" spans="1:6" s="280" customFormat="1" ht="18" customHeight="1">
      <c r="A315" s="13" t="e">
        <f>'PL CTĐG'!#REF!</f>
        <v>#REF!</v>
      </c>
      <c r="B315" s="289" t="e">
        <f>'PL CTĐG'!#REF!</f>
        <v>#REF!</v>
      </c>
      <c r="C315" s="139" t="e">
        <f>'PL CTĐG'!#REF!</f>
        <v>#REF!</v>
      </c>
      <c r="D315" s="288" t="e">
        <f>'PL CTĐG'!#REF!</f>
        <v>#REF!</v>
      </c>
      <c r="E315" s="278" t="e">
        <f>'PL CTĐG'!#REF!</f>
        <v>#REF!</v>
      </c>
      <c r="F315" s="278" t="e">
        <f t="shared" si="5"/>
        <v>#REF!</v>
      </c>
    </row>
    <row r="316" spans="1:6" s="280" customFormat="1" ht="18" customHeight="1">
      <c r="A316" s="13" t="e">
        <f>'PL CTĐG'!#REF!</f>
        <v>#REF!</v>
      </c>
      <c r="B316" s="289" t="e">
        <f>'PL CTĐG'!#REF!</f>
        <v>#REF!</v>
      </c>
      <c r="C316" s="139" t="e">
        <f>'PL CTĐG'!#REF!</f>
        <v>#REF!</v>
      </c>
      <c r="D316" s="288" t="e">
        <f>'PL CTĐG'!#REF!</f>
        <v>#REF!</v>
      </c>
      <c r="E316" s="278" t="e">
        <f>'PL CTĐG'!#REF!</f>
        <v>#REF!</v>
      </c>
      <c r="F316" s="278" t="e">
        <f t="shared" si="5"/>
        <v>#REF!</v>
      </c>
    </row>
    <row r="317" spans="1:6" s="280" customFormat="1" ht="18" customHeight="1">
      <c r="A317" s="13" t="e">
        <f>'PL CTĐG'!#REF!</f>
        <v>#REF!</v>
      </c>
      <c r="B317" s="289" t="e">
        <f>'PL CTĐG'!#REF!</f>
        <v>#REF!</v>
      </c>
      <c r="C317" s="139" t="e">
        <f>'PL CTĐG'!#REF!</f>
        <v>#REF!</v>
      </c>
      <c r="D317" s="288" t="e">
        <f>'PL CTĐG'!#REF!</f>
        <v>#REF!</v>
      </c>
      <c r="E317" s="278" t="e">
        <f>'PL CTĐG'!#REF!</f>
        <v>#REF!</v>
      </c>
      <c r="F317" s="278" t="e">
        <f t="shared" si="5"/>
        <v>#REF!</v>
      </c>
    </row>
    <row r="318" spans="1:6" s="280" customFormat="1" ht="18" customHeight="1">
      <c r="A318" s="13" t="e">
        <f>'PL CTĐG'!#REF!</f>
        <v>#REF!</v>
      </c>
      <c r="B318" s="289" t="e">
        <f>'PL CTĐG'!#REF!</f>
        <v>#REF!</v>
      </c>
      <c r="C318" s="139" t="e">
        <f>'PL CTĐG'!#REF!</f>
        <v>#REF!</v>
      </c>
      <c r="D318" s="288" t="e">
        <f>'PL CTĐG'!#REF!</f>
        <v>#REF!</v>
      </c>
      <c r="E318" s="278" t="e">
        <f>'PL CTĐG'!#REF!</f>
        <v>#REF!</v>
      </c>
      <c r="F318" s="278" t="e">
        <f t="shared" si="5"/>
        <v>#REF!</v>
      </c>
    </row>
    <row r="319" spans="1:6" s="280" customFormat="1" ht="29.25" customHeight="1">
      <c r="A319" s="13"/>
      <c r="B319" s="287" t="e">
        <f>'PL CTĐG'!#REF!</f>
        <v>#REF!</v>
      </c>
      <c r="C319" s="139"/>
      <c r="D319" s="288"/>
      <c r="E319" s="278"/>
      <c r="F319" s="278"/>
    </row>
    <row r="320" spans="1:6" s="280" customFormat="1" ht="18" customHeight="1">
      <c r="A320" s="13"/>
      <c r="B320" s="287" t="e">
        <f>'PL CTĐG'!#REF!</f>
        <v>#REF!</v>
      </c>
      <c r="C320" s="139"/>
      <c r="D320" s="288"/>
      <c r="E320" s="278"/>
      <c r="F320" s="278"/>
    </row>
    <row r="321" spans="1:6" s="280" customFormat="1" ht="18" customHeight="1">
      <c r="A321" s="13" t="e">
        <f>'PL CTĐG'!#REF!</f>
        <v>#REF!</v>
      </c>
      <c r="B321" s="289" t="e">
        <f>'PL CTĐG'!#REF!</f>
        <v>#REF!</v>
      </c>
      <c r="C321" s="139" t="e">
        <f>'PL CTĐG'!#REF!</f>
        <v>#REF!</v>
      </c>
      <c r="D321" s="288" t="e">
        <f>'PL CTĐG'!#REF!</f>
        <v>#REF!</v>
      </c>
      <c r="E321" s="278" t="e">
        <f>'PL CTĐG'!#REF!</f>
        <v>#REF!</v>
      </c>
      <c r="F321" s="278" t="e">
        <f t="shared" si="5"/>
        <v>#REF!</v>
      </c>
    </row>
    <row r="322" spans="1:6" s="280" customFormat="1" ht="18" customHeight="1">
      <c r="A322" s="13" t="e">
        <f>'PL CTĐG'!#REF!</f>
        <v>#REF!</v>
      </c>
      <c r="B322" s="289" t="e">
        <f>'PL CTĐG'!#REF!</f>
        <v>#REF!</v>
      </c>
      <c r="C322" s="139" t="e">
        <f>'PL CTĐG'!#REF!</f>
        <v>#REF!</v>
      </c>
      <c r="D322" s="288" t="e">
        <f>'PL CTĐG'!#REF!</f>
        <v>#REF!</v>
      </c>
      <c r="E322" s="278" t="e">
        <f>'PL CTĐG'!#REF!</f>
        <v>#REF!</v>
      </c>
      <c r="F322" s="278" t="e">
        <f t="shared" si="5"/>
        <v>#REF!</v>
      </c>
    </row>
    <row r="323" spans="1:6" s="280" customFormat="1" ht="18" customHeight="1">
      <c r="A323" s="13" t="e">
        <f>'PL CTĐG'!#REF!</f>
        <v>#REF!</v>
      </c>
      <c r="B323" s="289" t="e">
        <f>'PL CTĐG'!#REF!</f>
        <v>#REF!</v>
      </c>
      <c r="C323" s="139" t="e">
        <f>'PL CTĐG'!#REF!</f>
        <v>#REF!</v>
      </c>
      <c r="D323" s="288" t="e">
        <f>'PL CTĐG'!#REF!</f>
        <v>#REF!</v>
      </c>
      <c r="E323" s="278" t="e">
        <f>'PL CTĐG'!#REF!</f>
        <v>#REF!</v>
      </c>
      <c r="F323" s="278" t="e">
        <f t="shared" si="5"/>
        <v>#REF!</v>
      </c>
    </row>
    <row r="324" spans="1:6" s="280" customFormat="1" ht="18" customHeight="1">
      <c r="A324" s="13"/>
      <c r="B324" s="287" t="e">
        <f>'PL CTĐG'!#REF!</f>
        <v>#REF!</v>
      </c>
      <c r="C324" s="295"/>
      <c r="D324" s="296"/>
      <c r="E324" s="279"/>
      <c r="F324" s="279"/>
    </row>
    <row r="325" spans="1:6" s="280" customFormat="1" ht="18" customHeight="1">
      <c r="A325" s="13" t="e">
        <f>'PL CTĐG'!#REF!</f>
        <v>#REF!</v>
      </c>
      <c r="B325" s="289" t="e">
        <f>'PL CTĐG'!#REF!</f>
        <v>#REF!</v>
      </c>
      <c r="C325" s="139" t="e">
        <f>'PL CTĐG'!#REF!</f>
        <v>#REF!</v>
      </c>
      <c r="D325" s="288" t="e">
        <f>'PL CTĐG'!#REF!</f>
        <v>#REF!</v>
      </c>
      <c r="E325" s="278" t="e">
        <f>'PL CTĐG'!#REF!</f>
        <v>#REF!</v>
      </c>
      <c r="F325" s="278" t="e">
        <f t="shared" si="5"/>
        <v>#REF!</v>
      </c>
    </row>
    <row r="326" spans="1:6" s="280" customFormat="1" ht="18" customHeight="1">
      <c r="A326" s="13" t="e">
        <f>'PL CTĐG'!#REF!</f>
        <v>#REF!</v>
      </c>
      <c r="B326" s="289" t="e">
        <f>'PL CTĐG'!#REF!</f>
        <v>#REF!</v>
      </c>
      <c r="C326" s="139" t="e">
        <f>'PL CTĐG'!#REF!</f>
        <v>#REF!</v>
      </c>
      <c r="D326" s="288" t="e">
        <f>'PL CTĐG'!#REF!</f>
        <v>#REF!</v>
      </c>
      <c r="E326" s="278" t="e">
        <f>'PL CTĐG'!#REF!</f>
        <v>#REF!</v>
      </c>
      <c r="F326" s="278" t="e">
        <f t="shared" si="5"/>
        <v>#REF!</v>
      </c>
    </row>
    <row r="327" spans="1:6" s="280" customFormat="1" ht="18" customHeight="1">
      <c r="A327" s="13" t="e">
        <f>'PL CTĐG'!#REF!</f>
        <v>#REF!</v>
      </c>
      <c r="B327" s="289" t="e">
        <f>'PL CTĐG'!#REF!</f>
        <v>#REF!</v>
      </c>
      <c r="C327" s="139" t="e">
        <f>'PL CTĐG'!#REF!</f>
        <v>#REF!</v>
      </c>
      <c r="D327" s="288" t="e">
        <f>'PL CTĐG'!#REF!</f>
        <v>#REF!</v>
      </c>
      <c r="E327" s="278" t="e">
        <f>'PL CTĐG'!#REF!</f>
        <v>#REF!</v>
      </c>
      <c r="F327" s="278" t="e">
        <f t="shared" si="5"/>
        <v>#REF!</v>
      </c>
    </row>
    <row r="328" spans="1:6" s="280" customFormat="1" ht="18" customHeight="1">
      <c r="A328" s="13"/>
      <c r="B328" s="287" t="e">
        <f>'PL CTĐG'!#REF!</f>
        <v>#REF!</v>
      </c>
      <c r="C328" s="139"/>
      <c r="D328" s="288"/>
      <c r="E328" s="278"/>
      <c r="F328" s="278"/>
    </row>
    <row r="329" spans="1:6" s="280" customFormat="1" ht="18" customHeight="1">
      <c r="A329" s="13" t="e">
        <f>'PL CTĐG'!#REF!</f>
        <v>#REF!</v>
      </c>
      <c r="B329" s="289" t="e">
        <f>'PL CTĐG'!#REF!</f>
        <v>#REF!</v>
      </c>
      <c r="C329" s="139" t="e">
        <f>'PL CTĐG'!#REF!</f>
        <v>#REF!</v>
      </c>
      <c r="D329" s="288" t="e">
        <f>'PL CTĐG'!#REF!</f>
        <v>#REF!</v>
      </c>
      <c r="E329" s="278" t="e">
        <f>'PL CTĐG'!#REF!</f>
        <v>#REF!</v>
      </c>
      <c r="F329" s="278" t="e">
        <f t="shared" si="5"/>
        <v>#REF!</v>
      </c>
    </row>
    <row r="330" spans="1:6" s="280" customFormat="1" ht="18" customHeight="1">
      <c r="A330" s="13" t="e">
        <f>'PL CTĐG'!#REF!</f>
        <v>#REF!</v>
      </c>
      <c r="B330" s="289" t="e">
        <f>'PL CTĐG'!#REF!</f>
        <v>#REF!</v>
      </c>
      <c r="C330" s="139" t="e">
        <f>'PL CTĐG'!#REF!</f>
        <v>#REF!</v>
      </c>
      <c r="D330" s="288" t="e">
        <f>'PL CTĐG'!#REF!</f>
        <v>#REF!</v>
      </c>
      <c r="E330" s="278" t="e">
        <f>'PL CTĐG'!#REF!</f>
        <v>#REF!</v>
      </c>
      <c r="F330" s="278" t="e">
        <f t="shared" si="5"/>
        <v>#REF!</v>
      </c>
    </row>
    <row r="331" spans="1:6" s="280" customFormat="1" ht="18" customHeight="1">
      <c r="A331" s="290" t="e">
        <f>'PL CTĐG'!#REF!</f>
        <v>#REF!</v>
      </c>
      <c r="B331" s="291" t="e">
        <f>'PL CTĐG'!#REF!</f>
        <v>#REF!</v>
      </c>
      <c r="C331" s="292" t="e">
        <f>'PL CTĐG'!#REF!</f>
        <v>#REF!</v>
      </c>
      <c r="D331" s="293" t="e">
        <f>'PL CTĐG'!#REF!</f>
        <v>#REF!</v>
      </c>
      <c r="E331" s="294" t="e">
        <f>'PL CTĐG'!#REF!</f>
        <v>#REF!</v>
      </c>
      <c r="F331" s="294" t="e">
        <f t="shared" si="5"/>
        <v>#REF!</v>
      </c>
    </row>
    <row r="332" spans="1:6" s="280" customFormat="1" ht="35.25" customHeight="1">
      <c r="A332" s="12">
        <f>'PL CTĐG'!A6</f>
        <v>0</v>
      </c>
      <c r="B332" s="507" t="e">
        <f>'PL CTĐG'!#REF!</f>
        <v>#REF!</v>
      </c>
      <c r="C332" s="276"/>
      <c r="D332" s="277"/>
      <c r="E332" s="286"/>
      <c r="F332" s="508" t="e">
        <f>SUM(F333:F339)</f>
        <v>#REF!</v>
      </c>
    </row>
    <row r="333" spans="1:6" s="280" customFormat="1" ht="18" customHeight="1">
      <c r="A333" s="13" t="e">
        <f>'PL CTĐG'!#REF!</f>
        <v>#REF!</v>
      </c>
      <c r="B333" s="289" t="e">
        <f>'PL CTĐG'!#REF!</f>
        <v>#REF!</v>
      </c>
      <c r="C333" s="139" t="e">
        <f>'PL CTĐG'!#REF!</f>
        <v>#REF!</v>
      </c>
      <c r="D333" s="288" t="e">
        <f>'PL CTĐG'!#REF!</f>
        <v>#REF!</v>
      </c>
      <c r="E333" s="278" t="e">
        <f>'PL CTĐG'!#REF!</f>
        <v>#REF!</v>
      </c>
      <c r="F333" s="278" t="e">
        <f t="shared" si="5"/>
        <v>#REF!</v>
      </c>
    </row>
    <row r="334" spans="1:6" s="280" customFormat="1" ht="18" customHeight="1">
      <c r="A334" s="13" t="e">
        <f>'PL CTĐG'!#REF!</f>
        <v>#REF!</v>
      </c>
      <c r="B334" s="289" t="e">
        <f>'PL CTĐG'!#REF!</f>
        <v>#REF!</v>
      </c>
      <c r="C334" s="139" t="e">
        <f>'PL CTĐG'!#REF!</f>
        <v>#REF!</v>
      </c>
      <c r="D334" s="288" t="e">
        <f>'PL CTĐG'!#REF!</f>
        <v>#REF!</v>
      </c>
      <c r="E334" s="278" t="e">
        <f>'PL CTĐG'!#REF!</f>
        <v>#REF!</v>
      </c>
      <c r="F334" s="278" t="e">
        <f t="shared" si="5"/>
        <v>#REF!</v>
      </c>
    </row>
    <row r="335" spans="1:6" s="280" customFormat="1" ht="18" customHeight="1">
      <c r="A335" s="13" t="e">
        <f>'PL CTĐG'!#REF!</f>
        <v>#REF!</v>
      </c>
      <c r="B335" s="289" t="e">
        <f>'PL CTĐG'!#REF!</f>
        <v>#REF!</v>
      </c>
      <c r="C335" s="139" t="e">
        <f>'PL CTĐG'!#REF!</f>
        <v>#REF!</v>
      </c>
      <c r="D335" s="288" t="e">
        <f>'PL CTĐG'!#REF!</f>
        <v>#REF!</v>
      </c>
      <c r="E335" s="278" t="e">
        <f>'PL CTĐG'!#REF!</f>
        <v>#REF!</v>
      </c>
      <c r="F335" s="278" t="e">
        <f t="shared" si="5"/>
        <v>#REF!</v>
      </c>
    </row>
    <row r="336" spans="1:6" s="280" customFormat="1" ht="18" customHeight="1">
      <c r="A336" s="13" t="e">
        <f>'PL CTĐG'!#REF!</f>
        <v>#REF!</v>
      </c>
      <c r="B336" s="289" t="e">
        <f>'PL CTĐG'!#REF!</f>
        <v>#REF!</v>
      </c>
      <c r="C336" s="139" t="e">
        <f>'PL CTĐG'!#REF!</f>
        <v>#REF!</v>
      </c>
      <c r="D336" s="288" t="e">
        <f>'PL CTĐG'!#REF!</f>
        <v>#REF!</v>
      </c>
      <c r="E336" s="278" t="e">
        <f>'PL CTĐG'!#REF!</f>
        <v>#REF!</v>
      </c>
      <c r="F336" s="278" t="e">
        <f t="shared" si="5"/>
        <v>#REF!</v>
      </c>
    </row>
    <row r="337" spans="1:9" s="280" customFormat="1" ht="18" customHeight="1">
      <c r="A337" s="13" t="e">
        <f>'PL CTĐG'!#REF!</f>
        <v>#REF!</v>
      </c>
      <c r="B337" s="289" t="e">
        <f>'PL CTĐG'!#REF!</f>
        <v>#REF!</v>
      </c>
      <c r="C337" s="139" t="e">
        <f>'PL CTĐG'!#REF!</f>
        <v>#REF!</v>
      </c>
      <c r="D337" s="288" t="e">
        <f>'PL CTĐG'!#REF!</f>
        <v>#REF!</v>
      </c>
      <c r="E337" s="278" t="e">
        <f>'PL CTĐG'!#REF!</f>
        <v>#REF!</v>
      </c>
      <c r="F337" s="278" t="e">
        <f t="shared" si="5"/>
        <v>#REF!</v>
      </c>
    </row>
    <row r="338" spans="1:9" s="280" customFormat="1" ht="18" customHeight="1">
      <c r="A338" s="13" t="e">
        <f>'PL CTĐG'!#REF!</f>
        <v>#REF!</v>
      </c>
      <c r="B338" s="289" t="e">
        <f>'PL CTĐG'!#REF!</f>
        <v>#REF!</v>
      </c>
      <c r="C338" s="139" t="e">
        <f>'PL CTĐG'!#REF!</f>
        <v>#REF!</v>
      </c>
      <c r="D338" s="288" t="e">
        <f>'PL CTĐG'!#REF!</f>
        <v>#REF!</v>
      </c>
      <c r="E338" s="278" t="e">
        <f>'PL CTĐG'!#REF!</f>
        <v>#REF!</v>
      </c>
      <c r="F338" s="278" t="e">
        <f>E338*D338</f>
        <v>#REF!</v>
      </c>
    </row>
    <row r="339" spans="1:9" s="280" customFormat="1" ht="27" customHeight="1">
      <c r="A339" s="290" t="e">
        <f>'PL CTĐG'!#REF!</f>
        <v>#REF!</v>
      </c>
      <c r="B339" s="291" t="e">
        <f>'PL CTĐG'!#REF!</f>
        <v>#REF!</v>
      </c>
      <c r="C339" s="292" t="e">
        <f>'PL CTĐG'!#REF!</f>
        <v>#REF!</v>
      </c>
      <c r="D339" s="293" t="e">
        <f>'PL CTĐG'!#REF!</f>
        <v>#REF!</v>
      </c>
      <c r="E339" s="294" t="e">
        <f>'PL CTĐG'!#REF!</f>
        <v>#REF!</v>
      </c>
      <c r="F339" s="294" t="e">
        <f>E339*D339</f>
        <v>#REF!</v>
      </c>
    </row>
    <row r="340" spans="1:9" ht="18" customHeight="1">
      <c r="A340" s="1347" t="s">
        <v>517</v>
      </c>
      <c r="B340" s="1347"/>
      <c r="C340" s="1347"/>
      <c r="D340" s="1347"/>
      <c r="E340" s="281"/>
      <c r="F340" s="862" t="e">
        <f>F332+F300+F276+F243+F214+F185+F160+F131+F98+F69+F36+F7</f>
        <v>#REF!</v>
      </c>
    </row>
    <row r="341" spans="1:9" ht="18" customHeight="1">
      <c r="A341" s="1295" t="s">
        <v>482</v>
      </c>
      <c r="B341" s="1296"/>
      <c r="C341" s="1296"/>
      <c r="D341" s="1296"/>
      <c r="E341" s="512"/>
      <c r="F341" s="786">
        <v>6496718000</v>
      </c>
    </row>
    <row r="342" spans="1:9" s="496" customFormat="1" ht="18" customHeight="1">
      <c r="A342" s="433"/>
      <c r="B342" s="433"/>
      <c r="C342" s="433"/>
      <c r="D342" s="433"/>
      <c r="E342" s="433"/>
      <c r="F342" s="433"/>
      <c r="G342" s="11"/>
      <c r="H342" s="11"/>
      <c r="I342" s="11"/>
    </row>
    <row r="343" spans="1:9" ht="13.5" customHeight="1">
      <c r="C343" s="1331" t="s">
        <v>1045</v>
      </c>
      <c r="D343" s="1331"/>
      <c r="E343" s="1331"/>
      <c r="F343" s="1331"/>
    </row>
    <row r="344" spans="1:9" ht="15.75" customHeight="1">
      <c r="C344" s="1317" t="s">
        <v>957</v>
      </c>
      <c r="D344" s="1317"/>
      <c r="E344" s="1317"/>
      <c r="F344" s="1317"/>
    </row>
    <row r="345" spans="1:9" ht="33" customHeight="1">
      <c r="C345" s="717"/>
      <c r="D345" s="717"/>
      <c r="E345" s="717"/>
      <c r="F345" s="717"/>
    </row>
    <row r="346" spans="1:9" ht="33" customHeight="1">
      <c r="C346" s="717"/>
      <c r="D346" s="717"/>
      <c r="E346" s="717"/>
      <c r="F346" s="717"/>
    </row>
    <row r="347" spans="1:9" ht="33" customHeight="1">
      <c r="C347" s="717"/>
      <c r="D347" s="717"/>
      <c r="E347" s="717"/>
      <c r="F347" s="717"/>
    </row>
    <row r="348" spans="1:9" ht="33" customHeight="1">
      <c r="C348" s="1317" t="s">
        <v>877</v>
      </c>
      <c r="D348" s="1317"/>
      <c r="E348" s="1317"/>
      <c r="F348" s="1317"/>
    </row>
  </sheetData>
  <mergeCells count="8">
    <mergeCell ref="C344:F344"/>
    <mergeCell ref="C348:F348"/>
    <mergeCell ref="A2:F2"/>
    <mergeCell ref="A1:F1"/>
    <mergeCell ref="A3:F3"/>
    <mergeCell ref="A340:D340"/>
    <mergeCell ref="A341:D341"/>
    <mergeCell ref="C343:F343"/>
  </mergeCells>
  <phoneticPr fontId="0" type="noConversion"/>
  <pageMargins left="0.7" right="0.43" top="0.75" bottom="0.75" header="0.3" footer="0.3"/>
  <pageSetup paperSize="9" orientation="portrait" verticalDpi="0" r:id="rId1"/>
  <ignoredErrors>
    <ignoredError sqref="F172 F332"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R58"/>
  <sheetViews>
    <sheetView topLeftCell="A4" workbookViewId="0">
      <selection activeCell="H7" sqref="H7"/>
    </sheetView>
  </sheetViews>
  <sheetFormatPr defaultColWidth="8.90625" defaultRowHeight="13.8"/>
  <cols>
    <col min="1" max="1" width="6.1796875" style="344" customWidth="1"/>
    <col min="2" max="2" width="39.1796875" style="411" customWidth="1"/>
    <col min="3" max="3" width="13.90625" style="344" customWidth="1"/>
    <col min="4" max="4" width="7.36328125" style="412" hidden="1" customWidth="1"/>
    <col min="5" max="5" width="16.36328125" style="497" customWidth="1"/>
    <col min="6" max="6" width="12.90625" style="11" hidden="1" customWidth="1"/>
    <col min="7" max="7" width="8.90625" style="11"/>
    <col min="8" max="8" width="13.81640625" style="11" bestFit="1" customWidth="1"/>
    <col min="9" max="10" width="8.90625" style="11" customWidth="1"/>
    <col min="11" max="16384" width="8.90625" style="11"/>
  </cols>
  <sheetData>
    <row r="2" spans="1:18" ht="21" customHeight="1">
      <c r="A2" s="1348" t="s">
        <v>1055</v>
      </c>
      <c r="B2" s="1348"/>
      <c r="C2" s="1348"/>
      <c r="D2" s="1348"/>
      <c r="E2" s="1348"/>
      <c r="F2" s="1168"/>
      <c r="G2" s="1168"/>
      <c r="H2" s="1168"/>
      <c r="I2" s="1168"/>
      <c r="J2" s="1168"/>
      <c r="K2" s="1168"/>
      <c r="L2" s="1168"/>
      <c r="M2" s="1168"/>
      <c r="N2" s="1168"/>
      <c r="O2" s="1168"/>
      <c r="P2" s="1168"/>
      <c r="Q2" s="1168"/>
      <c r="R2" s="1168"/>
    </row>
    <row r="3" spans="1:18" ht="42.75" customHeight="1">
      <c r="A3" s="1350" t="s">
        <v>1061</v>
      </c>
      <c r="B3" s="1350"/>
      <c r="C3" s="1350"/>
      <c r="D3" s="1350"/>
      <c r="E3" s="1350"/>
      <c r="F3" s="1169"/>
      <c r="G3" s="1169"/>
      <c r="H3" s="1169"/>
      <c r="I3" s="1169"/>
      <c r="J3" s="1169"/>
      <c r="K3" s="1169"/>
      <c r="L3" s="1169"/>
      <c r="M3" s="1169"/>
      <c r="N3" s="1169"/>
      <c r="O3" s="1169"/>
      <c r="P3" s="1169"/>
      <c r="Q3" s="1169"/>
      <c r="R3" s="1169"/>
    </row>
    <row r="4" spans="1:18" ht="40.5" customHeight="1">
      <c r="A4" s="1351" t="s">
        <v>1069</v>
      </c>
      <c r="B4" s="1352"/>
      <c r="C4" s="1352"/>
      <c r="D4" s="1352"/>
      <c r="E4" s="1352"/>
      <c r="F4" s="1170"/>
      <c r="G4" s="1170"/>
      <c r="H4" s="1170"/>
      <c r="I4" s="1170"/>
      <c r="J4" s="1170"/>
      <c r="K4" s="1170"/>
      <c r="L4" s="1170"/>
      <c r="M4" s="1170"/>
      <c r="N4" s="1170"/>
      <c r="O4" s="1170"/>
      <c r="P4" s="1170"/>
      <c r="Q4" s="1170"/>
      <c r="R4" s="1170"/>
    </row>
    <row r="5" spans="1:18" ht="15.75" customHeight="1">
      <c r="A5" s="1133"/>
      <c r="B5" s="1134"/>
      <c r="C5" s="1134"/>
      <c r="D5" s="1134"/>
      <c r="E5" s="1134"/>
      <c r="F5" s="1121"/>
    </row>
    <row r="6" spans="1:18" ht="17.25" customHeight="1">
      <c r="A6" s="1133"/>
      <c r="B6" s="1134"/>
      <c r="C6" s="1134"/>
      <c r="D6" s="1134"/>
      <c r="E6" s="1172" t="s">
        <v>1052</v>
      </c>
      <c r="F6" s="1121"/>
    </row>
    <row r="7" spans="1:18" ht="35.25" customHeight="1">
      <c r="A7" s="1160" t="s">
        <v>2</v>
      </c>
      <c r="B7" s="1160" t="s">
        <v>7</v>
      </c>
      <c r="C7" s="1157" t="s">
        <v>481</v>
      </c>
      <c r="D7" s="1157" t="s">
        <v>13</v>
      </c>
      <c r="E7" s="1161" t="s">
        <v>493</v>
      </c>
      <c r="F7" s="502" t="s">
        <v>9</v>
      </c>
    </row>
    <row r="8" spans="1:18" ht="35.25" customHeight="1">
      <c r="A8" s="133" t="s">
        <v>340</v>
      </c>
      <c r="B8" s="1150" t="s">
        <v>341</v>
      </c>
      <c r="C8" s="1152"/>
      <c r="D8" s="1162"/>
      <c r="E8" s="1163"/>
      <c r="F8" s="1124"/>
    </row>
    <row r="9" spans="1:18" s="280" customFormat="1" ht="18" customHeight="1">
      <c r="A9" s="112">
        <v>1</v>
      </c>
      <c r="B9" s="340" t="s">
        <v>307</v>
      </c>
      <c r="C9" s="114" t="s">
        <v>309</v>
      </c>
      <c r="D9" s="1158"/>
      <c r="E9" s="1159" t="e">
        <f>'PL CTĐG'!#REF!</f>
        <v>#REF!</v>
      </c>
      <c r="F9" s="278" t="e">
        <f>E9*D9</f>
        <v>#REF!</v>
      </c>
      <c r="H9" s="1119"/>
    </row>
    <row r="10" spans="1:18" s="280" customFormat="1" ht="18" customHeight="1">
      <c r="A10" s="112">
        <v>2</v>
      </c>
      <c r="B10" s="340" t="s">
        <v>308</v>
      </c>
      <c r="C10" s="114" t="s">
        <v>454</v>
      </c>
      <c r="D10" s="1158"/>
      <c r="E10" s="1159" t="e">
        <f>'PL CTĐG'!#REF!</f>
        <v>#REF!</v>
      </c>
      <c r="F10" s="278" t="e">
        <f t="shared" ref="F10:F33" si="0">E10*D10</f>
        <v>#REF!</v>
      </c>
      <c r="H10" s="1119"/>
    </row>
    <row r="11" spans="1:18" s="280" customFormat="1" ht="32.25" customHeight="1">
      <c r="A11" s="112">
        <v>3</v>
      </c>
      <c r="B11" s="1149" t="s">
        <v>336</v>
      </c>
      <c r="C11" s="112" t="s">
        <v>453</v>
      </c>
      <c r="D11" s="1158"/>
      <c r="E11" s="1159" t="e">
        <f>'PL CTĐG'!#REF!</f>
        <v>#REF!</v>
      </c>
      <c r="F11" s="278" t="e">
        <f t="shared" si="0"/>
        <v>#REF!</v>
      </c>
      <c r="H11" s="1119"/>
    </row>
    <row r="12" spans="1:18" s="280" customFormat="1" ht="18" customHeight="1">
      <c r="A12" s="112">
        <v>4</v>
      </c>
      <c r="B12" s="340" t="s">
        <v>315</v>
      </c>
      <c r="C12" s="112" t="s">
        <v>328</v>
      </c>
      <c r="D12" s="1158"/>
      <c r="E12" s="1159" t="e">
        <f>'PL CTĐG'!#REF!</f>
        <v>#REF!</v>
      </c>
      <c r="F12" s="278" t="e">
        <f t="shared" si="0"/>
        <v>#REF!</v>
      </c>
      <c r="H12" s="1119"/>
    </row>
    <row r="13" spans="1:18" s="280" customFormat="1" ht="20.25" customHeight="1">
      <c r="A13" s="112">
        <v>5</v>
      </c>
      <c r="B13" s="1149" t="s">
        <v>311</v>
      </c>
      <c r="C13" s="112" t="s">
        <v>309</v>
      </c>
      <c r="D13" s="1158"/>
      <c r="E13" s="1159" t="e">
        <f>'PL CTĐG'!#REF!</f>
        <v>#REF!</v>
      </c>
      <c r="F13" s="278" t="e">
        <f t="shared" si="0"/>
        <v>#REF!</v>
      </c>
      <c r="H13" s="1119"/>
    </row>
    <row r="14" spans="1:18" s="280" customFormat="1" ht="18" customHeight="1">
      <c r="A14" s="112">
        <v>6</v>
      </c>
      <c r="B14" s="340" t="s">
        <v>310</v>
      </c>
      <c r="C14" s="112" t="s">
        <v>453</v>
      </c>
      <c r="D14" s="1158"/>
      <c r="E14" s="1159" t="e">
        <f>'PL CTĐG'!#REF!</f>
        <v>#REF!</v>
      </c>
      <c r="F14" s="278" t="e">
        <f t="shared" si="0"/>
        <v>#REF!</v>
      </c>
      <c r="H14" s="1119"/>
    </row>
    <row r="15" spans="1:18" s="280" customFormat="1" ht="18" customHeight="1">
      <c r="A15" s="112">
        <v>7</v>
      </c>
      <c r="B15" s="340" t="s">
        <v>312</v>
      </c>
      <c r="C15" s="112" t="s">
        <v>453</v>
      </c>
      <c r="D15" s="1158"/>
      <c r="E15" s="1159" t="e">
        <f>'PL CTĐG'!#REF!</f>
        <v>#REF!</v>
      </c>
      <c r="F15" s="278" t="e">
        <f t="shared" si="0"/>
        <v>#REF!</v>
      </c>
      <c r="H15" s="1119"/>
    </row>
    <row r="16" spans="1:18" s="280" customFormat="1" ht="18" customHeight="1">
      <c r="A16" s="112">
        <v>8</v>
      </c>
      <c r="B16" s="340" t="s">
        <v>330</v>
      </c>
      <c r="C16" s="112" t="s">
        <v>1056</v>
      </c>
      <c r="D16" s="1158"/>
      <c r="E16" s="1159" t="e">
        <f>'PL CTĐG'!#REF!</f>
        <v>#REF!</v>
      </c>
      <c r="F16" s="278" t="e">
        <f t="shared" si="0"/>
        <v>#REF!</v>
      </c>
      <c r="H16" s="1119"/>
    </row>
    <row r="17" spans="1:9" s="280" customFormat="1" ht="18" customHeight="1">
      <c r="A17" s="112">
        <v>9</v>
      </c>
      <c r="B17" s="340" t="s">
        <v>313</v>
      </c>
      <c r="C17" s="112" t="s">
        <v>1057</v>
      </c>
      <c r="D17" s="1158"/>
      <c r="E17" s="1159" t="e">
        <f>'PL CTĐG'!#REF!</f>
        <v>#REF!</v>
      </c>
      <c r="F17" s="278" t="e">
        <f t="shared" si="0"/>
        <v>#REF!</v>
      </c>
      <c r="H17" s="1119"/>
    </row>
    <row r="18" spans="1:9" s="280" customFormat="1" ht="18" customHeight="1">
      <c r="A18" s="112">
        <v>10</v>
      </c>
      <c r="B18" s="340" t="s">
        <v>314</v>
      </c>
      <c r="C18" s="112" t="s">
        <v>1057</v>
      </c>
      <c r="D18" s="1158"/>
      <c r="E18" s="1159" t="e">
        <f>'PL CTĐG'!#REF!</f>
        <v>#REF!</v>
      </c>
      <c r="F18" s="278" t="e">
        <f t="shared" si="0"/>
        <v>#REF!</v>
      </c>
      <c r="H18" s="1119"/>
    </row>
    <row r="19" spans="1:9" s="280" customFormat="1" ht="18" customHeight="1">
      <c r="A19" s="112">
        <v>11</v>
      </c>
      <c r="B19" s="340" t="s">
        <v>509</v>
      </c>
      <c r="C19" s="112" t="s">
        <v>510</v>
      </c>
      <c r="D19" s="1158"/>
      <c r="E19" s="1159" t="e">
        <f>'PL CTĐG'!#REF!</f>
        <v>#REF!</v>
      </c>
      <c r="F19" s="278" t="e">
        <f>+D19*E19</f>
        <v>#REF!</v>
      </c>
      <c r="H19" s="1119"/>
    </row>
    <row r="20" spans="1:9" s="280" customFormat="1" ht="18" customHeight="1">
      <c r="A20" s="112">
        <v>12</v>
      </c>
      <c r="B20" s="340" t="s">
        <v>512</v>
      </c>
      <c r="C20" s="112" t="s">
        <v>1066</v>
      </c>
      <c r="D20" s="1158"/>
      <c r="E20" s="1159" t="e">
        <f>'PL CTĐG'!#REF!</f>
        <v>#REF!</v>
      </c>
      <c r="F20" s="278" t="e">
        <f>+D20*E20</f>
        <v>#REF!</v>
      </c>
      <c r="H20" s="1119"/>
    </row>
    <row r="21" spans="1:9" s="280" customFormat="1" ht="18" customHeight="1">
      <c r="A21" s="112">
        <v>13</v>
      </c>
      <c r="B21" s="340" t="s">
        <v>515</v>
      </c>
      <c r="C21" s="112" t="s">
        <v>1059</v>
      </c>
      <c r="D21" s="1158"/>
      <c r="E21" s="1159" t="e">
        <f>'PL CTĐG'!#REF!</f>
        <v>#REF!</v>
      </c>
      <c r="F21" s="278" t="e">
        <f>+D21*E21</f>
        <v>#REF!</v>
      </c>
      <c r="H21" s="1119"/>
    </row>
    <row r="22" spans="1:9" s="280" customFormat="1" ht="34.5" customHeight="1">
      <c r="A22" s="112"/>
      <c r="B22" s="241" t="s">
        <v>1058</v>
      </c>
      <c r="C22" s="112"/>
      <c r="D22" s="1158"/>
      <c r="E22" s="1159"/>
      <c r="F22" s="278">
        <f t="shared" si="0"/>
        <v>0</v>
      </c>
      <c r="H22" s="1119"/>
    </row>
    <row r="23" spans="1:9" s="280" customFormat="1" ht="18" customHeight="1">
      <c r="A23" s="112">
        <v>14</v>
      </c>
      <c r="B23" s="340" t="s">
        <v>316</v>
      </c>
      <c r="C23" s="114" t="s">
        <v>455</v>
      </c>
      <c r="D23" s="1158"/>
      <c r="E23" s="1159" t="e">
        <f>'PL CTĐG'!#REF!</f>
        <v>#REF!</v>
      </c>
      <c r="F23" s="278" t="e">
        <f t="shared" si="0"/>
        <v>#REF!</v>
      </c>
      <c r="H23" s="1119"/>
    </row>
    <row r="24" spans="1:9" s="280" customFormat="1" ht="18" customHeight="1">
      <c r="A24" s="112">
        <v>15</v>
      </c>
      <c r="B24" s="340" t="s">
        <v>994</v>
      </c>
      <c r="C24" s="114" t="s">
        <v>333</v>
      </c>
      <c r="D24" s="1158"/>
      <c r="E24" s="1159" t="e">
        <f>'PL CTĐG'!#REF!</f>
        <v>#REF!</v>
      </c>
      <c r="F24" s="278" t="e">
        <f t="shared" si="0"/>
        <v>#REF!</v>
      </c>
      <c r="H24" s="1119"/>
    </row>
    <row r="25" spans="1:9" s="280" customFormat="1" ht="18" customHeight="1">
      <c r="A25" s="112">
        <v>16</v>
      </c>
      <c r="B25" s="340" t="s">
        <v>318</v>
      </c>
      <c r="C25" s="112" t="s">
        <v>1067</v>
      </c>
      <c r="D25" s="1158"/>
      <c r="E25" s="1159" t="e">
        <f>'PL CTĐG'!#REF!</f>
        <v>#REF!</v>
      </c>
      <c r="F25" s="278" t="e">
        <f t="shared" si="0"/>
        <v>#REF!</v>
      </c>
      <c r="H25" s="1119"/>
    </row>
    <row r="26" spans="1:9" s="280" customFormat="1" ht="18" customHeight="1">
      <c r="A26" s="112">
        <v>17</v>
      </c>
      <c r="B26" s="340" t="s">
        <v>319</v>
      </c>
      <c r="C26" s="112" t="s">
        <v>34</v>
      </c>
      <c r="D26" s="1158"/>
      <c r="E26" s="1159" t="e">
        <f>'PL CTĐG'!#REF!</f>
        <v>#REF!</v>
      </c>
      <c r="F26" s="278"/>
      <c r="H26" s="1119"/>
    </row>
    <row r="27" spans="1:9" s="280" customFormat="1" ht="34.5" customHeight="1">
      <c r="A27" s="112"/>
      <c r="B27" s="241" t="s">
        <v>1053</v>
      </c>
      <c r="C27" s="112"/>
      <c r="D27" s="1158"/>
      <c r="E27" s="1159"/>
      <c r="F27" s="278">
        <f t="shared" si="0"/>
        <v>0</v>
      </c>
      <c r="H27" s="1119"/>
    </row>
    <row r="28" spans="1:9" s="280" customFormat="1" ht="18" customHeight="1">
      <c r="A28" s="112"/>
      <c r="B28" s="1151" t="s">
        <v>337</v>
      </c>
      <c r="C28" s="112"/>
      <c r="D28" s="1158"/>
      <c r="E28" s="1159"/>
      <c r="F28" s="278">
        <f t="shared" si="0"/>
        <v>0</v>
      </c>
      <c r="H28" s="1119"/>
    </row>
    <row r="29" spans="1:9" s="280" customFormat="1" ht="18" customHeight="1">
      <c r="A29" s="112">
        <v>18</v>
      </c>
      <c r="B29" s="340" t="s">
        <v>321</v>
      </c>
      <c r="C29" s="112" t="s">
        <v>1065</v>
      </c>
      <c r="D29" s="1158"/>
      <c r="E29" s="1159" t="e">
        <f>'PL CTĐG'!#REF!</f>
        <v>#REF!</v>
      </c>
      <c r="F29" s="278" t="e">
        <f t="shared" si="0"/>
        <v>#REF!</v>
      </c>
      <c r="H29" s="1145"/>
      <c r="I29" s="1146"/>
    </row>
    <row r="30" spans="1:9" s="280" customFormat="1" ht="18" customHeight="1">
      <c r="A30" s="112">
        <v>19</v>
      </c>
      <c r="B30" s="340" t="s">
        <v>322</v>
      </c>
      <c r="C30" s="112" t="s">
        <v>1065</v>
      </c>
      <c r="D30" s="1158"/>
      <c r="E30" s="1159" t="e">
        <f>'PL CTĐG'!#REF!</f>
        <v>#REF!</v>
      </c>
      <c r="F30" s="278"/>
      <c r="H30" s="1145"/>
      <c r="I30" s="1146"/>
    </row>
    <row r="31" spans="1:9" s="280" customFormat="1" ht="18" customHeight="1">
      <c r="A31" s="112">
        <v>20</v>
      </c>
      <c r="B31" s="340" t="s">
        <v>323</v>
      </c>
      <c r="C31" s="112" t="s">
        <v>1065</v>
      </c>
      <c r="D31" s="1158"/>
      <c r="E31" s="1159" t="e">
        <f>'PL CTĐG'!#REF!</f>
        <v>#REF!</v>
      </c>
      <c r="F31" s="278" t="e">
        <f t="shared" si="0"/>
        <v>#REF!</v>
      </c>
      <c r="H31" s="1147"/>
      <c r="I31" s="1146"/>
    </row>
    <row r="32" spans="1:9" s="280" customFormat="1" ht="18" customHeight="1">
      <c r="A32" s="112"/>
      <c r="B32" s="1151" t="s">
        <v>338</v>
      </c>
      <c r="C32" s="112"/>
      <c r="D32" s="1158"/>
      <c r="E32" s="1159"/>
      <c r="F32" s="278">
        <f t="shared" si="0"/>
        <v>0</v>
      </c>
      <c r="H32" s="1147"/>
      <c r="I32" s="1146"/>
    </row>
    <row r="33" spans="1:9" s="280" customFormat="1" ht="18" customHeight="1">
      <c r="A33" s="112">
        <v>21</v>
      </c>
      <c r="B33" s="340" t="s">
        <v>321</v>
      </c>
      <c r="C33" s="112" t="s">
        <v>1065</v>
      </c>
      <c r="D33" s="1158"/>
      <c r="E33" s="1159" t="e">
        <f>'PL CTĐG'!#REF!</f>
        <v>#REF!</v>
      </c>
      <c r="F33" s="278" t="e">
        <f t="shared" si="0"/>
        <v>#REF!</v>
      </c>
      <c r="H33" s="1147"/>
      <c r="I33" s="1146"/>
    </row>
    <row r="34" spans="1:9" s="280" customFormat="1" ht="18" customHeight="1">
      <c r="A34" s="112">
        <v>22</v>
      </c>
      <c r="B34" s="340" t="s">
        <v>322</v>
      </c>
      <c r="C34" s="112" t="s">
        <v>1065</v>
      </c>
      <c r="D34" s="1158"/>
      <c r="E34" s="1159" t="e">
        <f>'PL CTĐG'!#REF!</f>
        <v>#REF!</v>
      </c>
      <c r="F34" s="278"/>
      <c r="H34" s="1147"/>
      <c r="I34" s="1146"/>
    </row>
    <row r="35" spans="1:9" s="280" customFormat="1" ht="18" customHeight="1">
      <c r="A35" s="112">
        <v>23</v>
      </c>
      <c r="B35" s="340" t="s">
        <v>323</v>
      </c>
      <c r="C35" s="112" t="s">
        <v>1065</v>
      </c>
      <c r="D35" s="1158"/>
      <c r="E35" s="1159" t="e">
        <f>'PL CTĐG'!#REF!</f>
        <v>#REF!</v>
      </c>
      <c r="F35" s="278"/>
      <c r="H35" s="1147"/>
      <c r="I35" s="1146"/>
    </row>
    <row r="36" spans="1:9" s="280" customFormat="1" ht="33" customHeight="1">
      <c r="A36" s="112"/>
      <c r="B36" s="1151" t="s">
        <v>339</v>
      </c>
      <c r="C36" s="112"/>
      <c r="D36" s="1158"/>
      <c r="E36" s="1159"/>
      <c r="F36" s="278"/>
      <c r="H36" s="1147"/>
      <c r="I36" s="1146"/>
    </row>
    <row r="37" spans="1:9" s="280" customFormat="1" ht="18" customHeight="1">
      <c r="A37" s="112">
        <v>24</v>
      </c>
      <c r="B37" s="340" t="s">
        <v>321</v>
      </c>
      <c r="C37" s="112" t="s">
        <v>1065</v>
      </c>
      <c r="D37" s="1158"/>
      <c r="E37" s="1159" t="e">
        <f>'PL CTĐG'!#REF!</f>
        <v>#REF!</v>
      </c>
      <c r="F37" s="278"/>
      <c r="H37" s="1147"/>
      <c r="I37" s="1146"/>
    </row>
    <row r="38" spans="1:9" s="280" customFormat="1" ht="18" customHeight="1">
      <c r="A38" s="112">
        <v>25</v>
      </c>
      <c r="B38" s="340" t="s">
        <v>322</v>
      </c>
      <c r="C38" s="112" t="s">
        <v>1065</v>
      </c>
      <c r="D38" s="1158"/>
      <c r="E38" s="1159" t="e">
        <f>'PL CTĐG'!#REF!</f>
        <v>#REF!</v>
      </c>
      <c r="F38" s="278"/>
      <c r="H38" s="1147"/>
      <c r="I38" s="1146"/>
    </row>
    <row r="39" spans="1:9" s="280" customFormat="1" ht="18" customHeight="1">
      <c r="A39" s="112">
        <v>26</v>
      </c>
      <c r="B39" s="340" t="s">
        <v>323</v>
      </c>
      <c r="C39" s="112" t="s">
        <v>1065</v>
      </c>
      <c r="D39" s="1158"/>
      <c r="E39" s="1159" t="e">
        <f>'PL CTĐG'!#REF!</f>
        <v>#REF!</v>
      </c>
      <c r="F39" s="278"/>
      <c r="H39" s="1147"/>
      <c r="I39" s="1146"/>
    </row>
    <row r="40" spans="1:9" s="280" customFormat="1" ht="18" customHeight="1">
      <c r="A40" s="112">
        <v>27</v>
      </c>
      <c r="B40" s="340" t="s">
        <v>383</v>
      </c>
      <c r="C40" s="112" t="s">
        <v>384</v>
      </c>
      <c r="D40" s="1158"/>
      <c r="E40" s="1159" t="e">
        <f>'PL CTĐG'!#REF!</f>
        <v>#REF!</v>
      </c>
      <c r="F40" s="278"/>
      <c r="H40" s="1147"/>
      <c r="I40" s="1146"/>
    </row>
    <row r="41" spans="1:9" s="280" customFormat="1" ht="33" customHeight="1">
      <c r="A41" s="347" t="s">
        <v>342</v>
      </c>
      <c r="B41" s="241" t="s">
        <v>343</v>
      </c>
      <c r="C41" s="347"/>
      <c r="D41" s="1158"/>
      <c r="E41" s="1159"/>
      <c r="F41" s="278"/>
      <c r="H41" s="1147"/>
      <c r="I41" s="1146"/>
    </row>
    <row r="42" spans="1:9" s="280" customFormat="1" ht="18" customHeight="1">
      <c r="A42" s="112">
        <v>1</v>
      </c>
      <c r="B42" s="340" t="s">
        <v>1048</v>
      </c>
      <c r="C42" s="112" t="s">
        <v>1068</v>
      </c>
      <c r="D42" s="1158"/>
      <c r="E42" s="1159" t="e">
        <f>'PL CTĐG'!#REF!</f>
        <v>#REF!</v>
      </c>
      <c r="F42" s="278"/>
      <c r="H42" s="1147"/>
      <c r="I42" s="1146"/>
    </row>
    <row r="43" spans="1:9" s="280" customFormat="1" ht="18" customHeight="1">
      <c r="A43" s="112">
        <v>2</v>
      </c>
      <c r="B43" s="340" t="s">
        <v>1049</v>
      </c>
      <c r="C43" s="112" t="s">
        <v>1068</v>
      </c>
      <c r="D43" s="1158"/>
      <c r="E43" s="1159" t="e">
        <f>'PL CTĐG'!#REF!</f>
        <v>#REF!</v>
      </c>
      <c r="F43" s="278"/>
      <c r="H43" s="1147"/>
      <c r="I43" s="1146"/>
    </row>
    <row r="44" spans="1:9" s="280" customFormat="1" ht="18" customHeight="1">
      <c r="A44" s="112">
        <v>3</v>
      </c>
      <c r="B44" s="340" t="s">
        <v>324</v>
      </c>
      <c r="C44" s="112" t="s">
        <v>1068</v>
      </c>
      <c r="D44" s="1158"/>
      <c r="E44" s="1159" t="e">
        <f>'PL CTĐG'!#REF!</f>
        <v>#REF!</v>
      </c>
      <c r="F44" s="278"/>
      <c r="H44" s="1147"/>
      <c r="I44" s="1146"/>
    </row>
    <row r="45" spans="1:9" s="280" customFormat="1" ht="18" customHeight="1">
      <c r="A45" s="112">
        <v>4</v>
      </c>
      <c r="B45" s="340" t="s">
        <v>325</v>
      </c>
      <c r="C45" s="112" t="s">
        <v>1068</v>
      </c>
      <c r="D45" s="1158"/>
      <c r="E45" s="1159" t="e">
        <f>'PL CTĐG'!#REF!</f>
        <v>#REF!</v>
      </c>
      <c r="F45" s="278"/>
      <c r="H45" s="1147"/>
      <c r="I45" s="1146"/>
    </row>
    <row r="46" spans="1:9" s="280" customFormat="1" ht="18" customHeight="1">
      <c r="A46" s="112">
        <v>5</v>
      </c>
      <c r="B46" s="340" t="s">
        <v>1039</v>
      </c>
      <c r="C46" s="112" t="s">
        <v>1062</v>
      </c>
      <c r="D46" s="1158"/>
      <c r="E46" s="1159" t="e">
        <f>'PL CTĐG'!#REF!</f>
        <v>#REF!</v>
      </c>
      <c r="F46" s="278"/>
      <c r="H46" s="1147"/>
      <c r="I46" s="1146"/>
    </row>
    <row r="47" spans="1:9" s="280" customFormat="1" ht="18" customHeight="1">
      <c r="A47" s="112">
        <v>6</v>
      </c>
      <c r="B47" s="340" t="s">
        <v>327</v>
      </c>
      <c r="C47" s="112" t="s">
        <v>1063</v>
      </c>
      <c r="D47" s="1158"/>
      <c r="E47" s="1159" t="e">
        <f>'PL CTĐG'!#REF!</f>
        <v>#REF!</v>
      </c>
      <c r="F47" s="278"/>
      <c r="H47" s="1147"/>
      <c r="I47" s="1146"/>
    </row>
    <row r="48" spans="1:9" s="280" customFormat="1" ht="30.75" customHeight="1">
      <c r="A48" s="332">
        <v>7</v>
      </c>
      <c r="B48" s="1165" t="s">
        <v>1054</v>
      </c>
      <c r="C48" s="332" t="s">
        <v>1064</v>
      </c>
      <c r="D48" s="1164"/>
      <c r="E48" s="1171" t="e">
        <f>'PL CTĐG'!#REF!</f>
        <v>#REF!</v>
      </c>
      <c r="F48" s="278"/>
      <c r="H48" s="1147"/>
      <c r="I48" s="1146"/>
    </row>
    <row r="49" spans="1:8" s="496" customFormat="1" ht="18" customHeight="1">
      <c r="A49" s="433"/>
      <c r="B49" s="433"/>
      <c r="C49" s="433"/>
      <c r="D49" s="433"/>
      <c r="E49" s="433"/>
      <c r="F49" s="433"/>
      <c r="G49" s="11"/>
      <c r="H49" s="1120"/>
    </row>
    <row r="50" spans="1:8" ht="13.5" hidden="1" customHeight="1">
      <c r="B50" s="986"/>
      <c r="C50" s="1331" t="s">
        <v>1046</v>
      </c>
      <c r="D50" s="1331"/>
      <c r="E50" s="1331"/>
      <c r="F50" s="986"/>
    </row>
    <row r="51" spans="1:8" ht="15.75" hidden="1" customHeight="1">
      <c r="A51" s="1317" t="s">
        <v>957</v>
      </c>
      <c r="B51" s="1317"/>
      <c r="C51" s="1317" t="s">
        <v>1007</v>
      </c>
      <c r="D51" s="1317"/>
      <c r="E51" s="1317"/>
      <c r="F51" s="784"/>
    </row>
    <row r="52" spans="1:8" ht="15.75" hidden="1" customHeight="1">
      <c r="A52" s="1132"/>
      <c r="B52" s="1132"/>
      <c r="C52" s="1132"/>
      <c r="D52" s="1132"/>
      <c r="E52" s="1132"/>
      <c r="F52" s="784"/>
    </row>
    <row r="53" spans="1:8" ht="15.75" hidden="1" customHeight="1">
      <c r="A53" s="1132"/>
      <c r="B53" s="1132"/>
      <c r="C53" s="1132"/>
      <c r="D53" s="1132"/>
      <c r="E53" s="1132"/>
      <c r="F53" s="784"/>
    </row>
    <row r="54" spans="1:8" ht="15.75" hidden="1" customHeight="1">
      <c r="A54" s="1132"/>
      <c r="B54" s="1132"/>
      <c r="C54" s="1132"/>
      <c r="D54" s="1132"/>
      <c r="E54" s="1132"/>
      <c r="F54" s="784"/>
    </row>
    <row r="55" spans="1:8" ht="15.75" hidden="1" customHeight="1">
      <c r="A55" s="1132"/>
      <c r="B55" s="1132"/>
      <c r="C55" s="1132"/>
      <c r="D55" s="1132"/>
      <c r="E55" s="1132"/>
      <c r="F55" s="784"/>
    </row>
    <row r="56" spans="1:8" ht="15.75" hidden="1" customHeight="1">
      <c r="A56" s="1132"/>
      <c r="B56" s="1132"/>
      <c r="C56" s="1132"/>
      <c r="D56" s="1132"/>
      <c r="E56" s="1132"/>
      <c r="F56" s="784"/>
    </row>
    <row r="57" spans="1:8" ht="15.75" hidden="1" customHeight="1">
      <c r="A57" s="1132"/>
      <c r="B57" s="1132"/>
      <c r="C57" s="1132"/>
      <c r="D57" s="1132"/>
      <c r="E57" s="1132"/>
      <c r="F57" s="784"/>
    </row>
    <row r="58" spans="1:8" ht="18.75" hidden="1" customHeight="1">
      <c r="A58" s="1349" t="s">
        <v>877</v>
      </c>
      <c r="B58" s="1349"/>
      <c r="C58" s="1311" t="s">
        <v>1047</v>
      </c>
      <c r="D58" s="1311"/>
      <c r="E58" s="1311"/>
      <c r="F58" s="784"/>
    </row>
  </sheetData>
  <mergeCells count="8">
    <mergeCell ref="A2:E2"/>
    <mergeCell ref="C50:E50"/>
    <mergeCell ref="A51:B51"/>
    <mergeCell ref="A58:B58"/>
    <mergeCell ref="C58:E58"/>
    <mergeCell ref="C51:E51"/>
    <mergeCell ref="A3:E3"/>
    <mergeCell ref="A4:E4"/>
  </mergeCells>
  <phoneticPr fontId="60" type="noConversion"/>
  <pageMargins left="0.59" right="0.26" top="0.45" bottom="0.49"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243"/>
  <sheetViews>
    <sheetView tabSelected="1" zoomScale="130" zoomScaleNormal="130" workbookViewId="0">
      <selection activeCell="A3" sqref="A3:Q3"/>
    </sheetView>
  </sheetViews>
  <sheetFormatPr defaultColWidth="8.90625" defaultRowHeight="15.6"/>
  <cols>
    <col min="1" max="1" width="3.453125" style="526" customWidth="1"/>
    <col min="2" max="2" width="7.54296875" style="524" customWidth="1"/>
    <col min="3" max="3" width="21.6328125" style="275" customWidth="1"/>
    <col min="4" max="4" width="7.1796875" style="527" customWidth="1"/>
    <col min="5" max="5" width="6" style="535" hidden="1" customWidth="1"/>
    <col min="6" max="6" width="8.6328125" style="528" customWidth="1"/>
    <col min="7" max="8" width="8.90625" style="275" hidden="1" customWidth="1"/>
    <col min="9" max="9" width="8.36328125" style="275" customWidth="1"/>
    <col min="10" max="10" width="10.81640625" style="275" hidden="1" customWidth="1"/>
    <col min="11" max="11" width="8.54296875" style="275" customWidth="1"/>
    <col min="12" max="12" width="9.36328125" style="275" bestFit="1" customWidth="1"/>
    <col min="13" max="14" width="8.08984375" style="275" customWidth="1"/>
    <col min="15" max="15" width="10.81640625" style="275" customWidth="1"/>
    <col min="16" max="16" width="8" style="275" customWidth="1"/>
    <col min="17" max="17" width="10" style="275" customWidth="1"/>
    <col min="18" max="18" width="8.1796875" style="275" hidden="1" customWidth="1"/>
    <col min="19" max="19" width="8.90625" style="275"/>
    <col min="20" max="20" width="12.08984375" style="275" bestFit="1" customWidth="1"/>
    <col min="21" max="16384" width="8.90625" style="275"/>
  </cols>
  <sheetData>
    <row r="1" spans="1:18" ht="24" customHeight="1">
      <c r="A1" s="1356" t="s">
        <v>1339</v>
      </c>
      <c r="B1" s="1356"/>
      <c r="C1" s="1356"/>
      <c r="D1" s="1356"/>
      <c r="E1" s="1356"/>
      <c r="F1" s="1356"/>
      <c r="G1" s="1356"/>
      <c r="H1" s="1356"/>
      <c r="I1" s="1356"/>
      <c r="J1" s="1356"/>
      <c r="K1" s="1356"/>
      <c r="L1" s="1356"/>
      <c r="M1" s="1356"/>
      <c r="N1" s="1356"/>
      <c r="O1" s="1356"/>
      <c r="P1" s="1356"/>
      <c r="Q1" s="1356"/>
      <c r="R1" s="1356"/>
    </row>
    <row r="2" spans="1:18" ht="38.25" customHeight="1">
      <c r="A2" s="1353" t="s">
        <v>1338</v>
      </c>
      <c r="B2" s="1354"/>
      <c r="C2" s="1354"/>
      <c r="D2" s="1354"/>
      <c r="E2" s="1354"/>
      <c r="F2" s="1354"/>
      <c r="G2" s="1354"/>
      <c r="H2" s="1354"/>
      <c r="I2" s="1354"/>
      <c r="J2" s="1354"/>
      <c r="K2" s="1354"/>
      <c r="L2" s="1354"/>
      <c r="M2" s="1354"/>
      <c r="N2" s="1354"/>
      <c r="O2" s="1354"/>
      <c r="P2" s="1354"/>
      <c r="Q2" s="1354"/>
      <c r="R2" s="1354"/>
    </row>
    <row r="3" spans="1:18" ht="21" customHeight="1">
      <c r="A3" s="1358" t="s">
        <v>1340</v>
      </c>
      <c r="B3" s="1358"/>
      <c r="C3" s="1358"/>
      <c r="D3" s="1358"/>
      <c r="E3" s="1358"/>
      <c r="F3" s="1358"/>
      <c r="G3" s="1358"/>
      <c r="H3" s="1358"/>
      <c r="I3" s="1358"/>
      <c r="J3" s="1358"/>
      <c r="K3" s="1358"/>
      <c r="L3" s="1358"/>
      <c r="M3" s="1358"/>
      <c r="N3" s="1358"/>
      <c r="O3" s="1358"/>
      <c r="P3" s="1358"/>
      <c r="Q3" s="1358"/>
      <c r="R3" s="1230"/>
    </row>
    <row r="4" spans="1:18" ht="20.25" customHeight="1">
      <c r="A4" s="513"/>
      <c r="B4" s="1211"/>
      <c r="C4" s="515"/>
      <c r="D4" s="516"/>
      <c r="E4" s="529"/>
      <c r="F4" s="517"/>
      <c r="G4" s="1355" t="s">
        <v>457</v>
      </c>
      <c r="H4" s="1355"/>
      <c r="I4" s="518"/>
      <c r="J4" s="519"/>
      <c r="K4" s="519"/>
      <c r="L4" s="519"/>
      <c r="M4" s="519"/>
      <c r="N4" s="519"/>
      <c r="O4" s="519"/>
      <c r="P4" s="519"/>
      <c r="Q4" s="1357" t="s">
        <v>1052</v>
      </c>
      <c r="R4" s="1357"/>
    </row>
    <row r="5" spans="1:18" s="1166" customFormat="1" ht="28.5" customHeight="1">
      <c r="A5" s="1231" t="s">
        <v>2</v>
      </c>
      <c r="B5" s="1232" t="s">
        <v>6</v>
      </c>
      <c r="C5" s="1232" t="s">
        <v>7</v>
      </c>
      <c r="D5" s="1232" t="s">
        <v>15</v>
      </c>
      <c r="E5" s="1232" t="s">
        <v>458</v>
      </c>
      <c r="F5" s="1233" t="s">
        <v>16</v>
      </c>
      <c r="G5" s="1234" t="s">
        <v>459</v>
      </c>
      <c r="H5" s="1234" t="s">
        <v>460</v>
      </c>
      <c r="I5" s="1235" t="s">
        <v>38</v>
      </c>
      <c r="J5" s="1236"/>
      <c r="K5" s="1231" t="s">
        <v>10</v>
      </c>
      <c r="L5" s="1237" t="s">
        <v>461</v>
      </c>
      <c r="M5" s="1231" t="s">
        <v>462</v>
      </c>
      <c r="N5" s="1231" t="s">
        <v>463</v>
      </c>
      <c r="O5" s="1231" t="s">
        <v>1337</v>
      </c>
      <c r="P5" s="1231" t="s">
        <v>464</v>
      </c>
      <c r="Q5" s="1231" t="s">
        <v>1336</v>
      </c>
      <c r="R5" s="723" t="s">
        <v>468</v>
      </c>
    </row>
    <row r="6" spans="1:18" s="533" customFormat="1" ht="26.4">
      <c r="A6" s="1238"/>
      <c r="B6" s="1239"/>
      <c r="C6" s="1240"/>
      <c r="D6" s="1238"/>
      <c r="E6" s="1241"/>
      <c r="F6" s="1242" t="s">
        <v>56</v>
      </c>
      <c r="G6" s="1243">
        <v>1</v>
      </c>
      <c r="H6" s="1243">
        <v>1.7669999999999999</v>
      </c>
      <c r="I6" s="1244" t="s">
        <v>57</v>
      </c>
      <c r="J6" s="1245"/>
      <c r="K6" s="1244" t="s">
        <v>59</v>
      </c>
      <c r="L6" s="1246" t="s">
        <v>471</v>
      </c>
      <c r="M6" s="1246" t="s">
        <v>472</v>
      </c>
      <c r="N6" s="1246" t="s">
        <v>473</v>
      </c>
      <c r="O6" s="1246" t="s">
        <v>500</v>
      </c>
      <c r="P6" s="1246" t="s">
        <v>1051</v>
      </c>
      <c r="Q6" s="1246" t="s">
        <v>1050</v>
      </c>
      <c r="R6" s="1167"/>
    </row>
    <row r="7" spans="1:18" s="533" customFormat="1" ht="26.4">
      <c r="A7" s="1247" t="s">
        <v>378</v>
      </c>
      <c r="B7" s="1248"/>
      <c r="C7" s="1268" t="str">
        <f>PTĐGTĐ!C7</f>
        <v>CÔNG TÁC QUẢN LÝ ĐƯỜNG THỦY NỘI ĐỊA</v>
      </c>
      <c r="D7" s="1247"/>
      <c r="E7" s="1249"/>
      <c r="F7" s="1250"/>
      <c r="G7" s="1251"/>
      <c r="H7" s="1251"/>
      <c r="I7" s="1252"/>
      <c r="J7" s="1253"/>
      <c r="K7" s="1252"/>
      <c r="L7" s="1254"/>
      <c r="M7" s="1254"/>
      <c r="N7" s="1254"/>
      <c r="O7" s="1254"/>
      <c r="P7" s="1254"/>
      <c r="Q7" s="1254"/>
      <c r="R7" s="1167"/>
    </row>
    <row r="8" spans="1:18" s="533" customFormat="1" ht="26.4">
      <c r="A8" s="1248">
        <v>1</v>
      </c>
      <c r="B8" s="1248" t="str">
        <f>PTĐGTĐ!B8</f>
        <v>1.01.01</v>
      </c>
      <c r="C8" s="1269" t="str">
        <f>PTĐGTĐ!C8</f>
        <v>Hành trình kiểm tra tuyến bằng xuồng cao tốc</v>
      </c>
      <c r="D8" s="1248" t="str">
        <f>PTĐGTĐ!D8</f>
        <v>01 km</v>
      </c>
      <c r="E8" s="1249"/>
      <c r="F8" s="1255">
        <v>0</v>
      </c>
      <c r="G8" s="1251"/>
      <c r="H8" s="1251"/>
      <c r="I8" s="1252">
        <f>PTĐGTĐ!G9</f>
        <v>4327.1350000000002</v>
      </c>
      <c r="J8" s="1256">
        <f>PTĐGTĐ!G11</f>
        <v>7071.5334999999995</v>
      </c>
      <c r="K8" s="1257">
        <f>J8</f>
        <v>7071.5334999999995</v>
      </c>
      <c r="L8" s="1257">
        <f t="shared" ref="L8:L9" si="0">+F8+I8+K8</f>
        <v>11398.6685</v>
      </c>
      <c r="M8" s="1257">
        <f t="shared" ref="M8:M9" si="1">I8*66%</f>
        <v>2855.9091000000003</v>
      </c>
      <c r="N8" s="1257">
        <f t="shared" ref="N8:N9" si="2">(L8+M8)*6%</f>
        <v>855.27465600000005</v>
      </c>
      <c r="O8" s="1257">
        <f>L8+M8+N8</f>
        <v>15109.852256</v>
      </c>
      <c r="P8" s="1257">
        <f t="shared" ref="P8:P9" si="3">O8*10%</f>
        <v>1510.9852256000001</v>
      </c>
      <c r="Q8" s="1257">
        <f t="shared" ref="Q8:Q9" si="4">ROUND(O8+P8,0)</f>
        <v>16621</v>
      </c>
      <c r="R8" s="1167"/>
    </row>
    <row r="9" spans="1:18" s="533" customFormat="1" ht="26.4">
      <c r="A9" s="1248">
        <v>2</v>
      </c>
      <c r="B9" s="1248" t="str">
        <f>PTĐGTĐ!B14</f>
        <v>1.01.02</v>
      </c>
      <c r="C9" s="1269" t="str">
        <f>PTĐGTĐ!C14</f>
        <v>Hành trình kiểm tra tuyến bằng tàu công tác</v>
      </c>
      <c r="D9" s="1248" t="str">
        <f>PTĐGTĐ!D14</f>
        <v>01 km</v>
      </c>
      <c r="E9" s="1249"/>
      <c r="F9" s="1255">
        <v>0</v>
      </c>
      <c r="G9" s="1251"/>
      <c r="H9" s="1251"/>
      <c r="I9" s="1252">
        <f>PTĐGTĐ!G15</f>
        <v>13651.413</v>
      </c>
      <c r="J9" s="1256">
        <f>PTĐGTĐ!G17</f>
        <v>58050.952999999994</v>
      </c>
      <c r="K9" s="1257">
        <f t="shared" ref="K9:K72" si="5">J9</f>
        <v>58050.952999999994</v>
      </c>
      <c r="L9" s="1257">
        <f t="shared" si="0"/>
        <v>71702.365999999995</v>
      </c>
      <c r="M9" s="1257">
        <f t="shared" si="1"/>
        <v>9009.9325800000006</v>
      </c>
      <c r="N9" s="1257">
        <f t="shared" si="2"/>
        <v>4842.7379148</v>
      </c>
      <c r="O9" s="1257">
        <f t="shared" ref="O9" si="6">L9+M9+N9</f>
        <v>85555.036494800006</v>
      </c>
      <c r="P9" s="1257">
        <f t="shared" si="3"/>
        <v>8555.5036494800006</v>
      </c>
      <c r="Q9" s="1257">
        <f t="shared" si="4"/>
        <v>94111</v>
      </c>
      <c r="R9" s="1167"/>
    </row>
    <row r="10" spans="1:18" s="533" customFormat="1" ht="39.6">
      <c r="A10" s="1247" t="s">
        <v>335</v>
      </c>
      <c r="B10" s="1247"/>
      <c r="C10" s="1268" t="str">
        <f>PTĐGTĐ!C20</f>
        <v>CÔNG TÁC BẢO DƯỠNG THƯỜNG XUYÊN ĐƯỜNG THỦY NỘI ĐỊA</v>
      </c>
      <c r="D10" s="1248"/>
      <c r="E10" s="1249"/>
      <c r="F10" s="1255"/>
      <c r="G10" s="1251"/>
      <c r="H10" s="1251"/>
      <c r="I10" s="1252"/>
      <c r="J10" s="1256"/>
      <c r="K10" s="1257"/>
      <c r="L10" s="1257"/>
      <c r="M10" s="1257"/>
      <c r="N10" s="1257"/>
      <c r="O10" s="1257"/>
      <c r="P10" s="1257"/>
      <c r="Q10" s="1257"/>
      <c r="R10" s="1167"/>
    </row>
    <row r="11" spans="1:18" s="533" customFormat="1">
      <c r="A11" s="1248">
        <v>1</v>
      </c>
      <c r="B11" s="1248"/>
      <c r="C11" s="1270" t="str">
        <f>PTĐGTĐ!C21</f>
        <v>Thả phao</v>
      </c>
      <c r="D11" s="1248"/>
      <c r="E11" s="1249"/>
      <c r="F11" s="1255"/>
      <c r="G11" s="1251"/>
      <c r="H11" s="1251"/>
      <c r="I11" s="1252"/>
      <c r="J11" s="1256"/>
      <c r="K11" s="1257"/>
      <c r="L11" s="1257"/>
      <c r="M11" s="1257"/>
      <c r="N11" s="1257"/>
      <c r="O11" s="1257"/>
      <c r="P11" s="1257"/>
      <c r="Q11" s="1257"/>
      <c r="R11" s="1167"/>
    </row>
    <row r="12" spans="1:18" s="533" customFormat="1">
      <c r="A12" s="1248"/>
      <c r="B12" s="1248" t="str">
        <f>PTĐGTĐ!B22</f>
        <v>2.01.03</v>
      </c>
      <c r="C12" s="1270" t="str">
        <f>PTĐGTĐ!C22</f>
        <v>Thả phao trụ Ø 1000 mm</v>
      </c>
      <c r="D12" s="1248" t="str">
        <f>PTĐGTĐ!D22</f>
        <v>01 quả</v>
      </c>
      <c r="E12" s="1249"/>
      <c r="F12" s="1255">
        <v>0</v>
      </c>
      <c r="G12" s="1251"/>
      <c r="H12" s="1251"/>
      <c r="I12" s="1252">
        <f>PTĐGTĐ!G23</f>
        <v>240644.54</v>
      </c>
      <c r="J12" s="1252">
        <f>PTĐGTĐ!G25</f>
        <v>697260.05</v>
      </c>
      <c r="K12" s="1257">
        <f t="shared" si="5"/>
        <v>697260.05</v>
      </c>
      <c r="L12" s="1257">
        <f t="shared" ref="L12" si="7">+F12+I12+K12</f>
        <v>937904.59000000008</v>
      </c>
      <c r="M12" s="1257">
        <f t="shared" ref="M12" si="8">I12*66%</f>
        <v>158825.39640000003</v>
      </c>
      <c r="N12" s="1257">
        <f t="shared" ref="N12" si="9">(L12+M12)*6%</f>
        <v>65803.799184000003</v>
      </c>
      <c r="O12" s="1257">
        <f t="shared" ref="O12" si="10">L12+M12+N12</f>
        <v>1162533.7855839999</v>
      </c>
      <c r="P12" s="1257">
        <f t="shared" ref="P12" si="11">O12*10%</f>
        <v>116253.3785584</v>
      </c>
      <c r="Q12" s="1257">
        <f t="shared" ref="Q12" si="12">ROUND(O12+P12,0)</f>
        <v>1278787</v>
      </c>
      <c r="R12" s="1167"/>
    </row>
    <row r="13" spans="1:18" s="533" customFormat="1">
      <c r="A13" s="1248"/>
      <c r="B13" s="1248" t="str">
        <f>PTĐGTĐ!B27</f>
        <v>2.01.04</v>
      </c>
      <c r="C13" s="1270" t="str">
        <f>PTĐGTĐ!C27</f>
        <v>Thả phao trụ Ø 1200 mm</v>
      </c>
      <c r="D13" s="1248" t="str">
        <f>PTĐGTĐ!D27</f>
        <v>01 quả</v>
      </c>
      <c r="E13" s="1249"/>
      <c r="F13" s="1255">
        <v>0</v>
      </c>
      <c r="G13" s="1251"/>
      <c r="H13" s="1251"/>
      <c r="I13" s="1252">
        <f>PTĐGTĐ!G28</f>
        <v>307087</v>
      </c>
      <c r="J13" s="1256">
        <f>PTĐGTĐ!G30</f>
        <v>898330.39000000013</v>
      </c>
      <c r="K13" s="1257">
        <f t="shared" si="5"/>
        <v>898330.39000000013</v>
      </c>
      <c r="L13" s="1257">
        <f t="shared" ref="L13:L18" si="13">+F13+I13+K13</f>
        <v>1205417.3900000001</v>
      </c>
      <c r="M13" s="1257">
        <f t="shared" ref="M13:M18" si="14">I13*66%</f>
        <v>202677.42</v>
      </c>
      <c r="N13" s="1257">
        <f t="shared" ref="N13:N18" si="15">(L13+M13)*6%</f>
        <v>84485.688599999994</v>
      </c>
      <c r="O13" s="1257">
        <f t="shared" ref="O13:O18" si="16">L13+M13+N13</f>
        <v>1492580.4986</v>
      </c>
      <c r="P13" s="1257">
        <f t="shared" ref="P13:P18" si="17">O13*10%</f>
        <v>149258.04986</v>
      </c>
      <c r="Q13" s="1257">
        <f t="shared" ref="Q13:Q18" si="18">ROUND(O13+P13,0)</f>
        <v>1641839</v>
      </c>
      <c r="R13" s="1167"/>
    </row>
    <row r="14" spans="1:18" s="533" customFormat="1">
      <c r="A14" s="1248"/>
      <c r="B14" s="1248" t="str">
        <f>PTĐGTĐ!B32</f>
        <v>2.01.05</v>
      </c>
      <c r="C14" s="1270" t="str">
        <f>PTĐGTĐ!C32</f>
        <v>Thả phao trụ Ø 1300 mm</v>
      </c>
      <c r="D14" s="1248" t="str">
        <f>PTĐGTĐ!D32</f>
        <v>01 quả</v>
      </c>
      <c r="E14" s="1249"/>
      <c r="F14" s="1255">
        <v>0</v>
      </c>
      <c r="G14" s="1251"/>
      <c r="H14" s="1251"/>
      <c r="I14" s="1252">
        <f>PTĐGTĐ!G33</f>
        <v>347287.48</v>
      </c>
      <c r="J14" s="1256">
        <f>PTĐGTĐ!G35</f>
        <v>1008594.77</v>
      </c>
      <c r="K14" s="1257">
        <f t="shared" si="5"/>
        <v>1008594.77</v>
      </c>
      <c r="L14" s="1257">
        <f t="shared" si="13"/>
        <v>1355882.25</v>
      </c>
      <c r="M14" s="1257">
        <f t="shared" si="14"/>
        <v>229209.73679999998</v>
      </c>
      <c r="N14" s="1257">
        <f t="shared" si="15"/>
        <v>95105.519207999998</v>
      </c>
      <c r="O14" s="1257">
        <f t="shared" si="16"/>
        <v>1680197.5060080001</v>
      </c>
      <c r="P14" s="1257">
        <f t="shared" si="17"/>
        <v>168019.75060080003</v>
      </c>
      <c r="Q14" s="1257">
        <f t="shared" si="18"/>
        <v>1848217</v>
      </c>
      <c r="R14" s="1167"/>
    </row>
    <row r="15" spans="1:18" s="533" customFormat="1">
      <c r="A15" s="1248"/>
      <c r="B15" s="1248" t="str">
        <f>PTĐGTĐ!B37</f>
        <v>2.01.06</v>
      </c>
      <c r="C15" s="1270" t="str">
        <f>PTĐGTĐ!C37</f>
        <v>Thả phao trụ Ø 1400 mm</v>
      </c>
      <c r="D15" s="1248" t="str">
        <f>PTĐGTĐ!D37</f>
        <v>01 quả</v>
      </c>
      <c r="E15" s="392">
        <f>PTĐGTĐ!E37</f>
        <v>0</v>
      </c>
      <c r="F15" s="1255">
        <v>0</v>
      </c>
      <c r="G15" s="1251"/>
      <c r="H15" s="1251"/>
      <c r="I15" s="1252">
        <f>PTĐGTĐ!G38</f>
        <v>380787.88</v>
      </c>
      <c r="J15" s="1256">
        <f>PTĐGTĐ!G40</f>
        <v>1105886.8700000001</v>
      </c>
      <c r="K15" s="1257">
        <f t="shared" si="5"/>
        <v>1105886.8700000001</v>
      </c>
      <c r="L15" s="1257">
        <f t="shared" si="13"/>
        <v>1486674.75</v>
      </c>
      <c r="M15" s="1257">
        <f t="shared" si="14"/>
        <v>251320.00080000001</v>
      </c>
      <c r="N15" s="1257">
        <f t="shared" si="15"/>
        <v>104279.685048</v>
      </c>
      <c r="O15" s="1257">
        <f t="shared" si="16"/>
        <v>1842274.435848</v>
      </c>
      <c r="P15" s="1257">
        <f t="shared" si="17"/>
        <v>184227.4435848</v>
      </c>
      <c r="Q15" s="1257">
        <f t="shared" si="18"/>
        <v>2026502</v>
      </c>
      <c r="R15" s="1167"/>
    </row>
    <row r="16" spans="1:18" s="533" customFormat="1">
      <c r="A16" s="1248">
        <v>2</v>
      </c>
      <c r="B16" s="1248"/>
      <c r="C16" s="1270" t="str">
        <f>PTĐGTĐ!C42</f>
        <v>Điều chỉnh phao</v>
      </c>
      <c r="D16" s="1248"/>
      <c r="E16" s="1249"/>
      <c r="F16" s="1255"/>
      <c r="G16" s="1251"/>
      <c r="H16" s="1251"/>
      <c r="I16" s="1252"/>
      <c r="J16" s="1256"/>
      <c r="K16" s="1257"/>
      <c r="L16" s="1257"/>
      <c r="M16" s="1257"/>
      <c r="N16" s="1257"/>
      <c r="O16" s="1257"/>
      <c r="P16" s="1257"/>
      <c r="Q16" s="1257"/>
      <c r="R16" s="1167"/>
    </row>
    <row r="17" spans="1:18" s="533" customFormat="1">
      <c r="A17" s="1248"/>
      <c r="B17" s="1248" t="str">
        <f>PTĐGTĐ!B43</f>
        <v>2.02.03</v>
      </c>
      <c r="C17" s="1270" t="str">
        <f>PTĐGTĐ!C43</f>
        <v>Điều chỉnh phao trụ Ø1000</v>
      </c>
      <c r="D17" s="1248" t="str">
        <f>PTĐGTĐ!D43</f>
        <v>01 quả</v>
      </c>
      <c r="E17" s="1249"/>
      <c r="F17" s="1255">
        <v>0</v>
      </c>
      <c r="G17" s="1251"/>
      <c r="H17" s="1251"/>
      <c r="I17" s="1252">
        <f>PTĐGTĐ!G44</f>
        <v>244813.57199999999</v>
      </c>
      <c r="J17" s="1256">
        <f>PTĐGTĐ!G46</f>
        <v>771850.65999999992</v>
      </c>
      <c r="K17" s="1257">
        <f t="shared" si="5"/>
        <v>771850.65999999992</v>
      </c>
      <c r="L17" s="1257">
        <f t="shared" si="13"/>
        <v>1016664.2319999998</v>
      </c>
      <c r="M17" s="1257">
        <f t="shared" si="14"/>
        <v>161576.95752</v>
      </c>
      <c r="N17" s="1257">
        <f t="shared" si="15"/>
        <v>70694.471371199979</v>
      </c>
      <c r="O17" s="1257">
        <f t="shared" si="16"/>
        <v>1248935.6608911997</v>
      </c>
      <c r="P17" s="1257">
        <f t="shared" si="17"/>
        <v>124893.56608911998</v>
      </c>
      <c r="Q17" s="1257">
        <f t="shared" si="18"/>
        <v>1373829</v>
      </c>
      <c r="R17" s="1167"/>
    </row>
    <row r="18" spans="1:18" s="533" customFormat="1">
      <c r="A18" s="1248"/>
      <c r="B18" s="1248" t="str">
        <f>PTĐGTĐ!B48</f>
        <v>2.02.04</v>
      </c>
      <c r="C18" s="1270" t="str">
        <f>PTĐGTĐ!C48</f>
        <v>Điều chỉnh phao trụ Ø1200</v>
      </c>
      <c r="D18" s="1248" t="str">
        <f>PTĐGTĐ!D48</f>
        <v>01 quả</v>
      </c>
      <c r="E18" s="1249"/>
      <c r="F18" s="1255">
        <v>0</v>
      </c>
      <c r="G18" s="1251"/>
      <c r="H18" s="1251"/>
      <c r="I18" s="1252">
        <f>PTĐGTĐ!G49</f>
        <v>314870.28600000002</v>
      </c>
      <c r="J18" s="1256">
        <f>PTĐGTĐ!G51</f>
        <v>995622.49</v>
      </c>
      <c r="K18" s="1257">
        <f t="shared" si="5"/>
        <v>995622.49</v>
      </c>
      <c r="L18" s="1257">
        <f t="shared" si="13"/>
        <v>1310492.7760000001</v>
      </c>
      <c r="M18" s="1257">
        <f t="shared" si="14"/>
        <v>207814.38876000003</v>
      </c>
      <c r="N18" s="1257">
        <f t="shared" si="15"/>
        <v>91098.429885599995</v>
      </c>
      <c r="O18" s="1257">
        <f t="shared" si="16"/>
        <v>1609405.5946456001</v>
      </c>
      <c r="P18" s="1257">
        <f t="shared" si="17"/>
        <v>160940.55946456001</v>
      </c>
      <c r="Q18" s="1257">
        <f t="shared" si="18"/>
        <v>1770346</v>
      </c>
      <c r="R18" s="1167"/>
    </row>
    <row r="19" spans="1:18" s="533" customFormat="1">
      <c r="A19" s="1248"/>
      <c r="B19" s="1248" t="str">
        <f>PTĐGTĐ!B53</f>
        <v>2.02.05</v>
      </c>
      <c r="C19" s="1270" t="str">
        <f>PTĐGTĐ!C53</f>
        <v>Điều chỉnh phao trụ Ø1300</v>
      </c>
      <c r="D19" s="1248" t="str">
        <f>PTĐGTĐ!D53</f>
        <v>01 quả</v>
      </c>
      <c r="E19" s="1249"/>
      <c r="F19" s="1255">
        <v>0</v>
      </c>
      <c r="G19" s="1251"/>
      <c r="H19" s="1251"/>
      <c r="I19" s="1252">
        <f>PTĐGTĐ!G54</f>
        <v>350283.57</v>
      </c>
      <c r="J19" s="1256">
        <f>PTĐGTĐ!G56</f>
        <v>1105886.8700000001</v>
      </c>
      <c r="K19" s="1257">
        <f t="shared" si="5"/>
        <v>1105886.8700000001</v>
      </c>
      <c r="L19" s="1257">
        <f t="shared" ref="L19" si="19">+F19+I19+K19</f>
        <v>1456170.4400000002</v>
      </c>
      <c r="M19" s="1257">
        <f t="shared" ref="M19" si="20">I19*66%</f>
        <v>231187.15620000003</v>
      </c>
      <c r="N19" s="1257">
        <f t="shared" ref="N19" si="21">(L19+M19)*6%</f>
        <v>101241.45577200002</v>
      </c>
      <c r="O19" s="1257">
        <f t="shared" ref="O19" si="22">L19+M19+N19</f>
        <v>1788599.0519720004</v>
      </c>
      <c r="P19" s="1257">
        <f t="shared" ref="P19" si="23">O19*10%</f>
        <v>178859.90519720005</v>
      </c>
      <c r="Q19" s="1257">
        <f t="shared" ref="Q19" si="24">ROUND(O19+P19,0)</f>
        <v>1967459</v>
      </c>
      <c r="R19" s="1167"/>
    </row>
    <row r="20" spans="1:18" s="533" customFormat="1">
      <c r="A20" s="1248"/>
      <c r="B20" s="1248" t="str">
        <f>PTĐGTĐ!B58</f>
        <v>2.02.06</v>
      </c>
      <c r="C20" s="1270" t="str">
        <f>PTĐGTĐ!C58</f>
        <v>Điều chỉnh phao trụ Ø1400</v>
      </c>
      <c r="D20" s="1248" t="str">
        <f>PTĐGTĐ!D58</f>
        <v>01 quả</v>
      </c>
      <c r="E20" s="1249"/>
      <c r="F20" s="1255">
        <v>0</v>
      </c>
      <c r="G20" s="1251"/>
      <c r="H20" s="1251"/>
      <c r="I20" s="1252">
        <f>PTĐGTĐ!G59</f>
        <v>384670.38200000004</v>
      </c>
      <c r="J20" s="1256">
        <f>PTĐGTĐ!G61</f>
        <v>1216151.25</v>
      </c>
      <c r="K20" s="1257">
        <f t="shared" si="5"/>
        <v>1216151.25</v>
      </c>
      <c r="L20" s="1257">
        <f t="shared" ref="L20" si="25">+F20+I20+K20</f>
        <v>1600821.632</v>
      </c>
      <c r="M20" s="1257">
        <f t="shared" ref="M20" si="26">I20*66%</f>
        <v>253882.45212000003</v>
      </c>
      <c r="N20" s="1257">
        <f t="shared" ref="N20" si="27">(L20+M20)*6%</f>
        <v>111282.24504719999</v>
      </c>
      <c r="O20" s="1257">
        <f t="shared" ref="O20" si="28">L20+M20+N20</f>
        <v>1965986.3291672</v>
      </c>
      <c r="P20" s="1257">
        <f t="shared" ref="P20" si="29">O20*10%</f>
        <v>196598.63291672</v>
      </c>
      <c r="Q20" s="1257">
        <f t="shared" ref="Q20" si="30">ROUND(O20+P20,0)</f>
        <v>2162585</v>
      </c>
      <c r="R20" s="1167"/>
    </row>
    <row r="21" spans="1:18" s="533" customFormat="1">
      <c r="A21" s="1248">
        <v>3</v>
      </c>
      <c r="B21" s="1248"/>
      <c r="C21" s="1270" t="str">
        <f>PTĐGTĐ!C63</f>
        <v>Chống bồi rùa</v>
      </c>
      <c r="D21" s="1248"/>
      <c r="E21" s="1249"/>
      <c r="F21" s="1255"/>
      <c r="G21" s="1251"/>
      <c r="H21" s="1251"/>
      <c r="I21" s="1252"/>
      <c r="J21" s="1256"/>
      <c r="K21" s="1257"/>
      <c r="L21" s="1257"/>
      <c r="M21" s="1257"/>
      <c r="N21" s="1257"/>
      <c r="O21" s="1257"/>
      <c r="P21" s="1257"/>
      <c r="Q21" s="1257"/>
      <c r="R21" s="1167"/>
    </row>
    <row r="22" spans="1:18" s="533" customFormat="1">
      <c r="A22" s="1248"/>
      <c r="B22" s="1248" t="str">
        <f>PTĐGTĐ!B64</f>
        <v>2.03.03</v>
      </c>
      <c r="C22" s="1270" t="str">
        <f>PTĐGTĐ!C64</f>
        <v>Chống bồi rùa phao trụ Ø1000</v>
      </c>
      <c r="D22" s="1248" t="str">
        <f>PTĐGTĐ!D64</f>
        <v>01 quả</v>
      </c>
      <c r="E22" s="1249"/>
      <c r="F22" s="1255">
        <v>0</v>
      </c>
      <c r="G22" s="1251"/>
      <c r="H22" s="1251"/>
      <c r="I22" s="1258">
        <f>PTĐGTĐ!G65</f>
        <v>130618.56200000001</v>
      </c>
      <c r="J22" s="1256">
        <f>PTĐGTĐ!G67</f>
        <v>473488.22</v>
      </c>
      <c r="K22" s="1257">
        <f t="shared" si="5"/>
        <v>473488.22</v>
      </c>
      <c r="L22" s="1257">
        <f t="shared" ref="L22:L25" si="31">+F22+I22+K22</f>
        <v>604106.78200000001</v>
      </c>
      <c r="M22" s="1257">
        <f t="shared" ref="M22:M25" si="32">I22*66%</f>
        <v>86208.250920000006</v>
      </c>
      <c r="N22" s="1257">
        <f t="shared" ref="N22:N25" si="33">(L22+M22)*6%</f>
        <v>41418.901975200002</v>
      </c>
      <c r="O22" s="1257">
        <f t="shared" ref="O22:O25" si="34">L22+M22+N22</f>
        <v>731733.93489520007</v>
      </c>
      <c r="P22" s="1257">
        <f t="shared" ref="P22:P25" si="35">O22*10%</f>
        <v>73173.393489520007</v>
      </c>
      <c r="Q22" s="1257">
        <f t="shared" ref="Q22:Q25" si="36">ROUND(O22+P22,0)</f>
        <v>804907</v>
      </c>
      <c r="R22" s="1167"/>
    </row>
    <row r="23" spans="1:18" s="533" customFormat="1">
      <c r="A23" s="1248"/>
      <c r="B23" s="1248" t="str">
        <f>PTĐGTĐ!B69</f>
        <v>2.03.04</v>
      </c>
      <c r="C23" s="1270" t="str">
        <f>PTĐGTĐ!C69</f>
        <v>Chống bồi rùa phao trụ Ø1200</v>
      </c>
      <c r="D23" s="1248" t="str">
        <f>PTĐGTĐ!D69</f>
        <v>01 quả</v>
      </c>
      <c r="E23" s="1249"/>
      <c r="F23" s="1255">
        <v>0</v>
      </c>
      <c r="G23" s="1251"/>
      <c r="H23" s="1251"/>
      <c r="I23" s="1252">
        <f>PTĐGTĐ!G70</f>
        <v>162182.576</v>
      </c>
      <c r="J23" s="1256">
        <f>PTĐGTĐ!G72</f>
        <v>586995.66999999993</v>
      </c>
      <c r="K23" s="1257">
        <f t="shared" si="5"/>
        <v>586995.66999999993</v>
      </c>
      <c r="L23" s="1257">
        <f t="shared" si="31"/>
        <v>749178.24599999993</v>
      </c>
      <c r="M23" s="1257">
        <f t="shared" si="32"/>
        <v>107040.50016000001</v>
      </c>
      <c r="N23" s="1257">
        <f t="shared" si="33"/>
        <v>51373.124769599999</v>
      </c>
      <c r="O23" s="1257">
        <f t="shared" si="34"/>
        <v>907591.87092959997</v>
      </c>
      <c r="P23" s="1257">
        <f t="shared" si="35"/>
        <v>90759.187092959997</v>
      </c>
      <c r="Q23" s="1257">
        <f t="shared" si="36"/>
        <v>998351</v>
      </c>
      <c r="R23" s="1167"/>
    </row>
    <row r="24" spans="1:18" s="533" customFormat="1">
      <c r="A24" s="1248"/>
      <c r="B24" s="1248" t="str">
        <f>PTĐGTĐ!B74</f>
        <v>2.03.05</v>
      </c>
      <c r="C24" s="1270" t="str">
        <f>PTĐGTĐ!C74</f>
        <v>Chống bồi rùa phao trụ Ø1300</v>
      </c>
      <c r="D24" s="1248" t="str">
        <f>PTĐGTĐ!D74</f>
        <v>01 quả</v>
      </c>
      <c r="E24" s="1249"/>
      <c r="F24" s="1255">
        <v>0</v>
      </c>
      <c r="G24" s="1251"/>
      <c r="H24" s="1251"/>
      <c r="I24" s="1252">
        <f>PTĐGTĐ!G75</f>
        <v>177836.27399999998</v>
      </c>
      <c r="J24" s="1256">
        <f>PTĐGTĐ!G77</f>
        <v>642127.86</v>
      </c>
      <c r="K24" s="1257">
        <f t="shared" si="5"/>
        <v>642127.86</v>
      </c>
      <c r="L24" s="1257">
        <f t="shared" si="31"/>
        <v>819964.13399999996</v>
      </c>
      <c r="M24" s="1257">
        <f t="shared" si="32"/>
        <v>117371.94084</v>
      </c>
      <c r="N24" s="1257">
        <f t="shared" si="33"/>
        <v>56240.164490399991</v>
      </c>
      <c r="O24" s="1257">
        <f t="shared" si="34"/>
        <v>993576.2393303999</v>
      </c>
      <c r="P24" s="1257">
        <f t="shared" si="35"/>
        <v>99357.623933039999</v>
      </c>
      <c r="Q24" s="1257">
        <f t="shared" si="36"/>
        <v>1092934</v>
      </c>
      <c r="R24" s="1167"/>
    </row>
    <row r="25" spans="1:18" s="533" customFormat="1">
      <c r="A25" s="1248"/>
      <c r="B25" s="1248" t="str">
        <f>PTĐGTĐ!B79</f>
        <v>2.03.06</v>
      </c>
      <c r="C25" s="1270" t="str">
        <f>PTĐGTĐ!C79</f>
        <v>Chống bồi rùa phao trụ Ø1400</v>
      </c>
      <c r="D25" s="1248" t="str">
        <f>PTĐGTĐ!D79</f>
        <v>01 quả</v>
      </c>
      <c r="E25" s="1249"/>
      <c r="F25" s="1255">
        <v>0</v>
      </c>
      <c r="G25" s="1251"/>
      <c r="H25" s="1251"/>
      <c r="I25" s="1252">
        <f>PTĐGTĐ!G80</f>
        <v>193489.97200000001</v>
      </c>
      <c r="J25" s="1256">
        <f>PTĐGTĐ!G82</f>
        <v>700503.12</v>
      </c>
      <c r="K25" s="1257">
        <f t="shared" si="5"/>
        <v>700503.12</v>
      </c>
      <c r="L25" s="1257">
        <f t="shared" si="31"/>
        <v>893993.09199999995</v>
      </c>
      <c r="M25" s="1257">
        <f t="shared" si="32"/>
        <v>127703.38152000001</v>
      </c>
      <c r="N25" s="1257">
        <f t="shared" si="33"/>
        <v>61301.788411199996</v>
      </c>
      <c r="O25" s="1257">
        <f t="shared" si="34"/>
        <v>1082998.2619312</v>
      </c>
      <c r="P25" s="1257">
        <f t="shared" si="35"/>
        <v>108299.82619312001</v>
      </c>
      <c r="Q25" s="1257">
        <f t="shared" si="36"/>
        <v>1191298</v>
      </c>
      <c r="R25" s="1167"/>
    </row>
    <row r="26" spans="1:18" s="533" customFormat="1">
      <c r="A26" s="1248">
        <v>4</v>
      </c>
      <c r="B26" s="1248"/>
      <c r="C26" s="1270" t="str">
        <f>PTĐGTĐ!C84</f>
        <v>Trục phao</v>
      </c>
      <c r="D26" s="1248"/>
      <c r="E26" s="1249"/>
      <c r="F26" s="1255"/>
      <c r="G26" s="1251"/>
      <c r="H26" s="1251"/>
      <c r="I26" s="1252"/>
      <c r="J26" s="1256"/>
      <c r="K26" s="1257"/>
      <c r="L26" s="1257"/>
      <c r="M26" s="1257"/>
      <c r="N26" s="1257"/>
      <c r="O26" s="1257"/>
      <c r="P26" s="1257"/>
      <c r="Q26" s="1257"/>
      <c r="R26" s="1167"/>
    </row>
    <row r="27" spans="1:18" s="533" customFormat="1">
      <c r="A27" s="1248"/>
      <c r="B27" s="1248" t="str">
        <f>PTĐGTĐ!B85</f>
        <v>2.04.03</v>
      </c>
      <c r="C27" s="1270" t="str">
        <f>PTĐGTĐ!C85</f>
        <v>Trục phao trụ Ø1000</v>
      </c>
      <c r="D27" s="1248" t="str">
        <f>PTĐGTĐ!D85</f>
        <v>01 quả</v>
      </c>
      <c r="E27" s="1249"/>
      <c r="F27" s="1255">
        <v>0</v>
      </c>
      <c r="G27" s="1251"/>
      <c r="H27" s="1251"/>
      <c r="I27" s="1252">
        <f>PTĐGTĐ!G86</f>
        <v>318253.8</v>
      </c>
      <c r="J27" s="1256">
        <f>PTĐGTĐ!G88</f>
        <v>950219.50999999989</v>
      </c>
      <c r="K27" s="1257">
        <f t="shared" si="5"/>
        <v>950219.50999999989</v>
      </c>
      <c r="L27" s="1257">
        <f t="shared" ref="L27:L30" si="37">+F27+I27+K27</f>
        <v>1268473.3099999998</v>
      </c>
      <c r="M27" s="1257">
        <f t="shared" ref="M27:M30" si="38">I27*66%</f>
        <v>210047.508</v>
      </c>
      <c r="N27" s="1257">
        <f t="shared" ref="N27:N30" si="39">(L27+M27)*6%</f>
        <v>88711.24907999998</v>
      </c>
      <c r="O27" s="1257">
        <f t="shared" ref="O27:O30" si="40">L27+M27+N27</f>
        <v>1567232.0670799997</v>
      </c>
      <c r="P27" s="1257">
        <f t="shared" ref="P27:P30" si="41">O27*10%</f>
        <v>156723.20670799998</v>
      </c>
      <c r="Q27" s="1257">
        <f t="shared" ref="Q27:Q30" si="42">ROUND(O27+P27,0)</f>
        <v>1723955</v>
      </c>
      <c r="R27" s="1167"/>
    </row>
    <row r="28" spans="1:18" s="533" customFormat="1">
      <c r="A28" s="1248"/>
      <c r="B28" s="1248" t="str">
        <f>PTĐGTĐ!B90</f>
        <v>2.04.04</v>
      </c>
      <c r="C28" s="1270" t="str">
        <f>PTĐGTĐ!C90</f>
        <v>Trục phao trụ Ø1200</v>
      </c>
      <c r="D28" s="1248" t="str">
        <f>PTĐGTĐ!D90</f>
        <v>01 quả</v>
      </c>
      <c r="E28" s="1249"/>
      <c r="F28" s="1255">
        <v>0</v>
      </c>
      <c r="G28" s="1251"/>
      <c r="H28" s="1251"/>
      <c r="I28" s="1252">
        <f>PTĐGTĐ!G91</f>
        <v>431596.82</v>
      </c>
      <c r="J28" s="1256">
        <f>PTĐGTĐ!G93</f>
        <v>1274526.51</v>
      </c>
      <c r="K28" s="1257">
        <f t="shared" si="5"/>
        <v>1274526.51</v>
      </c>
      <c r="L28" s="1257">
        <f t="shared" si="37"/>
        <v>1706123.33</v>
      </c>
      <c r="M28" s="1257">
        <f t="shared" si="38"/>
        <v>284853.90120000002</v>
      </c>
      <c r="N28" s="1257">
        <f t="shared" si="39"/>
        <v>119458.63387199999</v>
      </c>
      <c r="O28" s="1257">
        <f t="shared" si="40"/>
        <v>2110435.8650719998</v>
      </c>
      <c r="P28" s="1257">
        <f t="shared" si="41"/>
        <v>211043.5865072</v>
      </c>
      <c r="Q28" s="1257">
        <f t="shared" si="42"/>
        <v>2321479</v>
      </c>
      <c r="R28" s="1167"/>
    </row>
    <row r="29" spans="1:18" s="533" customFormat="1">
      <c r="A29" s="1248"/>
      <c r="B29" s="1248" t="str">
        <f>PTĐGTĐ!B95</f>
        <v>2.04.05</v>
      </c>
      <c r="C29" s="1270" t="str">
        <f>PTĐGTĐ!C95</f>
        <v>Trục phao trụ Ø1300</v>
      </c>
      <c r="D29" s="1248" t="str">
        <f>PTĐGTĐ!D95</f>
        <v>01 quả</v>
      </c>
      <c r="E29" s="1249"/>
      <c r="F29" s="1255">
        <v>0</v>
      </c>
      <c r="G29" s="1251"/>
      <c r="H29" s="1251"/>
      <c r="I29" s="1252">
        <f>PTĐGTĐ!G96</f>
        <v>497480.94</v>
      </c>
      <c r="J29" s="1256">
        <f>PTĐGTĐ!G98</f>
        <v>1459381.5</v>
      </c>
      <c r="K29" s="1257">
        <f t="shared" si="5"/>
        <v>1459381.5</v>
      </c>
      <c r="L29" s="1257">
        <f t="shared" si="37"/>
        <v>1956862.44</v>
      </c>
      <c r="M29" s="1257">
        <f t="shared" si="38"/>
        <v>328337.4204</v>
      </c>
      <c r="N29" s="1257">
        <f t="shared" si="39"/>
        <v>137111.99162400002</v>
      </c>
      <c r="O29" s="1257">
        <f t="shared" si="40"/>
        <v>2422311.8520240001</v>
      </c>
      <c r="P29" s="1257">
        <f t="shared" si="41"/>
        <v>242231.18520240003</v>
      </c>
      <c r="Q29" s="1257">
        <f t="shared" si="42"/>
        <v>2664543</v>
      </c>
      <c r="R29" s="1167"/>
    </row>
    <row r="30" spans="1:18" s="533" customFormat="1">
      <c r="A30" s="1248"/>
      <c r="B30" s="1248" t="str">
        <f>PTĐGTĐ!B100</f>
        <v>2.04.06</v>
      </c>
      <c r="C30" s="1270" t="str">
        <f>PTĐGTĐ!C100</f>
        <v>Trục phao trụ Ø1400</v>
      </c>
      <c r="D30" s="1248" t="str">
        <f>PTĐGTĐ!D100</f>
        <v>01 quả</v>
      </c>
      <c r="E30" s="1249"/>
      <c r="F30" s="1255">
        <v>0</v>
      </c>
      <c r="G30" s="1251"/>
      <c r="H30" s="1251"/>
      <c r="I30" s="1252">
        <f>PTĐGTĐ!G101</f>
        <v>544660.67000000004</v>
      </c>
      <c r="J30" s="1256">
        <f>PTĐGTĐ!G103</f>
        <v>1602076.58</v>
      </c>
      <c r="K30" s="1257">
        <f t="shared" si="5"/>
        <v>1602076.58</v>
      </c>
      <c r="L30" s="1257">
        <f t="shared" si="37"/>
        <v>2146737.25</v>
      </c>
      <c r="M30" s="1257">
        <f t="shared" si="38"/>
        <v>359476.04220000003</v>
      </c>
      <c r="N30" s="1257">
        <f t="shared" si="39"/>
        <v>150372.797532</v>
      </c>
      <c r="O30" s="1257">
        <f t="shared" si="40"/>
        <v>2656586.0897320001</v>
      </c>
      <c r="P30" s="1257">
        <f t="shared" si="41"/>
        <v>265658.60897320003</v>
      </c>
      <c r="Q30" s="1257">
        <f t="shared" si="42"/>
        <v>2922245</v>
      </c>
      <c r="R30" s="1167"/>
    </row>
    <row r="31" spans="1:18" s="533" customFormat="1">
      <c r="A31" s="1248">
        <v>5</v>
      </c>
      <c r="B31" s="1248"/>
      <c r="C31" s="1270" t="str">
        <f>PTĐGTĐ!C105</f>
        <v>Bảo dưỡng phao</v>
      </c>
      <c r="D31" s="1248"/>
      <c r="E31" s="1249"/>
      <c r="F31" s="1255"/>
      <c r="G31" s="1251"/>
      <c r="H31" s="1251"/>
      <c r="I31" s="1252"/>
      <c r="J31" s="1256"/>
      <c r="K31" s="1257"/>
      <c r="L31" s="1257"/>
      <c r="M31" s="1257"/>
      <c r="N31" s="1257"/>
      <c r="O31" s="1257"/>
      <c r="P31" s="1257"/>
      <c r="Q31" s="1257"/>
      <c r="R31" s="1167"/>
    </row>
    <row r="32" spans="1:18" s="533" customFormat="1">
      <c r="A32" s="1248"/>
      <c r="B32" s="1248" t="str">
        <f>PTĐGTĐ!B105</f>
        <v>2.05.10</v>
      </c>
      <c r="C32" s="1270" t="s">
        <v>1255</v>
      </c>
      <c r="D32" s="1248"/>
      <c r="E32" s="1249"/>
      <c r="F32" s="1255"/>
      <c r="G32" s="1251"/>
      <c r="H32" s="1251"/>
      <c r="I32" s="1252"/>
      <c r="J32" s="1256"/>
      <c r="K32" s="1257"/>
      <c r="L32" s="1257"/>
      <c r="M32" s="1257"/>
      <c r="N32" s="1257"/>
      <c r="O32" s="1257"/>
      <c r="P32" s="1257"/>
      <c r="Q32" s="1257"/>
      <c r="R32" s="1167"/>
    </row>
    <row r="33" spans="1:18" s="533" customFormat="1">
      <c r="A33" s="1248"/>
      <c r="B33" s="1248"/>
      <c r="C33" s="1270" t="str">
        <f>PTĐGTĐ!C106</f>
        <v>Bảo dưỡng phao sắt Ø1000</v>
      </c>
      <c r="D33" s="1248" t="str">
        <f>PTĐGTĐ!D106</f>
        <v>01 quả</v>
      </c>
      <c r="E33" s="1249"/>
      <c r="F33" s="1255">
        <f>PTĐGTĐ!G107</f>
        <v>310843.41899999999</v>
      </c>
      <c r="G33" s="1251"/>
      <c r="H33" s="1251"/>
      <c r="I33" s="1252">
        <f>PTĐGTĐ!G111</f>
        <v>850175.43400000001</v>
      </c>
      <c r="J33" s="1256">
        <v>0</v>
      </c>
      <c r="K33" s="1257">
        <f t="shared" si="5"/>
        <v>0</v>
      </c>
      <c r="L33" s="1257">
        <f t="shared" ref="L33:L43" si="43">+F33+I33+K33</f>
        <v>1161018.8530000001</v>
      </c>
      <c r="M33" s="1257">
        <f t="shared" ref="M33:M41" si="44">I33*66%</f>
        <v>561115.78644000005</v>
      </c>
      <c r="N33" s="1257">
        <f t="shared" ref="N33:N41" si="45">(L33+M33)*6%</f>
        <v>103328.0783664</v>
      </c>
      <c r="O33" s="1257">
        <f t="shared" ref="O33:O41" si="46">L33+M33+N33</f>
        <v>1825462.7178064</v>
      </c>
      <c r="P33" s="1257">
        <f t="shared" ref="P33:P41" si="47">O33*10%</f>
        <v>182546.27178064</v>
      </c>
      <c r="Q33" s="1257">
        <f t="shared" ref="Q33:Q41" si="48">ROUND(O33+P33,0)</f>
        <v>2008009</v>
      </c>
      <c r="R33" s="1167"/>
    </row>
    <row r="34" spans="1:18" s="533" customFormat="1">
      <c r="A34" s="1248"/>
      <c r="B34" s="1248"/>
      <c r="C34" s="1270" t="str">
        <f>PTĐGTĐ!C113</f>
        <v>Bảo dưỡng phao sắt Ø1200</v>
      </c>
      <c r="D34" s="1248" t="str">
        <f>PTĐGTĐ!D113</f>
        <v>01 quả</v>
      </c>
      <c r="E34" s="1249"/>
      <c r="F34" s="1255">
        <f>PTĐGTĐ!G114</f>
        <v>422222.22719999996</v>
      </c>
      <c r="G34" s="1251"/>
      <c r="H34" s="1251"/>
      <c r="I34" s="1252">
        <f>PTĐGTĐ!G118</f>
        <v>1004659.47</v>
      </c>
      <c r="J34" s="1256">
        <v>0</v>
      </c>
      <c r="K34" s="1257">
        <f t="shared" si="5"/>
        <v>0</v>
      </c>
      <c r="L34" s="1257">
        <f t="shared" si="43"/>
        <v>1426881.6971999998</v>
      </c>
      <c r="M34" s="1257">
        <f t="shared" si="44"/>
        <v>663075.25020000001</v>
      </c>
      <c r="N34" s="1257">
        <f t="shared" si="45"/>
        <v>125397.41684399999</v>
      </c>
      <c r="O34" s="1257">
        <f t="shared" si="46"/>
        <v>2215354.3642440001</v>
      </c>
      <c r="P34" s="1257">
        <f t="shared" si="47"/>
        <v>221535.43642440002</v>
      </c>
      <c r="Q34" s="1257">
        <f t="shared" si="48"/>
        <v>2436890</v>
      </c>
      <c r="R34" s="1167"/>
    </row>
    <row r="35" spans="1:18" s="533" customFormat="1">
      <c r="A35" s="1248"/>
      <c r="B35" s="1248"/>
      <c r="C35" s="1270" t="str">
        <f>PTĐGTĐ!C120</f>
        <v>Bảo dưỡng phao sắt Ø1300</v>
      </c>
      <c r="D35" s="1248" t="str">
        <f>PTĐGTĐ!D120</f>
        <v>01 quả</v>
      </c>
      <c r="E35" s="1249"/>
      <c r="F35" s="1255">
        <f>PTĐGTĐ!G121</f>
        <v>489332.04600000003</v>
      </c>
      <c r="G35" s="1251"/>
      <c r="H35" s="1251"/>
      <c r="I35" s="1252">
        <f>PTĐGTĐ!G125</f>
        <v>1202768.5660000001</v>
      </c>
      <c r="J35" s="1256">
        <v>0</v>
      </c>
      <c r="K35" s="1257">
        <f t="shared" si="5"/>
        <v>0</v>
      </c>
      <c r="L35" s="1257">
        <f t="shared" si="43"/>
        <v>1692100.6120000002</v>
      </c>
      <c r="M35" s="1257">
        <f t="shared" si="44"/>
        <v>793827.2535600001</v>
      </c>
      <c r="N35" s="1257">
        <f t="shared" si="45"/>
        <v>149155.67193360001</v>
      </c>
      <c r="O35" s="1257">
        <f t="shared" si="46"/>
        <v>2635083.5374936005</v>
      </c>
      <c r="P35" s="1257">
        <f t="shared" si="47"/>
        <v>263508.35374936007</v>
      </c>
      <c r="Q35" s="1257">
        <f t="shared" si="48"/>
        <v>2898592</v>
      </c>
      <c r="R35" s="1167"/>
    </row>
    <row r="36" spans="1:18" s="533" customFormat="1">
      <c r="A36" s="1248"/>
      <c r="B36" s="1248" t="s">
        <v>1256</v>
      </c>
      <c r="C36" s="1270" t="s">
        <v>1257</v>
      </c>
      <c r="D36" s="1248"/>
      <c r="E36" s="1249"/>
      <c r="F36" s="1255"/>
      <c r="G36" s="1251"/>
      <c r="H36" s="1251"/>
      <c r="I36" s="1252"/>
      <c r="J36" s="1256"/>
      <c r="K36" s="1257"/>
      <c r="L36" s="1257"/>
      <c r="M36" s="1257"/>
      <c r="N36" s="1257"/>
      <c r="O36" s="1257"/>
      <c r="P36" s="1257"/>
      <c r="Q36" s="1257"/>
      <c r="R36" s="1167"/>
    </row>
    <row r="37" spans="1:18" s="533" customFormat="1" ht="26.4">
      <c r="A37" s="1248"/>
      <c r="B37" s="1248"/>
      <c r="C37" s="1269" t="str">
        <f>PTĐGTĐ!C134</f>
        <v>Bảo dưỡng phao nhựa,
composite Ø1500</v>
      </c>
      <c r="D37" s="1259" t="str">
        <f>PTĐGTĐ!D134</f>
        <v>01 quả</v>
      </c>
      <c r="E37" s="1249"/>
      <c r="F37" s="1255">
        <f>PTĐGTĐ!G135</f>
        <v>62225</v>
      </c>
      <c r="G37" s="1251"/>
      <c r="H37" s="1251"/>
      <c r="I37" s="1252">
        <f>PTĐGTĐ!G141</f>
        <v>173730.386</v>
      </c>
      <c r="J37" s="1256">
        <v>0</v>
      </c>
      <c r="K37" s="1257">
        <f t="shared" si="5"/>
        <v>0</v>
      </c>
      <c r="L37" s="1257">
        <f t="shared" si="43"/>
        <v>235955.386</v>
      </c>
      <c r="M37" s="1257">
        <f t="shared" si="44"/>
        <v>114662.05476</v>
      </c>
      <c r="N37" s="1257">
        <f t="shared" si="45"/>
        <v>21037.046445600001</v>
      </c>
      <c r="O37" s="1257">
        <f t="shared" si="46"/>
        <v>371654.48720560002</v>
      </c>
      <c r="P37" s="1257">
        <f t="shared" si="47"/>
        <v>37165.448720560002</v>
      </c>
      <c r="Q37" s="1257">
        <f t="shared" si="48"/>
        <v>408820</v>
      </c>
      <c r="R37" s="1167"/>
    </row>
    <row r="38" spans="1:18" s="533" customFormat="1" ht="26.4">
      <c r="A38" s="1248"/>
      <c r="B38" s="1248"/>
      <c r="C38" s="1269" t="str">
        <f>PTĐGTĐ!C143</f>
        <v>Bảo dưỡng phao nhựa,
composite Ø1900</v>
      </c>
      <c r="D38" s="1259" t="str">
        <f>PTĐGTĐ!D143</f>
        <v>01 quả</v>
      </c>
      <c r="E38" s="1249"/>
      <c r="F38" s="1255">
        <f>PTĐGTĐ!G144</f>
        <v>81445</v>
      </c>
      <c r="G38" s="1251"/>
      <c r="H38" s="1251"/>
      <c r="I38" s="1252">
        <f>PTĐGTĐ!G150</f>
        <v>230186.34600000002</v>
      </c>
      <c r="J38" s="1256">
        <v>0</v>
      </c>
      <c r="K38" s="1257">
        <f t="shared" si="5"/>
        <v>0</v>
      </c>
      <c r="L38" s="1257">
        <f t="shared" si="43"/>
        <v>311631.34600000002</v>
      </c>
      <c r="M38" s="1257">
        <f t="shared" si="44"/>
        <v>151922.98836000002</v>
      </c>
      <c r="N38" s="1257">
        <f t="shared" si="45"/>
        <v>27813.260061600002</v>
      </c>
      <c r="O38" s="1257">
        <f t="shared" si="46"/>
        <v>491367.59442160005</v>
      </c>
      <c r="P38" s="1257">
        <f t="shared" si="47"/>
        <v>49136.759442160008</v>
      </c>
      <c r="Q38" s="1257">
        <f t="shared" si="48"/>
        <v>540504</v>
      </c>
      <c r="R38" s="1167"/>
    </row>
    <row r="39" spans="1:18" s="533" customFormat="1" ht="26.4">
      <c r="A39" s="1248">
        <v>6</v>
      </c>
      <c r="B39" s="1248" t="str">
        <f>PTĐGTĐ!B152</f>
        <v>2.06.20</v>
      </c>
      <c r="C39" s="1269" t="str">
        <f>PTĐGTĐ!C152</f>
        <v>Bảo dưỡng xích và phụ kiện 
bằng sơn</v>
      </c>
      <c r="D39" s="1259"/>
      <c r="E39" s="1249"/>
      <c r="F39" s="1255"/>
      <c r="G39" s="1251"/>
      <c r="H39" s="1251"/>
      <c r="I39" s="1252"/>
      <c r="J39" s="1256"/>
      <c r="K39" s="1257"/>
      <c r="L39" s="1257"/>
      <c r="M39" s="1257"/>
      <c r="N39" s="1257"/>
      <c r="O39" s="1257"/>
      <c r="P39" s="1257"/>
      <c r="Q39" s="1257"/>
      <c r="R39" s="1167"/>
    </row>
    <row r="40" spans="1:18" s="533" customFormat="1">
      <c r="A40" s="1248"/>
      <c r="B40" s="1248"/>
      <c r="C40" s="1269" t="str">
        <f>PTĐGTĐ!C153</f>
        <v>Xích Ø (16-20) mm</v>
      </c>
      <c r="D40" s="1259" t="str">
        <f>PTĐGTĐ!D153</f>
        <v>01m</v>
      </c>
      <c r="E40" s="1249"/>
      <c r="F40" s="1255">
        <f>PTĐGTĐ!G154</f>
        <v>19340.22</v>
      </c>
      <c r="G40" s="1251"/>
      <c r="H40" s="1251"/>
      <c r="I40" s="1252">
        <f>PTĐGTĐ!G157</f>
        <v>10777.956</v>
      </c>
      <c r="J40" s="1256">
        <v>0</v>
      </c>
      <c r="K40" s="1257">
        <f t="shared" si="5"/>
        <v>0</v>
      </c>
      <c r="L40" s="1257">
        <f t="shared" si="43"/>
        <v>30118.175999999999</v>
      </c>
      <c r="M40" s="1257">
        <f t="shared" si="44"/>
        <v>7113.4509600000001</v>
      </c>
      <c r="N40" s="1257">
        <f t="shared" si="45"/>
        <v>2233.8976176000001</v>
      </c>
      <c r="O40" s="1257">
        <f t="shared" si="46"/>
        <v>39465.524577600001</v>
      </c>
      <c r="P40" s="1257">
        <f t="shared" si="47"/>
        <v>3946.5524577600004</v>
      </c>
      <c r="Q40" s="1257">
        <f t="shared" si="48"/>
        <v>43412</v>
      </c>
      <c r="R40" s="1167"/>
    </row>
    <row r="41" spans="1:18" s="533" customFormat="1">
      <c r="A41" s="1248"/>
      <c r="B41" s="1248"/>
      <c r="C41" s="1269" t="str">
        <f>PTĐGTĐ!C159</f>
        <v>Xích Ø (22-24) mm</v>
      </c>
      <c r="D41" s="1259" t="str">
        <f>PTĐGTĐ!D159</f>
        <v>01m</v>
      </c>
      <c r="E41" s="1249"/>
      <c r="F41" s="1255">
        <f>PTĐGTĐ!G160</f>
        <v>20694.035400000001</v>
      </c>
      <c r="G41" s="1251"/>
      <c r="H41" s="1251"/>
      <c r="I41" s="1252">
        <f>PTĐGTĐ!G163</f>
        <v>11547.81</v>
      </c>
      <c r="J41" s="1256">
        <v>0</v>
      </c>
      <c r="K41" s="1257">
        <f t="shared" si="5"/>
        <v>0</v>
      </c>
      <c r="L41" s="1257">
        <f t="shared" si="43"/>
        <v>32241.845399999998</v>
      </c>
      <c r="M41" s="1257">
        <f t="shared" si="44"/>
        <v>7621.5546000000004</v>
      </c>
      <c r="N41" s="1257">
        <f t="shared" si="45"/>
        <v>2391.8040000000001</v>
      </c>
      <c r="O41" s="1257">
        <f t="shared" si="46"/>
        <v>42255.203999999998</v>
      </c>
      <c r="P41" s="1257">
        <f t="shared" si="47"/>
        <v>4225.5204000000003</v>
      </c>
      <c r="Q41" s="1257">
        <f t="shared" si="48"/>
        <v>46481</v>
      </c>
      <c r="R41" s="1167"/>
    </row>
    <row r="42" spans="1:18" s="533" customFormat="1">
      <c r="A42" s="1248"/>
      <c r="B42" s="1248"/>
      <c r="C42" s="1270" t="str">
        <f>PTĐGTĐ!C165</f>
        <v>Xích Ø (25-30) mm</v>
      </c>
      <c r="D42" s="1248" t="str">
        <f>PTĐGTĐ!D165</f>
        <v>01m</v>
      </c>
      <c r="E42" s="1249"/>
      <c r="F42" s="1255">
        <f>PTĐGTĐ!G166</f>
        <v>22047.8508</v>
      </c>
      <c r="G42" s="1251"/>
      <c r="H42" s="1251"/>
      <c r="I42" s="1252">
        <f>PTĐGTĐ!G169</f>
        <v>12317.664000000001</v>
      </c>
      <c r="J42" s="1256">
        <v>0</v>
      </c>
      <c r="K42" s="1257">
        <f t="shared" si="5"/>
        <v>0</v>
      </c>
      <c r="L42" s="1257">
        <f t="shared" si="43"/>
        <v>34365.514800000004</v>
      </c>
      <c r="M42" s="1257">
        <f t="shared" ref="M42:M43" si="49">I42*66%</f>
        <v>8129.6582400000007</v>
      </c>
      <c r="N42" s="1257">
        <f t="shared" ref="N42:N43" si="50">(L42+M42)*6%</f>
        <v>2549.7103824000005</v>
      </c>
      <c r="O42" s="1257">
        <f t="shared" ref="O42:O43" si="51">L42+M42+N42</f>
        <v>45044.883422400009</v>
      </c>
      <c r="P42" s="1257">
        <f t="shared" ref="P42:P43" si="52">O42*10%</f>
        <v>4504.4883422400007</v>
      </c>
      <c r="Q42" s="1257">
        <f t="shared" ref="Q42:Q43" si="53">ROUND(O42+P42,0)</f>
        <v>49549</v>
      </c>
      <c r="R42" s="1167"/>
    </row>
    <row r="43" spans="1:18" s="533" customFormat="1">
      <c r="A43" s="1248"/>
      <c r="B43" s="1248"/>
      <c r="C43" s="1270" t="str">
        <f>PTĐGTĐ!C171</f>
        <v>Xích Ø (32-40) mm</v>
      </c>
      <c r="D43" s="1248" t="str">
        <f>PTĐGTĐ!D171</f>
        <v>01m</v>
      </c>
      <c r="E43" s="1249"/>
      <c r="F43" s="1255">
        <f>PTĐGTĐ!G172</f>
        <v>24271.9761</v>
      </c>
      <c r="G43" s="1251"/>
      <c r="H43" s="1251"/>
      <c r="I43" s="1252">
        <f>PTĐGTĐ!G175</f>
        <v>13344.135999999999</v>
      </c>
      <c r="J43" s="1256">
        <v>0</v>
      </c>
      <c r="K43" s="1257">
        <f t="shared" si="5"/>
        <v>0</v>
      </c>
      <c r="L43" s="1257">
        <f t="shared" si="43"/>
        <v>37616.112099999998</v>
      </c>
      <c r="M43" s="1257">
        <f t="shared" si="49"/>
        <v>8807.1297599999998</v>
      </c>
      <c r="N43" s="1257">
        <f t="shared" si="50"/>
        <v>2785.3945115999995</v>
      </c>
      <c r="O43" s="1257">
        <f t="shared" si="51"/>
        <v>49208.636371599991</v>
      </c>
      <c r="P43" s="1257">
        <f t="shared" si="52"/>
        <v>4920.8636371599996</v>
      </c>
      <c r="Q43" s="1257">
        <f t="shared" si="53"/>
        <v>54130</v>
      </c>
      <c r="R43" s="1167"/>
    </row>
    <row r="44" spans="1:18" s="533" customFormat="1">
      <c r="A44" s="1248">
        <v>7</v>
      </c>
      <c r="B44" s="1248"/>
      <c r="C44" s="1270" t="str">
        <f>PTĐGTĐ!C177</f>
        <v>Bảo dưỡng biển phao</v>
      </c>
      <c r="D44" s="1248"/>
      <c r="E44" s="1249"/>
      <c r="F44" s="1255"/>
      <c r="G44" s="1251"/>
      <c r="H44" s="1251"/>
      <c r="I44" s="1252"/>
      <c r="J44" s="1256"/>
      <c r="K44" s="1257"/>
      <c r="L44" s="1257"/>
      <c r="M44" s="1257"/>
      <c r="N44" s="1257"/>
      <c r="O44" s="1257"/>
      <c r="P44" s="1257"/>
      <c r="Q44" s="1257"/>
      <c r="R44" s="1167"/>
    </row>
    <row r="45" spans="1:18" s="533" customFormat="1">
      <c r="A45" s="1248"/>
      <c r="B45" s="1248" t="str">
        <f>PTĐGTĐ!B178</f>
        <v>2.07.10</v>
      </c>
      <c r="C45" s="1270" t="str">
        <f>PTĐGTĐ!C178</f>
        <v>Biển phao bờ phải</v>
      </c>
      <c r="D45" s="1248" t="str">
        <f>PTĐGTĐ!D178</f>
        <v>01 biển</v>
      </c>
      <c r="E45" s="1249"/>
      <c r="F45" s="1255">
        <f>PTĐGTĐ!G179</f>
        <v>168105.79709999997</v>
      </c>
      <c r="G45" s="1251"/>
      <c r="H45" s="1251"/>
      <c r="I45" s="1252">
        <f>PTĐGTĐ!G183</f>
        <v>271245.22599999997</v>
      </c>
      <c r="J45" s="1256">
        <v>0</v>
      </c>
      <c r="K45" s="1257">
        <f t="shared" si="5"/>
        <v>0</v>
      </c>
      <c r="L45" s="1257">
        <f t="shared" ref="L45:L50" si="54">+F45+I45+K45</f>
        <v>439351.02309999993</v>
      </c>
      <c r="M45" s="1257">
        <f t="shared" ref="M45:M50" si="55">I45*66%</f>
        <v>179021.84915999998</v>
      </c>
      <c r="N45" s="1257">
        <f t="shared" ref="N45:N50" si="56">(L45+M45)*6%</f>
        <v>37102.37233559999</v>
      </c>
      <c r="O45" s="1257">
        <f t="shared" ref="O45:O50" si="57">L45+M45+N45</f>
        <v>655475.24459559983</v>
      </c>
      <c r="P45" s="1257">
        <f t="shared" ref="P45:P50" si="58">O45*10%</f>
        <v>65547.52445955998</v>
      </c>
      <c r="Q45" s="1257">
        <f t="shared" ref="Q45:Q50" si="59">ROUND(O45+P45,0)</f>
        <v>721023</v>
      </c>
      <c r="R45" s="1167"/>
    </row>
    <row r="46" spans="1:18" s="533" customFormat="1">
      <c r="A46" s="1248"/>
      <c r="B46" s="1248" t="str">
        <f>PTĐGTĐ!B185</f>
        <v>2.07.20</v>
      </c>
      <c r="C46" s="1270" t="str">
        <f>PTĐGTĐ!C185</f>
        <v>Biển phao bờ trái</v>
      </c>
      <c r="D46" s="1248" t="str">
        <f>PTĐGTĐ!D185</f>
        <v>01 biển</v>
      </c>
      <c r="E46" s="1249"/>
      <c r="F46" s="1255">
        <f>PTĐGTĐ!G186</f>
        <v>84109.097999999998</v>
      </c>
      <c r="G46" s="1251"/>
      <c r="H46" s="1251"/>
      <c r="I46" s="1252">
        <f>PTĐGTĐ!G190</f>
        <v>135750.92200000002</v>
      </c>
      <c r="J46" s="1256">
        <v>0</v>
      </c>
      <c r="K46" s="1257">
        <f t="shared" si="5"/>
        <v>0</v>
      </c>
      <c r="L46" s="1257">
        <f t="shared" si="54"/>
        <v>219860.02000000002</v>
      </c>
      <c r="M46" s="1257">
        <f t="shared" si="55"/>
        <v>89595.608520000023</v>
      </c>
      <c r="N46" s="1257">
        <f t="shared" si="56"/>
        <v>18567.337711200002</v>
      </c>
      <c r="O46" s="1257">
        <f t="shared" si="57"/>
        <v>328022.96623120003</v>
      </c>
      <c r="P46" s="1257">
        <f t="shared" si="58"/>
        <v>32802.296623120004</v>
      </c>
      <c r="Q46" s="1257">
        <f t="shared" si="59"/>
        <v>360825</v>
      </c>
      <c r="R46" s="1167"/>
    </row>
    <row r="47" spans="1:18" s="533" customFormat="1" ht="26.4">
      <c r="A47" s="1248"/>
      <c r="B47" s="1248" t="str">
        <f>PTĐGTĐ!B192</f>
        <v>2.07.30</v>
      </c>
      <c r="C47" s="1269" t="str">
        <f>PTĐGTĐ!C192</f>
        <v>Biển phao tim luồng và phao hai luồng</v>
      </c>
      <c r="D47" s="1248" t="str">
        <f>PTĐGTĐ!D192</f>
        <v>01 biển</v>
      </c>
      <c r="E47" s="1249"/>
      <c r="F47" s="1255">
        <f>PTĐGTĐ!G193</f>
        <v>179723.72460000002</v>
      </c>
      <c r="G47" s="1251"/>
      <c r="H47" s="1251"/>
      <c r="I47" s="1252">
        <f>PTĐGTĐ!G197</f>
        <v>289978.33999999997</v>
      </c>
      <c r="J47" s="1256">
        <v>0</v>
      </c>
      <c r="K47" s="1257">
        <f t="shared" si="5"/>
        <v>0</v>
      </c>
      <c r="L47" s="1257">
        <f t="shared" si="54"/>
        <v>469702.06459999998</v>
      </c>
      <c r="M47" s="1257">
        <f t="shared" si="55"/>
        <v>191385.70439999999</v>
      </c>
      <c r="N47" s="1257">
        <f t="shared" si="56"/>
        <v>39665.26614</v>
      </c>
      <c r="O47" s="1257">
        <f t="shared" si="57"/>
        <v>700753.03513999993</v>
      </c>
      <c r="P47" s="1257">
        <f t="shared" si="58"/>
        <v>70075.303513999999</v>
      </c>
      <c r="Q47" s="1257">
        <f t="shared" si="59"/>
        <v>770828</v>
      </c>
      <c r="R47" s="1167"/>
    </row>
    <row r="48" spans="1:18" s="533" customFormat="1">
      <c r="A48" s="1248">
        <v>8</v>
      </c>
      <c r="B48" s="1248" t="str">
        <f>PTĐGTĐ!B199</f>
        <v>2.08.20</v>
      </c>
      <c r="C48" s="1270" t="str">
        <f>PTĐGTĐ!C199</f>
        <v>Bảo dưỡng tiêu thị hình nón</v>
      </c>
      <c r="D48" s="1248" t="str">
        <f>PTĐGTĐ!D199</f>
        <v>01 tiêu thị</v>
      </c>
      <c r="E48" s="1249"/>
      <c r="F48" s="1255">
        <f>PTĐGTĐ!G200</f>
        <v>9461.6219999999994</v>
      </c>
      <c r="G48" s="1251"/>
      <c r="H48" s="1251"/>
      <c r="I48" s="1252">
        <f>PTĐGTĐ!G204</f>
        <v>15140.462</v>
      </c>
      <c r="J48" s="1256">
        <v>0</v>
      </c>
      <c r="K48" s="1257">
        <f t="shared" si="5"/>
        <v>0</v>
      </c>
      <c r="L48" s="1257">
        <f t="shared" si="54"/>
        <v>24602.083999999999</v>
      </c>
      <c r="M48" s="1257">
        <f t="shared" si="55"/>
        <v>9992.7049200000001</v>
      </c>
      <c r="N48" s="1257">
        <f t="shared" si="56"/>
        <v>2075.6873351999998</v>
      </c>
      <c r="O48" s="1257">
        <f t="shared" si="57"/>
        <v>36670.476255199996</v>
      </c>
      <c r="P48" s="1257">
        <f t="shared" si="58"/>
        <v>3667.0476255199997</v>
      </c>
      <c r="Q48" s="1257">
        <f t="shared" si="59"/>
        <v>40338</v>
      </c>
      <c r="R48" s="1167"/>
    </row>
    <row r="49" spans="1:18" s="533" customFormat="1">
      <c r="A49" s="1248">
        <v>9</v>
      </c>
      <c r="B49" s="1248"/>
      <c r="C49" s="1270" t="str">
        <f>PTĐGTĐ!C206</f>
        <v>Bảo dưỡng giá phao, lồng đèn</v>
      </c>
      <c r="D49" s="1248"/>
      <c r="E49" s="1249"/>
      <c r="F49" s="1255"/>
      <c r="G49" s="1251"/>
      <c r="H49" s="1251"/>
      <c r="I49" s="1252"/>
      <c r="J49" s="1256"/>
      <c r="K49" s="1257"/>
      <c r="L49" s="1257"/>
      <c r="M49" s="1257"/>
      <c r="N49" s="1257"/>
      <c r="O49" s="1257"/>
      <c r="P49" s="1257"/>
      <c r="Q49" s="1257"/>
      <c r="R49" s="1167"/>
    </row>
    <row r="50" spans="1:18" s="533" customFormat="1">
      <c r="A50" s="1248"/>
      <c r="B50" s="1248" t="str">
        <f>PTĐGTĐ!B207</f>
        <v>2.09.10</v>
      </c>
      <c r="C50" s="1270" t="str">
        <f>PTĐGTĐ!C207</f>
        <v>Bảo dưỡng giá phao</v>
      </c>
      <c r="D50" s="1248" t="str">
        <f>PTĐGTĐ!D207</f>
        <v>01 cái</v>
      </c>
      <c r="E50" s="1249"/>
      <c r="F50" s="1255">
        <f>PTĐGTĐ!G215</f>
        <v>48837.1155</v>
      </c>
      <c r="G50" s="1251"/>
      <c r="H50" s="1251"/>
      <c r="I50" s="1252">
        <f>PTĐGTĐ!G212</f>
        <v>267139.33799999999</v>
      </c>
      <c r="J50" s="1256">
        <v>0</v>
      </c>
      <c r="K50" s="1257">
        <f t="shared" si="5"/>
        <v>0</v>
      </c>
      <c r="L50" s="1257">
        <f t="shared" si="54"/>
        <v>315976.4535</v>
      </c>
      <c r="M50" s="1257">
        <f t="shared" si="55"/>
        <v>176311.96307999999</v>
      </c>
      <c r="N50" s="1257">
        <f t="shared" si="56"/>
        <v>29537.304994799997</v>
      </c>
      <c r="O50" s="1257">
        <f t="shared" si="57"/>
        <v>521825.72157479997</v>
      </c>
      <c r="P50" s="1257">
        <f t="shared" si="58"/>
        <v>52182.572157479997</v>
      </c>
      <c r="Q50" s="1257">
        <f t="shared" si="59"/>
        <v>574008</v>
      </c>
      <c r="R50" s="1167"/>
    </row>
    <row r="51" spans="1:18" s="533" customFormat="1">
      <c r="A51" s="1248"/>
      <c r="B51" s="1248" t="str">
        <f>PTĐGTĐ!B214</f>
        <v>2.09.20</v>
      </c>
      <c r="C51" s="1270" t="str">
        <f>PTĐGTĐ!C214</f>
        <v>Bảo dưỡng lồng đèn</v>
      </c>
      <c r="D51" s="1248" t="str">
        <f>PTĐGTĐ!D214</f>
        <v>01 cái</v>
      </c>
      <c r="E51" s="1249"/>
      <c r="F51" s="1255">
        <f>PTĐGTĐ!G215</f>
        <v>48837.1155</v>
      </c>
      <c r="G51" s="1251"/>
      <c r="H51" s="1251"/>
      <c r="I51" s="1252">
        <f>PTĐGTĐ!G219</f>
        <v>78781.725999999995</v>
      </c>
      <c r="J51" s="1256">
        <v>0</v>
      </c>
      <c r="K51" s="1257">
        <f t="shared" si="5"/>
        <v>0</v>
      </c>
      <c r="L51" s="1257">
        <f t="shared" ref="L51:L61" si="60">+F51+I51+K51</f>
        <v>127618.84149999999</v>
      </c>
      <c r="M51" s="1257">
        <f t="shared" ref="M51:M61" si="61">I51*66%</f>
        <v>51995.939160000002</v>
      </c>
      <c r="N51" s="1257">
        <f t="shared" ref="N51:N61" si="62">(L51+M51)*6%</f>
        <v>10776.8868396</v>
      </c>
      <c r="O51" s="1257">
        <f t="shared" ref="O51:O61" si="63">L51+M51+N51</f>
        <v>190391.66749959998</v>
      </c>
      <c r="P51" s="1257">
        <f t="shared" ref="P51:P61" si="64">O51*10%</f>
        <v>19039.166749959997</v>
      </c>
      <c r="Q51" s="1257">
        <f t="shared" ref="Q51:Q61" si="65">ROUND(O51+P51,0)</f>
        <v>209431</v>
      </c>
      <c r="R51" s="1167"/>
    </row>
    <row r="52" spans="1:18" s="533" customFormat="1">
      <c r="A52" s="1248">
        <v>10</v>
      </c>
      <c r="B52" s="1248" t="str">
        <f>PTĐGTĐ!B221</f>
        <v>2.10.10</v>
      </c>
      <c r="C52" s="1270" t="str">
        <f>PTĐGTĐ!C221</f>
        <v>Sơn màu phao sắt</v>
      </c>
      <c r="D52" s="1248"/>
      <c r="E52" s="1249"/>
      <c r="F52" s="1255"/>
      <c r="G52" s="1251"/>
      <c r="H52" s="1251"/>
      <c r="I52" s="1252"/>
      <c r="J52" s="1256"/>
      <c r="K52" s="1257"/>
      <c r="L52" s="1257"/>
      <c r="M52" s="1257"/>
      <c r="N52" s="1257"/>
      <c r="O52" s="1257"/>
      <c r="P52" s="1257"/>
      <c r="Q52" s="1257"/>
      <c r="R52" s="1167"/>
    </row>
    <row r="53" spans="1:18" s="533" customFormat="1">
      <c r="A53" s="1248"/>
      <c r="B53" s="1248"/>
      <c r="C53" s="1270" t="str">
        <f>PTĐGTĐ!C222</f>
        <v>Phao sắt Ø 1000 mm</v>
      </c>
      <c r="D53" s="1248" t="str">
        <f>PTĐGTĐ!D222</f>
        <v>01 quả</v>
      </c>
      <c r="E53" s="1249"/>
      <c r="F53" s="1255">
        <f>PTĐGTĐ!G223</f>
        <v>186099</v>
      </c>
      <c r="G53" s="1251"/>
      <c r="H53" s="1251"/>
      <c r="I53" s="1252">
        <f>PTĐGTĐ!G226</f>
        <v>94435.423999999999</v>
      </c>
      <c r="J53" s="1256">
        <f>PTĐGTĐ!G228</f>
        <v>454029.80000000005</v>
      </c>
      <c r="K53" s="1257">
        <f t="shared" si="5"/>
        <v>454029.80000000005</v>
      </c>
      <c r="L53" s="1257">
        <f t="shared" si="60"/>
        <v>734564.22400000005</v>
      </c>
      <c r="M53" s="1257">
        <f t="shared" si="61"/>
        <v>62327.379840000001</v>
      </c>
      <c r="N53" s="1257">
        <f t="shared" si="62"/>
        <v>47813.4962304</v>
      </c>
      <c r="O53" s="1257">
        <f t="shared" si="63"/>
        <v>844705.10007040005</v>
      </c>
      <c r="P53" s="1257">
        <f t="shared" si="64"/>
        <v>84470.510007040008</v>
      </c>
      <c r="Q53" s="1257">
        <f t="shared" si="65"/>
        <v>929176</v>
      </c>
      <c r="R53" s="1167"/>
    </row>
    <row r="54" spans="1:18" s="533" customFormat="1">
      <c r="A54" s="1248"/>
      <c r="B54" s="1248"/>
      <c r="C54" s="1270" t="str">
        <f>PTĐGTĐ!C230</f>
        <v>Phao sắt Ø 1200 mm</v>
      </c>
      <c r="D54" s="1248" t="str">
        <f>PTĐGTĐ!D230</f>
        <v>01 quả</v>
      </c>
      <c r="E54" s="1249"/>
      <c r="F54" s="1255">
        <f>PTĐGTĐ!G231</f>
        <v>252801.90000000002</v>
      </c>
      <c r="G54" s="1251"/>
      <c r="H54" s="1251"/>
      <c r="I54" s="1252">
        <f>PTĐGTĐ!G234</f>
        <v>107779.56</v>
      </c>
      <c r="J54" s="1256">
        <f>PTĐGTĐ!G236</f>
        <v>518891.2</v>
      </c>
      <c r="K54" s="1257">
        <f t="shared" si="5"/>
        <v>518891.2</v>
      </c>
      <c r="L54" s="1257">
        <f t="shared" si="60"/>
        <v>879472.66</v>
      </c>
      <c r="M54" s="1257">
        <f t="shared" si="61"/>
        <v>71134.509600000005</v>
      </c>
      <c r="N54" s="1257">
        <f t="shared" si="62"/>
        <v>57036.430176000002</v>
      </c>
      <c r="O54" s="1257">
        <f t="shared" si="63"/>
        <v>1007643.599776</v>
      </c>
      <c r="P54" s="1257">
        <f t="shared" si="64"/>
        <v>100764.3599776</v>
      </c>
      <c r="Q54" s="1257">
        <f t="shared" si="65"/>
        <v>1108408</v>
      </c>
      <c r="R54" s="1167"/>
    </row>
    <row r="55" spans="1:18" s="533" customFormat="1">
      <c r="A55" s="1248"/>
      <c r="B55" s="1248"/>
      <c r="C55" s="1270" t="str">
        <f>PTĐGTĐ!C238</f>
        <v>Phao sắt Ø 1300 mm</v>
      </c>
      <c r="D55" s="1248" t="str">
        <f>PTĐGTĐ!D238</f>
        <v>01 quả</v>
      </c>
      <c r="E55" s="1249"/>
      <c r="F55" s="1255">
        <f>PTĐGTĐ!G239</f>
        <v>309468</v>
      </c>
      <c r="G55" s="1251"/>
      <c r="H55" s="1251"/>
      <c r="I55" s="1252">
        <f>PTĐGTĐ!G242</f>
        <v>111115.594</v>
      </c>
      <c r="J55" s="1256">
        <f>PTĐGTĐ!G244</f>
        <v>535106.55000000005</v>
      </c>
      <c r="K55" s="1257">
        <f t="shared" si="5"/>
        <v>535106.55000000005</v>
      </c>
      <c r="L55" s="1257">
        <f t="shared" si="60"/>
        <v>955690.14400000009</v>
      </c>
      <c r="M55" s="1257">
        <f t="shared" si="61"/>
        <v>73336.29204</v>
      </c>
      <c r="N55" s="1257">
        <f t="shared" si="62"/>
        <v>61741.586162400003</v>
      </c>
      <c r="O55" s="1257">
        <f t="shared" si="63"/>
        <v>1090768.0222024</v>
      </c>
      <c r="P55" s="1257">
        <f t="shared" si="64"/>
        <v>109076.80222024</v>
      </c>
      <c r="Q55" s="1257">
        <f t="shared" si="65"/>
        <v>1199845</v>
      </c>
      <c r="R55" s="1167"/>
    </row>
    <row r="56" spans="1:18" s="533" customFormat="1">
      <c r="A56" s="1248"/>
      <c r="B56" s="1248"/>
      <c r="C56" s="1270" t="str">
        <f>PTĐGTĐ!C246</f>
        <v>Phao sắt Ø 1400 mm</v>
      </c>
      <c r="D56" s="1248" t="str">
        <f>PTĐGTĐ!D246</f>
        <v>01 quả</v>
      </c>
      <c r="E56" s="1249"/>
      <c r="F56" s="1255">
        <f>PTĐGTĐ!G247</f>
        <v>338742</v>
      </c>
      <c r="G56" s="1251"/>
      <c r="H56" s="1251"/>
      <c r="I56" s="1252">
        <f>PTĐGTĐ!G250</f>
        <v>114451.628</v>
      </c>
      <c r="J56" s="1256">
        <f>PTĐGTĐ!G252</f>
        <v>551321.9</v>
      </c>
      <c r="K56" s="1257">
        <f t="shared" si="5"/>
        <v>551321.9</v>
      </c>
      <c r="L56" s="1257">
        <f t="shared" si="60"/>
        <v>1004515.528</v>
      </c>
      <c r="M56" s="1257">
        <f t="shared" si="61"/>
        <v>75538.074479999996</v>
      </c>
      <c r="N56" s="1257">
        <f t="shared" si="62"/>
        <v>64803.216148800006</v>
      </c>
      <c r="O56" s="1257">
        <f t="shared" si="63"/>
        <v>1144856.8186288001</v>
      </c>
      <c r="P56" s="1257">
        <f t="shared" si="64"/>
        <v>114485.68186288001</v>
      </c>
      <c r="Q56" s="1257">
        <f t="shared" si="65"/>
        <v>1259343</v>
      </c>
      <c r="R56" s="1167"/>
    </row>
    <row r="57" spans="1:18" s="533" customFormat="1">
      <c r="A57" s="1248">
        <v>11</v>
      </c>
      <c r="B57" s="1248"/>
      <c r="C57" s="1270" t="str">
        <f>PTĐGTĐ!C254</f>
        <v>Sơn màu biển phao</v>
      </c>
      <c r="D57" s="1248"/>
      <c r="E57" s="1249"/>
      <c r="F57" s="1255"/>
      <c r="G57" s="1251"/>
      <c r="H57" s="1251"/>
      <c r="I57" s="1252"/>
      <c r="J57" s="1256"/>
      <c r="K57" s="1257"/>
      <c r="L57" s="1257"/>
      <c r="M57" s="1257"/>
      <c r="N57" s="1257"/>
      <c r="O57" s="1257"/>
      <c r="P57" s="1257"/>
      <c r="Q57" s="1257"/>
      <c r="R57" s="1167"/>
    </row>
    <row r="58" spans="1:18" s="533" customFormat="1">
      <c r="A58" s="1248"/>
      <c r="B58" s="1248" t="str">
        <f>PTĐGTĐ!B255</f>
        <v>2.11.10</v>
      </c>
      <c r="C58" s="1270" t="str">
        <f>PTĐGTĐ!C255</f>
        <v>Biển phao bờ phải</v>
      </c>
      <c r="D58" s="1248" t="str">
        <f>PTĐGTĐ!D255</f>
        <v>01 biển</v>
      </c>
      <c r="E58" s="1249"/>
      <c r="F58" s="1255">
        <f>PTĐGTĐ!G256</f>
        <v>133196.70000000001</v>
      </c>
      <c r="G58" s="1251"/>
      <c r="H58" s="1251"/>
      <c r="I58" s="1252">
        <f>PTĐGTĐ!G259</f>
        <v>118300.898</v>
      </c>
      <c r="J58" s="1256">
        <v>0</v>
      </c>
      <c r="K58" s="1257">
        <f t="shared" si="5"/>
        <v>0</v>
      </c>
      <c r="L58" s="1257">
        <f t="shared" si="60"/>
        <v>251497.598</v>
      </c>
      <c r="M58" s="1257">
        <f t="shared" si="61"/>
        <v>78078.592680000002</v>
      </c>
      <c r="N58" s="1257">
        <f t="shared" si="62"/>
        <v>19774.571440799999</v>
      </c>
      <c r="O58" s="1257">
        <f t="shared" si="63"/>
        <v>349350.76212079998</v>
      </c>
      <c r="P58" s="1257">
        <f t="shared" si="64"/>
        <v>34935.076212079999</v>
      </c>
      <c r="Q58" s="1257">
        <f t="shared" si="65"/>
        <v>384286</v>
      </c>
      <c r="R58" s="1167"/>
    </row>
    <row r="59" spans="1:18" s="533" customFormat="1">
      <c r="A59" s="1248"/>
      <c r="B59" s="1248" t="str">
        <f>PTĐGTĐ!B261</f>
        <v>2.11.20</v>
      </c>
      <c r="C59" s="1270" t="str">
        <f>PTĐGTĐ!C261</f>
        <v>Biển phao bờ trái</v>
      </c>
      <c r="D59" s="1248" t="str">
        <f>PTĐGTĐ!D261</f>
        <v>01 biển</v>
      </c>
      <c r="E59" s="1249"/>
      <c r="F59" s="1255">
        <f>PTĐGTĐ!G262</f>
        <v>66702.899999999994</v>
      </c>
      <c r="G59" s="1251"/>
      <c r="H59" s="1251"/>
      <c r="I59" s="1252">
        <f>PTĐGTĐ!G265</f>
        <v>59022.14</v>
      </c>
      <c r="J59" s="1256">
        <v>0</v>
      </c>
      <c r="K59" s="1257">
        <f t="shared" si="5"/>
        <v>0</v>
      </c>
      <c r="L59" s="1257">
        <f t="shared" si="60"/>
        <v>125725.04</v>
      </c>
      <c r="M59" s="1257">
        <f t="shared" si="61"/>
        <v>38954.612399999998</v>
      </c>
      <c r="N59" s="1257">
        <f t="shared" si="62"/>
        <v>9880.7791439999983</v>
      </c>
      <c r="O59" s="1257">
        <f t="shared" si="63"/>
        <v>174560.43154399999</v>
      </c>
      <c r="P59" s="1257">
        <f t="shared" si="64"/>
        <v>17456.043154399998</v>
      </c>
      <c r="Q59" s="1257">
        <f t="shared" si="65"/>
        <v>192016</v>
      </c>
      <c r="R59" s="1167"/>
    </row>
    <row r="60" spans="1:18" s="533" customFormat="1" ht="26.4">
      <c r="A60" s="1248"/>
      <c r="B60" s="1248" t="str">
        <f>PTĐGTĐ!B267</f>
        <v>2.11.30</v>
      </c>
      <c r="C60" s="1269" t="str">
        <f>PTĐGTĐ!C267</f>
        <v>Biển phao tim luồng và phao hai luồng</v>
      </c>
      <c r="D60" s="1248" t="str">
        <f>PTĐGTĐ!D267</f>
        <v>01 biển</v>
      </c>
      <c r="E60" s="1249"/>
      <c r="F60" s="1255">
        <f>PTĐGTĐ!G268</f>
        <v>142397.1</v>
      </c>
      <c r="G60" s="1251"/>
      <c r="H60" s="1251"/>
      <c r="I60" s="1252">
        <f>PTĐGTĐ!G271</f>
        <v>126256.056</v>
      </c>
      <c r="J60" s="1256">
        <v>0</v>
      </c>
      <c r="K60" s="1257">
        <f t="shared" si="5"/>
        <v>0</v>
      </c>
      <c r="L60" s="1257">
        <f t="shared" si="60"/>
        <v>268653.15600000002</v>
      </c>
      <c r="M60" s="1257">
        <f t="shared" si="61"/>
        <v>83328.996960000004</v>
      </c>
      <c r="N60" s="1257">
        <f t="shared" si="62"/>
        <v>21118.929177600003</v>
      </c>
      <c r="O60" s="1257">
        <f t="shared" si="63"/>
        <v>373101.08213760005</v>
      </c>
      <c r="P60" s="1257">
        <f t="shared" si="64"/>
        <v>37310.10821376001</v>
      </c>
      <c r="Q60" s="1257">
        <f t="shared" si="65"/>
        <v>410411</v>
      </c>
      <c r="R60" s="1167"/>
    </row>
    <row r="61" spans="1:18" s="533" customFormat="1">
      <c r="A61" s="1248">
        <v>12</v>
      </c>
      <c r="B61" s="1248" t="str">
        <f>PTĐGTĐ!B273</f>
        <v>2.12.20</v>
      </c>
      <c r="C61" s="1270" t="str">
        <f>PTĐGTĐ!C273</f>
        <v>Sơn màu tiêu thị hình nón</v>
      </c>
      <c r="D61" s="1248" t="str">
        <f>PTĐGTĐ!D273</f>
        <v>01 tiêu thị</v>
      </c>
      <c r="E61" s="1249"/>
      <c r="F61" s="1255">
        <f>PTĐGTĐ!G274</f>
        <v>7527.5999999999995</v>
      </c>
      <c r="G61" s="1251"/>
      <c r="H61" s="1251"/>
      <c r="I61" s="1252">
        <f>PTĐGTĐ!G277</f>
        <v>6672.0679999999993</v>
      </c>
      <c r="J61" s="1256">
        <v>0</v>
      </c>
      <c r="K61" s="1257">
        <f t="shared" si="5"/>
        <v>0</v>
      </c>
      <c r="L61" s="1257">
        <f t="shared" si="60"/>
        <v>14199.667999999998</v>
      </c>
      <c r="M61" s="1257">
        <f t="shared" si="61"/>
        <v>4403.5648799999999</v>
      </c>
      <c r="N61" s="1257">
        <f t="shared" si="62"/>
        <v>1116.1939727999998</v>
      </c>
      <c r="O61" s="1257">
        <f t="shared" si="63"/>
        <v>19719.426852799996</v>
      </c>
      <c r="P61" s="1257">
        <f t="shared" si="64"/>
        <v>1971.9426852799998</v>
      </c>
      <c r="Q61" s="1257">
        <f t="shared" si="65"/>
        <v>21691</v>
      </c>
      <c r="R61" s="1167"/>
    </row>
    <row r="62" spans="1:18" s="533" customFormat="1" ht="26.4">
      <c r="A62" s="1248">
        <v>13</v>
      </c>
      <c r="B62" s="1248"/>
      <c r="C62" s="1269" t="str">
        <f>PTĐGTĐ!C279</f>
        <v>Bảo dưỡng cột báo hiệu bằng
 thép</v>
      </c>
      <c r="D62" s="1248"/>
      <c r="E62" s="1249"/>
      <c r="F62" s="1255"/>
      <c r="G62" s="1251"/>
      <c r="H62" s="1251"/>
      <c r="I62" s="1252"/>
      <c r="J62" s="1256"/>
      <c r="K62" s="1257"/>
      <c r="L62" s="1257"/>
      <c r="M62" s="1257"/>
      <c r="N62" s="1257"/>
      <c r="O62" s="1257"/>
      <c r="P62" s="1257"/>
      <c r="Q62" s="1257"/>
      <c r="R62" s="1167"/>
    </row>
    <row r="63" spans="1:18" s="533" customFormat="1">
      <c r="A63" s="1248"/>
      <c r="B63" s="1248" t="str">
        <f>PTĐGTĐ!B280</f>
        <v>2.13.02</v>
      </c>
      <c r="C63" s="1270" t="s">
        <v>1262</v>
      </c>
      <c r="D63" s="1248"/>
      <c r="E63" s="1249"/>
      <c r="F63" s="1255"/>
      <c r="G63" s="1251"/>
      <c r="H63" s="1251"/>
      <c r="I63" s="1252"/>
      <c r="J63" s="1256"/>
      <c r="K63" s="1257"/>
      <c r="L63" s="1257"/>
      <c r="M63" s="1257"/>
      <c r="N63" s="1257"/>
      <c r="O63" s="1257"/>
      <c r="P63" s="1257"/>
      <c r="Q63" s="1257"/>
      <c r="R63" s="1167"/>
    </row>
    <row r="64" spans="1:18" s="533" customFormat="1">
      <c r="A64" s="1248"/>
      <c r="B64" s="1248"/>
      <c r="C64" s="1270" t="str">
        <f>PTĐGTĐ!C280</f>
        <v>Cột báo hiệu Ø 140</v>
      </c>
      <c r="D64" s="1248" t="str">
        <f>PTĐGTĐ!D280</f>
        <v>01 cột</v>
      </c>
      <c r="E64" s="1249"/>
      <c r="F64" s="1255">
        <f>PTĐGTĐ!G281</f>
        <v>187640.6433</v>
      </c>
      <c r="G64" s="1251"/>
      <c r="H64" s="1251"/>
      <c r="I64" s="1252">
        <f>PTĐGTĐ!G285</f>
        <v>302809.24</v>
      </c>
      <c r="J64" s="1256">
        <f>PTĐGTĐ!G287</f>
        <v>90805.96</v>
      </c>
      <c r="K64" s="1257">
        <f t="shared" si="5"/>
        <v>90805.96</v>
      </c>
      <c r="L64" s="1257">
        <f t="shared" ref="L64:L69" si="66">+F64+I64+K64</f>
        <v>581255.84329999995</v>
      </c>
      <c r="M64" s="1257">
        <f t="shared" ref="M64:M69" si="67">I64*66%</f>
        <v>199854.09840000002</v>
      </c>
      <c r="N64" s="1257">
        <f t="shared" ref="N64:N69" si="68">(L64+M64)*6%</f>
        <v>46866.596501999993</v>
      </c>
      <c r="O64" s="1257">
        <f t="shared" ref="O64:O69" si="69">L64+M64+N64</f>
        <v>827976.53820199997</v>
      </c>
      <c r="P64" s="1257">
        <f t="shared" ref="P64:P69" si="70">O64*10%</f>
        <v>82797.653820200008</v>
      </c>
      <c r="Q64" s="1257">
        <f t="shared" ref="Q64:Q69" si="71">ROUND(O64+P64,0)</f>
        <v>910774</v>
      </c>
      <c r="R64" s="1167"/>
    </row>
    <row r="65" spans="1:18" s="533" customFormat="1">
      <c r="A65" s="1248"/>
      <c r="B65" s="1248"/>
      <c r="C65" s="1270" t="str">
        <f>PTĐGTĐ!C289</f>
        <v>Cột báo hiệu Ø 150</v>
      </c>
      <c r="D65" s="1248" t="str">
        <f>PTĐGTĐ!D289</f>
        <v>01 cột</v>
      </c>
      <c r="E65" s="1249"/>
      <c r="F65" s="1255">
        <f>PTĐGTĐ!G290</f>
        <v>201109.07520000002</v>
      </c>
      <c r="G65" s="1251"/>
      <c r="H65" s="1251"/>
      <c r="I65" s="1252">
        <f>PTĐGTĐ!G294</f>
        <v>324365.152</v>
      </c>
      <c r="J65" s="1256">
        <f>PTĐGTĐ!G296</f>
        <v>90805.96</v>
      </c>
      <c r="K65" s="1257">
        <f t="shared" si="5"/>
        <v>90805.96</v>
      </c>
      <c r="L65" s="1257">
        <f t="shared" si="66"/>
        <v>616280.18720000004</v>
      </c>
      <c r="M65" s="1257">
        <f t="shared" si="67"/>
        <v>214081.00032000002</v>
      </c>
      <c r="N65" s="1257">
        <f t="shared" si="68"/>
        <v>49821.671251200001</v>
      </c>
      <c r="O65" s="1257">
        <f t="shared" si="69"/>
        <v>880182.85877120006</v>
      </c>
      <c r="P65" s="1257">
        <f t="shared" si="70"/>
        <v>88018.285877120012</v>
      </c>
      <c r="Q65" s="1257">
        <f t="shared" si="71"/>
        <v>968201</v>
      </c>
      <c r="R65" s="1167"/>
    </row>
    <row r="66" spans="1:18" s="533" customFormat="1" ht="26.4">
      <c r="A66" s="1248"/>
      <c r="B66" s="1248" t="str">
        <f>PTĐGTĐ!B298</f>
        <v>2.13.08</v>
      </c>
      <c r="C66" s="1269" t="str">
        <f>PTĐGTĐ!C298</f>
        <v>Cột báo hiệu dạng dàn (thanh
 liên kết)</v>
      </c>
      <c r="D66" s="1248" t="str">
        <f>PTĐGTĐ!D298</f>
        <v>01 cột</v>
      </c>
      <c r="E66" s="1249"/>
      <c r="F66" s="1255"/>
      <c r="G66" s="1251"/>
      <c r="H66" s="1251"/>
      <c r="I66" s="1252"/>
      <c r="J66" s="1256"/>
      <c r="K66" s="1257"/>
      <c r="L66" s="1257"/>
      <c r="M66" s="1257"/>
      <c r="N66" s="1257"/>
      <c r="O66" s="1257"/>
      <c r="P66" s="1257"/>
      <c r="Q66" s="1257"/>
      <c r="R66" s="1167"/>
    </row>
    <row r="67" spans="1:18" s="533" customFormat="1">
      <c r="A67" s="1248"/>
      <c r="B67" s="1248"/>
      <c r="C67" s="1269" t="str">
        <f>PTĐGTĐ!C299</f>
        <v>Cột cao 12m</v>
      </c>
      <c r="D67" s="1259" t="str">
        <f>PTĐGTĐ!D299</f>
        <v>01 cột</v>
      </c>
      <c r="E67" s="1249"/>
      <c r="F67" s="1255">
        <f>PTĐGTĐ!G300</f>
        <v>4383108.3509999998</v>
      </c>
      <c r="G67" s="1251"/>
      <c r="H67" s="1251"/>
      <c r="I67" s="1252">
        <f>PTĐGTĐ!G304</f>
        <v>8309290.8400000008</v>
      </c>
      <c r="J67" s="1256">
        <f>PTĐGTĐ!G306</f>
        <v>90805.96</v>
      </c>
      <c r="K67" s="1257">
        <f t="shared" si="5"/>
        <v>90805.96</v>
      </c>
      <c r="L67" s="1257">
        <f t="shared" si="66"/>
        <v>12783205.151000001</v>
      </c>
      <c r="M67" s="1257">
        <f t="shared" si="67"/>
        <v>5484131.9544000011</v>
      </c>
      <c r="N67" s="1257">
        <f t="shared" si="68"/>
        <v>1096040.2263240002</v>
      </c>
      <c r="O67" s="1257">
        <f t="shared" si="69"/>
        <v>19363377.331724003</v>
      </c>
      <c r="P67" s="1257">
        <f t="shared" si="70"/>
        <v>1936337.7331724004</v>
      </c>
      <c r="Q67" s="1257">
        <f t="shared" si="71"/>
        <v>21299715</v>
      </c>
      <c r="R67" s="1167"/>
    </row>
    <row r="68" spans="1:18" s="533" customFormat="1">
      <c r="A68" s="1248"/>
      <c r="B68" s="1248"/>
      <c r="C68" s="1269" t="str">
        <f>PTĐGTĐ!C308</f>
        <v>Cột cao 14m</v>
      </c>
      <c r="D68" s="1259" t="str">
        <f>PTĐGTĐ!D308</f>
        <v>01 cột</v>
      </c>
      <c r="E68" s="1249"/>
      <c r="F68" s="1255">
        <f>PTĐGTĐ!G309</f>
        <v>5111078.0669999998</v>
      </c>
      <c r="G68" s="1251"/>
      <c r="H68" s="1251"/>
      <c r="I68" s="1252">
        <f>PTĐGTĐ!G313</f>
        <v>9695028.040000001</v>
      </c>
      <c r="J68" s="1256">
        <f>PTĐGTĐ!G315</f>
        <v>90805.96</v>
      </c>
      <c r="K68" s="1257">
        <f t="shared" si="5"/>
        <v>90805.96</v>
      </c>
      <c r="L68" s="1257">
        <f t="shared" si="66"/>
        <v>14896912.067000002</v>
      </c>
      <c r="M68" s="1257">
        <f t="shared" si="67"/>
        <v>6398718.5064000012</v>
      </c>
      <c r="N68" s="1257">
        <f t="shared" si="68"/>
        <v>1277737.8344040001</v>
      </c>
      <c r="O68" s="1257">
        <f t="shared" si="69"/>
        <v>22573368.407804001</v>
      </c>
      <c r="P68" s="1257">
        <f t="shared" si="70"/>
        <v>2257336.8407804002</v>
      </c>
      <c r="Q68" s="1257">
        <f t="shared" si="71"/>
        <v>24830705</v>
      </c>
      <c r="R68" s="1167"/>
    </row>
    <row r="69" spans="1:18" s="533" customFormat="1">
      <c r="A69" s="1248"/>
      <c r="B69" s="1248"/>
      <c r="C69" s="1269" t="str">
        <f>PTĐGTĐ!C317</f>
        <v>Cột cao 16m</v>
      </c>
      <c r="D69" s="1259" t="str">
        <f>PTĐGTĐ!D317</f>
        <v>01 cột</v>
      </c>
      <c r="E69" s="1249"/>
      <c r="F69" s="1255">
        <f>PTĐGTĐ!G318</f>
        <v>5842105.7939999998</v>
      </c>
      <c r="G69" s="1251"/>
      <c r="H69" s="1251"/>
      <c r="I69" s="1252">
        <f>PTĐGTĐ!G322</f>
        <v>11103860.860000001</v>
      </c>
      <c r="J69" s="1256">
        <f>PTĐGTĐ!G324</f>
        <v>90805.96</v>
      </c>
      <c r="K69" s="1257">
        <f t="shared" si="5"/>
        <v>90805.96</v>
      </c>
      <c r="L69" s="1257">
        <f t="shared" si="66"/>
        <v>17036772.614</v>
      </c>
      <c r="M69" s="1257">
        <f t="shared" si="67"/>
        <v>7328548.1676000012</v>
      </c>
      <c r="N69" s="1257">
        <f t="shared" si="68"/>
        <v>1461919.2468960001</v>
      </c>
      <c r="O69" s="1257">
        <f t="shared" si="69"/>
        <v>25827240.028496001</v>
      </c>
      <c r="P69" s="1257">
        <f t="shared" si="70"/>
        <v>2582724.0028496003</v>
      </c>
      <c r="Q69" s="1257">
        <f t="shared" si="71"/>
        <v>28409964</v>
      </c>
      <c r="R69" s="1167"/>
    </row>
    <row r="70" spans="1:18" s="533" customFormat="1">
      <c r="A70" s="1248">
        <v>14</v>
      </c>
      <c r="B70" s="1248"/>
      <c r="C70" s="1269" t="str">
        <f>PTĐGTĐ!C326</f>
        <v>Bảo dưỡng biển báo hiệu thép</v>
      </c>
      <c r="D70" s="1259"/>
      <c r="E70" s="1249"/>
      <c r="F70" s="1255"/>
      <c r="G70" s="1251"/>
      <c r="H70" s="1251"/>
      <c r="I70" s="1252"/>
      <c r="J70" s="1256"/>
      <c r="K70" s="1257"/>
      <c r="L70" s="1257"/>
      <c r="M70" s="1257"/>
      <c r="N70" s="1257"/>
      <c r="O70" s="1257"/>
      <c r="P70" s="1257"/>
      <c r="Q70" s="1257"/>
      <c r="R70" s="1167"/>
    </row>
    <row r="71" spans="1:18" s="533" customFormat="1" ht="26.4">
      <c r="A71" s="1248"/>
      <c r="B71" s="1248" t="str">
        <f>PTĐGTĐ!B327</f>
        <v>2.14.02</v>
      </c>
      <c r="C71" s="1269" t="str">
        <f>PTĐGTĐ!C327</f>
        <v>Bảo dưỡng biển hình vuông, hình thoi (sơn màu một mặt)</v>
      </c>
      <c r="D71" s="1248" t="str">
        <f>PTĐGTĐ!D327</f>
        <v>01 biển</v>
      </c>
      <c r="E71" s="1249"/>
      <c r="F71" s="1255">
        <f>PTĐGTĐ!G328</f>
        <v>114327.5466</v>
      </c>
      <c r="G71" s="1251"/>
      <c r="H71" s="1251"/>
      <c r="I71" s="1252">
        <f>PTĐGTĐ!G332</f>
        <v>166545.08199999999</v>
      </c>
      <c r="J71" s="1256">
        <v>0</v>
      </c>
      <c r="K71" s="1257">
        <f t="shared" si="5"/>
        <v>0</v>
      </c>
      <c r="L71" s="1257">
        <f t="shared" ref="L71:L75" si="72">+F71+I71+K71</f>
        <v>280872.6286</v>
      </c>
      <c r="M71" s="1257">
        <f t="shared" ref="M71:M75" si="73">I71*66%</f>
        <v>109919.75412</v>
      </c>
      <c r="N71" s="1257">
        <f t="shared" ref="N71:N75" si="74">(L71+M71)*6%</f>
        <v>23447.542963199998</v>
      </c>
      <c r="O71" s="1257">
        <f t="shared" ref="O71:O75" si="75">L71+M71+N71</f>
        <v>414239.92568320001</v>
      </c>
      <c r="P71" s="1257">
        <f t="shared" ref="P71:P75" si="76">O71*10%</f>
        <v>41423.992568320005</v>
      </c>
      <c r="Q71" s="1257">
        <f t="shared" ref="Q71:Q75" si="77">ROUND(O71+P71,0)</f>
        <v>455664</v>
      </c>
      <c r="R71" s="1167"/>
    </row>
    <row r="72" spans="1:18" s="533" customFormat="1" ht="26.4">
      <c r="A72" s="1248"/>
      <c r="B72" s="1248" t="str">
        <f>PTĐGTĐ!B334</f>
        <v>2.14.05</v>
      </c>
      <c r="C72" s="1269" t="str">
        <f>PTĐGTĐ!C334</f>
        <v>Bảo dưỡng biển báo hiệu vật chướng ngại</v>
      </c>
      <c r="D72" s="1248" t="str">
        <f>PTĐGTĐ!D334</f>
        <v>01 biển</v>
      </c>
      <c r="E72" s="1249"/>
      <c r="F72" s="1255">
        <f>PTĐGTĐ!G335</f>
        <v>327988.87440000003</v>
      </c>
      <c r="G72" s="1251"/>
      <c r="H72" s="1251"/>
      <c r="I72" s="1252">
        <f>PTĐGTĐ!G346</f>
        <v>217612.06399999998</v>
      </c>
      <c r="J72" s="1256">
        <v>0</v>
      </c>
      <c r="K72" s="1257">
        <f t="shared" si="5"/>
        <v>0</v>
      </c>
      <c r="L72" s="1257">
        <f t="shared" si="72"/>
        <v>545600.93839999998</v>
      </c>
      <c r="M72" s="1257">
        <f t="shared" si="73"/>
        <v>143623.96223999999</v>
      </c>
      <c r="N72" s="1257">
        <f t="shared" si="74"/>
        <v>41353.4940384</v>
      </c>
      <c r="O72" s="1257">
        <f t="shared" si="75"/>
        <v>730578.39467840001</v>
      </c>
      <c r="P72" s="1257">
        <f t="shared" si="76"/>
        <v>73057.839467840007</v>
      </c>
      <c r="Q72" s="1257">
        <f t="shared" si="77"/>
        <v>803636</v>
      </c>
      <c r="R72" s="1167"/>
    </row>
    <row r="73" spans="1:18" s="533" customFormat="1" ht="26.4">
      <c r="A73" s="1248"/>
      <c r="B73" s="1248" t="str">
        <f>PTĐGTĐ!B348</f>
        <v>2.14.08</v>
      </c>
      <c r="C73" s="1269" t="str">
        <f>PTĐGTĐ!C348</f>
        <v>Bảo dưỡng biển báo khoang thông thuyền</v>
      </c>
      <c r="D73" s="1248" t="str">
        <f>PTĐGTĐ!D348</f>
        <v>01 biển</v>
      </c>
      <c r="E73" s="1249"/>
      <c r="F73" s="1255">
        <f>PTĐGTĐ!G349</f>
        <v>89604.750900000014</v>
      </c>
      <c r="G73" s="1251"/>
      <c r="H73" s="1251"/>
      <c r="I73" s="1252">
        <f>PTĐGTĐ!G353</f>
        <v>139856.81</v>
      </c>
      <c r="J73" s="1256">
        <v>0</v>
      </c>
      <c r="K73" s="1257">
        <f t="shared" ref="K73:K101" si="78">J73</f>
        <v>0</v>
      </c>
      <c r="L73" s="1257">
        <f t="shared" si="72"/>
        <v>229461.56090000001</v>
      </c>
      <c r="M73" s="1257">
        <f t="shared" si="73"/>
        <v>92305.494600000005</v>
      </c>
      <c r="N73" s="1257">
        <f t="shared" si="74"/>
        <v>19306.02333</v>
      </c>
      <c r="O73" s="1257">
        <f t="shared" si="75"/>
        <v>341073.07883000001</v>
      </c>
      <c r="P73" s="1257">
        <f t="shared" si="76"/>
        <v>34107.307883000001</v>
      </c>
      <c r="Q73" s="1257">
        <f t="shared" si="77"/>
        <v>375180</v>
      </c>
      <c r="R73" s="1167"/>
    </row>
    <row r="74" spans="1:18" s="533" customFormat="1" ht="26.4">
      <c r="A74" s="1248"/>
      <c r="B74" s="1248" t="str">
        <f>PTĐGTĐ!B355</f>
        <v>2.14.08</v>
      </c>
      <c r="C74" s="1269" t="str">
        <f>PTĐGTĐ!C355</f>
        <v>Bảo dưỡng biển báo C1.1.3, C1.1.4</v>
      </c>
      <c r="D74" s="1248" t="str">
        <f>PTĐGTĐ!D355</f>
        <v>01 biển</v>
      </c>
      <c r="E74" s="1249"/>
      <c r="F74" s="1255">
        <f>PTĐGTĐ!G356</f>
        <v>12715.549499999999</v>
      </c>
      <c r="G74" s="1251"/>
      <c r="H74" s="1251"/>
      <c r="I74" s="1252">
        <f>PTĐGTĐ!G360</f>
        <v>19759.585999999999</v>
      </c>
      <c r="J74" s="1256">
        <v>0</v>
      </c>
      <c r="K74" s="1257">
        <f t="shared" si="78"/>
        <v>0</v>
      </c>
      <c r="L74" s="1257">
        <f t="shared" si="72"/>
        <v>32475.135499999997</v>
      </c>
      <c r="M74" s="1257">
        <f t="shared" si="73"/>
        <v>13041.32676</v>
      </c>
      <c r="N74" s="1257">
        <f t="shared" si="74"/>
        <v>2730.9877355999997</v>
      </c>
      <c r="O74" s="1257">
        <f t="shared" si="75"/>
        <v>48247.4499956</v>
      </c>
      <c r="P74" s="1257">
        <f t="shared" si="76"/>
        <v>4824.74499956</v>
      </c>
      <c r="Q74" s="1257">
        <f t="shared" si="77"/>
        <v>53072</v>
      </c>
      <c r="R74" s="1167"/>
    </row>
    <row r="75" spans="1:18" s="533" customFormat="1" ht="39.6">
      <c r="A75" s="1248">
        <v>15</v>
      </c>
      <c r="B75" s="1248" t="str">
        <f>PTĐGTĐ!B362</f>
        <v>2.15.01</v>
      </c>
      <c r="C75" s="1269" t="str">
        <f>PTĐGTĐ!C362</f>
        <v>Bảo dưỡng cột biển tuyên 
truyền luật, biển thước nước ngược thép</v>
      </c>
      <c r="D75" s="1248" t="str">
        <f>PTĐGTĐ!D362</f>
        <v>01 m2</v>
      </c>
      <c r="E75" s="1249"/>
      <c r="F75" s="1255">
        <f>PTĐGTĐ!G363</f>
        <v>65700.755099999995</v>
      </c>
      <c r="G75" s="1251"/>
      <c r="H75" s="1251"/>
      <c r="I75" s="1252">
        <f>PTĐGTĐ!G367</f>
        <v>75445.691999999995</v>
      </c>
      <c r="J75" s="1256">
        <f>PTĐGTĐ!G369</f>
        <v>90805.96</v>
      </c>
      <c r="K75" s="1257">
        <f t="shared" si="78"/>
        <v>90805.96</v>
      </c>
      <c r="L75" s="1257">
        <f t="shared" si="72"/>
        <v>231952.40710000001</v>
      </c>
      <c r="M75" s="1257">
        <f t="shared" si="73"/>
        <v>49794.156719999999</v>
      </c>
      <c r="N75" s="1257">
        <f t="shared" si="74"/>
        <v>16904.793829200004</v>
      </c>
      <c r="O75" s="1257">
        <f t="shared" si="75"/>
        <v>298651.35764920001</v>
      </c>
      <c r="P75" s="1257">
        <f t="shared" si="76"/>
        <v>29865.135764920004</v>
      </c>
      <c r="Q75" s="1257">
        <f t="shared" si="77"/>
        <v>328516</v>
      </c>
      <c r="R75" s="1167"/>
    </row>
    <row r="76" spans="1:18" s="533" customFormat="1" ht="26.4">
      <c r="A76" s="1248">
        <v>16</v>
      </c>
      <c r="B76" s="1248" t="str">
        <f>PTĐGTĐ!B371</f>
        <v>2.16.01</v>
      </c>
      <c r="C76" s="1269" t="str">
        <f>PTĐGTĐ!C371</f>
        <v>Bảo dưỡng cột, biển dán phản quang</v>
      </c>
      <c r="D76" s="1248" t="str">
        <f>PTĐGTĐ!D371</f>
        <v>01 m2</v>
      </c>
      <c r="E76" s="1249"/>
      <c r="F76" s="1255">
        <f>PTĐGTĐ!G372</f>
        <v>1210000</v>
      </c>
      <c r="G76" s="1251"/>
      <c r="H76" s="1251"/>
      <c r="I76" s="1252">
        <f>PTĐGTĐ!G374</f>
        <v>65437.590000000004</v>
      </c>
      <c r="J76" s="1256">
        <v>0</v>
      </c>
      <c r="K76" s="1257">
        <f t="shared" si="78"/>
        <v>0</v>
      </c>
      <c r="L76" s="1257">
        <f t="shared" ref="L76:L80" si="79">+F76+I76+K76</f>
        <v>1275437.5900000001</v>
      </c>
      <c r="M76" s="1257">
        <f t="shared" ref="M76:M80" si="80">I76*66%</f>
        <v>43188.809400000006</v>
      </c>
      <c r="N76" s="1257">
        <f t="shared" ref="N76:N80" si="81">(L76+M76)*6%</f>
        <v>79117.58396399999</v>
      </c>
      <c r="O76" s="1257">
        <f t="shared" ref="O76:O80" si="82">L76+M76+N76</f>
        <v>1397743.983364</v>
      </c>
      <c r="P76" s="1257">
        <f t="shared" ref="P76:P80" si="83">O76*10%</f>
        <v>139774.39833640002</v>
      </c>
      <c r="Q76" s="1257">
        <f t="shared" ref="Q76:Q80" si="84">ROUND(O76+P76,0)</f>
        <v>1537518</v>
      </c>
      <c r="R76" s="1167"/>
    </row>
    <row r="77" spans="1:18" s="533" customFormat="1">
      <c r="A77" s="1248">
        <v>17</v>
      </c>
      <c r="B77" s="1248"/>
      <c r="C77" s="1269" t="str">
        <f>PTĐGTĐ!C376</f>
        <v>Sơn màu cột báo hiệu thép</v>
      </c>
      <c r="D77" s="1248"/>
      <c r="E77" s="1249"/>
      <c r="F77" s="1255"/>
      <c r="G77" s="1251"/>
      <c r="H77" s="1251"/>
      <c r="I77" s="1252"/>
      <c r="J77" s="1256"/>
      <c r="K77" s="1257"/>
      <c r="L77" s="1257"/>
      <c r="M77" s="1257"/>
      <c r="N77" s="1257"/>
      <c r="O77" s="1257"/>
      <c r="P77" s="1257"/>
      <c r="Q77" s="1257"/>
      <c r="R77" s="1167"/>
    </row>
    <row r="78" spans="1:18" s="533" customFormat="1">
      <c r="A78" s="1248"/>
      <c r="B78" s="1248" t="str">
        <f>PTĐGTĐ!B377</f>
        <v>2.17.02</v>
      </c>
      <c r="C78" s="1269" t="str">
        <f>PTĐGTĐ!C377</f>
        <v>Cột Ø140mm cao 6,5m</v>
      </c>
      <c r="D78" s="1259" t="str">
        <f>PTĐGTĐ!D377</f>
        <v>01 cột</v>
      </c>
      <c r="E78" s="1249"/>
      <c r="F78" s="1255">
        <f>PTĐGTĐ!G378</f>
        <v>148670.1</v>
      </c>
      <c r="G78" s="1251"/>
      <c r="H78" s="1251"/>
      <c r="I78" s="1252">
        <f>PTĐGTĐ!G381</f>
        <v>117274.42600000001</v>
      </c>
      <c r="J78" s="1256">
        <f>PTĐGTĐ!G383</f>
        <v>90805.96</v>
      </c>
      <c r="K78" s="1257">
        <f t="shared" si="78"/>
        <v>90805.96</v>
      </c>
      <c r="L78" s="1257">
        <f t="shared" si="79"/>
        <v>356750.48600000003</v>
      </c>
      <c r="M78" s="1257">
        <f t="shared" si="80"/>
        <v>77401.12116000001</v>
      </c>
      <c r="N78" s="1257">
        <f t="shared" si="81"/>
        <v>26049.096429599998</v>
      </c>
      <c r="O78" s="1257">
        <f t="shared" si="82"/>
        <v>460200.70358959999</v>
      </c>
      <c r="P78" s="1257">
        <f t="shared" si="83"/>
        <v>46020.070358960002</v>
      </c>
      <c r="Q78" s="1257">
        <f t="shared" si="84"/>
        <v>506221</v>
      </c>
      <c r="R78" s="1167"/>
    </row>
    <row r="79" spans="1:18" s="533" customFormat="1">
      <c r="A79" s="1248"/>
      <c r="B79" s="1248" t="str">
        <f>PTĐGTĐ!B385</f>
        <v>2.17.02</v>
      </c>
      <c r="C79" s="1269" t="str">
        <f>PTĐGTĐ!C385</f>
        <v>Cột Ø150mm cao 7,5m</v>
      </c>
      <c r="D79" s="1259" t="str">
        <f>PTĐGTĐ!D385</f>
        <v>01 cột</v>
      </c>
      <c r="E79" s="1249"/>
      <c r="F79" s="1255">
        <f>PTĐGTĐ!G386</f>
        <v>184008</v>
      </c>
      <c r="G79" s="1251"/>
      <c r="H79" s="1251"/>
      <c r="I79" s="1252">
        <f>PTĐGTĐ!G389</f>
        <v>138317.10200000001</v>
      </c>
      <c r="J79" s="1256">
        <f>PTĐGTĐ!G391</f>
        <v>90805.96</v>
      </c>
      <c r="K79" s="1257">
        <f t="shared" si="78"/>
        <v>90805.96</v>
      </c>
      <c r="L79" s="1257">
        <f t="shared" si="79"/>
        <v>413131.06200000003</v>
      </c>
      <c r="M79" s="1257">
        <f t="shared" si="80"/>
        <v>91289.287320000018</v>
      </c>
      <c r="N79" s="1257">
        <f t="shared" si="81"/>
        <v>30265.2209592</v>
      </c>
      <c r="O79" s="1257">
        <f t="shared" si="82"/>
        <v>534685.5702792001</v>
      </c>
      <c r="P79" s="1257">
        <f t="shared" si="83"/>
        <v>53468.557027920011</v>
      </c>
      <c r="Q79" s="1257">
        <f t="shared" si="84"/>
        <v>588154</v>
      </c>
      <c r="R79" s="1167"/>
    </row>
    <row r="80" spans="1:18" s="533" customFormat="1">
      <c r="A80" s="1248"/>
      <c r="B80" s="1248" t="str">
        <f>PTĐGTĐ!B393</f>
        <v>2.17.03</v>
      </c>
      <c r="C80" s="1270" t="str">
        <f>PTĐGTĐ!C393</f>
        <v>Cột Ø160mm cao 7,5m</v>
      </c>
      <c r="D80" s="1248" t="str">
        <f>PTĐGTĐ!D393</f>
        <v>01 cột</v>
      </c>
      <c r="E80" s="1249"/>
      <c r="F80" s="1255">
        <f>PTĐGTĐ!G394</f>
        <v>196135.8</v>
      </c>
      <c r="G80" s="1251"/>
      <c r="H80" s="1251"/>
      <c r="I80" s="1252">
        <f>PTĐGTĐ!G397</f>
        <v>154740.65399999998</v>
      </c>
      <c r="J80" s="1256">
        <f>PTĐGTĐ!G399</f>
        <v>90805.96</v>
      </c>
      <c r="K80" s="1257">
        <f t="shared" si="78"/>
        <v>90805.96</v>
      </c>
      <c r="L80" s="1257">
        <f t="shared" si="79"/>
        <v>441682.41399999999</v>
      </c>
      <c r="M80" s="1257">
        <f t="shared" si="80"/>
        <v>102128.83163999999</v>
      </c>
      <c r="N80" s="1257">
        <f t="shared" si="81"/>
        <v>32628.674738399997</v>
      </c>
      <c r="O80" s="1257">
        <f t="shared" si="82"/>
        <v>576439.92037840001</v>
      </c>
      <c r="P80" s="1257">
        <f t="shared" si="83"/>
        <v>57643.992037840006</v>
      </c>
      <c r="Q80" s="1257">
        <f t="shared" si="84"/>
        <v>634084</v>
      </c>
      <c r="R80" s="1167"/>
    </row>
    <row r="81" spans="1:18" s="533" customFormat="1" ht="26.4">
      <c r="A81" s="1248"/>
      <c r="B81" s="1248" t="str">
        <f>PTĐGTĐ!B401</f>
        <v>2.17.06</v>
      </c>
      <c r="C81" s="1269" t="str">
        <f>PTĐGTĐ!C401</f>
        <v>Cột thép dạng dàn (thanh liên kết) cao 12m</v>
      </c>
      <c r="D81" s="1248" t="str">
        <f>PTĐGTĐ!D401</f>
        <v>01 cột</v>
      </c>
      <c r="E81" s="1249"/>
      <c r="F81" s="1255">
        <f>PTĐGTĐ!G402</f>
        <v>3473151</v>
      </c>
      <c r="G81" s="1251"/>
      <c r="H81" s="1251"/>
      <c r="I81" s="1252">
        <f>PTĐGTĐ!G405</f>
        <v>1370340.1199999999</v>
      </c>
      <c r="J81" s="1256">
        <f>PTĐGTĐ!G407</f>
        <v>90805.96</v>
      </c>
      <c r="K81" s="1257">
        <f t="shared" si="78"/>
        <v>90805.96</v>
      </c>
      <c r="L81" s="1257">
        <f t="shared" ref="L81:L88" si="85">+F81+I81+K81</f>
        <v>4934297.08</v>
      </c>
      <c r="M81" s="1257">
        <f t="shared" ref="M81:M88" si="86">I81*66%</f>
        <v>904424.47919999994</v>
      </c>
      <c r="N81" s="1257">
        <f t="shared" ref="N81:N88" si="87">(L81+M81)*6%</f>
        <v>350323.29355199996</v>
      </c>
      <c r="O81" s="1257">
        <f t="shared" ref="O81:O88" si="88">L81+M81+N81</f>
        <v>6189044.8527520001</v>
      </c>
      <c r="P81" s="1257">
        <f t="shared" ref="P81:P88" si="89">O81*10%</f>
        <v>618904.48527519999</v>
      </c>
      <c r="Q81" s="1257">
        <f t="shared" ref="Q81:Q88" si="90">ROUND(O81+P81,0)</f>
        <v>6807949</v>
      </c>
      <c r="R81" s="1167"/>
    </row>
    <row r="82" spans="1:18" s="533" customFormat="1" ht="26.4">
      <c r="A82" s="1248"/>
      <c r="B82" s="1248" t="str">
        <f>PTĐGTĐ!B409</f>
        <v>2.17.06</v>
      </c>
      <c r="C82" s="1269" t="str">
        <f>PTĐGTĐ!C409</f>
        <v>Cột thép dạng dàn (thanh liên kết) cao 14m</v>
      </c>
      <c r="D82" s="1248" t="str">
        <f>PTĐGTĐ!D409</f>
        <v>01 cột</v>
      </c>
      <c r="E82" s="392">
        <f>PTĐGTĐ!E409</f>
        <v>0</v>
      </c>
      <c r="F82" s="1255">
        <f>PTĐGTĐ!G410</f>
        <v>4050267</v>
      </c>
      <c r="G82" s="1251"/>
      <c r="H82" s="1251"/>
      <c r="I82" s="1252">
        <f>PTĐGTĐ!G413</f>
        <v>1598730.1400000001</v>
      </c>
      <c r="J82" s="1256">
        <f>PTĐGTĐ!G415</f>
        <v>90805.96</v>
      </c>
      <c r="K82" s="1257">
        <f t="shared" si="78"/>
        <v>90805.96</v>
      </c>
      <c r="L82" s="1257">
        <f t="shared" si="85"/>
        <v>5739803.1000000006</v>
      </c>
      <c r="M82" s="1257">
        <f t="shared" si="86"/>
        <v>1055161.8924000002</v>
      </c>
      <c r="N82" s="1257">
        <f t="shared" si="87"/>
        <v>407697.89954400004</v>
      </c>
      <c r="O82" s="1257">
        <f t="shared" si="88"/>
        <v>7202662.8919440005</v>
      </c>
      <c r="P82" s="1257">
        <f t="shared" si="89"/>
        <v>720266.28919440007</v>
      </c>
      <c r="Q82" s="1257">
        <f t="shared" si="90"/>
        <v>7922929</v>
      </c>
      <c r="R82" s="1167"/>
    </row>
    <row r="83" spans="1:18" s="533" customFormat="1">
      <c r="A83" s="1248">
        <v>18</v>
      </c>
      <c r="B83" s="1248"/>
      <c r="C83" s="1270" t="str">
        <f>PTĐGTĐ!C425</f>
        <v>Sơn màu cột báo hiệu bê tông</v>
      </c>
      <c r="D83" s="1248"/>
      <c r="E83" s="1249"/>
      <c r="F83" s="1255"/>
      <c r="G83" s="1251"/>
      <c r="H83" s="1251"/>
      <c r="I83" s="1252"/>
      <c r="J83" s="1256"/>
      <c r="K83" s="1257"/>
      <c r="L83" s="1257"/>
      <c r="M83" s="1257"/>
      <c r="N83" s="1257"/>
      <c r="O83" s="1257"/>
      <c r="P83" s="1257"/>
      <c r="Q83" s="1257"/>
      <c r="R83" s="1167"/>
    </row>
    <row r="84" spans="1:18" s="533" customFormat="1">
      <c r="A84" s="1248"/>
      <c r="B84" s="1248" t="str">
        <f>PTĐGTĐ!B426</f>
        <v>2.17.07</v>
      </c>
      <c r="C84" s="1270" t="str">
        <f>PTĐGTĐ!C426</f>
        <v>Cột Ø200mm cao 6,5m</v>
      </c>
      <c r="D84" s="1248" t="str">
        <f>PTĐGTĐ!D426</f>
        <v>01 cột</v>
      </c>
      <c r="E84" s="1249"/>
      <c r="F84" s="1255">
        <f>PTĐGTĐ!G427</f>
        <v>285839.7</v>
      </c>
      <c r="G84" s="1251"/>
      <c r="H84" s="1251"/>
      <c r="I84" s="1252">
        <f>PTĐGTĐ!G430</f>
        <v>99054.54800000001</v>
      </c>
      <c r="J84" s="1256">
        <f>PTĐGTĐ!G432</f>
        <v>90805.96</v>
      </c>
      <c r="K84" s="1257">
        <f t="shared" si="78"/>
        <v>90805.96</v>
      </c>
      <c r="L84" s="1257">
        <f t="shared" si="85"/>
        <v>475700.20800000004</v>
      </c>
      <c r="M84" s="1257">
        <f t="shared" si="86"/>
        <v>65376.001680000008</v>
      </c>
      <c r="N84" s="1257">
        <f t="shared" si="87"/>
        <v>32464.572580800002</v>
      </c>
      <c r="O84" s="1257">
        <f t="shared" si="88"/>
        <v>573540.78226080013</v>
      </c>
      <c r="P84" s="1257">
        <f t="shared" si="89"/>
        <v>57354.078226080019</v>
      </c>
      <c r="Q84" s="1257">
        <f t="shared" si="90"/>
        <v>630895</v>
      </c>
      <c r="R84" s="1167"/>
    </row>
    <row r="85" spans="1:18" s="533" customFormat="1">
      <c r="A85" s="1248"/>
      <c r="B85" s="1248" t="str">
        <f>PTĐGTĐ!B434</f>
        <v>2.17.07</v>
      </c>
      <c r="C85" s="1270" t="str">
        <f>PTĐGTĐ!C434</f>
        <v>Cột Ø200mm cao 7,5m</v>
      </c>
      <c r="D85" s="1248" t="str">
        <f>PTĐGTĐ!D434</f>
        <v>01 cột</v>
      </c>
      <c r="E85" s="1249"/>
      <c r="F85" s="1255">
        <f>PTĐGTĐ!G435</f>
        <v>373870.8</v>
      </c>
      <c r="G85" s="1251"/>
      <c r="H85" s="1251"/>
      <c r="I85" s="1252">
        <f>PTĐGTĐ!G438</f>
        <v>129592.09</v>
      </c>
      <c r="J85" s="1256">
        <f>PTĐGTĐ!G440</f>
        <v>90805.96</v>
      </c>
      <c r="K85" s="1257">
        <f t="shared" si="78"/>
        <v>90805.96</v>
      </c>
      <c r="L85" s="1257">
        <f t="shared" si="85"/>
        <v>594268.85</v>
      </c>
      <c r="M85" s="1257">
        <f t="shared" si="86"/>
        <v>85530.779399999999</v>
      </c>
      <c r="N85" s="1257">
        <f t="shared" si="87"/>
        <v>40787.977763999996</v>
      </c>
      <c r="O85" s="1257">
        <f t="shared" si="88"/>
        <v>720587.60716399993</v>
      </c>
      <c r="P85" s="1257">
        <f t="shared" si="89"/>
        <v>72058.760716399993</v>
      </c>
      <c r="Q85" s="1257">
        <f t="shared" si="90"/>
        <v>792646</v>
      </c>
      <c r="R85" s="1167"/>
    </row>
    <row r="86" spans="1:18" s="533" customFormat="1">
      <c r="A86" s="1248">
        <v>19</v>
      </c>
      <c r="B86" s="1248"/>
      <c r="C86" s="1270" t="str">
        <f>PTĐGTĐ!C442</f>
        <v>Sơn màu giá phao, lồng đèn</v>
      </c>
      <c r="D86" s="1248"/>
      <c r="E86" s="1249"/>
      <c r="F86" s="1255"/>
      <c r="G86" s="1251"/>
      <c r="H86" s="1251"/>
      <c r="I86" s="1252"/>
      <c r="J86" s="1256"/>
      <c r="K86" s="1257"/>
      <c r="L86" s="1257"/>
      <c r="M86" s="1257"/>
      <c r="N86" s="1257"/>
      <c r="O86" s="1257"/>
      <c r="P86" s="1257"/>
      <c r="Q86" s="1257"/>
      <c r="R86" s="1167"/>
    </row>
    <row r="87" spans="1:18" s="533" customFormat="1">
      <c r="A87" s="1248"/>
      <c r="B87" s="1248" t="str">
        <f>PTĐGTĐ!B443</f>
        <v>2.18.01</v>
      </c>
      <c r="C87" s="1270" t="str">
        <f>PTĐGTĐ!C443</f>
        <v>Sơn màu giá phao</v>
      </c>
      <c r="D87" s="1248" t="str">
        <f>PTĐGTĐ!D443</f>
        <v>1 cái</v>
      </c>
      <c r="E87" s="1249"/>
      <c r="F87" s="1255">
        <f>PTĐGTĐ!G444</f>
        <v>131105.70000000001</v>
      </c>
      <c r="G87" s="1251"/>
      <c r="H87" s="1251"/>
      <c r="I87" s="1252">
        <f>PTĐGTĐ!G447</f>
        <v>116504.572</v>
      </c>
      <c r="J87" s="1256">
        <v>0</v>
      </c>
      <c r="K87" s="1257">
        <f t="shared" si="78"/>
        <v>0</v>
      </c>
      <c r="L87" s="1257">
        <f t="shared" si="85"/>
        <v>247610.272</v>
      </c>
      <c r="M87" s="1257">
        <f t="shared" si="86"/>
        <v>76893.017520000009</v>
      </c>
      <c r="N87" s="1257">
        <f t="shared" si="87"/>
        <v>19470.1973712</v>
      </c>
      <c r="O87" s="1257">
        <f t="shared" si="88"/>
        <v>343973.48689120001</v>
      </c>
      <c r="P87" s="1257">
        <f t="shared" si="89"/>
        <v>34397.348689120001</v>
      </c>
      <c r="Q87" s="1257">
        <f t="shared" si="90"/>
        <v>378371</v>
      </c>
      <c r="R87" s="1167"/>
    </row>
    <row r="88" spans="1:18" s="533" customFormat="1">
      <c r="A88" s="1248"/>
      <c r="B88" s="1248" t="str">
        <f>PTĐGTĐ!B449</f>
        <v>2.18.02</v>
      </c>
      <c r="C88" s="1270" t="str">
        <f>PTĐGTĐ!C449</f>
        <v>Sơn màu lồng đèn</v>
      </c>
      <c r="D88" s="1248" t="str">
        <f>PTĐGTĐ!D449</f>
        <v>1 cái</v>
      </c>
      <c r="E88" s="1249"/>
      <c r="F88" s="1255">
        <f>PTĐGTĐ!G450</f>
        <v>38683.5</v>
      </c>
      <c r="G88" s="1251"/>
      <c r="H88" s="1251"/>
      <c r="I88" s="1252">
        <f>PTĐGTĐ!G453</f>
        <v>116504.572</v>
      </c>
      <c r="J88" s="1256">
        <v>0</v>
      </c>
      <c r="K88" s="1257">
        <f t="shared" si="78"/>
        <v>0</v>
      </c>
      <c r="L88" s="1257">
        <f t="shared" si="85"/>
        <v>155188.07199999999</v>
      </c>
      <c r="M88" s="1257">
        <f t="shared" si="86"/>
        <v>76893.017520000009</v>
      </c>
      <c r="N88" s="1257">
        <f t="shared" si="87"/>
        <v>13924.865371199998</v>
      </c>
      <c r="O88" s="1257">
        <f t="shared" si="88"/>
        <v>246005.95489119997</v>
      </c>
      <c r="P88" s="1257">
        <f t="shared" si="89"/>
        <v>24600.595489119998</v>
      </c>
      <c r="Q88" s="1257">
        <f t="shared" si="90"/>
        <v>270607</v>
      </c>
      <c r="R88" s="1167"/>
    </row>
    <row r="89" spans="1:18" s="533" customFormat="1">
      <c r="A89" s="1248">
        <v>20</v>
      </c>
      <c r="B89" s="1248"/>
      <c r="C89" s="1270" t="str">
        <f>PTĐGTĐ!C455</f>
        <v>Sơn màu biển báo hiệu thép</v>
      </c>
      <c r="D89" s="1248"/>
      <c r="E89" s="1249"/>
      <c r="F89" s="1255"/>
      <c r="G89" s="1251"/>
      <c r="H89" s="1251"/>
      <c r="I89" s="1252"/>
      <c r="J89" s="1256"/>
      <c r="K89" s="1257"/>
      <c r="L89" s="1257"/>
      <c r="M89" s="1257"/>
      <c r="N89" s="1257"/>
      <c r="O89" s="1257"/>
      <c r="P89" s="1257"/>
      <c r="Q89" s="1257"/>
      <c r="R89" s="1167"/>
    </row>
    <row r="90" spans="1:18" s="533" customFormat="1" ht="26.4">
      <c r="A90" s="1248"/>
      <c r="B90" s="1248" t="str">
        <f>PTĐGTĐ!B456</f>
        <v>2.19.01</v>
      </c>
      <c r="C90" s="1269" t="str">
        <f>PTĐGTĐ!C456</f>
        <v>Biển hình vuông, hình thoi (sơn 
màu một mặt)</v>
      </c>
      <c r="D90" s="1248" t="str">
        <f>PTĐGTĐ!D456</f>
        <v>01 biển</v>
      </c>
      <c r="E90" s="1249"/>
      <c r="F90" s="1255">
        <f>PTĐGTĐ!G457</f>
        <v>75066.899999999994</v>
      </c>
      <c r="G90" s="1251"/>
      <c r="H90" s="1251"/>
      <c r="I90" s="1252">
        <f>PTĐGTĐ!G460</f>
        <v>66464.062000000005</v>
      </c>
      <c r="J90" s="1256">
        <v>0</v>
      </c>
      <c r="K90" s="1257">
        <f t="shared" si="78"/>
        <v>0</v>
      </c>
      <c r="L90" s="1257">
        <f t="shared" ref="L90:L97" si="91">+F90+I90+K90</f>
        <v>141530.962</v>
      </c>
      <c r="M90" s="1257">
        <f t="shared" ref="M90:M97" si="92">I90*66%</f>
        <v>43866.280920000005</v>
      </c>
      <c r="N90" s="1257">
        <f t="shared" ref="N90:N97" si="93">(L90+M90)*6%</f>
        <v>11123.834575199999</v>
      </c>
      <c r="O90" s="1257">
        <f t="shared" ref="O90:O97" si="94">L90+M90+N90</f>
        <v>196521.07749519998</v>
      </c>
      <c r="P90" s="1257">
        <f t="shared" ref="P90:P97" si="95">O90*10%</f>
        <v>19652.107749520001</v>
      </c>
      <c r="Q90" s="1257">
        <f t="shared" ref="Q90:Q97" si="96">ROUND(O90+P90,0)</f>
        <v>216173</v>
      </c>
      <c r="R90" s="1167"/>
    </row>
    <row r="91" spans="1:18" s="533" customFormat="1">
      <c r="A91" s="1248"/>
      <c r="B91" s="1248" t="str">
        <f>PTĐGTĐ!B462</f>
        <v>2.19.05</v>
      </c>
      <c r="C91" s="1270" t="str">
        <f>PTĐGTĐ!C462</f>
        <v>Biển báo hiệu vật chướng ngại</v>
      </c>
      <c r="D91" s="1248" t="str">
        <f>PTĐGTĐ!D462</f>
        <v>01 biển</v>
      </c>
      <c r="E91" s="1249"/>
      <c r="F91" s="1255">
        <f>PTĐGTĐ!G463</f>
        <v>259911.30000000002</v>
      </c>
      <c r="G91" s="1251"/>
      <c r="H91" s="1251"/>
      <c r="I91" s="1252">
        <f>PTĐGTĐ!G466</f>
        <v>230699.58199999999</v>
      </c>
      <c r="J91" s="1256">
        <v>0</v>
      </c>
      <c r="K91" s="1257">
        <f t="shared" si="78"/>
        <v>0</v>
      </c>
      <c r="L91" s="1257">
        <f t="shared" si="91"/>
        <v>490610.88199999998</v>
      </c>
      <c r="M91" s="1257">
        <f t="shared" si="92"/>
        <v>152261.72412</v>
      </c>
      <c r="N91" s="1257">
        <f t="shared" si="93"/>
        <v>38572.356367200002</v>
      </c>
      <c r="O91" s="1257">
        <f t="shared" si="94"/>
        <v>681444.96248720004</v>
      </c>
      <c r="P91" s="1257">
        <f t="shared" si="95"/>
        <v>68144.49624872001</v>
      </c>
      <c r="Q91" s="1257">
        <f t="shared" si="96"/>
        <v>749589</v>
      </c>
      <c r="R91" s="1167"/>
    </row>
    <row r="92" spans="1:18" s="533" customFormat="1">
      <c r="A92" s="1248"/>
      <c r="B92" s="1248" t="str">
        <f>PTĐGTĐ!B468</f>
        <v>2.19.06</v>
      </c>
      <c r="C92" s="1270" t="str">
        <f>PTĐGTĐ!C468</f>
        <v>Biển báo hiệu ngã ba</v>
      </c>
      <c r="D92" s="1248" t="str">
        <f>PTĐGTĐ!D468</f>
        <v>01 biển</v>
      </c>
      <c r="E92" s="1249"/>
      <c r="F92" s="1255">
        <f>PTĐGTĐ!G469</f>
        <v>149924.70000000001</v>
      </c>
      <c r="G92" s="1251"/>
      <c r="H92" s="1251"/>
      <c r="I92" s="1252">
        <f>PTĐGTĐ!G472</f>
        <v>132928.12400000001</v>
      </c>
      <c r="J92" s="1256">
        <v>0</v>
      </c>
      <c r="K92" s="1257">
        <f t="shared" si="78"/>
        <v>0</v>
      </c>
      <c r="L92" s="1257">
        <f t="shared" si="91"/>
        <v>282852.82400000002</v>
      </c>
      <c r="M92" s="1257">
        <f t="shared" si="92"/>
        <v>87732.561840000009</v>
      </c>
      <c r="N92" s="1257">
        <f t="shared" si="93"/>
        <v>22235.123150399999</v>
      </c>
      <c r="O92" s="1257">
        <f t="shared" si="94"/>
        <v>392820.50899040001</v>
      </c>
      <c r="P92" s="1257">
        <f t="shared" si="95"/>
        <v>39282.050899040005</v>
      </c>
      <c r="Q92" s="1257">
        <f t="shared" si="96"/>
        <v>432103</v>
      </c>
      <c r="R92" s="1167"/>
    </row>
    <row r="93" spans="1:18" s="533" customFormat="1">
      <c r="A93" s="1248"/>
      <c r="B93" s="1248" t="str">
        <f>PTĐGTĐ!B474</f>
        <v>2.19.09</v>
      </c>
      <c r="C93" s="1270" t="str">
        <f>PTĐGTĐ!C474</f>
        <v>Biển báo hiệu C1.1.3; C1.1.4</v>
      </c>
      <c r="D93" s="1248" t="str">
        <f>PTĐGTĐ!D474</f>
        <v>01 biển</v>
      </c>
      <c r="E93" s="1249"/>
      <c r="F93" s="1255">
        <f>PTĐGTĐ!G475</f>
        <v>8364</v>
      </c>
      <c r="G93" s="1251"/>
      <c r="H93" s="1251"/>
      <c r="I93" s="1252">
        <f>PTĐGTĐ!G478</f>
        <v>7441.9220000000005</v>
      </c>
      <c r="J93" s="1256">
        <v>0</v>
      </c>
      <c r="K93" s="1257">
        <f t="shared" si="78"/>
        <v>0</v>
      </c>
      <c r="L93" s="1257">
        <f t="shared" si="91"/>
        <v>15805.922</v>
      </c>
      <c r="M93" s="1257">
        <f t="shared" si="92"/>
        <v>4911.6685200000002</v>
      </c>
      <c r="N93" s="1257">
        <f t="shared" si="93"/>
        <v>1243.0554312000002</v>
      </c>
      <c r="O93" s="1257">
        <f t="shared" si="94"/>
        <v>21960.6459512</v>
      </c>
      <c r="P93" s="1257">
        <f t="shared" si="95"/>
        <v>2196.0645951199999</v>
      </c>
      <c r="Q93" s="1257">
        <f t="shared" si="96"/>
        <v>24157</v>
      </c>
      <c r="R93" s="1167"/>
    </row>
    <row r="94" spans="1:18" s="533" customFormat="1" ht="26.4">
      <c r="A94" s="1248">
        <v>21</v>
      </c>
      <c r="B94" s="1248" t="str">
        <f>PTĐGTĐ!B480</f>
        <v>2.20.01</v>
      </c>
      <c r="C94" s="1269" t="str">
        <f>PTĐGTĐ!C480</f>
        <v>Sơn màu cột biển tuyên truyền luật, biển thước nước ngược</v>
      </c>
      <c r="D94" s="1259" t="str">
        <f>PTĐGTĐ!D480</f>
        <v>01m2</v>
      </c>
      <c r="E94" s="1249"/>
      <c r="F94" s="1255">
        <f>PTĐGTĐ!G481</f>
        <v>52065.9</v>
      </c>
      <c r="G94" s="1251"/>
      <c r="H94" s="1251"/>
      <c r="I94" s="1252">
        <f>PTĐGTĐ!G484</f>
        <v>46191.24</v>
      </c>
      <c r="J94" s="1256">
        <f>PTĐGTĐ!G486</f>
        <v>90805.96</v>
      </c>
      <c r="K94" s="1257">
        <f t="shared" si="78"/>
        <v>90805.96</v>
      </c>
      <c r="L94" s="1257">
        <f t="shared" si="91"/>
        <v>189063.1</v>
      </c>
      <c r="M94" s="1257">
        <f t="shared" si="92"/>
        <v>30486.218400000002</v>
      </c>
      <c r="N94" s="1257">
        <f t="shared" si="93"/>
        <v>13172.959104000001</v>
      </c>
      <c r="O94" s="1257">
        <f t="shared" si="94"/>
        <v>232722.27750400003</v>
      </c>
      <c r="P94" s="1257">
        <f t="shared" si="95"/>
        <v>23272.227750400005</v>
      </c>
      <c r="Q94" s="1257">
        <f t="shared" si="96"/>
        <v>255995</v>
      </c>
      <c r="R94" s="1167"/>
    </row>
    <row r="95" spans="1:18" s="533" customFormat="1">
      <c r="A95" s="1248">
        <v>22</v>
      </c>
      <c r="B95" s="1248" t="str">
        <f>PTĐGTĐ!B488</f>
        <v>2.36.011</v>
      </c>
      <c r="C95" s="1270" t="str">
        <f>PTĐGTĐ!C488</f>
        <v>Trực đảm bảo giao thông</v>
      </c>
      <c r="D95" s="1259" t="s">
        <v>1321</v>
      </c>
      <c r="E95" s="1249"/>
      <c r="F95" s="1255">
        <v>0</v>
      </c>
      <c r="G95" s="1251"/>
      <c r="H95" s="1251"/>
      <c r="I95" s="1252">
        <f>PTĐGTĐ!G489</f>
        <v>603442</v>
      </c>
      <c r="J95" s="1256">
        <v>0</v>
      </c>
      <c r="K95" s="1257">
        <f t="shared" si="78"/>
        <v>0</v>
      </c>
      <c r="L95" s="1257">
        <f t="shared" si="91"/>
        <v>603442</v>
      </c>
      <c r="M95" s="1257">
        <f t="shared" si="92"/>
        <v>398271.72000000003</v>
      </c>
      <c r="N95" s="1257">
        <f t="shared" si="93"/>
        <v>60102.823199999999</v>
      </c>
      <c r="O95" s="1257">
        <f t="shared" si="94"/>
        <v>1061816.5432</v>
      </c>
      <c r="P95" s="1257">
        <f t="shared" si="95"/>
        <v>106181.65432</v>
      </c>
      <c r="Q95" s="1257">
        <f t="shared" si="96"/>
        <v>1167998</v>
      </c>
      <c r="R95" s="1167"/>
    </row>
    <row r="96" spans="1:18" s="533" customFormat="1" ht="26.4">
      <c r="A96" s="1248">
        <v>23</v>
      </c>
      <c r="B96" s="1248" t="str">
        <f>PTĐGTĐ!B491</f>
        <v>2.36.012</v>
      </c>
      <c r="C96" s="1269" t="str">
        <f>PTĐGTĐ!C491</f>
        <v>Đếm lưu lượng vận tải tuyến 
đường thủy nội địa</v>
      </c>
      <c r="D96" s="1259" t="s">
        <v>1322</v>
      </c>
      <c r="E96" s="1249"/>
      <c r="F96" s="1255">
        <v>0</v>
      </c>
      <c r="G96" s="1251"/>
      <c r="H96" s="1251"/>
      <c r="I96" s="1252">
        <f>PTĐGTĐ!G492</f>
        <v>256618</v>
      </c>
      <c r="J96" s="1256">
        <v>0</v>
      </c>
      <c r="K96" s="1257">
        <f t="shared" si="78"/>
        <v>0</v>
      </c>
      <c r="L96" s="1257">
        <f t="shared" si="91"/>
        <v>256618</v>
      </c>
      <c r="M96" s="1257">
        <f t="shared" si="92"/>
        <v>169367.88</v>
      </c>
      <c r="N96" s="1257">
        <f t="shared" si="93"/>
        <v>25559.1528</v>
      </c>
      <c r="O96" s="1257">
        <f t="shared" si="94"/>
        <v>451545.03279999999</v>
      </c>
      <c r="P96" s="1257">
        <f t="shared" si="95"/>
        <v>45154.503280000004</v>
      </c>
      <c r="Q96" s="1257">
        <f t="shared" si="96"/>
        <v>496700</v>
      </c>
      <c r="R96" s="1167"/>
    </row>
    <row r="97" spans="1:18" s="533" customFormat="1">
      <c r="A97" s="1248">
        <v>24</v>
      </c>
      <c r="B97" s="1248" t="str">
        <f>PTĐGTĐ!B494</f>
        <v>2.36.013</v>
      </c>
      <c r="C97" s="1270" t="str">
        <f>PTĐGTĐ!C494</f>
        <v>Đo mực nước sông vùng lũ</v>
      </c>
      <c r="D97" s="1259" t="s">
        <v>1321</v>
      </c>
      <c r="E97" s="1249"/>
      <c r="F97" s="1255">
        <v>0</v>
      </c>
      <c r="G97" s="1251"/>
      <c r="H97" s="1251"/>
      <c r="I97" s="1252">
        <f>PTĐGTĐ!G495</f>
        <v>76985.399999999994</v>
      </c>
      <c r="J97" s="1256">
        <v>0</v>
      </c>
      <c r="K97" s="1257">
        <f t="shared" si="78"/>
        <v>0</v>
      </c>
      <c r="L97" s="1257">
        <f t="shared" si="91"/>
        <v>76985.399999999994</v>
      </c>
      <c r="M97" s="1257">
        <f t="shared" si="92"/>
        <v>50810.364000000001</v>
      </c>
      <c r="N97" s="1257">
        <f t="shared" si="93"/>
        <v>7667.7458399999996</v>
      </c>
      <c r="O97" s="1257">
        <f t="shared" si="94"/>
        <v>135463.50983999998</v>
      </c>
      <c r="P97" s="1257">
        <f t="shared" si="95"/>
        <v>13546.350983999999</v>
      </c>
      <c r="Q97" s="1257">
        <f t="shared" si="96"/>
        <v>149010</v>
      </c>
      <c r="R97" s="1167"/>
    </row>
    <row r="98" spans="1:18" s="533" customFormat="1">
      <c r="A98" s="1248">
        <v>25</v>
      </c>
      <c r="B98" s="1248" t="str">
        <f>PTĐGTĐ!B497</f>
        <v>2.36.014</v>
      </c>
      <c r="C98" s="1270" t="str">
        <f>PTĐGTĐ!C497</f>
        <v>Đo mực nước sông vùng triều</v>
      </c>
      <c r="D98" s="1259" t="s">
        <v>1321</v>
      </c>
      <c r="E98" s="1249"/>
      <c r="F98" s="1255">
        <v>0</v>
      </c>
      <c r="G98" s="1251"/>
      <c r="H98" s="1251"/>
      <c r="I98" s="1252">
        <f>PTĐGTĐ!G498</f>
        <v>256618</v>
      </c>
      <c r="J98" s="1256">
        <v>0</v>
      </c>
      <c r="K98" s="1257">
        <f t="shared" si="78"/>
        <v>0</v>
      </c>
      <c r="L98" s="1257">
        <f t="shared" ref="L98:L101" si="97">+F98+I98+K98</f>
        <v>256618</v>
      </c>
      <c r="M98" s="1257">
        <f t="shared" ref="M98:M101" si="98">I98*66%</f>
        <v>169367.88</v>
      </c>
      <c r="N98" s="1257">
        <f t="shared" ref="N98:N101" si="99">(L98+M98)*6%</f>
        <v>25559.1528</v>
      </c>
      <c r="O98" s="1257">
        <f t="shared" ref="O98:O101" si="100">L98+M98+N98</f>
        <v>451545.03279999999</v>
      </c>
      <c r="P98" s="1257">
        <f t="shared" ref="P98:P101" si="101">O98*10%</f>
        <v>45154.503280000004</v>
      </c>
      <c r="Q98" s="1257">
        <f t="shared" ref="Q98:Q101" si="102">ROUND(O98+P98,0)</f>
        <v>496700</v>
      </c>
      <c r="R98" s="1167"/>
    </row>
    <row r="99" spans="1:18" s="533" customFormat="1">
      <c r="A99" s="1248">
        <v>26</v>
      </c>
      <c r="B99" s="1248" t="str">
        <f>PTĐGTĐ!B500</f>
        <v>2.36.015</v>
      </c>
      <c r="C99" s="1270" t="str">
        <f>PTĐGTĐ!C500</f>
        <v>Trực phòng chống thiên tai</v>
      </c>
      <c r="D99" s="1259" t="s">
        <v>1321</v>
      </c>
      <c r="E99" s="1249"/>
      <c r="F99" s="1255">
        <v>0</v>
      </c>
      <c r="G99" s="1251"/>
      <c r="H99" s="1251"/>
      <c r="I99" s="1252">
        <f>PTĐGTĐ!G501</f>
        <v>1395850</v>
      </c>
      <c r="J99" s="1256">
        <v>0</v>
      </c>
      <c r="K99" s="1257">
        <f t="shared" si="78"/>
        <v>0</v>
      </c>
      <c r="L99" s="1257">
        <f t="shared" si="97"/>
        <v>1395850</v>
      </c>
      <c r="M99" s="1257">
        <f t="shared" si="98"/>
        <v>921261</v>
      </c>
      <c r="N99" s="1257">
        <f t="shared" si="99"/>
        <v>139026.66</v>
      </c>
      <c r="O99" s="1257">
        <f t="shared" si="100"/>
        <v>2456137.66</v>
      </c>
      <c r="P99" s="1257">
        <f t="shared" si="101"/>
        <v>245613.76600000003</v>
      </c>
      <c r="Q99" s="1257">
        <f t="shared" si="102"/>
        <v>2701751</v>
      </c>
      <c r="R99" s="1167"/>
    </row>
    <row r="100" spans="1:18" s="533" customFormat="1" ht="26.4">
      <c r="A100" s="1248">
        <v>27</v>
      </c>
      <c r="B100" s="1248" t="str">
        <f>PTĐGTĐ!B503</f>
        <v>2.36.016</v>
      </c>
      <c r="C100" s="1269" t="str">
        <f>PTĐGTĐ!C503</f>
        <v>Làm việc với địa phương bảo vệ kết cấu hạ tầng giao thông thủy</v>
      </c>
      <c r="D100" s="1259" t="s">
        <v>1321</v>
      </c>
      <c r="E100" s="1249"/>
      <c r="F100" s="1255">
        <v>0</v>
      </c>
      <c r="G100" s="1251"/>
      <c r="H100" s="1251"/>
      <c r="I100" s="1252">
        <f>PTĐGTĐ!G504</f>
        <v>150860.5</v>
      </c>
      <c r="J100" s="1256">
        <v>0</v>
      </c>
      <c r="K100" s="1257">
        <f t="shared" si="78"/>
        <v>0</v>
      </c>
      <c r="L100" s="1257">
        <f t="shared" si="97"/>
        <v>150860.5</v>
      </c>
      <c r="M100" s="1257">
        <f t="shared" si="98"/>
        <v>99567.930000000008</v>
      </c>
      <c r="N100" s="1257">
        <f t="shared" si="99"/>
        <v>15025.7058</v>
      </c>
      <c r="O100" s="1257">
        <f t="shared" si="100"/>
        <v>265454.13579999999</v>
      </c>
      <c r="P100" s="1257">
        <f t="shared" si="101"/>
        <v>26545.41358</v>
      </c>
      <c r="Q100" s="1257">
        <f t="shared" si="102"/>
        <v>292000</v>
      </c>
      <c r="R100" s="1167"/>
    </row>
    <row r="101" spans="1:18" s="533" customFormat="1">
      <c r="A101" s="1260">
        <v>28</v>
      </c>
      <c r="B101" s="1260" t="str">
        <f>PTĐGTĐ!B506</f>
        <v>2.36.017</v>
      </c>
      <c r="C101" s="1271" t="str">
        <f>PTĐGTĐ!C506</f>
        <v>Phát quang quanh báo hiệu</v>
      </c>
      <c r="D101" s="1261" t="s">
        <v>1323</v>
      </c>
      <c r="E101" s="1262"/>
      <c r="F101" s="1263">
        <v>0</v>
      </c>
      <c r="G101" s="1264"/>
      <c r="H101" s="1264"/>
      <c r="I101" s="1265">
        <f>PTĐGTĐ!G507</f>
        <v>40840.400000000001</v>
      </c>
      <c r="J101" s="1266">
        <v>0</v>
      </c>
      <c r="K101" s="1267">
        <f t="shared" si="78"/>
        <v>0</v>
      </c>
      <c r="L101" s="1267">
        <f t="shared" si="97"/>
        <v>40840.400000000001</v>
      </c>
      <c r="M101" s="1267">
        <f t="shared" si="98"/>
        <v>26954.664000000001</v>
      </c>
      <c r="N101" s="1267">
        <f t="shared" si="99"/>
        <v>4067.7038399999997</v>
      </c>
      <c r="O101" s="1267">
        <f t="shared" si="100"/>
        <v>71862.76784</v>
      </c>
      <c r="P101" s="1267">
        <f t="shared" si="101"/>
        <v>7186.2767840000006</v>
      </c>
      <c r="Q101" s="1267">
        <f t="shared" si="102"/>
        <v>79049</v>
      </c>
      <c r="R101" s="1167"/>
    </row>
    <row r="102" spans="1:18">
      <c r="A102" s="766"/>
      <c r="B102" s="1212"/>
      <c r="C102" s="768"/>
      <c r="D102" s="766"/>
      <c r="E102" s="769"/>
      <c r="F102" s="770"/>
      <c r="G102" s="771"/>
      <c r="H102" s="771"/>
      <c r="I102" s="772"/>
      <c r="J102" s="1205"/>
      <c r="K102" s="1205"/>
      <c r="L102" s="1205"/>
      <c r="M102" s="1205"/>
      <c r="N102" s="1205"/>
      <c r="O102" s="1205"/>
      <c r="P102" s="1205"/>
      <c r="Q102" s="1205"/>
      <c r="R102" s="772"/>
    </row>
    <row r="103" spans="1:18">
      <c r="A103" s="522"/>
      <c r="C103" s="394"/>
      <c r="D103" s="524"/>
      <c r="E103" s="534"/>
      <c r="F103" s="525"/>
      <c r="G103" s="394"/>
      <c r="H103" s="394"/>
      <c r="I103" s="394"/>
      <c r="J103" s="394"/>
      <c r="K103" s="394"/>
      <c r="L103" s="394"/>
      <c r="M103" s="394"/>
      <c r="N103" s="394"/>
      <c r="O103" s="394"/>
      <c r="P103" s="394"/>
      <c r="Q103" s="394"/>
      <c r="R103" s="394"/>
    </row>
    <row r="104" spans="1:18">
      <c r="A104" s="522"/>
      <c r="C104" s="394"/>
      <c r="D104" s="524"/>
      <c r="E104" s="534"/>
      <c r="F104" s="525"/>
      <c r="G104" s="394"/>
      <c r="H104" s="394"/>
      <c r="I104" s="394"/>
      <c r="J104" s="394"/>
      <c r="K104" s="394"/>
      <c r="L104" s="394"/>
      <c r="M104" s="394"/>
      <c r="N104" s="394"/>
      <c r="O104" s="394"/>
      <c r="P104" s="394"/>
      <c r="Q104" s="394"/>
      <c r="R104" s="394"/>
    </row>
    <row r="105" spans="1:18">
      <c r="A105" s="522"/>
      <c r="C105" s="394"/>
      <c r="D105" s="524"/>
      <c r="E105" s="534"/>
      <c r="F105" s="525"/>
      <c r="G105" s="394"/>
      <c r="H105" s="394"/>
      <c r="I105" s="394"/>
      <c r="J105" s="394"/>
      <c r="K105" s="394"/>
      <c r="L105" s="394"/>
      <c r="M105" s="394"/>
      <c r="N105" s="394"/>
      <c r="O105" s="394"/>
      <c r="P105" s="394"/>
      <c r="Q105" s="394"/>
      <c r="R105" s="394"/>
    </row>
    <row r="106" spans="1:18">
      <c r="A106" s="522"/>
      <c r="C106" s="394"/>
      <c r="D106" s="524"/>
      <c r="E106" s="534"/>
      <c r="F106" s="525"/>
      <c r="G106" s="394"/>
      <c r="H106" s="394"/>
      <c r="I106" s="394"/>
      <c r="J106" s="394"/>
      <c r="K106" s="394"/>
      <c r="L106" s="394"/>
      <c r="M106" s="394"/>
      <c r="N106" s="394"/>
      <c r="O106" s="394"/>
      <c r="P106" s="394"/>
      <c r="Q106" s="394"/>
      <c r="R106" s="394"/>
    </row>
    <row r="107" spans="1:18">
      <c r="A107" s="522"/>
      <c r="C107" s="394"/>
      <c r="D107" s="524"/>
      <c r="E107" s="534"/>
      <c r="F107" s="525"/>
      <c r="G107" s="394"/>
      <c r="H107" s="394"/>
      <c r="I107" s="394"/>
      <c r="J107" s="394"/>
      <c r="K107" s="394"/>
      <c r="L107" s="394"/>
      <c r="M107" s="394"/>
      <c r="N107" s="394"/>
      <c r="O107" s="394"/>
      <c r="P107" s="394"/>
      <c r="Q107" s="394"/>
      <c r="R107" s="394"/>
    </row>
    <row r="108" spans="1:18">
      <c r="A108" s="522"/>
      <c r="C108" s="394"/>
      <c r="D108" s="524"/>
      <c r="E108" s="534"/>
      <c r="F108" s="525"/>
      <c r="G108" s="394"/>
      <c r="H108" s="394"/>
      <c r="I108" s="394"/>
      <c r="J108" s="394"/>
      <c r="K108" s="394"/>
      <c r="L108" s="394"/>
      <c r="M108" s="394"/>
      <c r="N108" s="394"/>
      <c r="O108" s="394"/>
      <c r="P108" s="394"/>
      <c r="Q108" s="394"/>
      <c r="R108" s="394"/>
    </row>
    <row r="109" spans="1:18">
      <c r="A109" s="522"/>
      <c r="C109" s="394"/>
      <c r="D109" s="524"/>
      <c r="E109" s="534"/>
      <c r="F109" s="525"/>
      <c r="G109" s="394"/>
      <c r="H109" s="394"/>
      <c r="I109" s="394"/>
      <c r="J109" s="394"/>
      <c r="K109" s="394"/>
      <c r="L109" s="394"/>
      <c r="M109" s="394"/>
      <c r="N109" s="394"/>
      <c r="O109" s="394"/>
      <c r="P109" s="394"/>
      <c r="Q109" s="394"/>
      <c r="R109" s="394"/>
    </row>
    <row r="110" spans="1:18">
      <c r="A110" s="522"/>
      <c r="C110" s="394"/>
      <c r="D110" s="524"/>
      <c r="E110" s="534"/>
      <c r="F110" s="525"/>
      <c r="G110" s="394"/>
      <c r="H110" s="394"/>
      <c r="I110" s="394"/>
      <c r="J110" s="394"/>
      <c r="K110" s="394"/>
      <c r="L110" s="394"/>
      <c r="M110" s="394"/>
      <c r="N110" s="394"/>
      <c r="O110" s="394"/>
      <c r="P110" s="394"/>
      <c r="Q110" s="394"/>
      <c r="R110" s="394"/>
    </row>
    <row r="111" spans="1:18">
      <c r="A111" s="522"/>
      <c r="C111" s="394"/>
      <c r="D111" s="524"/>
      <c r="E111" s="534"/>
      <c r="F111" s="525"/>
      <c r="G111" s="394"/>
      <c r="H111" s="394"/>
      <c r="I111" s="394"/>
      <c r="J111" s="394"/>
      <c r="K111" s="394"/>
      <c r="L111" s="394"/>
      <c r="M111" s="394"/>
      <c r="N111" s="394"/>
      <c r="O111" s="394"/>
      <c r="P111" s="394"/>
      <c r="Q111" s="394"/>
      <c r="R111" s="394"/>
    </row>
    <row r="112" spans="1:18">
      <c r="A112" s="522"/>
      <c r="C112" s="394"/>
      <c r="D112" s="524"/>
      <c r="E112" s="534"/>
      <c r="F112" s="525"/>
      <c r="G112" s="394"/>
      <c r="H112" s="394"/>
      <c r="I112" s="394"/>
      <c r="J112" s="394"/>
      <c r="K112" s="394"/>
      <c r="L112" s="394"/>
      <c r="M112" s="394"/>
      <c r="N112" s="394"/>
      <c r="O112" s="394"/>
      <c r="P112" s="394"/>
      <c r="Q112" s="394"/>
      <c r="R112" s="394"/>
    </row>
    <row r="113" spans="1:18">
      <c r="A113" s="522"/>
      <c r="C113" s="394"/>
      <c r="D113" s="524"/>
      <c r="E113" s="534"/>
      <c r="F113" s="525"/>
      <c r="G113" s="394"/>
      <c r="H113" s="394"/>
      <c r="I113" s="394"/>
      <c r="J113" s="394"/>
      <c r="K113" s="394"/>
      <c r="L113" s="394"/>
      <c r="M113" s="394"/>
      <c r="N113" s="394"/>
      <c r="O113" s="394"/>
      <c r="P113" s="394"/>
      <c r="Q113" s="394"/>
      <c r="R113" s="394"/>
    </row>
    <row r="114" spans="1:18">
      <c r="A114" s="522"/>
      <c r="C114" s="394"/>
      <c r="D114" s="524"/>
      <c r="E114" s="534"/>
      <c r="F114" s="525"/>
      <c r="G114" s="394"/>
      <c r="H114" s="394"/>
      <c r="I114" s="394"/>
      <c r="J114" s="394"/>
      <c r="K114" s="394"/>
      <c r="L114" s="394"/>
      <c r="M114" s="394"/>
      <c r="N114" s="394"/>
      <c r="O114" s="394"/>
      <c r="P114" s="394"/>
      <c r="Q114" s="394"/>
      <c r="R114" s="394"/>
    </row>
    <row r="115" spans="1:18">
      <c r="A115" s="522"/>
      <c r="C115" s="394"/>
      <c r="D115" s="524"/>
      <c r="E115" s="534"/>
      <c r="F115" s="525"/>
      <c r="G115" s="394"/>
      <c r="H115" s="394"/>
      <c r="I115" s="394"/>
      <c r="J115" s="394"/>
      <c r="K115" s="394"/>
      <c r="L115" s="394"/>
      <c r="M115" s="394"/>
      <c r="N115" s="394"/>
      <c r="O115" s="394"/>
      <c r="P115" s="394"/>
      <c r="Q115" s="394"/>
      <c r="R115" s="394"/>
    </row>
    <row r="116" spans="1:18">
      <c r="A116" s="522"/>
      <c r="C116" s="394"/>
      <c r="D116" s="524"/>
      <c r="E116" s="534"/>
      <c r="F116" s="525"/>
      <c r="G116" s="394"/>
      <c r="H116" s="394"/>
      <c r="I116" s="394"/>
      <c r="J116" s="394"/>
      <c r="K116" s="394"/>
      <c r="L116" s="394"/>
      <c r="M116" s="394"/>
      <c r="N116" s="394"/>
      <c r="O116" s="394"/>
      <c r="P116" s="394"/>
      <c r="Q116" s="394"/>
      <c r="R116" s="394"/>
    </row>
    <row r="117" spans="1:18">
      <c r="A117" s="522"/>
      <c r="C117" s="394"/>
      <c r="D117" s="524"/>
      <c r="E117" s="534"/>
      <c r="F117" s="525"/>
      <c r="G117" s="394"/>
      <c r="H117" s="394"/>
      <c r="I117" s="394"/>
      <c r="J117" s="394"/>
      <c r="K117" s="394"/>
      <c r="L117" s="394"/>
      <c r="M117" s="394"/>
      <c r="N117" s="394"/>
      <c r="O117" s="394"/>
      <c r="P117" s="394"/>
      <c r="Q117" s="394"/>
      <c r="R117" s="394"/>
    </row>
    <row r="118" spans="1:18">
      <c r="A118" s="522"/>
      <c r="C118" s="394"/>
      <c r="D118" s="524"/>
      <c r="E118" s="534"/>
      <c r="F118" s="525"/>
      <c r="G118" s="394"/>
      <c r="H118" s="394"/>
      <c r="I118" s="394"/>
      <c r="J118" s="394"/>
      <c r="K118" s="394"/>
      <c r="L118" s="394"/>
      <c r="M118" s="394"/>
      <c r="N118" s="394"/>
      <c r="O118" s="394"/>
      <c r="P118" s="394"/>
      <c r="Q118" s="394"/>
      <c r="R118" s="394"/>
    </row>
    <row r="119" spans="1:18">
      <c r="A119" s="522"/>
      <c r="C119" s="394"/>
      <c r="D119" s="524"/>
      <c r="E119" s="534"/>
      <c r="F119" s="525"/>
      <c r="G119" s="394"/>
      <c r="H119" s="394"/>
      <c r="I119" s="394"/>
      <c r="J119" s="394"/>
      <c r="K119" s="394"/>
      <c r="L119" s="394"/>
      <c r="M119" s="394"/>
      <c r="N119" s="394"/>
      <c r="O119" s="394"/>
      <c r="P119" s="394"/>
      <c r="Q119" s="394"/>
      <c r="R119" s="394"/>
    </row>
    <row r="120" spans="1:18">
      <c r="A120" s="522"/>
      <c r="C120" s="394"/>
      <c r="D120" s="524"/>
      <c r="E120" s="534"/>
      <c r="F120" s="525"/>
      <c r="G120" s="394"/>
      <c r="H120" s="394"/>
      <c r="I120" s="394"/>
      <c r="J120" s="394"/>
      <c r="K120" s="394"/>
      <c r="L120" s="394"/>
      <c r="M120" s="394"/>
      <c r="N120" s="394"/>
      <c r="O120" s="394"/>
      <c r="P120" s="394"/>
      <c r="Q120" s="394"/>
      <c r="R120" s="394"/>
    </row>
    <row r="121" spans="1:18">
      <c r="A121" s="522"/>
      <c r="C121" s="394"/>
      <c r="D121" s="524"/>
      <c r="E121" s="534"/>
      <c r="F121" s="525"/>
      <c r="G121" s="394"/>
      <c r="H121" s="394"/>
      <c r="I121" s="394"/>
      <c r="J121" s="394"/>
      <c r="K121" s="394"/>
      <c r="L121" s="394"/>
      <c r="M121" s="394"/>
      <c r="N121" s="394"/>
      <c r="O121" s="394"/>
      <c r="P121" s="394"/>
      <c r="Q121" s="394"/>
      <c r="R121" s="394"/>
    </row>
    <row r="122" spans="1:18">
      <c r="A122" s="522"/>
      <c r="C122" s="394"/>
      <c r="D122" s="524"/>
      <c r="E122" s="534"/>
      <c r="F122" s="525"/>
      <c r="G122" s="394"/>
      <c r="H122" s="394"/>
      <c r="I122" s="394"/>
      <c r="J122" s="394"/>
      <c r="K122" s="394"/>
      <c r="L122" s="394"/>
      <c r="M122" s="394"/>
      <c r="N122" s="394"/>
      <c r="O122" s="394"/>
      <c r="P122" s="394"/>
      <c r="Q122" s="394"/>
      <c r="R122" s="394"/>
    </row>
    <row r="123" spans="1:18">
      <c r="A123" s="522"/>
      <c r="C123" s="394"/>
      <c r="D123" s="524"/>
      <c r="E123" s="534"/>
      <c r="F123" s="525"/>
      <c r="G123" s="394"/>
      <c r="H123" s="394"/>
      <c r="I123" s="394"/>
      <c r="J123" s="394"/>
      <c r="K123" s="394"/>
      <c r="L123" s="394"/>
      <c r="M123" s="394"/>
      <c r="N123" s="394"/>
      <c r="O123" s="394"/>
      <c r="P123" s="394"/>
      <c r="Q123" s="394"/>
      <c r="R123" s="394"/>
    </row>
    <row r="124" spans="1:18">
      <c r="A124" s="522"/>
      <c r="C124" s="394"/>
      <c r="D124" s="524"/>
      <c r="E124" s="534"/>
      <c r="F124" s="525"/>
      <c r="G124" s="394"/>
      <c r="H124" s="394"/>
      <c r="I124" s="394"/>
      <c r="J124" s="394"/>
      <c r="K124" s="394"/>
      <c r="L124" s="394"/>
      <c r="M124" s="394"/>
      <c r="N124" s="394"/>
      <c r="O124" s="394"/>
      <c r="P124" s="394"/>
      <c r="Q124" s="394"/>
      <c r="R124" s="394"/>
    </row>
    <row r="125" spans="1:18">
      <c r="A125" s="522"/>
      <c r="C125" s="394"/>
      <c r="D125" s="524"/>
      <c r="E125" s="534"/>
      <c r="F125" s="525"/>
      <c r="G125" s="394"/>
      <c r="H125" s="394"/>
      <c r="I125" s="394"/>
      <c r="J125" s="394"/>
      <c r="K125" s="394"/>
      <c r="L125" s="394"/>
      <c r="M125" s="394"/>
      <c r="N125" s="394"/>
      <c r="O125" s="394"/>
      <c r="P125" s="394"/>
      <c r="Q125" s="394"/>
      <c r="R125" s="394"/>
    </row>
    <row r="126" spans="1:18">
      <c r="A126" s="522"/>
      <c r="C126" s="394"/>
      <c r="D126" s="524"/>
      <c r="E126" s="534"/>
      <c r="F126" s="525"/>
      <c r="G126" s="394"/>
      <c r="H126" s="394"/>
      <c r="I126" s="394"/>
      <c r="J126" s="394"/>
      <c r="K126" s="394"/>
      <c r="L126" s="394"/>
      <c r="M126" s="394"/>
      <c r="N126" s="394"/>
      <c r="O126" s="394"/>
      <c r="P126" s="394"/>
      <c r="Q126" s="394"/>
      <c r="R126" s="394"/>
    </row>
    <row r="127" spans="1:18">
      <c r="A127" s="522"/>
      <c r="C127" s="394"/>
      <c r="D127" s="524"/>
      <c r="E127" s="534"/>
      <c r="F127" s="525"/>
      <c r="G127" s="394"/>
      <c r="H127" s="394"/>
      <c r="I127" s="394"/>
      <c r="J127" s="394"/>
      <c r="K127" s="394"/>
      <c r="L127" s="394"/>
      <c r="M127" s="394"/>
      <c r="N127" s="394"/>
      <c r="O127" s="394"/>
      <c r="P127" s="394"/>
      <c r="Q127" s="394"/>
      <c r="R127" s="394"/>
    </row>
    <row r="128" spans="1:18">
      <c r="A128" s="522"/>
      <c r="C128" s="394"/>
      <c r="D128" s="524"/>
      <c r="E128" s="534"/>
      <c r="F128" s="525"/>
      <c r="G128" s="394"/>
      <c r="H128" s="394"/>
      <c r="I128" s="394"/>
      <c r="J128" s="394"/>
      <c r="K128" s="394"/>
      <c r="L128" s="394"/>
      <c r="M128" s="394"/>
      <c r="N128" s="394"/>
      <c r="O128" s="394"/>
      <c r="P128" s="394"/>
      <c r="Q128" s="394"/>
      <c r="R128" s="394"/>
    </row>
    <row r="129" spans="1:18">
      <c r="A129" s="522"/>
      <c r="C129" s="394"/>
      <c r="D129" s="524"/>
      <c r="E129" s="534"/>
      <c r="F129" s="525"/>
      <c r="G129" s="394"/>
      <c r="H129" s="394"/>
      <c r="I129" s="394"/>
      <c r="J129" s="394"/>
      <c r="K129" s="394"/>
      <c r="L129" s="394"/>
      <c r="M129" s="394"/>
      <c r="N129" s="394"/>
      <c r="O129" s="394"/>
      <c r="P129" s="394"/>
      <c r="Q129" s="394"/>
      <c r="R129" s="394"/>
    </row>
    <row r="130" spans="1:18">
      <c r="A130" s="522"/>
      <c r="C130" s="394"/>
      <c r="D130" s="524"/>
      <c r="E130" s="534"/>
      <c r="F130" s="525"/>
      <c r="G130" s="394"/>
      <c r="H130" s="394"/>
      <c r="I130" s="394"/>
      <c r="J130" s="394"/>
      <c r="K130" s="394"/>
      <c r="L130" s="394"/>
      <c r="M130" s="394"/>
      <c r="N130" s="394"/>
      <c r="O130" s="394"/>
      <c r="P130" s="394"/>
      <c r="Q130" s="394"/>
      <c r="R130" s="394"/>
    </row>
    <row r="131" spans="1:18">
      <c r="A131" s="522"/>
      <c r="C131" s="394"/>
      <c r="D131" s="524"/>
      <c r="E131" s="534"/>
      <c r="F131" s="525"/>
      <c r="G131" s="394"/>
      <c r="H131" s="394"/>
      <c r="I131" s="394"/>
      <c r="J131" s="394"/>
      <c r="K131" s="394"/>
      <c r="L131" s="394"/>
      <c r="M131" s="394"/>
      <c r="N131" s="394"/>
      <c r="O131" s="394"/>
      <c r="P131" s="394"/>
      <c r="Q131" s="394"/>
      <c r="R131" s="394"/>
    </row>
    <row r="132" spans="1:18">
      <c r="A132" s="522"/>
      <c r="C132" s="394"/>
      <c r="D132" s="524"/>
      <c r="E132" s="534"/>
      <c r="F132" s="525"/>
      <c r="G132" s="394"/>
      <c r="H132" s="394"/>
      <c r="I132" s="394"/>
      <c r="J132" s="394"/>
      <c r="K132" s="394"/>
      <c r="L132" s="394"/>
      <c r="M132" s="394"/>
      <c r="N132" s="394"/>
      <c r="O132" s="394"/>
      <c r="P132" s="394"/>
      <c r="Q132" s="394"/>
      <c r="R132" s="394"/>
    </row>
    <row r="133" spans="1:18">
      <c r="A133" s="522"/>
      <c r="C133" s="394"/>
      <c r="D133" s="524"/>
      <c r="E133" s="534"/>
      <c r="F133" s="525"/>
      <c r="G133" s="394"/>
      <c r="H133" s="394"/>
      <c r="I133" s="394"/>
      <c r="J133" s="394"/>
      <c r="K133" s="394"/>
      <c r="L133" s="394"/>
      <c r="M133" s="394"/>
      <c r="N133" s="394"/>
      <c r="O133" s="394"/>
      <c r="P133" s="394"/>
      <c r="Q133" s="394"/>
      <c r="R133" s="394"/>
    </row>
    <row r="134" spans="1:18">
      <c r="A134" s="522"/>
      <c r="C134" s="394"/>
      <c r="D134" s="524"/>
      <c r="E134" s="534"/>
      <c r="F134" s="525"/>
      <c r="G134" s="394"/>
      <c r="H134" s="394"/>
      <c r="I134" s="394"/>
      <c r="J134" s="394"/>
      <c r="K134" s="394"/>
      <c r="L134" s="394"/>
      <c r="M134" s="394"/>
      <c r="N134" s="394"/>
      <c r="O134" s="394"/>
      <c r="P134" s="394"/>
      <c r="Q134" s="394"/>
      <c r="R134" s="394"/>
    </row>
    <row r="135" spans="1:18">
      <c r="A135" s="522"/>
      <c r="C135" s="394"/>
      <c r="D135" s="524"/>
      <c r="E135" s="534"/>
      <c r="F135" s="525"/>
      <c r="G135" s="394"/>
      <c r="H135" s="394"/>
      <c r="I135" s="394"/>
      <c r="J135" s="394"/>
      <c r="K135" s="394"/>
      <c r="L135" s="394"/>
      <c r="M135" s="394"/>
      <c r="N135" s="394"/>
      <c r="O135" s="394"/>
      <c r="P135" s="394"/>
      <c r="Q135" s="394"/>
      <c r="R135" s="394"/>
    </row>
    <row r="136" spans="1:18">
      <c r="A136" s="522"/>
      <c r="C136" s="394"/>
      <c r="D136" s="524"/>
      <c r="E136" s="534"/>
      <c r="F136" s="525"/>
      <c r="G136" s="394"/>
      <c r="H136" s="394"/>
      <c r="I136" s="394"/>
      <c r="J136" s="394"/>
      <c r="K136" s="394"/>
      <c r="L136" s="394"/>
      <c r="M136" s="394"/>
      <c r="N136" s="394"/>
      <c r="O136" s="394"/>
      <c r="P136" s="394"/>
      <c r="Q136" s="394"/>
      <c r="R136" s="394"/>
    </row>
    <row r="137" spans="1:18">
      <c r="A137" s="522"/>
      <c r="C137" s="394"/>
      <c r="D137" s="524"/>
      <c r="E137" s="534"/>
      <c r="F137" s="525"/>
      <c r="G137" s="394"/>
      <c r="H137" s="394"/>
      <c r="I137" s="394"/>
      <c r="J137" s="394"/>
      <c r="K137" s="394"/>
      <c r="L137" s="394"/>
      <c r="M137" s="394"/>
      <c r="N137" s="394"/>
      <c r="O137" s="394"/>
      <c r="P137" s="394"/>
      <c r="Q137" s="394"/>
      <c r="R137" s="394"/>
    </row>
    <row r="138" spans="1:18">
      <c r="A138" s="522"/>
      <c r="C138" s="394"/>
      <c r="D138" s="524"/>
      <c r="E138" s="534"/>
      <c r="F138" s="525"/>
      <c r="G138" s="394"/>
      <c r="H138" s="394"/>
      <c r="I138" s="394"/>
      <c r="J138" s="394"/>
      <c r="K138" s="394"/>
      <c r="L138" s="394"/>
      <c r="M138" s="394"/>
      <c r="N138" s="394"/>
      <c r="O138" s="394"/>
      <c r="P138" s="394"/>
      <c r="Q138" s="394"/>
      <c r="R138" s="394"/>
    </row>
    <row r="139" spans="1:18">
      <c r="A139" s="522"/>
      <c r="C139" s="394"/>
      <c r="D139" s="524"/>
      <c r="E139" s="534"/>
      <c r="F139" s="525"/>
      <c r="G139" s="394"/>
      <c r="H139" s="394"/>
      <c r="I139" s="394"/>
      <c r="J139" s="394"/>
      <c r="K139" s="394"/>
      <c r="L139" s="394"/>
      <c r="M139" s="394"/>
      <c r="N139" s="394"/>
      <c r="O139" s="394"/>
      <c r="P139" s="394"/>
      <c r="Q139" s="394"/>
      <c r="R139" s="394"/>
    </row>
    <row r="140" spans="1:18">
      <c r="A140" s="522"/>
      <c r="C140" s="394"/>
      <c r="D140" s="524"/>
      <c r="E140" s="534"/>
      <c r="F140" s="525"/>
      <c r="G140" s="394"/>
      <c r="H140" s="394"/>
      <c r="I140" s="394"/>
      <c r="J140" s="394"/>
      <c r="K140" s="394"/>
      <c r="L140" s="394"/>
      <c r="M140" s="394"/>
      <c r="N140" s="394"/>
      <c r="O140" s="394"/>
      <c r="P140" s="394"/>
      <c r="Q140" s="394"/>
      <c r="R140" s="394"/>
    </row>
    <row r="141" spans="1:18">
      <c r="A141" s="522"/>
      <c r="C141" s="394"/>
      <c r="D141" s="524"/>
      <c r="E141" s="534"/>
      <c r="F141" s="525"/>
      <c r="G141" s="394"/>
      <c r="H141" s="394"/>
      <c r="I141" s="394"/>
      <c r="J141" s="394"/>
      <c r="K141" s="394"/>
      <c r="L141" s="394"/>
      <c r="M141" s="394"/>
      <c r="N141" s="394"/>
      <c r="O141" s="394"/>
      <c r="P141" s="394"/>
      <c r="Q141" s="394"/>
      <c r="R141" s="394"/>
    </row>
    <row r="142" spans="1:18">
      <c r="A142" s="522"/>
      <c r="C142" s="394"/>
      <c r="D142" s="524"/>
      <c r="E142" s="534"/>
      <c r="F142" s="525"/>
      <c r="G142" s="394"/>
      <c r="H142" s="394"/>
      <c r="I142" s="394"/>
      <c r="J142" s="394"/>
      <c r="K142" s="394"/>
      <c r="L142" s="394"/>
      <c r="M142" s="394"/>
      <c r="N142" s="394"/>
      <c r="O142" s="394"/>
      <c r="P142" s="394"/>
      <c r="Q142" s="394"/>
      <c r="R142" s="394"/>
    </row>
    <row r="143" spans="1:18">
      <c r="A143" s="522"/>
      <c r="C143" s="394"/>
      <c r="D143" s="524"/>
      <c r="E143" s="534"/>
      <c r="F143" s="525"/>
      <c r="G143" s="394"/>
      <c r="H143" s="394"/>
      <c r="I143" s="394"/>
      <c r="J143" s="394"/>
      <c r="K143" s="394"/>
      <c r="L143" s="394"/>
      <c r="M143" s="394"/>
      <c r="N143" s="394"/>
      <c r="O143" s="394"/>
      <c r="P143" s="394"/>
      <c r="Q143" s="394"/>
      <c r="R143" s="394"/>
    </row>
    <row r="144" spans="1:18">
      <c r="A144" s="522"/>
      <c r="C144" s="394"/>
      <c r="D144" s="524"/>
      <c r="E144" s="534"/>
      <c r="F144" s="525"/>
      <c r="G144" s="394"/>
      <c r="H144" s="394"/>
      <c r="I144" s="394"/>
      <c r="J144" s="394"/>
      <c r="K144" s="394"/>
      <c r="L144" s="394"/>
      <c r="M144" s="394"/>
      <c r="N144" s="394"/>
      <c r="O144" s="394"/>
      <c r="P144" s="394"/>
      <c r="Q144" s="394"/>
      <c r="R144" s="394"/>
    </row>
    <row r="145" spans="1:18">
      <c r="A145" s="522"/>
      <c r="C145" s="394"/>
      <c r="D145" s="524"/>
      <c r="E145" s="534"/>
      <c r="F145" s="525"/>
      <c r="G145" s="394"/>
      <c r="H145" s="394"/>
      <c r="I145" s="394"/>
      <c r="J145" s="394"/>
      <c r="K145" s="394"/>
      <c r="L145" s="394"/>
      <c r="M145" s="394"/>
      <c r="N145" s="394"/>
      <c r="O145" s="394"/>
      <c r="P145" s="394"/>
      <c r="Q145" s="394"/>
      <c r="R145" s="394"/>
    </row>
    <row r="146" spans="1:18">
      <c r="A146" s="522"/>
      <c r="C146" s="394"/>
      <c r="D146" s="524"/>
      <c r="E146" s="534"/>
      <c r="F146" s="525"/>
      <c r="G146" s="394"/>
      <c r="H146" s="394"/>
      <c r="I146" s="394"/>
      <c r="J146" s="394"/>
      <c r="K146" s="394"/>
      <c r="L146" s="394"/>
      <c r="M146" s="394"/>
      <c r="N146" s="394"/>
      <c r="O146" s="394"/>
      <c r="P146" s="394"/>
      <c r="Q146" s="394"/>
      <c r="R146" s="394"/>
    </row>
    <row r="147" spans="1:18">
      <c r="A147" s="522"/>
      <c r="C147" s="394"/>
      <c r="D147" s="524"/>
      <c r="E147" s="534"/>
      <c r="F147" s="525"/>
      <c r="G147" s="394"/>
      <c r="H147" s="394"/>
      <c r="I147" s="394"/>
      <c r="J147" s="394"/>
      <c r="K147" s="394"/>
      <c r="L147" s="394"/>
      <c r="M147" s="394"/>
      <c r="N147" s="394"/>
      <c r="O147" s="394"/>
      <c r="P147" s="394"/>
      <c r="Q147" s="394"/>
      <c r="R147" s="394"/>
    </row>
    <row r="148" spans="1:18">
      <c r="A148" s="522"/>
      <c r="C148" s="394"/>
      <c r="D148" s="524"/>
      <c r="E148" s="534"/>
      <c r="F148" s="525"/>
      <c r="G148" s="394"/>
      <c r="H148" s="394"/>
      <c r="I148" s="394"/>
      <c r="J148" s="394"/>
      <c r="K148" s="394"/>
      <c r="L148" s="394"/>
      <c r="M148" s="394"/>
      <c r="N148" s="394"/>
      <c r="O148" s="394"/>
      <c r="P148" s="394"/>
      <c r="Q148" s="394"/>
      <c r="R148" s="394"/>
    </row>
    <row r="149" spans="1:18">
      <c r="A149" s="522"/>
      <c r="C149" s="394"/>
      <c r="D149" s="524"/>
      <c r="E149" s="534"/>
      <c r="F149" s="525"/>
      <c r="G149" s="394"/>
      <c r="H149" s="394"/>
      <c r="I149" s="394"/>
      <c r="J149" s="394"/>
      <c r="K149" s="394"/>
      <c r="L149" s="394"/>
      <c r="M149" s="394"/>
      <c r="N149" s="394"/>
      <c r="O149" s="394"/>
      <c r="P149" s="394"/>
      <c r="Q149" s="394"/>
      <c r="R149" s="394"/>
    </row>
    <row r="150" spans="1:18">
      <c r="A150" s="522"/>
      <c r="C150" s="394"/>
      <c r="D150" s="524"/>
      <c r="E150" s="534"/>
      <c r="F150" s="525"/>
      <c r="G150" s="394"/>
      <c r="H150" s="394"/>
      <c r="I150" s="394"/>
      <c r="J150" s="394"/>
      <c r="K150" s="394"/>
      <c r="L150" s="394"/>
      <c r="M150" s="394"/>
      <c r="N150" s="394"/>
      <c r="O150" s="394"/>
      <c r="P150" s="394"/>
      <c r="Q150" s="394"/>
      <c r="R150" s="394"/>
    </row>
    <row r="151" spans="1:18">
      <c r="A151" s="522"/>
      <c r="C151" s="394"/>
      <c r="D151" s="524"/>
      <c r="E151" s="534"/>
      <c r="F151" s="525"/>
      <c r="G151" s="394"/>
      <c r="H151" s="394"/>
      <c r="I151" s="394"/>
      <c r="J151" s="394"/>
      <c r="K151" s="394"/>
      <c r="L151" s="394"/>
      <c r="M151" s="394"/>
      <c r="N151" s="394"/>
      <c r="O151" s="394"/>
      <c r="P151" s="394"/>
      <c r="Q151" s="394"/>
      <c r="R151" s="394"/>
    </row>
    <row r="152" spans="1:18">
      <c r="A152" s="522"/>
      <c r="C152" s="394"/>
      <c r="D152" s="524"/>
      <c r="E152" s="534"/>
      <c r="F152" s="525"/>
      <c r="G152" s="394"/>
      <c r="H152" s="394"/>
      <c r="I152" s="394"/>
      <c r="J152" s="394"/>
      <c r="K152" s="394"/>
      <c r="L152" s="394"/>
      <c r="M152" s="394"/>
      <c r="N152" s="394"/>
      <c r="O152" s="394"/>
      <c r="P152" s="394"/>
      <c r="Q152" s="394"/>
      <c r="R152" s="394"/>
    </row>
    <row r="153" spans="1:18">
      <c r="A153" s="522"/>
      <c r="C153" s="394"/>
      <c r="D153" s="524"/>
      <c r="E153" s="534"/>
      <c r="F153" s="525"/>
      <c r="G153" s="394"/>
      <c r="H153" s="394"/>
      <c r="I153" s="394"/>
      <c r="J153" s="394"/>
      <c r="K153" s="394"/>
      <c r="L153" s="394"/>
      <c r="M153" s="394"/>
      <c r="N153" s="394"/>
      <c r="O153" s="394"/>
      <c r="P153" s="394"/>
      <c r="Q153" s="394"/>
      <c r="R153" s="394"/>
    </row>
    <row r="154" spans="1:18">
      <c r="A154" s="522"/>
      <c r="C154" s="394"/>
      <c r="D154" s="524"/>
      <c r="E154" s="534"/>
      <c r="F154" s="525"/>
      <c r="G154" s="394"/>
      <c r="H154" s="394"/>
      <c r="I154" s="394"/>
      <c r="J154" s="394"/>
      <c r="K154" s="394"/>
      <c r="L154" s="394"/>
      <c r="M154" s="394"/>
      <c r="N154" s="394"/>
      <c r="O154" s="394"/>
      <c r="P154" s="394"/>
      <c r="Q154" s="394"/>
      <c r="R154" s="394"/>
    </row>
    <row r="155" spans="1:18">
      <c r="A155" s="522"/>
      <c r="C155" s="394"/>
      <c r="D155" s="524"/>
      <c r="E155" s="534"/>
      <c r="F155" s="525"/>
      <c r="G155" s="394"/>
      <c r="H155" s="394"/>
      <c r="I155" s="394"/>
      <c r="J155" s="394"/>
      <c r="K155" s="394"/>
      <c r="L155" s="394"/>
      <c r="M155" s="394"/>
      <c r="N155" s="394"/>
      <c r="O155" s="394"/>
      <c r="P155" s="394"/>
      <c r="Q155" s="394"/>
      <c r="R155" s="394"/>
    </row>
    <row r="156" spans="1:18">
      <c r="A156" s="522"/>
      <c r="C156" s="394"/>
      <c r="D156" s="524"/>
      <c r="E156" s="534"/>
      <c r="F156" s="525"/>
      <c r="G156" s="394"/>
      <c r="H156" s="394"/>
      <c r="I156" s="394"/>
      <c r="J156" s="394"/>
      <c r="K156" s="394"/>
      <c r="L156" s="394"/>
      <c r="M156" s="394"/>
      <c r="N156" s="394"/>
      <c r="O156" s="394"/>
      <c r="P156" s="394"/>
      <c r="Q156" s="394"/>
      <c r="R156" s="394"/>
    </row>
    <row r="157" spans="1:18">
      <c r="A157" s="522"/>
      <c r="C157" s="394"/>
      <c r="D157" s="524"/>
      <c r="E157" s="534"/>
      <c r="F157" s="525"/>
      <c r="G157" s="394"/>
      <c r="H157" s="394"/>
      <c r="I157" s="394"/>
      <c r="J157" s="394"/>
      <c r="K157" s="394"/>
      <c r="L157" s="394"/>
      <c r="M157" s="394"/>
      <c r="N157" s="394"/>
      <c r="O157" s="394"/>
      <c r="P157" s="394"/>
      <c r="Q157" s="394"/>
      <c r="R157" s="394"/>
    </row>
    <row r="158" spans="1:18">
      <c r="A158" s="522"/>
      <c r="C158" s="394"/>
      <c r="D158" s="524"/>
      <c r="E158" s="534"/>
      <c r="F158" s="525"/>
      <c r="G158" s="394"/>
      <c r="H158" s="394"/>
      <c r="I158" s="394"/>
      <c r="J158" s="394"/>
      <c r="K158" s="394"/>
      <c r="L158" s="394"/>
      <c r="M158" s="394"/>
      <c r="N158" s="394"/>
      <c r="O158" s="394"/>
      <c r="P158" s="394"/>
      <c r="Q158" s="394"/>
      <c r="R158" s="394"/>
    </row>
    <row r="159" spans="1:18">
      <c r="A159" s="522"/>
      <c r="C159" s="394"/>
      <c r="D159" s="524"/>
      <c r="E159" s="534"/>
      <c r="F159" s="525"/>
      <c r="G159" s="394"/>
      <c r="H159" s="394"/>
      <c r="I159" s="394"/>
      <c r="J159" s="394"/>
      <c r="K159" s="394"/>
      <c r="L159" s="394"/>
      <c r="M159" s="394"/>
      <c r="N159" s="394"/>
      <c r="O159" s="394"/>
      <c r="P159" s="394"/>
      <c r="Q159" s="394"/>
      <c r="R159" s="394"/>
    </row>
    <row r="160" spans="1:18">
      <c r="A160" s="522"/>
      <c r="C160" s="394"/>
      <c r="D160" s="524"/>
      <c r="E160" s="534"/>
      <c r="F160" s="525"/>
      <c r="G160" s="394"/>
      <c r="H160" s="394"/>
      <c r="I160" s="394"/>
      <c r="J160" s="394"/>
      <c r="K160" s="394"/>
      <c r="L160" s="394"/>
      <c r="M160" s="394"/>
      <c r="N160" s="394"/>
      <c r="O160" s="394"/>
      <c r="P160" s="394"/>
      <c r="Q160" s="394"/>
      <c r="R160" s="394"/>
    </row>
    <row r="161" spans="1:18">
      <c r="A161" s="522"/>
      <c r="C161" s="394"/>
      <c r="D161" s="524"/>
      <c r="E161" s="534"/>
      <c r="F161" s="525"/>
      <c r="G161" s="394"/>
      <c r="H161" s="394"/>
      <c r="I161" s="394"/>
      <c r="J161" s="394"/>
      <c r="K161" s="394"/>
      <c r="L161" s="394"/>
      <c r="M161" s="394"/>
      <c r="N161" s="394"/>
      <c r="O161" s="394"/>
      <c r="P161" s="394"/>
      <c r="Q161" s="394"/>
      <c r="R161" s="394"/>
    </row>
    <row r="162" spans="1:18">
      <c r="A162" s="522"/>
      <c r="C162" s="394"/>
      <c r="D162" s="524"/>
      <c r="E162" s="534"/>
      <c r="F162" s="525"/>
      <c r="G162" s="394"/>
      <c r="H162" s="394"/>
      <c r="I162" s="394"/>
      <c r="J162" s="394"/>
      <c r="K162" s="394"/>
      <c r="L162" s="394"/>
      <c r="M162" s="394"/>
      <c r="N162" s="394"/>
      <c r="O162" s="394"/>
      <c r="P162" s="394"/>
      <c r="Q162" s="394"/>
      <c r="R162" s="394"/>
    </row>
    <row r="163" spans="1:18">
      <c r="A163" s="522"/>
      <c r="C163" s="394"/>
      <c r="D163" s="524"/>
      <c r="E163" s="534"/>
      <c r="F163" s="525"/>
      <c r="G163" s="394"/>
      <c r="H163" s="394"/>
      <c r="I163" s="394"/>
      <c r="J163" s="394"/>
      <c r="K163" s="394"/>
      <c r="L163" s="394"/>
      <c r="M163" s="394"/>
      <c r="N163" s="394"/>
      <c r="O163" s="394"/>
      <c r="P163" s="394"/>
      <c r="Q163" s="394"/>
      <c r="R163" s="394"/>
    </row>
    <row r="164" spans="1:18">
      <c r="A164" s="522"/>
      <c r="C164" s="394"/>
      <c r="D164" s="524"/>
      <c r="E164" s="534"/>
      <c r="F164" s="525"/>
      <c r="G164" s="394"/>
      <c r="H164" s="394"/>
      <c r="I164" s="394"/>
      <c r="J164" s="394"/>
      <c r="K164" s="394"/>
      <c r="L164" s="394"/>
      <c r="M164" s="394"/>
      <c r="N164" s="394"/>
      <c r="O164" s="394"/>
      <c r="P164" s="394"/>
      <c r="Q164" s="394"/>
      <c r="R164" s="394"/>
    </row>
    <row r="165" spans="1:18">
      <c r="A165" s="522"/>
      <c r="C165" s="394"/>
      <c r="D165" s="524"/>
      <c r="E165" s="534"/>
      <c r="F165" s="525"/>
      <c r="G165" s="394"/>
      <c r="H165" s="394"/>
      <c r="I165" s="394"/>
      <c r="J165" s="394"/>
      <c r="K165" s="394"/>
      <c r="L165" s="394"/>
      <c r="M165" s="394"/>
      <c r="N165" s="394"/>
      <c r="O165" s="394"/>
      <c r="P165" s="394"/>
      <c r="Q165" s="394"/>
      <c r="R165" s="394"/>
    </row>
    <row r="166" spans="1:18">
      <c r="A166" s="522"/>
      <c r="C166" s="394"/>
      <c r="D166" s="524"/>
      <c r="E166" s="534"/>
      <c r="F166" s="525"/>
      <c r="G166" s="394"/>
      <c r="H166" s="394"/>
      <c r="I166" s="394"/>
      <c r="J166" s="394"/>
      <c r="K166" s="394"/>
      <c r="L166" s="394"/>
      <c r="M166" s="394"/>
      <c r="N166" s="394"/>
      <c r="O166" s="394"/>
      <c r="P166" s="394"/>
      <c r="Q166" s="394"/>
      <c r="R166" s="394"/>
    </row>
    <row r="167" spans="1:18">
      <c r="A167" s="522"/>
      <c r="C167" s="394"/>
      <c r="D167" s="524"/>
      <c r="E167" s="534"/>
      <c r="F167" s="525"/>
      <c r="G167" s="394"/>
      <c r="H167" s="394"/>
      <c r="I167" s="394"/>
      <c r="J167" s="394"/>
      <c r="K167" s="394"/>
      <c r="L167" s="394"/>
      <c r="M167" s="394"/>
      <c r="N167" s="394"/>
      <c r="O167" s="394"/>
      <c r="P167" s="394"/>
      <c r="Q167" s="394"/>
      <c r="R167" s="394"/>
    </row>
    <row r="168" spans="1:18">
      <c r="A168" s="522"/>
      <c r="C168" s="394"/>
      <c r="D168" s="524"/>
      <c r="E168" s="534"/>
      <c r="F168" s="525"/>
      <c r="G168" s="394"/>
      <c r="H168" s="394"/>
      <c r="I168" s="394"/>
      <c r="J168" s="394"/>
      <c r="K168" s="394"/>
      <c r="L168" s="394"/>
      <c r="M168" s="394"/>
      <c r="N168" s="394"/>
      <c r="O168" s="394"/>
      <c r="P168" s="394"/>
      <c r="Q168" s="394"/>
      <c r="R168" s="394"/>
    </row>
    <row r="169" spans="1:18">
      <c r="A169" s="522"/>
      <c r="C169" s="394"/>
      <c r="D169" s="524"/>
      <c r="E169" s="534"/>
      <c r="F169" s="525"/>
      <c r="G169" s="394"/>
      <c r="H169" s="394"/>
      <c r="I169" s="394"/>
      <c r="J169" s="394"/>
      <c r="K169" s="394"/>
      <c r="L169" s="394"/>
      <c r="M169" s="394"/>
      <c r="N169" s="394"/>
      <c r="O169" s="394"/>
      <c r="P169" s="394"/>
      <c r="Q169" s="394"/>
      <c r="R169" s="394"/>
    </row>
    <row r="170" spans="1:18">
      <c r="A170" s="522"/>
      <c r="C170" s="394"/>
      <c r="D170" s="524"/>
      <c r="E170" s="534"/>
      <c r="F170" s="525"/>
      <c r="G170" s="394"/>
      <c r="H170" s="394"/>
      <c r="I170" s="394"/>
      <c r="J170" s="394"/>
      <c r="K170" s="394"/>
      <c r="L170" s="394"/>
      <c r="M170" s="394"/>
      <c r="N170" s="394"/>
      <c r="O170" s="394"/>
      <c r="P170" s="394"/>
      <c r="Q170" s="394"/>
      <c r="R170" s="394"/>
    </row>
    <row r="171" spans="1:18">
      <c r="A171" s="522"/>
      <c r="C171" s="394"/>
      <c r="D171" s="524"/>
      <c r="E171" s="534"/>
      <c r="F171" s="525"/>
      <c r="G171" s="394"/>
      <c r="H171" s="394"/>
      <c r="I171" s="394"/>
      <c r="J171" s="394"/>
      <c r="K171" s="394"/>
      <c r="L171" s="394"/>
      <c r="M171" s="394"/>
      <c r="N171" s="394"/>
      <c r="O171" s="394"/>
      <c r="P171" s="394"/>
      <c r="Q171" s="394"/>
      <c r="R171" s="394"/>
    </row>
    <row r="172" spans="1:18">
      <c r="A172" s="522"/>
      <c r="C172" s="394"/>
      <c r="D172" s="524"/>
      <c r="E172" s="534"/>
      <c r="F172" s="525"/>
      <c r="G172" s="394"/>
      <c r="H172" s="394"/>
      <c r="I172" s="394"/>
      <c r="J172" s="394"/>
      <c r="K172" s="394"/>
      <c r="L172" s="394"/>
      <c r="M172" s="394"/>
      <c r="N172" s="394"/>
      <c r="O172" s="394"/>
      <c r="P172" s="394"/>
      <c r="Q172" s="394"/>
      <c r="R172" s="394"/>
    </row>
    <row r="173" spans="1:18">
      <c r="A173" s="522"/>
      <c r="C173" s="394"/>
      <c r="D173" s="524"/>
      <c r="E173" s="534"/>
      <c r="F173" s="525"/>
      <c r="G173" s="394"/>
      <c r="H173" s="394"/>
      <c r="I173" s="394"/>
      <c r="J173" s="394"/>
      <c r="K173" s="394"/>
      <c r="L173" s="394"/>
      <c r="M173" s="394"/>
      <c r="N173" s="394"/>
      <c r="O173" s="394"/>
      <c r="P173" s="394"/>
      <c r="Q173" s="394"/>
      <c r="R173" s="394"/>
    </row>
    <row r="174" spans="1:18">
      <c r="A174" s="522"/>
      <c r="C174" s="394"/>
      <c r="D174" s="524"/>
      <c r="E174" s="534"/>
      <c r="F174" s="525"/>
      <c r="G174" s="394"/>
      <c r="H174" s="394"/>
      <c r="I174" s="394"/>
      <c r="J174" s="394"/>
      <c r="K174" s="394"/>
      <c r="L174" s="394"/>
      <c r="M174" s="394"/>
      <c r="N174" s="394"/>
      <c r="O174" s="394"/>
      <c r="P174" s="394"/>
      <c r="Q174" s="394"/>
      <c r="R174" s="394"/>
    </row>
    <row r="175" spans="1:18">
      <c r="A175" s="522"/>
      <c r="C175" s="394"/>
      <c r="D175" s="524"/>
      <c r="E175" s="534"/>
      <c r="F175" s="525"/>
      <c r="G175" s="394"/>
      <c r="H175" s="394"/>
      <c r="I175" s="394"/>
      <c r="J175" s="394"/>
      <c r="K175" s="394"/>
      <c r="L175" s="394"/>
      <c r="M175" s="394"/>
      <c r="N175" s="394"/>
      <c r="O175" s="394"/>
      <c r="P175" s="394"/>
      <c r="Q175" s="394"/>
      <c r="R175" s="394"/>
    </row>
    <row r="176" spans="1:18">
      <c r="A176" s="522"/>
      <c r="C176" s="394"/>
      <c r="D176" s="524"/>
      <c r="E176" s="534"/>
      <c r="F176" s="525"/>
      <c r="G176" s="394"/>
      <c r="H176" s="394"/>
      <c r="I176" s="394"/>
      <c r="J176" s="394"/>
      <c r="K176" s="394"/>
      <c r="L176" s="394"/>
      <c r="M176" s="394"/>
      <c r="N176" s="394"/>
      <c r="O176" s="394"/>
      <c r="P176" s="394"/>
      <c r="Q176" s="394"/>
      <c r="R176" s="394"/>
    </row>
    <row r="177" spans="1:18">
      <c r="A177" s="522"/>
      <c r="C177" s="394"/>
      <c r="D177" s="524"/>
      <c r="E177" s="534"/>
      <c r="F177" s="525"/>
      <c r="G177" s="394"/>
      <c r="H177" s="394"/>
      <c r="I177" s="394"/>
      <c r="J177" s="394"/>
      <c r="K177" s="394"/>
      <c r="L177" s="394"/>
      <c r="M177" s="394"/>
      <c r="N177" s="394"/>
      <c r="O177" s="394"/>
      <c r="P177" s="394"/>
      <c r="Q177" s="394"/>
      <c r="R177" s="394"/>
    </row>
    <row r="178" spans="1:18">
      <c r="A178" s="522"/>
      <c r="C178" s="394"/>
      <c r="D178" s="524"/>
      <c r="E178" s="534"/>
      <c r="F178" s="525"/>
      <c r="G178" s="394"/>
      <c r="H178" s="394"/>
      <c r="I178" s="394"/>
      <c r="J178" s="394"/>
      <c r="K178" s="394"/>
      <c r="L178" s="394"/>
      <c r="M178" s="394"/>
      <c r="N178" s="394"/>
      <c r="O178" s="394"/>
      <c r="P178" s="394"/>
      <c r="Q178" s="394"/>
      <c r="R178" s="394"/>
    </row>
    <row r="179" spans="1:18">
      <c r="A179" s="522"/>
      <c r="C179" s="394"/>
      <c r="D179" s="524"/>
      <c r="E179" s="534"/>
      <c r="F179" s="525"/>
      <c r="G179" s="394"/>
      <c r="H179" s="394"/>
      <c r="I179" s="394"/>
      <c r="J179" s="394"/>
      <c r="K179" s="394"/>
      <c r="L179" s="394"/>
      <c r="M179" s="394"/>
      <c r="N179" s="394"/>
      <c r="O179" s="394"/>
      <c r="P179" s="394"/>
      <c r="Q179" s="394"/>
      <c r="R179" s="394"/>
    </row>
    <row r="180" spans="1:18">
      <c r="A180" s="522"/>
      <c r="C180" s="394"/>
      <c r="D180" s="524"/>
      <c r="E180" s="534"/>
      <c r="F180" s="525"/>
      <c r="G180" s="394"/>
      <c r="H180" s="394"/>
      <c r="I180" s="394"/>
      <c r="J180" s="394"/>
      <c r="K180" s="394"/>
      <c r="L180" s="394"/>
      <c r="M180" s="394"/>
      <c r="N180" s="394"/>
      <c r="O180" s="394"/>
      <c r="P180" s="394"/>
      <c r="Q180" s="394"/>
      <c r="R180" s="394"/>
    </row>
    <row r="181" spans="1:18">
      <c r="A181" s="522"/>
      <c r="C181" s="394"/>
      <c r="D181" s="524"/>
      <c r="E181" s="534"/>
      <c r="F181" s="525"/>
      <c r="G181" s="394"/>
      <c r="H181" s="394"/>
      <c r="I181" s="394"/>
      <c r="J181" s="394"/>
      <c r="K181" s="394"/>
      <c r="L181" s="394"/>
      <c r="M181" s="394"/>
      <c r="N181" s="394"/>
      <c r="O181" s="394"/>
      <c r="P181" s="394"/>
      <c r="Q181" s="394"/>
      <c r="R181" s="394"/>
    </row>
    <row r="182" spans="1:18">
      <c r="A182" s="522"/>
      <c r="C182" s="394"/>
      <c r="D182" s="524"/>
      <c r="E182" s="534"/>
      <c r="F182" s="525"/>
      <c r="G182" s="394"/>
      <c r="H182" s="394"/>
      <c r="I182" s="394"/>
      <c r="J182" s="394"/>
      <c r="K182" s="394"/>
      <c r="L182" s="394"/>
      <c r="M182" s="394"/>
      <c r="N182" s="394"/>
      <c r="O182" s="394"/>
      <c r="P182" s="394"/>
      <c r="Q182" s="394"/>
      <c r="R182" s="394"/>
    </row>
    <row r="183" spans="1:18">
      <c r="A183" s="522"/>
      <c r="C183" s="394"/>
      <c r="D183" s="524"/>
      <c r="E183" s="534"/>
      <c r="F183" s="525"/>
      <c r="G183" s="394"/>
      <c r="H183" s="394"/>
      <c r="I183" s="394"/>
      <c r="J183" s="394"/>
      <c r="K183" s="394"/>
      <c r="L183" s="394"/>
      <c r="M183" s="394"/>
      <c r="N183" s="394"/>
      <c r="O183" s="394"/>
      <c r="P183" s="394"/>
      <c r="Q183" s="394"/>
      <c r="R183" s="394"/>
    </row>
    <row r="184" spans="1:18">
      <c r="A184" s="522"/>
      <c r="C184" s="394"/>
      <c r="D184" s="524"/>
      <c r="E184" s="534"/>
      <c r="F184" s="525"/>
      <c r="G184" s="394"/>
      <c r="H184" s="394"/>
      <c r="I184" s="394"/>
      <c r="J184" s="394"/>
      <c r="K184" s="394"/>
      <c r="L184" s="394"/>
      <c r="M184" s="394"/>
      <c r="N184" s="394"/>
      <c r="O184" s="394"/>
      <c r="P184" s="394"/>
      <c r="Q184" s="394"/>
      <c r="R184" s="394"/>
    </row>
    <row r="185" spans="1:18">
      <c r="A185" s="522"/>
      <c r="C185" s="394"/>
      <c r="D185" s="524"/>
      <c r="E185" s="534"/>
      <c r="F185" s="525"/>
      <c r="G185" s="394"/>
      <c r="H185" s="394"/>
      <c r="I185" s="394"/>
      <c r="J185" s="394"/>
      <c r="K185" s="394"/>
      <c r="L185" s="394"/>
      <c r="M185" s="394"/>
      <c r="N185" s="394"/>
      <c r="O185" s="394"/>
      <c r="P185" s="394"/>
      <c r="Q185" s="394"/>
      <c r="R185" s="394"/>
    </row>
    <row r="186" spans="1:18">
      <c r="A186" s="522"/>
      <c r="C186" s="394"/>
      <c r="D186" s="524"/>
      <c r="E186" s="534"/>
      <c r="F186" s="525"/>
      <c r="G186" s="394"/>
      <c r="H186" s="394"/>
      <c r="I186" s="394"/>
      <c r="J186" s="394"/>
      <c r="K186" s="394"/>
      <c r="L186" s="394"/>
      <c r="M186" s="394"/>
      <c r="N186" s="394"/>
      <c r="O186" s="394"/>
      <c r="P186" s="394"/>
      <c r="Q186" s="394"/>
      <c r="R186" s="394"/>
    </row>
    <row r="187" spans="1:18">
      <c r="A187" s="522"/>
      <c r="C187" s="394"/>
      <c r="D187" s="524"/>
      <c r="E187" s="534"/>
      <c r="F187" s="525"/>
      <c r="G187" s="394"/>
      <c r="H187" s="394"/>
      <c r="I187" s="394"/>
      <c r="J187" s="394"/>
      <c r="K187" s="394"/>
      <c r="L187" s="394"/>
      <c r="M187" s="394"/>
      <c r="N187" s="394"/>
      <c r="O187" s="394"/>
      <c r="P187" s="394"/>
      <c r="Q187" s="394"/>
      <c r="R187" s="394"/>
    </row>
    <row r="188" spans="1:18">
      <c r="A188" s="522"/>
      <c r="C188" s="394"/>
      <c r="D188" s="524"/>
      <c r="E188" s="534"/>
      <c r="F188" s="525"/>
      <c r="G188" s="394"/>
      <c r="H188" s="394"/>
      <c r="I188" s="394"/>
      <c r="J188" s="394"/>
      <c r="K188" s="394"/>
      <c r="L188" s="394"/>
      <c r="M188" s="394"/>
      <c r="N188" s="394"/>
      <c r="O188" s="394"/>
      <c r="P188" s="394"/>
      <c r="Q188" s="394"/>
      <c r="R188" s="394"/>
    </row>
    <row r="189" spans="1:18">
      <c r="A189" s="522"/>
      <c r="C189" s="394"/>
      <c r="D189" s="524"/>
      <c r="E189" s="534"/>
      <c r="F189" s="525"/>
      <c r="G189" s="394"/>
      <c r="H189" s="394"/>
      <c r="I189" s="394"/>
      <c r="J189" s="394"/>
      <c r="K189" s="394"/>
      <c r="L189" s="394"/>
      <c r="M189" s="394"/>
      <c r="N189" s="394"/>
      <c r="O189" s="394"/>
      <c r="P189" s="394"/>
      <c r="Q189" s="394"/>
      <c r="R189" s="394"/>
    </row>
    <row r="190" spans="1:18">
      <c r="A190" s="522"/>
      <c r="C190" s="394"/>
      <c r="D190" s="524"/>
      <c r="E190" s="534"/>
      <c r="F190" s="525"/>
      <c r="G190" s="394"/>
      <c r="H190" s="394"/>
      <c r="I190" s="394"/>
      <c r="J190" s="394"/>
      <c r="K190" s="394"/>
      <c r="L190" s="394"/>
      <c r="M190" s="394"/>
      <c r="N190" s="394"/>
      <c r="O190" s="394"/>
      <c r="P190" s="394"/>
      <c r="Q190" s="394"/>
      <c r="R190" s="394"/>
    </row>
    <row r="191" spans="1:18">
      <c r="A191" s="522"/>
      <c r="C191" s="394"/>
      <c r="D191" s="524"/>
      <c r="E191" s="534"/>
      <c r="F191" s="525"/>
      <c r="G191" s="394"/>
      <c r="H191" s="394"/>
      <c r="I191" s="394"/>
      <c r="J191" s="394"/>
      <c r="K191" s="394"/>
      <c r="L191" s="394"/>
      <c r="M191" s="394"/>
      <c r="N191" s="394"/>
      <c r="O191" s="394"/>
      <c r="P191" s="394"/>
      <c r="Q191" s="394"/>
      <c r="R191" s="394"/>
    </row>
    <row r="192" spans="1:18">
      <c r="A192" s="522"/>
      <c r="C192" s="394"/>
      <c r="D192" s="524"/>
      <c r="E192" s="534"/>
      <c r="F192" s="525"/>
      <c r="G192" s="394"/>
      <c r="H192" s="394"/>
      <c r="I192" s="394"/>
      <c r="J192" s="394"/>
      <c r="K192" s="394"/>
      <c r="L192" s="394"/>
      <c r="M192" s="394"/>
      <c r="N192" s="394"/>
      <c r="O192" s="394"/>
      <c r="P192" s="394"/>
      <c r="Q192" s="394"/>
      <c r="R192" s="394"/>
    </row>
    <row r="193" spans="1:18">
      <c r="A193" s="522"/>
      <c r="C193" s="394"/>
      <c r="D193" s="524"/>
      <c r="E193" s="534"/>
      <c r="F193" s="525"/>
      <c r="G193" s="394"/>
      <c r="H193" s="394"/>
      <c r="I193" s="394"/>
      <c r="J193" s="394"/>
      <c r="K193" s="394"/>
      <c r="L193" s="394"/>
      <c r="M193" s="394"/>
      <c r="N193" s="394"/>
      <c r="O193" s="394"/>
      <c r="P193" s="394"/>
      <c r="Q193" s="394"/>
      <c r="R193" s="394"/>
    </row>
    <row r="194" spans="1:18">
      <c r="A194" s="522"/>
      <c r="C194" s="394"/>
      <c r="D194" s="524"/>
      <c r="E194" s="534"/>
      <c r="F194" s="525"/>
      <c r="G194" s="394"/>
      <c r="H194" s="394"/>
      <c r="I194" s="394"/>
      <c r="J194" s="394"/>
      <c r="K194" s="394"/>
      <c r="L194" s="394"/>
      <c r="M194" s="394"/>
      <c r="N194" s="394"/>
      <c r="O194" s="394"/>
      <c r="P194" s="394"/>
      <c r="Q194" s="394"/>
      <c r="R194" s="394"/>
    </row>
    <row r="195" spans="1:18">
      <c r="A195" s="522"/>
      <c r="C195" s="394"/>
      <c r="D195" s="524"/>
      <c r="E195" s="534"/>
      <c r="F195" s="525"/>
      <c r="G195" s="394"/>
      <c r="H195" s="394"/>
      <c r="I195" s="394"/>
      <c r="J195" s="394"/>
      <c r="K195" s="394"/>
      <c r="L195" s="394"/>
      <c r="M195" s="394"/>
      <c r="N195" s="394"/>
      <c r="O195" s="394"/>
      <c r="P195" s="394"/>
      <c r="Q195" s="394"/>
      <c r="R195" s="394"/>
    </row>
    <row r="196" spans="1:18">
      <c r="A196" s="522"/>
      <c r="C196" s="394"/>
      <c r="D196" s="524"/>
      <c r="E196" s="534"/>
      <c r="F196" s="525"/>
      <c r="G196" s="394"/>
      <c r="H196" s="394"/>
      <c r="I196" s="394"/>
      <c r="J196" s="394"/>
      <c r="K196" s="394"/>
      <c r="L196" s="394"/>
      <c r="M196" s="394"/>
      <c r="N196" s="394"/>
      <c r="O196" s="394"/>
      <c r="P196" s="394"/>
      <c r="Q196" s="394"/>
      <c r="R196" s="394"/>
    </row>
    <row r="197" spans="1:18">
      <c r="A197" s="522"/>
      <c r="C197" s="394"/>
      <c r="D197" s="524"/>
      <c r="E197" s="534"/>
      <c r="F197" s="525"/>
      <c r="G197" s="394"/>
      <c r="H197" s="394"/>
      <c r="I197" s="394"/>
      <c r="J197" s="394"/>
      <c r="K197" s="394"/>
      <c r="L197" s="394"/>
      <c r="M197" s="394"/>
      <c r="N197" s="394"/>
      <c r="O197" s="394"/>
      <c r="P197" s="394"/>
      <c r="Q197" s="394"/>
      <c r="R197" s="394"/>
    </row>
    <row r="198" spans="1:18">
      <c r="A198" s="522"/>
      <c r="C198" s="394"/>
      <c r="D198" s="524"/>
      <c r="E198" s="534"/>
      <c r="F198" s="525"/>
      <c r="G198" s="394"/>
      <c r="H198" s="394"/>
      <c r="I198" s="394"/>
      <c r="J198" s="394"/>
      <c r="K198" s="394"/>
      <c r="L198" s="394"/>
      <c r="M198" s="394"/>
      <c r="N198" s="394"/>
      <c r="O198" s="394"/>
      <c r="P198" s="394"/>
      <c r="Q198" s="394"/>
      <c r="R198" s="394"/>
    </row>
    <row r="199" spans="1:18">
      <c r="A199" s="522"/>
      <c r="C199" s="394"/>
      <c r="D199" s="524"/>
      <c r="E199" s="534"/>
      <c r="F199" s="525"/>
      <c r="G199" s="394"/>
      <c r="H199" s="394"/>
      <c r="I199" s="394"/>
      <c r="J199" s="394"/>
      <c r="K199" s="394"/>
      <c r="L199" s="394"/>
      <c r="M199" s="394"/>
      <c r="N199" s="394"/>
      <c r="O199" s="394"/>
      <c r="P199" s="394"/>
      <c r="Q199" s="394"/>
      <c r="R199" s="394"/>
    </row>
    <row r="200" spans="1:18">
      <c r="A200" s="522"/>
      <c r="C200" s="394"/>
      <c r="D200" s="524"/>
      <c r="E200" s="534"/>
      <c r="F200" s="525"/>
      <c r="G200" s="394"/>
      <c r="H200" s="394"/>
      <c r="I200" s="394"/>
      <c r="J200" s="394"/>
      <c r="K200" s="394"/>
      <c r="L200" s="394"/>
      <c r="M200" s="394"/>
      <c r="N200" s="394"/>
      <c r="O200" s="394"/>
      <c r="P200" s="394"/>
      <c r="Q200" s="394"/>
      <c r="R200" s="394"/>
    </row>
    <row r="201" spans="1:18">
      <c r="A201" s="522"/>
      <c r="C201" s="394"/>
      <c r="D201" s="524"/>
      <c r="E201" s="534"/>
      <c r="F201" s="525"/>
      <c r="G201" s="394"/>
      <c r="H201" s="394"/>
      <c r="I201" s="394"/>
      <c r="J201" s="394"/>
      <c r="K201" s="394"/>
      <c r="L201" s="394"/>
      <c r="M201" s="394"/>
      <c r="N201" s="394"/>
      <c r="O201" s="394"/>
      <c r="P201" s="394"/>
      <c r="Q201" s="394"/>
      <c r="R201" s="394"/>
    </row>
    <row r="202" spans="1:18">
      <c r="A202" s="522"/>
      <c r="C202" s="394"/>
      <c r="D202" s="524"/>
      <c r="E202" s="534"/>
      <c r="F202" s="525"/>
      <c r="G202" s="394"/>
      <c r="H202" s="394"/>
      <c r="I202" s="394"/>
      <c r="J202" s="394"/>
      <c r="K202" s="394"/>
      <c r="L202" s="394"/>
      <c r="M202" s="394"/>
      <c r="N202" s="394"/>
      <c r="O202" s="394"/>
      <c r="P202" s="394"/>
      <c r="Q202" s="394"/>
      <c r="R202" s="394"/>
    </row>
    <row r="203" spans="1:18">
      <c r="A203" s="522"/>
      <c r="C203" s="394"/>
      <c r="D203" s="524"/>
      <c r="E203" s="534"/>
      <c r="F203" s="525"/>
      <c r="G203" s="394"/>
      <c r="H203" s="394"/>
      <c r="I203" s="394"/>
      <c r="J203" s="394"/>
      <c r="K203" s="394"/>
      <c r="L203" s="394"/>
      <c r="M203" s="394"/>
      <c r="N203" s="394"/>
      <c r="O203" s="394"/>
      <c r="P203" s="394"/>
      <c r="Q203" s="394"/>
      <c r="R203" s="394"/>
    </row>
    <row r="204" spans="1:18">
      <c r="A204" s="522"/>
      <c r="C204" s="394"/>
      <c r="D204" s="524"/>
      <c r="E204" s="534"/>
      <c r="F204" s="525"/>
      <c r="G204" s="394"/>
      <c r="H204" s="394"/>
      <c r="I204" s="394"/>
      <c r="J204" s="394"/>
      <c r="K204" s="394"/>
      <c r="L204" s="394"/>
      <c r="M204" s="394"/>
      <c r="N204" s="394"/>
      <c r="O204" s="394"/>
      <c r="P204" s="394"/>
      <c r="Q204" s="394"/>
      <c r="R204" s="394"/>
    </row>
    <row r="205" spans="1:18">
      <c r="A205" s="522"/>
      <c r="C205" s="394"/>
      <c r="D205" s="524"/>
      <c r="E205" s="534"/>
      <c r="F205" s="525"/>
      <c r="G205" s="394"/>
      <c r="H205" s="394"/>
      <c r="I205" s="394"/>
      <c r="J205" s="394"/>
      <c r="K205" s="394"/>
      <c r="L205" s="394"/>
      <c r="M205" s="394"/>
      <c r="N205" s="394"/>
      <c r="O205" s="394"/>
      <c r="P205" s="394"/>
      <c r="Q205" s="394"/>
      <c r="R205" s="394"/>
    </row>
    <row r="206" spans="1:18">
      <c r="A206" s="522"/>
      <c r="C206" s="394"/>
      <c r="D206" s="524"/>
      <c r="E206" s="534"/>
      <c r="F206" s="525"/>
      <c r="G206" s="394"/>
      <c r="H206" s="394"/>
      <c r="I206" s="394"/>
      <c r="J206" s="394"/>
      <c r="K206" s="394"/>
      <c r="L206" s="394"/>
      <c r="M206" s="394"/>
      <c r="N206" s="394"/>
      <c r="O206" s="394"/>
      <c r="P206" s="394"/>
      <c r="Q206" s="394"/>
      <c r="R206" s="394"/>
    </row>
    <row r="207" spans="1:18">
      <c r="A207" s="522"/>
      <c r="C207" s="394"/>
      <c r="D207" s="524"/>
      <c r="E207" s="534"/>
      <c r="F207" s="525"/>
      <c r="G207" s="394"/>
      <c r="H207" s="394"/>
      <c r="I207" s="394"/>
      <c r="J207" s="394"/>
      <c r="K207" s="394"/>
      <c r="L207" s="394"/>
      <c r="M207" s="394"/>
      <c r="N207" s="394"/>
      <c r="O207" s="394"/>
      <c r="P207" s="394"/>
      <c r="Q207" s="394"/>
      <c r="R207" s="394"/>
    </row>
    <row r="208" spans="1:18">
      <c r="A208" s="522"/>
      <c r="C208" s="394"/>
      <c r="D208" s="524"/>
      <c r="E208" s="534"/>
      <c r="F208" s="525"/>
      <c r="G208" s="394"/>
      <c r="H208" s="394"/>
      <c r="I208" s="394"/>
      <c r="J208" s="394"/>
      <c r="K208" s="394"/>
      <c r="L208" s="394"/>
      <c r="M208" s="394"/>
      <c r="N208" s="394"/>
      <c r="O208" s="394"/>
      <c r="P208" s="394"/>
      <c r="Q208" s="394"/>
      <c r="R208" s="394"/>
    </row>
    <row r="209" spans="1:18">
      <c r="A209" s="522"/>
      <c r="C209" s="394"/>
      <c r="D209" s="524"/>
      <c r="E209" s="534"/>
      <c r="F209" s="525"/>
      <c r="G209" s="394"/>
      <c r="H209" s="394"/>
      <c r="I209" s="394"/>
      <c r="J209" s="394"/>
      <c r="K209" s="394"/>
      <c r="L209" s="394"/>
      <c r="M209" s="394"/>
      <c r="N209" s="394"/>
      <c r="O209" s="394"/>
      <c r="P209" s="394"/>
      <c r="Q209" s="394"/>
      <c r="R209" s="394"/>
    </row>
    <row r="210" spans="1:18">
      <c r="A210" s="522"/>
      <c r="C210" s="394"/>
      <c r="D210" s="524"/>
      <c r="E210" s="534"/>
      <c r="F210" s="525"/>
      <c r="G210" s="394"/>
      <c r="H210" s="394"/>
      <c r="I210" s="394"/>
      <c r="J210" s="394"/>
      <c r="K210" s="394"/>
      <c r="L210" s="394"/>
      <c r="M210" s="394"/>
      <c r="N210" s="394"/>
      <c r="O210" s="394"/>
      <c r="P210" s="394"/>
      <c r="Q210" s="394"/>
      <c r="R210" s="394"/>
    </row>
    <row r="211" spans="1:18">
      <c r="A211" s="522"/>
      <c r="C211" s="394"/>
      <c r="D211" s="524"/>
      <c r="E211" s="534"/>
      <c r="F211" s="525"/>
      <c r="G211" s="394"/>
      <c r="H211" s="394"/>
      <c r="I211" s="394"/>
      <c r="J211" s="394"/>
      <c r="K211" s="394"/>
      <c r="L211" s="394"/>
      <c r="M211" s="394"/>
      <c r="N211" s="394"/>
      <c r="O211" s="394"/>
      <c r="P211" s="394"/>
      <c r="Q211" s="394"/>
      <c r="R211" s="394"/>
    </row>
    <row r="212" spans="1:18">
      <c r="A212" s="522"/>
      <c r="C212" s="394"/>
      <c r="D212" s="524"/>
      <c r="E212" s="534"/>
      <c r="F212" s="525"/>
      <c r="G212" s="394"/>
      <c r="H212" s="394"/>
      <c r="I212" s="394"/>
      <c r="J212" s="394"/>
      <c r="K212" s="394"/>
      <c r="L212" s="394"/>
      <c r="M212" s="394"/>
      <c r="N212" s="394"/>
      <c r="O212" s="394"/>
      <c r="P212" s="394"/>
      <c r="Q212" s="394"/>
      <c r="R212" s="394"/>
    </row>
    <row r="213" spans="1:18">
      <c r="A213" s="522"/>
      <c r="C213" s="394"/>
      <c r="D213" s="524"/>
      <c r="E213" s="534"/>
      <c r="F213" s="525"/>
      <c r="G213" s="394"/>
      <c r="H213" s="394"/>
      <c r="I213" s="394"/>
      <c r="J213" s="394"/>
      <c r="K213" s="394"/>
      <c r="L213" s="394"/>
      <c r="M213" s="394"/>
      <c r="N213" s="394"/>
      <c r="O213" s="394"/>
      <c r="P213" s="394"/>
      <c r="Q213" s="394"/>
      <c r="R213" s="394"/>
    </row>
    <row r="214" spans="1:18">
      <c r="A214" s="522"/>
      <c r="C214" s="394"/>
      <c r="D214" s="524"/>
      <c r="E214" s="534"/>
      <c r="F214" s="525"/>
      <c r="G214" s="394"/>
      <c r="H214" s="394"/>
      <c r="I214" s="394"/>
      <c r="J214" s="394"/>
      <c r="K214" s="394"/>
      <c r="L214" s="394"/>
      <c r="M214" s="394"/>
      <c r="N214" s="394"/>
      <c r="O214" s="394"/>
      <c r="P214" s="394"/>
      <c r="Q214" s="394"/>
      <c r="R214" s="394"/>
    </row>
    <row r="215" spans="1:18">
      <c r="A215" s="522"/>
      <c r="C215" s="394"/>
      <c r="D215" s="524"/>
      <c r="E215" s="534"/>
      <c r="F215" s="525"/>
      <c r="G215" s="394"/>
      <c r="H215" s="394"/>
      <c r="I215" s="394"/>
      <c r="J215" s="394"/>
      <c r="K215" s="394"/>
      <c r="L215" s="394"/>
      <c r="M215" s="394"/>
      <c r="N215" s="394"/>
      <c r="O215" s="394"/>
      <c r="P215" s="394"/>
      <c r="Q215" s="394"/>
      <c r="R215" s="394"/>
    </row>
    <row r="216" spans="1:18">
      <c r="A216" s="522"/>
      <c r="C216" s="394"/>
      <c r="D216" s="524"/>
      <c r="E216" s="534"/>
      <c r="F216" s="525"/>
      <c r="G216" s="394"/>
      <c r="H216" s="394"/>
      <c r="I216" s="394"/>
      <c r="J216" s="394"/>
      <c r="K216" s="394"/>
      <c r="L216" s="394"/>
      <c r="M216" s="394"/>
      <c r="N216" s="394"/>
      <c r="O216" s="394"/>
      <c r="P216" s="394"/>
      <c r="Q216" s="394"/>
      <c r="R216" s="394"/>
    </row>
    <row r="217" spans="1:18">
      <c r="A217" s="522"/>
      <c r="C217" s="394"/>
      <c r="D217" s="524"/>
      <c r="E217" s="534"/>
      <c r="F217" s="525"/>
      <c r="G217" s="394"/>
      <c r="H217" s="394"/>
      <c r="I217" s="394"/>
      <c r="J217" s="394"/>
      <c r="K217" s="394"/>
      <c r="L217" s="394"/>
      <c r="M217" s="394"/>
      <c r="N217" s="394"/>
      <c r="O217" s="394"/>
      <c r="P217" s="394"/>
      <c r="Q217" s="394"/>
      <c r="R217" s="394"/>
    </row>
    <row r="218" spans="1:18">
      <c r="A218" s="522"/>
      <c r="C218" s="394"/>
      <c r="D218" s="524"/>
      <c r="E218" s="534"/>
      <c r="F218" s="525"/>
      <c r="G218" s="394"/>
      <c r="H218" s="394"/>
      <c r="I218" s="394"/>
      <c r="J218" s="394"/>
      <c r="K218" s="394"/>
      <c r="L218" s="394"/>
      <c r="M218" s="394"/>
      <c r="N218" s="394"/>
      <c r="O218" s="394"/>
      <c r="P218" s="394"/>
      <c r="Q218" s="394"/>
      <c r="R218" s="394"/>
    </row>
    <row r="219" spans="1:18">
      <c r="A219" s="522"/>
      <c r="C219" s="394"/>
      <c r="D219" s="524"/>
      <c r="E219" s="534"/>
      <c r="F219" s="525"/>
      <c r="G219" s="394"/>
      <c r="H219" s="394"/>
      <c r="I219" s="394"/>
      <c r="J219" s="394"/>
      <c r="K219" s="394"/>
      <c r="L219" s="394"/>
      <c r="M219" s="394"/>
      <c r="N219" s="394"/>
      <c r="O219" s="394"/>
      <c r="P219" s="394"/>
      <c r="Q219" s="394"/>
      <c r="R219" s="394"/>
    </row>
    <row r="220" spans="1:18">
      <c r="A220" s="522"/>
      <c r="C220" s="394"/>
      <c r="D220" s="524"/>
      <c r="E220" s="534"/>
      <c r="F220" s="525"/>
      <c r="G220" s="394"/>
      <c r="H220" s="394"/>
      <c r="I220" s="394"/>
      <c r="J220" s="394"/>
      <c r="K220" s="394"/>
      <c r="L220" s="394"/>
      <c r="M220" s="394"/>
      <c r="N220" s="394"/>
      <c r="O220" s="394"/>
      <c r="P220" s="394"/>
      <c r="Q220" s="394"/>
      <c r="R220" s="394"/>
    </row>
    <row r="221" spans="1:18">
      <c r="A221" s="522"/>
      <c r="C221" s="394"/>
      <c r="D221" s="524"/>
      <c r="E221" s="534"/>
      <c r="F221" s="525"/>
      <c r="G221" s="394"/>
      <c r="H221" s="394"/>
      <c r="I221" s="394"/>
      <c r="J221" s="394"/>
      <c r="K221" s="394"/>
      <c r="L221" s="394"/>
      <c r="M221" s="394"/>
      <c r="N221" s="394"/>
      <c r="O221" s="394"/>
      <c r="P221" s="394"/>
      <c r="Q221" s="394"/>
      <c r="R221" s="394"/>
    </row>
    <row r="222" spans="1:18">
      <c r="A222" s="522"/>
      <c r="C222" s="394"/>
      <c r="D222" s="524"/>
      <c r="E222" s="534"/>
      <c r="F222" s="525"/>
      <c r="G222" s="394"/>
      <c r="H222" s="394"/>
      <c r="I222" s="394"/>
      <c r="J222" s="394"/>
      <c r="K222" s="394"/>
      <c r="L222" s="394"/>
      <c r="M222" s="394"/>
      <c r="N222" s="394"/>
      <c r="O222" s="394"/>
      <c r="P222" s="394"/>
      <c r="Q222" s="394"/>
      <c r="R222" s="394"/>
    </row>
    <row r="223" spans="1:18">
      <c r="A223" s="522"/>
      <c r="C223" s="394"/>
      <c r="D223" s="524"/>
      <c r="E223" s="534"/>
      <c r="F223" s="525"/>
      <c r="G223" s="394"/>
      <c r="H223" s="394"/>
      <c r="I223" s="394"/>
      <c r="J223" s="394"/>
      <c r="K223" s="394"/>
      <c r="L223" s="394"/>
      <c r="M223" s="394"/>
      <c r="N223" s="394"/>
      <c r="O223" s="394"/>
      <c r="P223" s="394"/>
      <c r="Q223" s="394"/>
      <c r="R223" s="394"/>
    </row>
    <row r="224" spans="1:18">
      <c r="A224" s="522"/>
      <c r="C224" s="394"/>
      <c r="D224" s="524"/>
      <c r="E224" s="534"/>
      <c r="F224" s="525"/>
      <c r="G224" s="394"/>
      <c r="H224" s="394"/>
      <c r="I224" s="394"/>
      <c r="J224" s="394"/>
      <c r="K224" s="394"/>
      <c r="L224" s="394"/>
      <c r="M224" s="394"/>
      <c r="N224" s="394"/>
      <c r="O224" s="394"/>
      <c r="P224" s="394"/>
      <c r="Q224" s="394"/>
      <c r="R224" s="394"/>
    </row>
    <row r="225" spans="1:18">
      <c r="A225" s="522"/>
      <c r="C225" s="394"/>
      <c r="D225" s="524"/>
      <c r="E225" s="534"/>
      <c r="F225" s="525"/>
      <c r="G225" s="394"/>
      <c r="H225" s="394"/>
      <c r="I225" s="394"/>
      <c r="J225" s="394"/>
      <c r="K225" s="394"/>
      <c r="L225" s="394"/>
      <c r="M225" s="394"/>
      <c r="N225" s="394"/>
      <c r="O225" s="394"/>
      <c r="P225" s="394"/>
      <c r="Q225" s="394"/>
      <c r="R225" s="394"/>
    </row>
    <row r="226" spans="1:18">
      <c r="A226" s="522"/>
      <c r="C226" s="394"/>
      <c r="D226" s="524"/>
      <c r="E226" s="534"/>
      <c r="F226" s="525"/>
      <c r="G226" s="394"/>
      <c r="H226" s="394"/>
      <c r="I226" s="394"/>
      <c r="J226" s="394"/>
      <c r="K226" s="394"/>
      <c r="L226" s="394"/>
      <c r="M226" s="394"/>
      <c r="N226" s="394"/>
      <c r="O226" s="394"/>
      <c r="P226" s="394"/>
      <c r="Q226" s="394"/>
      <c r="R226" s="394"/>
    </row>
    <row r="227" spans="1:18">
      <c r="A227" s="522"/>
      <c r="C227" s="394"/>
      <c r="D227" s="524"/>
      <c r="E227" s="534"/>
      <c r="F227" s="525"/>
      <c r="G227" s="394"/>
      <c r="H227" s="394"/>
      <c r="I227" s="394"/>
      <c r="J227" s="394"/>
      <c r="K227" s="394"/>
      <c r="L227" s="394"/>
      <c r="M227" s="394"/>
      <c r="N227" s="394"/>
      <c r="O227" s="394"/>
      <c r="P227" s="394"/>
      <c r="Q227" s="394"/>
      <c r="R227" s="394"/>
    </row>
    <row r="228" spans="1:18">
      <c r="A228" s="522"/>
      <c r="C228" s="394"/>
      <c r="D228" s="524"/>
      <c r="E228" s="534"/>
      <c r="F228" s="525"/>
      <c r="G228" s="394"/>
      <c r="H228" s="394"/>
      <c r="I228" s="394"/>
      <c r="J228" s="394"/>
      <c r="K228" s="394"/>
      <c r="L228" s="394"/>
      <c r="M228" s="394"/>
      <c r="N228" s="394"/>
      <c r="O228" s="394"/>
      <c r="P228" s="394"/>
      <c r="Q228" s="394"/>
      <c r="R228" s="394"/>
    </row>
    <row r="229" spans="1:18">
      <c r="A229" s="522"/>
      <c r="C229" s="394"/>
      <c r="D229" s="524"/>
      <c r="E229" s="534"/>
      <c r="F229" s="525"/>
      <c r="G229" s="394"/>
      <c r="H229" s="394"/>
      <c r="I229" s="394"/>
      <c r="J229" s="394"/>
      <c r="K229" s="394"/>
      <c r="L229" s="394"/>
      <c r="M229" s="394"/>
      <c r="N229" s="394"/>
      <c r="O229" s="394"/>
      <c r="P229" s="394"/>
      <c r="Q229" s="394"/>
      <c r="R229" s="394"/>
    </row>
    <row r="230" spans="1:18">
      <c r="A230" s="522"/>
      <c r="C230" s="394"/>
      <c r="D230" s="524"/>
      <c r="E230" s="534"/>
      <c r="F230" s="525"/>
      <c r="G230" s="394"/>
      <c r="H230" s="394"/>
      <c r="I230" s="394"/>
      <c r="J230" s="394"/>
      <c r="K230" s="394"/>
      <c r="L230" s="394"/>
      <c r="M230" s="394"/>
      <c r="N230" s="394"/>
      <c r="O230" s="394"/>
      <c r="P230" s="394"/>
      <c r="Q230" s="394"/>
      <c r="R230" s="394"/>
    </row>
    <row r="231" spans="1:18">
      <c r="A231" s="522"/>
      <c r="C231" s="394"/>
      <c r="D231" s="524"/>
      <c r="E231" s="534"/>
      <c r="F231" s="525"/>
      <c r="G231" s="394"/>
      <c r="H231" s="394"/>
      <c r="I231" s="394"/>
      <c r="J231" s="394"/>
      <c r="K231" s="394"/>
      <c r="L231" s="394"/>
      <c r="M231" s="394"/>
      <c r="N231" s="394"/>
      <c r="O231" s="394"/>
      <c r="P231" s="394"/>
      <c r="Q231" s="394"/>
      <c r="R231" s="394"/>
    </row>
    <row r="232" spans="1:18">
      <c r="A232" s="522"/>
      <c r="C232" s="394"/>
      <c r="D232" s="524"/>
      <c r="E232" s="534"/>
      <c r="F232" s="525"/>
      <c r="G232" s="394"/>
      <c r="H232" s="394"/>
      <c r="I232" s="394"/>
      <c r="J232" s="394"/>
      <c r="K232" s="394"/>
      <c r="L232" s="394"/>
      <c r="M232" s="394"/>
      <c r="N232" s="394"/>
      <c r="O232" s="394"/>
      <c r="P232" s="394"/>
      <c r="Q232" s="394"/>
      <c r="R232" s="394"/>
    </row>
    <row r="233" spans="1:18">
      <c r="A233" s="522"/>
      <c r="C233" s="394"/>
      <c r="D233" s="524"/>
      <c r="E233" s="534"/>
      <c r="F233" s="525"/>
      <c r="G233" s="394"/>
      <c r="H233" s="394"/>
      <c r="I233" s="394"/>
      <c r="J233" s="394"/>
      <c r="K233" s="394"/>
      <c r="L233" s="394"/>
      <c r="M233" s="394"/>
      <c r="N233" s="394"/>
      <c r="O233" s="394"/>
      <c r="P233" s="394"/>
      <c r="Q233" s="394"/>
      <c r="R233" s="394"/>
    </row>
    <row r="234" spans="1:18">
      <c r="A234" s="522"/>
      <c r="C234" s="394"/>
      <c r="D234" s="524"/>
      <c r="E234" s="534"/>
      <c r="F234" s="525"/>
      <c r="G234" s="394"/>
      <c r="H234" s="394"/>
      <c r="I234" s="394"/>
      <c r="J234" s="394"/>
      <c r="K234" s="394"/>
      <c r="L234" s="394"/>
      <c r="M234" s="394"/>
      <c r="N234" s="394"/>
      <c r="O234" s="394"/>
      <c r="P234" s="394"/>
      <c r="Q234" s="394"/>
      <c r="R234" s="394"/>
    </row>
    <row r="235" spans="1:18">
      <c r="A235" s="522"/>
      <c r="C235" s="394"/>
      <c r="D235" s="524"/>
      <c r="E235" s="534"/>
      <c r="F235" s="525"/>
      <c r="G235" s="394"/>
      <c r="H235" s="394"/>
      <c r="I235" s="394"/>
      <c r="J235" s="394"/>
      <c r="K235" s="394"/>
      <c r="L235" s="394"/>
      <c r="M235" s="394"/>
      <c r="N235" s="394"/>
      <c r="O235" s="394"/>
      <c r="P235" s="394"/>
      <c r="Q235" s="394"/>
      <c r="R235" s="394"/>
    </row>
    <row r="236" spans="1:18">
      <c r="A236" s="522"/>
      <c r="C236" s="394"/>
      <c r="D236" s="524"/>
      <c r="E236" s="534"/>
      <c r="F236" s="525"/>
      <c r="G236" s="394"/>
      <c r="H236" s="394"/>
      <c r="I236" s="394"/>
      <c r="J236" s="394"/>
      <c r="K236" s="394"/>
      <c r="L236" s="394"/>
      <c r="M236" s="394"/>
      <c r="N236" s="394"/>
      <c r="O236" s="394"/>
      <c r="P236" s="394"/>
      <c r="Q236" s="394"/>
      <c r="R236" s="394"/>
    </row>
    <row r="237" spans="1:18">
      <c r="A237" s="522"/>
      <c r="C237" s="394"/>
      <c r="D237" s="524"/>
      <c r="E237" s="534"/>
      <c r="F237" s="525"/>
      <c r="G237" s="394"/>
      <c r="H237" s="394"/>
      <c r="I237" s="394"/>
      <c r="J237" s="394"/>
      <c r="K237" s="394"/>
      <c r="L237" s="394"/>
      <c r="M237" s="394"/>
      <c r="N237" s="394"/>
      <c r="O237" s="394"/>
      <c r="P237" s="394"/>
      <c r="Q237" s="394"/>
      <c r="R237" s="394"/>
    </row>
    <row r="238" spans="1:18">
      <c r="A238" s="522"/>
      <c r="C238" s="394"/>
      <c r="D238" s="524"/>
      <c r="E238" s="534"/>
      <c r="F238" s="525"/>
      <c r="G238" s="394"/>
      <c r="H238" s="394"/>
      <c r="I238" s="394"/>
      <c r="J238" s="394"/>
      <c r="K238" s="394"/>
      <c r="L238" s="394"/>
      <c r="M238" s="394"/>
      <c r="N238" s="394"/>
      <c r="O238" s="394"/>
      <c r="P238" s="394"/>
      <c r="Q238" s="394"/>
      <c r="R238" s="394"/>
    </row>
    <row r="239" spans="1:18">
      <c r="A239" s="522"/>
      <c r="C239" s="394"/>
      <c r="D239" s="524"/>
      <c r="E239" s="534"/>
      <c r="F239" s="525"/>
      <c r="G239" s="394"/>
      <c r="H239" s="394"/>
      <c r="I239" s="394"/>
      <c r="J239" s="394"/>
      <c r="K239" s="394"/>
      <c r="L239" s="394"/>
      <c r="M239" s="394"/>
      <c r="N239" s="394"/>
      <c r="O239" s="394"/>
      <c r="P239" s="394"/>
      <c r="Q239" s="394"/>
      <c r="R239" s="394"/>
    </row>
    <row r="240" spans="1:18">
      <c r="A240" s="522"/>
      <c r="C240" s="394"/>
      <c r="D240" s="524"/>
      <c r="E240" s="534"/>
      <c r="F240" s="525"/>
      <c r="G240" s="394"/>
      <c r="H240" s="394"/>
      <c r="I240" s="394"/>
      <c r="J240" s="394"/>
      <c r="K240" s="394"/>
      <c r="L240" s="394"/>
      <c r="M240" s="394"/>
      <c r="N240" s="394"/>
      <c r="O240" s="394"/>
      <c r="P240" s="394"/>
      <c r="Q240" s="394"/>
      <c r="R240" s="394"/>
    </row>
    <row r="241" spans="1:18">
      <c r="A241" s="522"/>
      <c r="C241" s="394"/>
      <c r="D241" s="524"/>
      <c r="E241" s="534"/>
      <c r="F241" s="525"/>
      <c r="G241" s="394"/>
      <c r="H241" s="394"/>
      <c r="I241" s="394"/>
      <c r="J241" s="394"/>
      <c r="K241" s="394"/>
      <c r="L241" s="394"/>
      <c r="M241" s="394"/>
      <c r="N241" s="394"/>
      <c r="O241" s="394"/>
      <c r="P241" s="394"/>
      <c r="Q241" s="394"/>
      <c r="R241" s="394"/>
    </row>
    <row r="242" spans="1:18">
      <c r="A242" s="522"/>
      <c r="C242" s="394"/>
      <c r="D242" s="524"/>
      <c r="E242" s="534"/>
      <c r="F242" s="525"/>
      <c r="G242" s="394"/>
      <c r="H242" s="394"/>
      <c r="I242" s="394"/>
      <c r="J242" s="394"/>
      <c r="K242" s="394"/>
      <c r="L242" s="394"/>
      <c r="M242" s="394"/>
      <c r="N242" s="394"/>
      <c r="O242" s="394"/>
      <c r="P242" s="394"/>
      <c r="Q242" s="394"/>
      <c r="R242" s="394"/>
    </row>
    <row r="243" spans="1:18">
      <c r="A243" s="522"/>
      <c r="C243" s="394"/>
      <c r="D243" s="524"/>
      <c r="E243" s="534"/>
      <c r="F243" s="525"/>
      <c r="G243" s="394"/>
      <c r="H243" s="394"/>
      <c r="I243" s="394"/>
      <c r="J243" s="394"/>
      <c r="K243" s="394"/>
      <c r="L243" s="394"/>
      <c r="M243" s="394"/>
      <c r="N243" s="394"/>
      <c r="O243" s="394"/>
      <c r="P243" s="394"/>
      <c r="Q243" s="394"/>
      <c r="R243" s="394"/>
    </row>
  </sheetData>
  <mergeCells count="5">
    <mergeCell ref="A2:R2"/>
    <mergeCell ref="G4:H4"/>
    <mergeCell ref="A1:R1"/>
    <mergeCell ref="Q4:R4"/>
    <mergeCell ref="A3:Q3"/>
  </mergeCells>
  <phoneticPr fontId="0" type="noConversion"/>
  <printOptions horizontalCentered="1"/>
  <pageMargins left="0.19685039370078741" right="0.19685039370078741" top="0.39370078740157483" bottom="0.39370078740157483" header="0.19685039370078741" footer="0.19685039370078741"/>
  <pageSetup paperSize="9" orientation="landscape" verticalDpi="0" r:id="rId1"/>
  <headerFooter>
    <oddHeader>&amp;C&amp;"Times New Roman,Regular"&amp;P</oddHeader>
    <oddFooter xml:space="preserve">&amp;R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T231"/>
  <sheetViews>
    <sheetView workbookViewId="0">
      <selection activeCell="N8" sqref="N8"/>
    </sheetView>
  </sheetViews>
  <sheetFormatPr defaultColWidth="8.90625" defaultRowHeight="15.6"/>
  <cols>
    <col min="1" max="1" width="3.1796875" style="526" customWidth="1"/>
    <col min="2" max="2" width="7.08984375" style="523" customWidth="1"/>
    <col min="3" max="3" width="16.6328125" style="275" customWidth="1"/>
    <col min="4" max="4" width="7.36328125" style="527" customWidth="1"/>
    <col min="5" max="5" width="6" style="535" customWidth="1"/>
    <col min="6" max="6" width="5" style="528" customWidth="1"/>
    <col min="7" max="7" width="8.1796875" style="275" hidden="1" customWidth="1"/>
    <col min="8" max="8" width="5.6328125" style="275" hidden="1" customWidth="1"/>
    <col min="9" max="9" width="8.54296875" style="275" customWidth="1"/>
    <col min="10" max="10" width="6.90625" style="275" customWidth="1"/>
    <col min="11" max="11" width="7.1796875" style="275" customWidth="1"/>
    <col min="12" max="12" width="8.453125" style="275" customWidth="1"/>
    <col min="13" max="13" width="6.6328125" style="275" customWidth="1"/>
    <col min="14" max="14" width="7.90625" style="275" customWidth="1"/>
    <col min="15" max="15" width="7.453125" style="275" customWidth="1"/>
    <col min="16" max="16" width="8" style="275" customWidth="1"/>
    <col min="17" max="19" width="8.90625" style="275" hidden="1" customWidth="1"/>
    <col min="20" max="20" width="7.54296875" style="275" customWidth="1"/>
    <col min="21" max="16384" width="8.90625" style="275"/>
  </cols>
  <sheetData>
    <row r="1" spans="1:20" ht="18.600000000000001">
      <c r="A1" s="1359" t="s">
        <v>1042</v>
      </c>
      <c r="B1" s="1359"/>
      <c r="C1" s="1359"/>
      <c r="D1" s="1359"/>
      <c r="E1" s="1359"/>
      <c r="F1" s="1359"/>
      <c r="G1" s="1359"/>
      <c r="H1" s="1359"/>
      <c r="I1" s="1359"/>
      <c r="J1" s="1359"/>
      <c r="K1" s="1359"/>
      <c r="L1" s="1359"/>
      <c r="M1" s="1359"/>
      <c r="N1" s="1359"/>
      <c r="O1" s="1359"/>
      <c r="P1" s="1359"/>
      <c r="Q1" s="1359"/>
      <c r="R1" s="1359"/>
      <c r="S1" s="1359"/>
      <c r="T1" s="1359"/>
    </row>
    <row r="2" spans="1:20" s="11" customFormat="1" ht="15" customHeight="1">
      <c r="A2" s="1127"/>
      <c r="B2" s="1127"/>
      <c r="C2" s="1127"/>
      <c r="D2" s="1127"/>
      <c r="E2" s="1127"/>
      <c r="F2" s="1127"/>
      <c r="G2" s="1127"/>
      <c r="H2" s="1127"/>
      <c r="I2" s="1127"/>
      <c r="J2" s="1127"/>
      <c r="K2" s="1127"/>
      <c r="L2" s="1127"/>
      <c r="M2" s="1127"/>
      <c r="N2" s="1127"/>
      <c r="O2" s="1127"/>
      <c r="P2" s="1127"/>
      <c r="Q2" s="1127"/>
      <c r="R2" s="1127"/>
      <c r="S2" s="1127"/>
      <c r="T2" s="1127"/>
    </row>
    <row r="3" spans="1:20" s="11" customFormat="1" ht="15" customHeight="1">
      <c r="A3" s="1127"/>
      <c r="B3" s="1127"/>
      <c r="C3" s="1127"/>
      <c r="D3" s="1127"/>
      <c r="E3" s="1127"/>
      <c r="F3" s="1127"/>
      <c r="G3" s="1127"/>
      <c r="H3" s="1127"/>
      <c r="I3" s="1127"/>
      <c r="J3" s="1127"/>
      <c r="K3" s="1127"/>
      <c r="L3" s="1127"/>
      <c r="M3" s="1127"/>
      <c r="N3" s="1127"/>
      <c r="O3" s="1127"/>
      <c r="P3" s="1127"/>
      <c r="Q3" s="1127"/>
      <c r="R3" s="1127"/>
      <c r="S3" s="1127"/>
      <c r="T3" s="1127"/>
    </row>
    <row r="4" spans="1:20">
      <c r="A4" s="513"/>
      <c r="B4" s="514"/>
      <c r="C4" s="515"/>
      <c r="D4" s="516"/>
      <c r="E4" s="529"/>
      <c r="F4" s="517"/>
      <c r="G4" s="1360" t="s">
        <v>457</v>
      </c>
      <c r="H4" s="1360"/>
      <c r="I4" s="518"/>
      <c r="J4" s="519"/>
      <c r="K4" s="519"/>
      <c r="L4" s="519"/>
      <c r="M4" s="519"/>
      <c r="N4" s="519"/>
      <c r="O4" s="519"/>
      <c r="P4" s="519"/>
      <c r="Q4" s="519"/>
      <c r="R4" s="519"/>
      <c r="S4" s="519"/>
      <c r="T4" s="519"/>
    </row>
    <row r="5" spans="1:20" s="521" customFormat="1" ht="30.6">
      <c r="A5" s="723" t="s">
        <v>2</v>
      </c>
      <c r="B5" s="724" t="s">
        <v>6</v>
      </c>
      <c r="C5" s="725" t="s">
        <v>7</v>
      </c>
      <c r="D5" s="520" t="s">
        <v>15</v>
      </c>
      <c r="E5" s="520" t="s">
        <v>458</v>
      </c>
      <c r="F5" s="726" t="s">
        <v>16</v>
      </c>
      <c r="G5" s="727" t="s">
        <v>459</v>
      </c>
      <c r="H5" s="727" t="s">
        <v>460</v>
      </c>
      <c r="I5" s="728" t="s">
        <v>38</v>
      </c>
      <c r="J5" s="723" t="s">
        <v>10</v>
      </c>
      <c r="K5" s="729" t="s">
        <v>461</v>
      </c>
      <c r="L5" s="723" t="s">
        <v>462</v>
      </c>
      <c r="M5" s="723" t="s">
        <v>463</v>
      </c>
      <c r="N5" s="723" t="s">
        <v>498</v>
      </c>
      <c r="O5" s="723" t="s">
        <v>464</v>
      </c>
      <c r="P5" s="723" t="s">
        <v>499</v>
      </c>
      <c r="Q5" s="729" t="s">
        <v>465</v>
      </c>
      <c r="R5" s="723" t="s">
        <v>466</v>
      </c>
      <c r="S5" s="723" t="s">
        <v>467</v>
      </c>
      <c r="T5" s="723" t="s">
        <v>468</v>
      </c>
    </row>
    <row r="6" spans="1:20" s="274" customFormat="1" ht="38.25" customHeight="1">
      <c r="A6" s="530" t="str">
        <f>DTCT!A6</f>
        <v>A</v>
      </c>
      <c r="B6" s="531"/>
      <c r="C6" s="532" t="str">
        <f>DTCT!C6</f>
        <v>CÔNG TÁC QUẢN LÝ BẢO DƯỠNG THƯỜNG XUYÊN CẦU ĐƯỜNG BỘ</v>
      </c>
      <c r="D6" s="273"/>
      <c r="E6" s="730"/>
      <c r="F6" s="731"/>
      <c r="G6" s="732"/>
      <c r="H6" s="732"/>
      <c r="I6" s="733"/>
      <c r="J6" s="733"/>
      <c r="K6" s="734"/>
      <c r="L6" s="734"/>
      <c r="M6" s="734"/>
      <c r="N6" s="734"/>
      <c r="O6" s="734"/>
      <c r="P6" s="734"/>
      <c r="Q6" s="734"/>
      <c r="R6" s="734"/>
      <c r="S6" s="734"/>
      <c r="T6" s="734"/>
    </row>
    <row r="7" spans="1:20" s="274" customFormat="1" ht="28.5" hidden="1" customHeight="1">
      <c r="A7" s="735" t="str">
        <f>DTCT!A7</f>
        <v>I</v>
      </c>
      <c r="B7" s="736"/>
      <c r="C7" s="737" t="s">
        <v>963</v>
      </c>
      <c r="D7" s="738"/>
      <c r="E7" s="739"/>
      <c r="F7" s="740" t="s">
        <v>56</v>
      </c>
      <c r="G7" s="741">
        <f>3.602*1.062</f>
        <v>3.8253240000000002</v>
      </c>
      <c r="H7" s="741">
        <v>1.744</v>
      </c>
      <c r="I7" s="742" t="s">
        <v>494</v>
      </c>
      <c r="J7" s="742" t="s">
        <v>495</v>
      </c>
      <c r="K7" s="743" t="s">
        <v>471</v>
      </c>
      <c r="L7" s="743" t="s">
        <v>472</v>
      </c>
      <c r="M7" s="743" t="s">
        <v>473</v>
      </c>
      <c r="N7" s="743" t="s">
        <v>500</v>
      </c>
      <c r="O7" s="743" t="s">
        <v>502</v>
      </c>
      <c r="P7" s="743" t="s">
        <v>501</v>
      </c>
      <c r="Q7" s="743" t="s">
        <v>496</v>
      </c>
      <c r="R7" s="743" t="s">
        <v>497</v>
      </c>
      <c r="S7" s="743" t="s">
        <v>476</v>
      </c>
      <c r="T7" s="743" t="s">
        <v>477</v>
      </c>
    </row>
    <row r="8" spans="1:20" s="274" customFormat="1" ht="10.199999999999999">
      <c r="A8" s="738">
        <f>DTCT!A9</f>
        <v>1</v>
      </c>
      <c r="B8" s="747" t="str">
        <f>DTCT!B9</f>
        <v>QLD.10150</v>
      </c>
      <c r="C8" s="748" t="str">
        <f>DTCT!C9</f>
        <v>Tuần đường</v>
      </c>
      <c r="D8" s="738" t="str">
        <f>DTCT!D9</f>
        <v>1km/năm</v>
      </c>
      <c r="E8" s="739">
        <f>DTCT!E9</f>
        <v>48.532389999999999</v>
      </c>
      <c r="F8" s="744">
        <f>DTCT!F9</f>
        <v>162671.375</v>
      </c>
      <c r="G8" s="745">
        <f>DTCT!G9</f>
        <v>2038164.2759999998</v>
      </c>
      <c r="H8" s="745">
        <f>DTCT!H9</f>
        <v>0</v>
      </c>
      <c r="I8" s="746">
        <f t="shared" ref="I8:I24" si="0">$G$7*G8</f>
        <v>7796638.7209254233</v>
      </c>
      <c r="J8" s="746">
        <f t="shared" ref="J8:J24" si="1">$H$7*H8</f>
        <v>0</v>
      </c>
      <c r="K8" s="746">
        <f>F8+I8+J8</f>
        <v>7959310.0959254233</v>
      </c>
      <c r="L8" s="746">
        <f>I8*66%</f>
        <v>5145781.5558107793</v>
      </c>
      <c r="M8" s="746">
        <f>(K8+L8)*6%</f>
        <v>786305.49910417222</v>
      </c>
      <c r="N8" s="746">
        <f>K8+L8+M8</f>
        <v>13891397.150840376</v>
      </c>
      <c r="O8" s="746">
        <f>N8*10%</f>
        <v>1389139.7150840377</v>
      </c>
      <c r="P8" s="746">
        <f>N8+O8</f>
        <v>15280536.865924414</v>
      </c>
      <c r="Q8" s="746"/>
      <c r="R8" s="746"/>
      <c r="S8" s="746"/>
      <c r="T8" s="746">
        <f>P8</f>
        <v>15280536.865924414</v>
      </c>
    </row>
    <row r="9" spans="1:20" s="274" customFormat="1" ht="10.199999999999999">
      <c r="A9" s="738">
        <f>DTCT!A10</f>
        <v>2</v>
      </c>
      <c r="B9" s="747" t="str">
        <f>DTCT!B10</f>
        <v>QLD.10230</v>
      </c>
      <c r="C9" s="748" t="str">
        <f>DTCT!C10</f>
        <v>Đếm xe bằng thủ công</v>
      </c>
      <c r="D9" s="738" t="str">
        <f>DTCT!D10</f>
        <v>1lần/trạm đếm</v>
      </c>
      <c r="E9" s="739">
        <f>DTCT!E10</f>
        <v>12</v>
      </c>
      <c r="F9" s="744">
        <f>DTCT!F10</f>
        <v>15300</v>
      </c>
      <c r="G9" s="745">
        <f>DTCT!G10</f>
        <v>2384312</v>
      </c>
      <c r="H9" s="745">
        <f>DTCT!H10</f>
        <v>0</v>
      </c>
      <c r="I9" s="746">
        <f t="shared" si="0"/>
        <v>9120765.9170880001</v>
      </c>
      <c r="J9" s="746">
        <f t="shared" si="1"/>
        <v>0</v>
      </c>
      <c r="K9" s="746">
        <f t="shared" ref="K9:K20" si="2">F9+I9+J9</f>
        <v>9136065.9170880001</v>
      </c>
      <c r="L9" s="746">
        <f t="shared" ref="L9:L20" si="3">I9*66%</f>
        <v>6019705.5052780807</v>
      </c>
      <c r="M9" s="746">
        <f t="shared" ref="M9:M20" si="4">(K9+L9)*6%</f>
        <v>909346.2853419648</v>
      </c>
      <c r="N9" s="746">
        <f t="shared" ref="N9:N20" si="5">K9+L9+M9</f>
        <v>16065117.707708046</v>
      </c>
      <c r="O9" s="746">
        <f t="shared" ref="O9:O20" si="6">N9*10%</f>
        <v>1606511.7707708047</v>
      </c>
      <c r="P9" s="746">
        <f t="shared" ref="P9:P20" si="7">N9+O9</f>
        <v>17671629.478478849</v>
      </c>
      <c r="Q9" s="746"/>
      <c r="R9" s="746"/>
      <c r="S9" s="746"/>
      <c r="T9" s="746">
        <f t="shared" ref="T9:T20" si="8">P9</f>
        <v>17671629.478478849</v>
      </c>
    </row>
    <row r="10" spans="1:20" ht="30.6">
      <c r="A10" s="738">
        <f>DTCT!A11</f>
        <v>3</v>
      </c>
      <c r="B10" s="747" t="str">
        <f>DTCT!B11</f>
        <v>QLD.10340</v>
      </c>
      <c r="C10" s="748" t="str">
        <f>DTCT!C11</f>
        <v>Kiểm tra định kỳ, khẩn cấp, cập nhật số liệu cầu đường và tình hình bão lũ</v>
      </c>
      <c r="D10" s="738" t="str">
        <f>DTCT!D11</f>
        <v>1km/1lần</v>
      </c>
      <c r="E10" s="739">
        <f>DTCT!E11</f>
        <v>48.532389999999999</v>
      </c>
      <c r="F10" s="744">
        <f>DTCT!F11</f>
        <v>445.67500000000001</v>
      </c>
      <c r="G10" s="745">
        <f>DTCT!G11</f>
        <v>7439.1459999999997</v>
      </c>
      <c r="H10" s="745">
        <f>DTCT!H11</f>
        <v>0</v>
      </c>
      <c r="I10" s="746">
        <f t="shared" si="0"/>
        <v>28457.143733304001</v>
      </c>
      <c r="J10" s="746">
        <f t="shared" si="1"/>
        <v>0</v>
      </c>
      <c r="K10" s="746">
        <f t="shared" si="2"/>
        <v>28902.818733304</v>
      </c>
      <c r="L10" s="746">
        <f t="shared" si="3"/>
        <v>18781.71486398064</v>
      </c>
      <c r="M10" s="746">
        <f t="shared" si="4"/>
        <v>2861.0720158370782</v>
      </c>
      <c r="N10" s="746">
        <f t="shared" si="5"/>
        <v>50545.605613121712</v>
      </c>
      <c r="O10" s="746">
        <f t="shared" si="6"/>
        <v>5054.5605613121716</v>
      </c>
      <c r="P10" s="746">
        <f t="shared" si="7"/>
        <v>55600.166174433885</v>
      </c>
      <c r="Q10" s="746"/>
      <c r="R10" s="746"/>
      <c r="S10" s="746"/>
      <c r="T10" s="746">
        <f t="shared" si="8"/>
        <v>55600.166174433885</v>
      </c>
    </row>
    <row r="11" spans="1:20">
      <c r="A11" s="738">
        <f>DTCT!A12</f>
        <v>4</v>
      </c>
      <c r="B11" s="747" t="str">
        <f>DTCT!B12</f>
        <v>QLD.10410</v>
      </c>
      <c r="C11" s="748" t="str">
        <f>DTCT!C12</f>
        <v>Trực bão lũ</v>
      </c>
      <c r="D11" s="738" t="str">
        <f>DTCT!D12</f>
        <v>40km/năm</v>
      </c>
      <c r="E11" s="739">
        <f>DTCT!E12</f>
        <v>1.2133097500000001</v>
      </c>
      <c r="F11" s="744">
        <f>DTCT!F12</f>
        <v>0</v>
      </c>
      <c r="G11" s="745">
        <f>DTCT!G12</f>
        <v>30655360</v>
      </c>
      <c r="H11" s="745">
        <f>DTCT!H12</f>
        <v>0</v>
      </c>
      <c r="I11" s="746">
        <f t="shared" si="0"/>
        <v>117266684.33664</v>
      </c>
      <c r="J11" s="746">
        <f t="shared" si="1"/>
        <v>0</v>
      </c>
      <c r="K11" s="746">
        <f t="shared" si="2"/>
        <v>117266684.33664</v>
      </c>
      <c r="L11" s="746">
        <f t="shared" si="3"/>
        <v>77396011.662182406</v>
      </c>
      <c r="M11" s="746">
        <f t="shared" si="4"/>
        <v>11679761.759929342</v>
      </c>
      <c r="N11" s="746">
        <f t="shared" si="5"/>
        <v>206342457.75875172</v>
      </c>
      <c r="O11" s="746">
        <f t="shared" si="6"/>
        <v>20634245.775875174</v>
      </c>
      <c r="P11" s="746">
        <f t="shared" si="7"/>
        <v>226976703.5346269</v>
      </c>
      <c r="Q11" s="746"/>
      <c r="R11" s="746"/>
      <c r="S11" s="746"/>
      <c r="T11" s="746">
        <f t="shared" si="8"/>
        <v>226976703.5346269</v>
      </c>
    </row>
    <row r="12" spans="1:20" ht="20.399999999999999">
      <c r="A12" s="738">
        <f>DTCT!A13</f>
        <v>5</v>
      </c>
      <c r="B12" s="747" t="str">
        <f>DTCT!B13</f>
        <v>QLD.10610</v>
      </c>
      <c r="C12" s="748" t="str">
        <f>DTCT!C13</f>
        <v>Quản lý hành lang an toàn đường bộ và đấu nối</v>
      </c>
      <c r="D12" s="738" t="str">
        <f>DTCT!D13</f>
        <v>1km/năm</v>
      </c>
      <c r="E12" s="739">
        <f>DTCT!E13</f>
        <v>48.532389999999999</v>
      </c>
      <c r="F12" s="744">
        <f>DTCT!F13</f>
        <v>0</v>
      </c>
      <c r="G12" s="745">
        <f>DTCT!G13</f>
        <v>402116</v>
      </c>
      <c r="H12" s="745">
        <f>DTCT!H13</f>
        <v>0</v>
      </c>
      <c r="I12" s="746">
        <f t="shared" si="0"/>
        <v>1538223.9855840001</v>
      </c>
      <c r="J12" s="746">
        <f t="shared" si="1"/>
        <v>0</v>
      </c>
      <c r="K12" s="746">
        <f t="shared" si="2"/>
        <v>1538223.9855840001</v>
      </c>
      <c r="L12" s="746">
        <f t="shared" si="3"/>
        <v>1015227.8304854401</v>
      </c>
      <c r="M12" s="746">
        <f t="shared" si="4"/>
        <v>153207.1089641664</v>
      </c>
      <c r="N12" s="746">
        <f t="shared" si="5"/>
        <v>2706658.9250336066</v>
      </c>
      <c r="O12" s="746">
        <f t="shared" si="6"/>
        <v>270665.89250336069</v>
      </c>
      <c r="P12" s="746">
        <f t="shared" si="7"/>
        <v>2977324.8175369673</v>
      </c>
      <c r="Q12" s="746"/>
      <c r="R12" s="746"/>
      <c r="S12" s="746"/>
      <c r="T12" s="746">
        <f t="shared" si="8"/>
        <v>2977324.8175369673</v>
      </c>
    </row>
    <row r="13" spans="1:20">
      <c r="A13" s="738">
        <f>DTCT!A14</f>
        <v>6</v>
      </c>
      <c r="B13" s="747" t="str">
        <f>DTCT!B14</f>
        <v>BDD.20410</v>
      </c>
      <c r="C13" s="748" t="str">
        <f>DTCT!C14</f>
        <v>Cắt cỏ bằng máy</v>
      </c>
      <c r="D13" s="738" t="str">
        <f>DTCT!D14</f>
        <v>1km/1lần</v>
      </c>
      <c r="E13" s="739">
        <f>DTCT!E14</f>
        <v>48.532389999999999</v>
      </c>
      <c r="F13" s="744">
        <f>DTCT!F14</f>
        <v>8000</v>
      </c>
      <c r="G13" s="745">
        <f>DTCT!G14</f>
        <v>0</v>
      </c>
      <c r="H13" s="745">
        <f>DTCT!H14</f>
        <v>195657.30000000002</v>
      </c>
      <c r="I13" s="746">
        <f t="shared" si="0"/>
        <v>0</v>
      </c>
      <c r="J13" s="746">
        <f t="shared" si="1"/>
        <v>341226.33120000002</v>
      </c>
      <c r="K13" s="746">
        <f t="shared" si="2"/>
        <v>349226.33120000002</v>
      </c>
      <c r="L13" s="746">
        <f t="shared" si="3"/>
        <v>0</v>
      </c>
      <c r="M13" s="746">
        <f t="shared" si="4"/>
        <v>20953.579871999998</v>
      </c>
      <c r="N13" s="746">
        <f t="shared" si="5"/>
        <v>370179.91107199999</v>
      </c>
      <c r="O13" s="746">
        <f t="shared" si="6"/>
        <v>37017.991107200003</v>
      </c>
      <c r="P13" s="746">
        <f t="shared" si="7"/>
        <v>407197.90217919997</v>
      </c>
      <c r="Q13" s="746"/>
      <c r="R13" s="746"/>
      <c r="S13" s="746"/>
      <c r="T13" s="746">
        <f t="shared" si="8"/>
        <v>407197.90217919997</v>
      </c>
    </row>
    <row r="14" spans="1:20" ht="20.399999999999999">
      <c r="A14" s="738">
        <f>DTCT!A15</f>
        <v>7</v>
      </c>
      <c r="B14" s="747" t="str">
        <f>DTCT!B15</f>
        <v>BDD.20510</v>
      </c>
      <c r="C14" s="748" t="str">
        <f>DTCT!C15</f>
        <v>Phát quang cây cỏ bằng thủ công</v>
      </c>
      <c r="D14" s="738" t="str">
        <f>DTCT!D15</f>
        <v>1km/1lần</v>
      </c>
      <c r="E14" s="739">
        <f>DTCT!E15</f>
        <v>48.532389999999999</v>
      </c>
      <c r="F14" s="744">
        <f>DTCT!F15</f>
        <v>0</v>
      </c>
      <c r="G14" s="745">
        <f>DTCT!G15</f>
        <v>899226.24</v>
      </c>
      <c r="H14" s="745">
        <f>DTCT!H15</f>
        <v>0</v>
      </c>
      <c r="I14" s="746">
        <f t="shared" si="0"/>
        <v>3439831.7173017603</v>
      </c>
      <c r="J14" s="746">
        <f t="shared" si="1"/>
        <v>0</v>
      </c>
      <c r="K14" s="746">
        <f t="shared" si="2"/>
        <v>3439831.7173017603</v>
      </c>
      <c r="L14" s="746">
        <f t="shared" si="3"/>
        <v>2270288.9334191619</v>
      </c>
      <c r="M14" s="746">
        <f t="shared" si="4"/>
        <v>342607.23904325534</v>
      </c>
      <c r="N14" s="746">
        <f t="shared" si="5"/>
        <v>6052727.8897641776</v>
      </c>
      <c r="O14" s="746">
        <f t="shared" si="6"/>
        <v>605272.78897641774</v>
      </c>
      <c r="P14" s="746">
        <f t="shared" si="7"/>
        <v>6658000.6787405955</v>
      </c>
      <c r="Q14" s="746"/>
      <c r="R14" s="746"/>
      <c r="S14" s="746"/>
      <c r="T14" s="746">
        <f t="shared" si="8"/>
        <v>6658000.6787405955</v>
      </c>
    </row>
    <row r="15" spans="1:20">
      <c r="A15" s="738">
        <f>DTCT!A16</f>
        <v>8</v>
      </c>
      <c r="B15" s="747" t="str">
        <f>DTCT!B16</f>
        <v>BDD.22310</v>
      </c>
      <c r="C15" s="748" t="str">
        <f>DTCT!C16</f>
        <v>Nắn sửa cọc tiêu, cọc MLG</v>
      </c>
      <c r="D15" s="738" t="str">
        <f>DTCT!D16</f>
        <v>1 cọc</v>
      </c>
      <c r="E15" s="739">
        <f>DTCT!E16</f>
        <v>123.95</v>
      </c>
      <c r="F15" s="744">
        <f>DTCT!F16</f>
        <v>0</v>
      </c>
      <c r="G15" s="745">
        <f>DTCT!G16</f>
        <v>10218.48</v>
      </c>
      <c r="H15" s="745">
        <f>DTCT!H16</f>
        <v>0</v>
      </c>
      <c r="I15" s="746">
        <f t="shared" si="0"/>
        <v>39088.996787520002</v>
      </c>
      <c r="J15" s="746">
        <f t="shared" si="1"/>
        <v>0</v>
      </c>
      <c r="K15" s="746">
        <f t="shared" si="2"/>
        <v>39088.996787520002</v>
      </c>
      <c r="L15" s="746">
        <f t="shared" si="3"/>
        <v>25798.737879763201</v>
      </c>
      <c r="M15" s="746">
        <f t="shared" si="4"/>
        <v>3893.2640800369923</v>
      </c>
      <c r="N15" s="746">
        <f t="shared" si="5"/>
        <v>68780.998747320205</v>
      </c>
      <c r="O15" s="746">
        <f t="shared" si="6"/>
        <v>6878.0998747320209</v>
      </c>
      <c r="P15" s="746">
        <f t="shared" si="7"/>
        <v>75659.098622052232</v>
      </c>
      <c r="Q15" s="746"/>
      <c r="R15" s="746"/>
      <c r="S15" s="746"/>
      <c r="T15" s="746">
        <f t="shared" si="8"/>
        <v>75659.098622052232</v>
      </c>
    </row>
    <row r="16" spans="1:20">
      <c r="A16" s="738">
        <f>DTCT!A17</f>
        <v>9</v>
      </c>
      <c r="B16" s="747" t="str">
        <f>DTCT!B17</f>
        <v>BDD.22410</v>
      </c>
      <c r="C16" s="748" t="str">
        <f>DTCT!C17</f>
        <v>Nắn sửa cột Km</v>
      </c>
      <c r="D16" s="738" t="str">
        <f>DTCT!D17</f>
        <v>1 cột</v>
      </c>
      <c r="E16" s="739">
        <f>DTCT!E17</f>
        <v>0.98</v>
      </c>
      <c r="F16" s="744">
        <f>DTCT!F17</f>
        <v>0</v>
      </c>
      <c r="G16" s="745">
        <f>DTCT!G17</f>
        <v>20436.96</v>
      </c>
      <c r="H16" s="745">
        <f>DTCT!H17</f>
        <v>0</v>
      </c>
      <c r="I16" s="746">
        <f t="shared" si="0"/>
        <v>78177.993575040004</v>
      </c>
      <c r="J16" s="746">
        <f t="shared" si="1"/>
        <v>0</v>
      </c>
      <c r="K16" s="746">
        <f t="shared" si="2"/>
        <v>78177.993575040004</v>
      </c>
      <c r="L16" s="746">
        <f t="shared" si="3"/>
        <v>51597.475759526402</v>
      </c>
      <c r="M16" s="746">
        <f t="shared" si="4"/>
        <v>7786.5281600739845</v>
      </c>
      <c r="N16" s="746">
        <f t="shared" si="5"/>
        <v>137561.99749464041</v>
      </c>
      <c r="O16" s="746">
        <f t="shared" si="6"/>
        <v>13756.199749464042</v>
      </c>
      <c r="P16" s="746">
        <f t="shared" si="7"/>
        <v>151318.19724410446</v>
      </c>
      <c r="Q16" s="746"/>
      <c r="R16" s="746"/>
      <c r="S16" s="746"/>
      <c r="T16" s="746">
        <f t="shared" si="8"/>
        <v>151318.19724410446</v>
      </c>
    </row>
    <row r="17" spans="1:20">
      <c r="A17" s="738">
        <f>DTCT!A18</f>
        <v>10</v>
      </c>
      <c r="B17" s="747" t="str">
        <f>DTCT!B18</f>
        <v>BDD.22510</v>
      </c>
      <c r="C17" s="748" t="str">
        <f>DTCT!C18</f>
        <v>Nắn chỉnh, tu sửa biển báo</v>
      </c>
      <c r="D17" s="738" t="str">
        <f>DTCT!D18</f>
        <v>1 cột</v>
      </c>
      <c r="E17" s="739">
        <f>DTCT!E18</f>
        <v>7.94</v>
      </c>
      <c r="F17" s="744">
        <f>DTCT!F18</f>
        <v>0</v>
      </c>
      <c r="G17" s="745">
        <f>DTCT!G18</f>
        <v>38319.300000000003</v>
      </c>
      <c r="H17" s="745">
        <f>DTCT!H18</f>
        <v>0</v>
      </c>
      <c r="I17" s="746">
        <f t="shared" si="0"/>
        <v>146583.7379532</v>
      </c>
      <c r="J17" s="746">
        <f t="shared" si="1"/>
        <v>0</v>
      </c>
      <c r="K17" s="746">
        <f t="shared" si="2"/>
        <v>146583.7379532</v>
      </c>
      <c r="L17" s="746">
        <f t="shared" si="3"/>
        <v>96745.267049112008</v>
      </c>
      <c r="M17" s="746">
        <f t="shared" si="4"/>
        <v>14599.740300138721</v>
      </c>
      <c r="N17" s="746">
        <f t="shared" si="5"/>
        <v>257928.74530245073</v>
      </c>
      <c r="O17" s="746">
        <f t="shared" si="6"/>
        <v>25792.874530245073</v>
      </c>
      <c r="P17" s="746">
        <f t="shared" si="7"/>
        <v>283721.61983269581</v>
      </c>
      <c r="Q17" s="746"/>
      <c r="R17" s="746"/>
      <c r="S17" s="746"/>
      <c r="T17" s="746">
        <f t="shared" si="8"/>
        <v>283721.61983269581</v>
      </c>
    </row>
    <row r="18" spans="1:20">
      <c r="A18" s="738">
        <f>+DTCT!A19</f>
        <v>11</v>
      </c>
      <c r="B18" s="738" t="str">
        <f>+DTCT!B19</f>
        <v>BDD.203210</v>
      </c>
      <c r="C18" s="749" t="str">
        <f>+DTCT!C19</f>
        <v>Bạt lề đường bằng máy</v>
      </c>
      <c r="D18" s="738" t="str">
        <f>+DTCT!D19</f>
        <v>100md</v>
      </c>
      <c r="E18" s="750">
        <f>+DTCT!E19</f>
        <v>970.64779999999996</v>
      </c>
      <c r="F18" s="750">
        <f>+DTCT!F19</f>
        <v>0</v>
      </c>
      <c r="G18" s="750">
        <f>+DTCT!G19</f>
        <v>0</v>
      </c>
      <c r="H18" s="745">
        <f>+DTCT!H19</f>
        <v>6162.9539999999997</v>
      </c>
      <c r="I18" s="746">
        <f t="shared" si="0"/>
        <v>0</v>
      </c>
      <c r="J18" s="746">
        <f t="shared" si="1"/>
        <v>10748.191776</v>
      </c>
      <c r="K18" s="746">
        <f t="shared" si="2"/>
        <v>10748.191776</v>
      </c>
      <c r="L18" s="746">
        <f t="shared" si="3"/>
        <v>0</v>
      </c>
      <c r="M18" s="746">
        <f t="shared" si="4"/>
        <v>644.89150655999993</v>
      </c>
      <c r="N18" s="746">
        <f t="shared" si="5"/>
        <v>11393.083282559999</v>
      </c>
      <c r="O18" s="746">
        <f t="shared" si="6"/>
        <v>1139.3083282559999</v>
      </c>
      <c r="P18" s="746">
        <f t="shared" si="7"/>
        <v>12532.391610815999</v>
      </c>
      <c r="Q18" s="746"/>
      <c r="R18" s="746"/>
      <c r="S18" s="746"/>
      <c r="T18" s="746">
        <f t="shared" si="8"/>
        <v>12532.391610815999</v>
      </c>
    </row>
    <row r="19" spans="1:20">
      <c r="A19" s="738">
        <f>+DTCT!A20</f>
        <v>12</v>
      </c>
      <c r="B19" s="738" t="str">
        <f>+DTCT!B20</f>
        <v>BDD.21312</v>
      </c>
      <c r="C19" s="749" t="str">
        <f>+DTCT!C20</f>
        <v>Vệ sinh mặt đường bằng thủ công</v>
      </c>
      <c r="D19" s="738" t="str">
        <f>+DTCT!D20</f>
        <v>lần/km</v>
      </c>
      <c r="E19" s="750">
        <f>+DTCT!E20</f>
        <v>48.532389999999999</v>
      </c>
      <c r="F19" s="744">
        <f>+DTCT!F20</f>
        <v>2000</v>
      </c>
      <c r="G19" s="745">
        <f>+DTCT!G20</f>
        <v>697788.75</v>
      </c>
      <c r="H19" s="745">
        <f>+DTCT!H20</f>
        <v>0</v>
      </c>
      <c r="I19" s="746">
        <f t="shared" si="0"/>
        <v>2669268.0523049999</v>
      </c>
      <c r="J19" s="746">
        <f t="shared" si="1"/>
        <v>0</v>
      </c>
      <c r="K19" s="746">
        <f t="shared" si="2"/>
        <v>2671268.0523049999</v>
      </c>
      <c r="L19" s="746">
        <f t="shared" si="3"/>
        <v>1761716.9145213</v>
      </c>
      <c r="M19" s="746">
        <f t="shared" si="4"/>
        <v>265979.09800957801</v>
      </c>
      <c r="N19" s="746">
        <f t="shared" si="5"/>
        <v>4698964.0648358781</v>
      </c>
      <c r="O19" s="746">
        <f t="shared" si="6"/>
        <v>469896.40648358781</v>
      </c>
      <c r="P19" s="746">
        <f t="shared" si="7"/>
        <v>5168860.4713194659</v>
      </c>
      <c r="Q19" s="746"/>
      <c r="R19" s="746"/>
      <c r="S19" s="746"/>
      <c r="T19" s="746">
        <f t="shared" si="8"/>
        <v>5168860.4713194659</v>
      </c>
    </row>
    <row r="20" spans="1:20">
      <c r="A20" s="738">
        <f>+DTCT!A21</f>
        <v>13</v>
      </c>
      <c r="B20" s="738" t="str">
        <f>+DTCT!B21</f>
        <v>BDD.22910</v>
      </c>
      <c r="C20" s="749" t="str">
        <f>+DTCT!C21</f>
        <v>Vệ sinh mặt biển phản quang</v>
      </c>
      <c r="D20" s="738" t="str">
        <f>+DTCT!D21</f>
        <v>m2</v>
      </c>
      <c r="E20" s="750">
        <f>+DTCT!E21</f>
        <v>174.815</v>
      </c>
      <c r="F20" s="744">
        <f>+DTCT!F21</f>
        <v>0</v>
      </c>
      <c r="G20" s="745">
        <f>+DTCT!G21</f>
        <v>9579.8000000000011</v>
      </c>
      <c r="H20" s="745">
        <f>+DTCT!H21</f>
        <v>0</v>
      </c>
      <c r="I20" s="746">
        <f t="shared" si="0"/>
        <v>36645.838855200003</v>
      </c>
      <c r="J20" s="746">
        <f t="shared" si="1"/>
        <v>0</v>
      </c>
      <c r="K20" s="746">
        <f t="shared" si="2"/>
        <v>36645.838855200003</v>
      </c>
      <c r="L20" s="746">
        <f t="shared" si="3"/>
        <v>24186.253644432003</v>
      </c>
      <c r="M20" s="746">
        <f t="shared" si="4"/>
        <v>3649.9255499779206</v>
      </c>
      <c r="N20" s="746">
        <f t="shared" si="5"/>
        <v>64482.018049609927</v>
      </c>
      <c r="O20" s="746">
        <f t="shared" si="6"/>
        <v>6448.2018049609933</v>
      </c>
      <c r="P20" s="746">
        <f t="shared" si="7"/>
        <v>70930.219854570925</v>
      </c>
      <c r="Q20" s="746"/>
      <c r="R20" s="746"/>
      <c r="S20" s="746"/>
      <c r="T20" s="746">
        <f t="shared" si="8"/>
        <v>70930.219854570925</v>
      </c>
    </row>
    <row r="21" spans="1:20">
      <c r="A21" s="738">
        <f>DTCT!A23</f>
        <v>14</v>
      </c>
      <c r="B21" s="747" t="str">
        <f>DTCT!B23</f>
        <v>BDC.20610</v>
      </c>
      <c r="C21" s="748" t="str">
        <f>DTCT!C23</f>
        <v>Vệ sinh mặt cầu, ống thoát nước</v>
      </c>
      <c r="D21" s="738" t="str">
        <f>DTCT!D23</f>
        <v>10m2</v>
      </c>
      <c r="E21" s="739">
        <f>DTCT!E23</f>
        <v>361.35500000000002</v>
      </c>
      <c r="F21" s="744">
        <f>DTCT!F23</f>
        <v>2</v>
      </c>
      <c r="G21" s="745">
        <f>DTCT!G23</f>
        <v>8931.6959999999999</v>
      </c>
      <c r="H21" s="745">
        <f>DTCT!H23</f>
        <v>0</v>
      </c>
      <c r="I21" s="746">
        <f t="shared" si="0"/>
        <v>34166.631069504001</v>
      </c>
      <c r="J21" s="746">
        <f t="shared" si="1"/>
        <v>0</v>
      </c>
      <c r="K21" s="746">
        <f>F21+I21+J21</f>
        <v>34168.631069504001</v>
      </c>
      <c r="L21" s="746">
        <f>I21*66%</f>
        <v>22549.976505872641</v>
      </c>
      <c r="M21" s="746">
        <f>(K21+L21)*6%</f>
        <v>3403.1164545225984</v>
      </c>
      <c r="N21" s="746">
        <f t="shared" ref="N21:N32" si="9">K21+L21+M21</f>
        <v>60121.72402989924</v>
      </c>
      <c r="O21" s="746">
        <f t="shared" ref="O21:O32" si="10">N21*10%</f>
        <v>6012.1724029899242</v>
      </c>
      <c r="P21" s="746">
        <f t="shared" ref="P21:P32" si="11">N21+O21</f>
        <v>66133.89643288916</v>
      </c>
      <c r="Q21" s="746"/>
      <c r="R21" s="746"/>
      <c r="S21" s="746"/>
      <c r="T21" s="746">
        <f t="shared" ref="T21:T32" si="12">P21</f>
        <v>66133.89643288916</v>
      </c>
    </row>
    <row r="22" spans="1:20">
      <c r="A22" s="738">
        <f>DTCT!A24</f>
        <v>15</v>
      </c>
      <c r="B22" s="747" t="str">
        <f>DTCT!B24</f>
        <v>BDC.20910</v>
      </c>
      <c r="C22" s="748" t="str">
        <f>DTCT!C24</f>
        <v>Vệ sinh khe co dãn cao su</v>
      </c>
      <c r="D22" s="738" t="str">
        <f>DTCT!D24</f>
        <v>1md</v>
      </c>
      <c r="E22" s="739">
        <f>DTCT!E24</f>
        <v>320</v>
      </c>
      <c r="F22" s="744">
        <f>DTCT!F24</f>
        <v>0</v>
      </c>
      <c r="G22" s="745">
        <f>DTCT!G24</f>
        <v>11580.944000000001</v>
      </c>
      <c r="H22" s="745">
        <f>DTCT!H24</f>
        <v>0</v>
      </c>
      <c r="I22" s="746">
        <f t="shared" si="0"/>
        <v>44300.863025856008</v>
      </c>
      <c r="J22" s="746">
        <f t="shared" si="1"/>
        <v>0</v>
      </c>
      <c r="K22" s="746">
        <f>F22+I22+J22</f>
        <v>44300.863025856008</v>
      </c>
      <c r="L22" s="746">
        <f>I22*66%</f>
        <v>29238.569597064965</v>
      </c>
      <c r="M22" s="746">
        <f>(K22+L22)*6%</f>
        <v>4412.3659573752584</v>
      </c>
      <c r="N22" s="746">
        <f t="shared" si="9"/>
        <v>77951.798580296221</v>
      </c>
      <c r="O22" s="746">
        <f t="shared" si="10"/>
        <v>7795.1798580296227</v>
      </c>
      <c r="P22" s="746">
        <f t="shared" si="11"/>
        <v>85746.978438325837</v>
      </c>
      <c r="Q22" s="746"/>
      <c r="R22" s="746"/>
      <c r="S22" s="746"/>
      <c r="T22" s="746">
        <f t="shared" si="12"/>
        <v>85746.978438325837</v>
      </c>
    </row>
    <row r="23" spans="1:20">
      <c r="A23" s="738">
        <f>DTCT!A25</f>
        <v>16</v>
      </c>
      <c r="B23" s="747" t="str">
        <f>DTCT!B25</f>
        <v>BDC.21010</v>
      </c>
      <c r="C23" s="748" t="str">
        <f>DTCT!C25</f>
        <v>Vệ sinh mố cầu</v>
      </c>
      <c r="D23" s="738" t="str">
        <f>DTCT!D25</f>
        <v>m2</v>
      </c>
      <c r="E23" s="739">
        <f>DTCT!E25</f>
        <v>741.7</v>
      </c>
      <c r="F23" s="744">
        <f>DTCT!F25</f>
        <v>0</v>
      </c>
      <c r="G23" s="745">
        <f>DTCT!G25</f>
        <v>86218.2</v>
      </c>
      <c r="H23" s="745">
        <f>DTCT!H25</f>
        <v>0</v>
      </c>
      <c r="I23" s="746">
        <f t="shared" si="0"/>
        <v>329812.54969680001</v>
      </c>
      <c r="J23" s="746">
        <f t="shared" si="1"/>
        <v>0</v>
      </c>
      <c r="K23" s="746">
        <f>F23+I23+J23</f>
        <v>329812.54969680001</v>
      </c>
      <c r="L23" s="746">
        <f>I23*66%</f>
        <v>217676.28279988802</v>
      </c>
      <c r="M23" s="746">
        <f>(K23+L23)*6%</f>
        <v>32849.329949801278</v>
      </c>
      <c r="N23" s="746">
        <f t="shared" si="9"/>
        <v>580338.16244648932</v>
      </c>
      <c r="O23" s="746">
        <f t="shared" si="10"/>
        <v>58033.816244648937</v>
      </c>
      <c r="P23" s="746">
        <f t="shared" si="11"/>
        <v>638371.97869113821</v>
      </c>
      <c r="Q23" s="746"/>
      <c r="R23" s="746"/>
      <c r="S23" s="746"/>
      <c r="T23" s="746">
        <f t="shared" si="12"/>
        <v>638371.97869113821</v>
      </c>
    </row>
    <row r="24" spans="1:20">
      <c r="A24" s="738">
        <f>DTCT!A26</f>
        <v>17</v>
      </c>
      <c r="B24" s="747" t="str">
        <f>DTCT!B26</f>
        <v>BDC.21710</v>
      </c>
      <c r="C24" s="748" t="str">
        <f>DTCT!C26</f>
        <v>Phát quang cây dại</v>
      </c>
      <c r="D24" s="738" t="str">
        <f>DTCT!D26</f>
        <v>100m2</v>
      </c>
      <c r="E24" s="739">
        <f>DTCT!E26</f>
        <v>11.49</v>
      </c>
      <c r="F24" s="744">
        <f>DTCT!F26</f>
        <v>0</v>
      </c>
      <c r="G24" s="745">
        <f>DTCT!G26</f>
        <v>729940.08799999987</v>
      </c>
      <c r="H24" s="745">
        <f>DTCT!H26</f>
        <v>0</v>
      </c>
      <c r="I24" s="746">
        <f t="shared" si="0"/>
        <v>2792257.3371885116</v>
      </c>
      <c r="J24" s="746">
        <f t="shared" si="1"/>
        <v>0</v>
      </c>
      <c r="K24" s="746">
        <f>F24+I24+J24</f>
        <v>2792257.3371885116</v>
      </c>
      <c r="L24" s="746">
        <f>I24*66%</f>
        <v>1842889.8425444178</v>
      </c>
      <c r="M24" s="746">
        <f>(K24+L24)*6%</f>
        <v>278108.83078397578</v>
      </c>
      <c r="N24" s="746">
        <f t="shared" si="9"/>
        <v>4913256.0105169062</v>
      </c>
      <c r="O24" s="746">
        <f t="shared" si="10"/>
        <v>491325.60105169064</v>
      </c>
      <c r="P24" s="746">
        <f t="shared" si="11"/>
        <v>5404581.6115685971</v>
      </c>
      <c r="Q24" s="746"/>
      <c r="R24" s="746"/>
      <c r="S24" s="746"/>
      <c r="T24" s="746">
        <f t="shared" si="12"/>
        <v>5404581.6115685971</v>
      </c>
    </row>
    <row r="25" spans="1:20">
      <c r="A25" s="738"/>
      <c r="B25" s="747"/>
      <c r="C25" s="737" t="str">
        <f>DTCT!C28</f>
        <v>Cầu &lt; 50m</v>
      </c>
      <c r="D25" s="738"/>
      <c r="E25" s="739"/>
      <c r="F25" s="744"/>
      <c r="G25" s="745"/>
      <c r="H25" s="745"/>
      <c r="I25" s="746"/>
      <c r="J25" s="746"/>
      <c r="K25" s="746"/>
      <c r="L25" s="746"/>
      <c r="M25" s="746"/>
      <c r="N25" s="746"/>
      <c r="O25" s="746"/>
      <c r="P25" s="746"/>
      <c r="Q25" s="746"/>
      <c r="R25" s="746"/>
      <c r="S25" s="746"/>
      <c r="T25" s="746"/>
    </row>
    <row r="26" spans="1:20">
      <c r="A26" s="738">
        <f>DTCT!A29</f>
        <v>18</v>
      </c>
      <c r="B26" s="747" t="str">
        <f>DTCT!B29</f>
        <v>QLC.10140</v>
      </c>
      <c r="C26" s="748" t="str">
        <f>DTCT!C29</f>
        <v>Kiểm tra cầu</v>
      </c>
      <c r="D26" s="738" t="str">
        <f>DTCT!D29</f>
        <v>cầu/năm</v>
      </c>
      <c r="E26" s="739">
        <f>DTCT!E29</f>
        <v>11</v>
      </c>
      <c r="F26" s="744">
        <f>DTCT!F29</f>
        <v>39000</v>
      </c>
      <c r="G26" s="745">
        <f>DTCT!G29</f>
        <v>804232</v>
      </c>
      <c r="H26" s="745">
        <f>DTCT!H29</f>
        <v>0</v>
      </c>
      <c r="I26" s="746">
        <f>$G$7*G26</f>
        <v>3076447.9711680003</v>
      </c>
      <c r="J26" s="746">
        <f>$H$7*H26</f>
        <v>0</v>
      </c>
      <c r="K26" s="746">
        <f>F26+I26+J26</f>
        <v>3115447.9711680003</v>
      </c>
      <c r="L26" s="746">
        <f>I26*66%</f>
        <v>2030455.6609708802</v>
      </c>
      <c r="M26" s="746">
        <f>(K26+L26)*6%</f>
        <v>308754.2179283328</v>
      </c>
      <c r="N26" s="746">
        <f t="shared" si="9"/>
        <v>5454657.8500672132</v>
      </c>
      <c r="O26" s="746">
        <f t="shared" si="10"/>
        <v>545465.78500672139</v>
      </c>
      <c r="P26" s="746">
        <f t="shared" si="11"/>
        <v>6000123.6350739347</v>
      </c>
      <c r="Q26" s="746"/>
      <c r="R26" s="746"/>
      <c r="S26" s="746"/>
      <c r="T26" s="746">
        <f t="shared" si="12"/>
        <v>6000123.6350739347</v>
      </c>
    </row>
    <row r="27" spans="1:20" ht="20.399999999999999">
      <c r="A27" s="738">
        <f>DTCT!A30</f>
        <v>19</v>
      </c>
      <c r="B27" s="747" t="str">
        <f>DTCT!B30</f>
        <v>QLC.10340</v>
      </c>
      <c r="C27" s="748" t="str">
        <f>DTCT!C30</f>
        <v>Kiểm tra trước và sau mùa mưa bão</v>
      </c>
      <c r="D27" s="738" t="str">
        <f>DTCT!D30</f>
        <v>cầu/năm</v>
      </c>
      <c r="E27" s="739">
        <f>DTCT!E30</f>
        <v>11</v>
      </c>
      <c r="F27" s="744">
        <f>DTCT!F30</f>
        <v>6501</v>
      </c>
      <c r="G27" s="745">
        <f>DTCT!G30</f>
        <v>201058</v>
      </c>
      <c r="H27" s="745">
        <f>DTCT!H30</f>
        <v>0</v>
      </c>
      <c r="I27" s="746">
        <f>$G$7*G27</f>
        <v>769111.99279200006</v>
      </c>
      <c r="J27" s="746">
        <f>$H$7*H27</f>
        <v>0</v>
      </c>
      <c r="K27" s="746">
        <f>F27+I27+J27</f>
        <v>775612.99279200006</v>
      </c>
      <c r="L27" s="746">
        <f>I27*66%</f>
        <v>507613.91524272005</v>
      </c>
      <c r="M27" s="746">
        <f>(K27+L27)*6%</f>
        <v>76993.614482083198</v>
      </c>
      <c r="N27" s="746">
        <f t="shared" si="9"/>
        <v>1360220.5225168031</v>
      </c>
      <c r="O27" s="746">
        <f t="shared" si="10"/>
        <v>136022.05225168032</v>
      </c>
      <c r="P27" s="746">
        <f t="shared" si="11"/>
        <v>1496242.5747684834</v>
      </c>
      <c r="Q27" s="746"/>
      <c r="R27" s="746"/>
      <c r="S27" s="746"/>
      <c r="T27" s="746">
        <f t="shared" si="12"/>
        <v>1496242.5747684834</v>
      </c>
    </row>
    <row r="28" spans="1:20">
      <c r="A28" s="738">
        <f>DTCT!A31</f>
        <v>20</v>
      </c>
      <c r="B28" s="747" t="str">
        <f>DTCT!B31</f>
        <v>QLC.10440</v>
      </c>
      <c r="C28" s="748" t="str">
        <f>DTCT!C31</f>
        <v>Quản lý hồ sơ trên vi tính</v>
      </c>
      <c r="D28" s="738" t="str">
        <f>DTCT!D31</f>
        <v>cầu/năm</v>
      </c>
      <c r="E28" s="739">
        <f>DTCT!E31</f>
        <v>11</v>
      </c>
      <c r="F28" s="744">
        <f>DTCT!F31</f>
        <v>0</v>
      </c>
      <c r="G28" s="745">
        <f>DTCT!G31</f>
        <v>237327</v>
      </c>
      <c r="H28" s="745">
        <f>DTCT!H31</f>
        <v>0</v>
      </c>
      <c r="I28" s="746">
        <f>$G$7*G28</f>
        <v>907852.66894800006</v>
      </c>
      <c r="J28" s="746">
        <f>$H$7*H28</f>
        <v>0</v>
      </c>
      <c r="K28" s="746">
        <f>F28+I28+J28</f>
        <v>907852.66894800006</v>
      </c>
      <c r="L28" s="746">
        <f>I28*66%</f>
        <v>599182.76150568004</v>
      </c>
      <c r="M28" s="746">
        <f>(K28+L28)*6%</f>
        <v>90422.125827220792</v>
      </c>
      <c r="N28" s="746">
        <f t="shared" si="9"/>
        <v>1597457.5562809007</v>
      </c>
      <c r="O28" s="746">
        <f t="shared" si="10"/>
        <v>159745.75562809009</v>
      </c>
      <c r="P28" s="746">
        <f t="shared" si="11"/>
        <v>1757203.3119089908</v>
      </c>
      <c r="Q28" s="746"/>
      <c r="R28" s="746"/>
      <c r="S28" s="746"/>
      <c r="T28" s="746">
        <f t="shared" si="12"/>
        <v>1757203.3119089908</v>
      </c>
    </row>
    <row r="29" spans="1:20">
      <c r="A29" s="738"/>
      <c r="B29" s="747"/>
      <c r="C29" s="737" t="str">
        <f>DTCT!C32</f>
        <v>Cầu 50m - 100m</v>
      </c>
      <c r="D29" s="738"/>
      <c r="E29" s="739"/>
      <c r="F29" s="744"/>
      <c r="G29" s="745"/>
      <c r="H29" s="745"/>
      <c r="I29" s="746"/>
      <c r="J29" s="746"/>
      <c r="K29" s="746"/>
      <c r="L29" s="746"/>
      <c r="M29" s="746"/>
      <c r="N29" s="746"/>
      <c r="O29" s="746"/>
      <c r="P29" s="746"/>
      <c r="Q29" s="746"/>
      <c r="R29" s="746"/>
      <c r="S29" s="746"/>
      <c r="T29" s="746"/>
    </row>
    <row r="30" spans="1:20">
      <c r="A30" s="738">
        <f>DTCT!A33</f>
        <v>21</v>
      </c>
      <c r="B30" s="747" t="str">
        <f>DTCT!B33</f>
        <v>QLC.10130</v>
      </c>
      <c r="C30" s="748" t="str">
        <f>DTCT!C33</f>
        <v>Kiểm tra cầu</v>
      </c>
      <c r="D30" s="738" t="str">
        <f>DTCT!D33</f>
        <v>cầu/năm</v>
      </c>
      <c r="E30" s="739">
        <f>DTCT!E33</f>
        <v>5</v>
      </c>
      <c r="F30" s="744">
        <f>DTCT!F33</f>
        <v>45000</v>
      </c>
      <c r="G30" s="745">
        <f>DTCT!G33</f>
        <v>2412696</v>
      </c>
      <c r="H30" s="745">
        <f>DTCT!H33</f>
        <v>0</v>
      </c>
      <c r="I30" s="746">
        <f>$G$7*G30</f>
        <v>9229343.9135040008</v>
      </c>
      <c r="J30" s="746">
        <f>$H$7*H30</f>
        <v>0</v>
      </c>
      <c r="K30" s="746">
        <f>F30+I30+J30</f>
        <v>9274343.9135040008</v>
      </c>
      <c r="L30" s="746">
        <f>I30*66%</f>
        <v>6091366.982912641</v>
      </c>
      <c r="M30" s="746">
        <f>(K30+L30)*6%</f>
        <v>921942.65378499846</v>
      </c>
      <c r="N30" s="746">
        <f t="shared" si="9"/>
        <v>16287653.55020164</v>
      </c>
      <c r="O30" s="746">
        <f t="shared" si="10"/>
        <v>1628765.355020164</v>
      </c>
      <c r="P30" s="746">
        <f t="shared" si="11"/>
        <v>17916418.905221805</v>
      </c>
      <c r="Q30" s="746"/>
      <c r="R30" s="746"/>
      <c r="S30" s="746"/>
      <c r="T30" s="746">
        <f t="shared" si="12"/>
        <v>17916418.905221805</v>
      </c>
    </row>
    <row r="31" spans="1:20" ht="20.399999999999999">
      <c r="A31" s="738">
        <f>DTCT!A34</f>
        <v>22</v>
      </c>
      <c r="B31" s="747" t="str">
        <f>DTCT!B34</f>
        <v>QLC.10330</v>
      </c>
      <c r="C31" s="748" t="str">
        <f>DTCT!C34</f>
        <v>Kiểm tra trước và sau mùa mưa bão</v>
      </c>
      <c r="D31" s="738" t="str">
        <f>DTCT!D34</f>
        <v>cầu/năm</v>
      </c>
      <c r="E31" s="739">
        <f>DTCT!E34</f>
        <v>5</v>
      </c>
      <c r="F31" s="744">
        <f>DTCT!F34</f>
        <v>7500</v>
      </c>
      <c r="G31" s="745">
        <f>DTCT!G34</f>
        <v>402116</v>
      </c>
      <c r="H31" s="745">
        <f>DTCT!H34</f>
        <v>1053514</v>
      </c>
      <c r="I31" s="746">
        <f>$G$7*G31</f>
        <v>1538223.9855840001</v>
      </c>
      <c r="J31" s="746">
        <f>$H$7*H31</f>
        <v>1837328.416</v>
      </c>
      <c r="K31" s="746">
        <f>F31+I31+J31</f>
        <v>3383052.4015840003</v>
      </c>
      <c r="L31" s="746">
        <f>I31*66%</f>
        <v>1015227.8304854401</v>
      </c>
      <c r="M31" s="746">
        <f>(K31+L31)*6%</f>
        <v>263896.81392416637</v>
      </c>
      <c r="N31" s="746">
        <f t="shared" si="9"/>
        <v>4662177.0459936066</v>
      </c>
      <c r="O31" s="746">
        <f t="shared" si="10"/>
        <v>466217.7045993607</v>
      </c>
      <c r="P31" s="746">
        <f t="shared" si="11"/>
        <v>5128394.7505929675</v>
      </c>
      <c r="Q31" s="746"/>
      <c r="R31" s="746"/>
      <c r="S31" s="746"/>
      <c r="T31" s="746">
        <f t="shared" si="12"/>
        <v>5128394.7505929675</v>
      </c>
    </row>
    <row r="32" spans="1:20">
      <c r="A32" s="751">
        <f>DTCT!A35</f>
        <v>23</v>
      </c>
      <c r="B32" s="752" t="str">
        <f>DTCT!B35</f>
        <v>QLC.10430</v>
      </c>
      <c r="C32" s="753" t="str">
        <f>DTCT!C35</f>
        <v>Quản lý hồ sơ trên vi tính</v>
      </c>
      <c r="D32" s="751" t="str">
        <f>DTCT!D35</f>
        <v>cầu/năm</v>
      </c>
      <c r="E32" s="754">
        <f>DTCT!E35</f>
        <v>5</v>
      </c>
      <c r="F32" s="755">
        <f>DTCT!F35</f>
        <v>0</v>
      </c>
      <c r="G32" s="756">
        <f>DTCT!G35</f>
        <v>237327</v>
      </c>
      <c r="H32" s="756">
        <f>DTCT!H35</f>
        <v>0</v>
      </c>
      <c r="I32" s="757">
        <f>$G$7*G32</f>
        <v>907852.66894800006</v>
      </c>
      <c r="J32" s="757">
        <f>$H$7*H32</f>
        <v>0</v>
      </c>
      <c r="K32" s="757">
        <f>F32+I32+J32</f>
        <v>907852.66894800006</v>
      </c>
      <c r="L32" s="757">
        <f>I32*66%</f>
        <v>599182.76150568004</v>
      </c>
      <c r="M32" s="757">
        <f>(K32+L32)*6%</f>
        <v>90422.125827220792</v>
      </c>
      <c r="N32" s="757">
        <f t="shared" si="9"/>
        <v>1597457.5562809007</v>
      </c>
      <c r="O32" s="757">
        <f t="shared" si="10"/>
        <v>159745.75562809009</v>
      </c>
      <c r="P32" s="757">
        <f t="shared" si="11"/>
        <v>1757203.3119089908</v>
      </c>
      <c r="Q32" s="757"/>
      <c r="R32" s="757"/>
      <c r="S32" s="757"/>
      <c r="T32" s="757">
        <f t="shared" si="12"/>
        <v>1757203.3119089908</v>
      </c>
    </row>
    <row r="33" spans="1:20" ht="29.25" hidden="1" customHeight="1">
      <c r="A33" s="758" t="str">
        <f>DTCT!A36</f>
        <v>II</v>
      </c>
      <c r="B33" s="759"/>
      <c r="C33" s="760" t="str">
        <f>DTCT!C36</f>
        <v>ĐƯỜNG TỈNH 902 - HUYỆN MANG THÍT</v>
      </c>
      <c r="D33" s="761"/>
      <c r="E33" s="762"/>
      <c r="F33" s="742" t="s">
        <v>56</v>
      </c>
      <c r="G33" s="741">
        <f>3.602*1.062</f>
        <v>3.8253240000000002</v>
      </c>
      <c r="H33" s="741">
        <v>1.744</v>
      </c>
      <c r="I33" s="742" t="s">
        <v>469</v>
      </c>
      <c r="J33" s="742" t="s">
        <v>470</v>
      </c>
      <c r="K33" s="743" t="s">
        <v>471</v>
      </c>
      <c r="L33" s="743" t="s">
        <v>472</v>
      </c>
      <c r="M33" s="743" t="s">
        <v>473</v>
      </c>
      <c r="N33" s="743" t="s">
        <v>500</v>
      </c>
      <c r="O33" s="743" t="s">
        <v>502</v>
      </c>
      <c r="P33" s="743" t="s">
        <v>501</v>
      </c>
      <c r="Q33" s="743" t="s">
        <v>474</v>
      </c>
      <c r="R33" s="743" t="s">
        <v>475</v>
      </c>
      <c r="S33" s="743" t="s">
        <v>476</v>
      </c>
      <c r="T33" s="743" t="s">
        <v>477</v>
      </c>
    </row>
    <row r="34" spans="1:20">
      <c r="A34" s="738"/>
      <c r="B34" s="747"/>
      <c r="C34" s="737" t="str">
        <f>DTCT!C65</f>
        <v>Cầu 100m - 200m</v>
      </c>
      <c r="D34" s="738"/>
      <c r="E34" s="739"/>
      <c r="F34" s="744"/>
      <c r="G34" s="745"/>
      <c r="H34" s="745"/>
      <c r="I34" s="746"/>
      <c r="J34" s="746"/>
      <c r="K34" s="746"/>
      <c r="L34" s="746"/>
      <c r="M34" s="746"/>
      <c r="N34" s="746"/>
      <c r="O34" s="746"/>
      <c r="P34" s="746"/>
      <c r="Q34" s="746"/>
      <c r="R34" s="746"/>
      <c r="S34" s="746"/>
      <c r="T34" s="746"/>
    </row>
    <row r="35" spans="1:20">
      <c r="A35" s="738">
        <f>DTCT!A66</f>
        <v>24</v>
      </c>
      <c r="B35" s="747" t="str">
        <f>DTCT!B66</f>
        <v>QLC.10120</v>
      </c>
      <c r="C35" s="748" t="str">
        <f>DTCT!C66</f>
        <v>Kiểm tra cầu</v>
      </c>
      <c r="D35" s="738" t="str">
        <f>DTCT!D66</f>
        <v>cầu/năm</v>
      </c>
      <c r="E35" s="739">
        <f>DTCT!E66</f>
        <v>1</v>
      </c>
      <c r="F35" s="744">
        <f>DTCT!F66</f>
        <v>51000</v>
      </c>
      <c r="G35" s="745">
        <f>DTCT!G66</f>
        <v>7238088</v>
      </c>
      <c r="H35" s="745">
        <f>DTCT!H66</f>
        <v>0</v>
      </c>
      <c r="I35" s="746">
        <f>$G$33*G35</f>
        <v>27688031.740512002</v>
      </c>
      <c r="J35" s="746">
        <f>$H$33*H35</f>
        <v>0</v>
      </c>
      <c r="K35" s="746">
        <f>F35+I35+J35</f>
        <v>27739031.740512002</v>
      </c>
      <c r="L35" s="746">
        <f>I35*66%</f>
        <v>18274100.948737923</v>
      </c>
      <c r="M35" s="746">
        <f>(K35+L35)*6%</f>
        <v>2760787.9613549956</v>
      </c>
      <c r="N35" s="746">
        <f>K35+L35+M35</f>
        <v>48773920.650604919</v>
      </c>
      <c r="O35" s="746">
        <f>N35*10%</f>
        <v>4877392.0650604917</v>
      </c>
      <c r="P35" s="746">
        <f>N35+O35</f>
        <v>53651312.715665407</v>
      </c>
      <c r="Q35" s="746"/>
      <c r="R35" s="746"/>
      <c r="S35" s="746"/>
      <c r="T35" s="746">
        <f>P35</f>
        <v>53651312.715665407</v>
      </c>
    </row>
    <row r="36" spans="1:20" ht="20.399999999999999">
      <c r="A36" s="738">
        <f>DTCT!A67</f>
        <v>25</v>
      </c>
      <c r="B36" s="747" t="str">
        <f>DTCT!B67</f>
        <v>QLC.10320</v>
      </c>
      <c r="C36" s="748" t="str">
        <f>DTCT!C67</f>
        <v>Kiểm tra trước và sau mùa mưa bão</v>
      </c>
      <c r="D36" s="738" t="str">
        <f>DTCT!D67</f>
        <v>cầu/năm</v>
      </c>
      <c r="E36" s="739">
        <f>DTCT!E67</f>
        <v>1</v>
      </c>
      <c r="F36" s="744">
        <f>DTCT!F67</f>
        <v>8499</v>
      </c>
      <c r="G36" s="745">
        <f>DTCT!G67</f>
        <v>804232</v>
      </c>
      <c r="H36" s="745">
        <f>DTCT!H67</f>
        <v>2107028</v>
      </c>
      <c r="I36" s="746">
        <f>$G$33*G36</f>
        <v>3076447.9711680003</v>
      </c>
      <c r="J36" s="746">
        <f>$H$33*H36</f>
        <v>3674656.8319999999</v>
      </c>
      <c r="K36" s="746">
        <f>F36+I36+J36</f>
        <v>6759603.8031680007</v>
      </c>
      <c r="L36" s="746">
        <f>I36*66%</f>
        <v>2030455.6609708802</v>
      </c>
      <c r="M36" s="746">
        <f>(K36+L36)*6%</f>
        <v>527403.56784833281</v>
      </c>
      <c r="N36" s="746">
        <f>K36+L36+M36</f>
        <v>9317463.0319872126</v>
      </c>
      <c r="O36" s="746">
        <f>N36*10%</f>
        <v>931746.30319872126</v>
      </c>
      <c r="P36" s="746">
        <f>N36+O36</f>
        <v>10249209.335185934</v>
      </c>
      <c r="Q36" s="746"/>
      <c r="R36" s="746"/>
      <c r="S36" s="746"/>
      <c r="T36" s="746">
        <f>P36</f>
        <v>10249209.335185934</v>
      </c>
    </row>
    <row r="37" spans="1:20">
      <c r="A37" s="738">
        <f>DTCT!A68</f>
        <v>26</v>
      </c>
      <c r="B37" s="747" t="str">
        <f>DTCT!B68</f>
        <v>QLC.10420</v>
      </c>
      <c r="C37" s="748" t="str">
        <f>DTCT!C68</f>
        <v>Quản lý hồ sơ trên vi tính</v>
      </c>
      <c r="D37" s="738" t="str">
        <f>DTCT!D68</f>
        <v>cầu/năm</v>
      </c>
      <c r="E37" s="739">
        <f>DTCT!E68</f>
        <v>1</v>
      </c>
      <c r="F37" s="744">
        <f>DTCT!F68</f>
        <v>0</v>
      </c>
      <c r="G37" s="745">
        <f>DTCT!G68</f>
        <v>474654</v>
      </c>
      <c r="H37" s="745">
        <f>DTCT!H68</f>
        <v>0</v>
      </c>
      <c r="I37" s="746">
        <f>$G$33*G37</f>
        <v>1815705.3378960001</v>
      </c>
      <c r="J37" s="746">
        <f>$H$33*H37</f>
        <v>0</v>
      </c>
      <c r="K37" s="746">
        <f>F37+I37+J37</f>
        <v>1815705.3378960001</v>
      </c>
      <c r="L37" s="746">
        <f>I37*66%</f>
        <v>1198365.5230113601</v>
      </c>
      <c r="M37" s="746">
        <f>(K37+L37)*6%</f>
        <v>180844.25165444158</v>
      </c>
      <c r="N37" s="746">
        <f>K37+L37+M37</f>
        <v>3194915.1125618014</v>
      </c>
      <c r="O37" s="746">
        <f>N37*10%</f>
        <v>319491.51125618018</v>
      </c>
      <c r="P37" s="746">
        <f>N37+O37</f>
        <v>3514406.6238179817</v>
      </c>
      <c r="Q37" s="746"/>
      <c r="R37" s="746"/>
      <c r="S37" s="746"/>
      <c r="T37" s="746">
        <f>P37</f>
        <v>3514406.6238179817</v>
      </c>
    </row>
    <row r="38" spans="1:20" ht="29.25" hidden="1" customHeight="1">
      <c r="A38" s="758" t="s">
        <v>320</v>
      </c>
      <c r="B38" s="759"/>
      <c r="C38" s="760" t="str">
        <f>DTCT!C276</f>
        <v>ĐƯỜNG TỈNH 910 - HUYỆN BÌNH MINH</v>
      </c>
      <c r="D38" s="761"/>
      <c r="E38" s="762"/>
      <c r="F38" s="742" t="s">
        <v>56</v>
      </c>
      <c r="G38" s="741">
        <f>3.972*1.062</f>
        <v>4.2182640000000005</v>
      </c>
      <c r="H38" s="741">
        <v>1.7669999999999999</v>
      </c>
      <c r="I38" s="742" t="s">
        <v>478</v>
      </c>
      <c r="J38" s="742" t="s">
        <v>479</v>
      </c>
      <c r="K38" s="743" t="s">
        <v>471</v>
      </c>
      <c r="L38" s="743" t="s">
        <v>472</v>
      </c>
      <c r="M38" s="743" t="s">
        <v>473</v>
      </c>
      <c r="N38" s="743" t="s">
        <v>500</v>
      </c>
      <c r="O38" s="743" t="s">
        <v>502</v>
      </c>
      <c r="P38" s="743" t="s">
        <v>501</v>
      </c>
      <c r="Q38" s="743" t="s">
        <v>474</v>
      </c>
      <c r="R38" s="743" t="s">
        <v>475</v>
      </c>
      <c r="S38" s="743" t="s">
        <v>476</v>
      </c>
      <c r="T38" s="743" t="s">
        <v>477</v>
      </c>
    </row>
    <row r="39" spans="1:20" ht="30" hidden="1" customHeight="1">
      <c r="A39" s="738"/>
      <c r="B39" s="747"/>
      <c r="C39" s="737" t="str">
        <f>DTCT!C277</f>
        <v>CÔNG TÁC QUẢN LÝ BDTX ĐƯỜNG BỘ</v>
      </c>
      <c r="D39" s="738"/>
      <c r="E39" s="739"/>
      <c r="F39" s="744"/>
      <c r="G39" s="745"/>
      <c r="H39" s="745"/>
      <c r="I39" s="746"/>
      <c r="J39" s="746"/>
      <c r="K39" s="746"/>
      <c r="L39" s="746"/>
      <c r="M39" s="746"/>
      <c r="N39" s="746"/>
      <c r="O39" s="746"/>
      <c r="P39" s="746"/>
      <c r="Q39" s="746"/>
      <c r="R39" s="746"/>
      <c r="S39" s="746"/>
      <c r="T39" s="746"/>
    </row>
    <row r="40" spans="1:20" ht="17.100000000000001" hidden="1" customHeight="1">
      <c r="A40" s="738">
        <f>DTCT!A278</f>
        <v>1</v>
      </c>
      <c r="B40" s="747" t="str">
        <f>DTCT!B278</f>
        <v>QLD.10150</v>
      </c>
      <c r="C40" s="748" t="str">
        <f>DTCT!C278</f>
        <v>Tuần đường</v>
      </c>
      <c r="D40" s="738" t="str">
        <f>DTCT!D278</f>
        <v>1km/năm</v>
      </c>
      <c r="E40" s="739">
        <f>DTCT!E278</f>
        <v>9.4359999999999999</v>
      </c>
      <c r="F40" s="744">
        <f>DTCT!F278</f>
        <v>162671.375</v>
      </c>
      <c r="G40" s="745">
        <f>DTCT!G278</f>
        <v>2038164.2759999998</v>
      </c>
      <c r="H40" s="745">
        <f>DTCT!H278</f>
        <v>0</v>
      </c>
      <c r="I40" s="746">
        <f>$G$38*G40</f>
        <v>8597514.991536865</v>
      </c>
      <c r="J40" s="746">
        <f>$H$38*H40</f>
        <v>0</v>
      </c>
      <c r="K40" s="746">
        <f t="shared" ref="K40:K80" si="13">F40+I40+J40</f>
        <v>8760186.366536865</v>
      </c>
      <c r="L40" s="746">
        <f t="shared" ref="L40:L80" si="14">I40*66%</f>
        <v>5674359.8944143308</v>
      </c>
      <c r="M40" s="746">
        <f t="shared" ref="M40:M80" si="15">(K40+L40)*6%</f>
        <v>866072.77565707162</v>
      </c>
      <c r="N40" s="746">
        <f t="shared" ref="N40:N80" si="16">K40+L40+M40</f>
        <v>15300619.036608266</v>
      </c>
      <c r="O40" s="746">
        <f t="shared" ref="O40:O80" si="17">N40*10%</f>
        <v>1530061.9036608266</v>
      </c>
      <c r="P40" s="746">
        <f t="shared" ref="P40:P80" si="18">N40+O40</f>
        <v>16830680.940269094</v>
      </c>
      <c r="Q40" s="746"/>
      <c r="R40" s="746"/>
      <c r="S40" s="746"/>
      <c r="T40" s="746">
        <f>P40</f>
        <v>16830680.940269094</v>
      </c>
    </row>
    <row r="41" spans="1:20" ht="17.100000000000001" hidden="1" customHeight="1">
      <c r="A41" s="738">
        <f>DTCT!A279</f>
        <v>2</v>
      </c>
      <c r="B41" s="747" t="str">
        <f>DTCT!B279</f>
        <v>QLD.10230</v>
      </c>
      <c r="C41" s="748" t="str">
        <f>DTCT!C279</f>
        <v>Đếm xe bằng thủ công</v>
      </c>
      <c r="D41" s="738" t="str">
        <f>DTCT!D279</f>
        <v>1lần/trạmđếm</v>
      </c>
      <c r="E41" s="739">
        <f>DTCT!E279</f>
        <v>12</v>
      </c>
      <c r="F41" s="744">
        <f>DTCT!F279</f>
        <v>15300</v>
      </c>
      <c r="G41" s="745">
        <f>DTCT!G279</f>
        <v>2384312</v>
      </c>
      <c r="H41" s="745">
        <f>DTCT!H279</f>
        <v>0</v>
      </c>
      <c r="I41" s="746">
        <f t="shared" ref="I41:I51" si="19">$G$38*G41</f>
        <v>10057657.474368</v>
      </c>
      <c r="J41" s="746">
        <f t="shared" ref="J41:J51" si="20">$H$38*H41</f>
        <v>0</v>
      </c>
      <c r="K41" s="746">
        <f t="shared" si="13"/>
        <v>10072957.474368</v>
      </c>
      <c r="L41" s="746">
        <f t="shared" si="14"/>
        <v>6638053.9330828805</v>
      </c>
      <c r="M41" s="746">
        <f t="shared" si="15"/>
        <v>1002660.6844470528</v>
      </c>
      <c r="N41" s="746">
        <f t="shared" si="16"/>
        <v>17713672.091897935</v>
      </c>
      <c r="O41" s="746">
        <f t="shared" si="17"/>
        <v>1771367.2091897936</v>
      </c>
      <c r="P41" s="746">
        <f t="shared" si="18"/>
        <v>19485039.30108773</v>
      </c>
      <c r="Q41" s="746"/>
      <c r="R41" s="746"/>
      <c r="S41" s="746"/>
      <c r="T41" s="746">
        <f t="shared" ref="T41:T51" si="21">P41</f>
        <v>19485039.30108773</v>
      </c>
    </row>
    <row r="42" spans="1:20" ht="27.75" hidden="1" customHeight="1">
      <c r="A42" s="738">
        <f>DTCT!A280</f>
        <v>3</v>
      </c>
      <c r="B42" s="747" t="str">
        <f>DTCT!B280</f>
        <v>QLD.10340</v>
      </c>
      <c r="C42" s="748" t="str">
        <f>DTCT!C280</f>
        <v>Kiểm tra định kỳ, khẩn cấp, cập nhật số liệu cầu đường và tình hình bão lũ</v>
      </c>
      <c r="D42" s="738" t="str">
        <f>DTCT!D280</f>
        <v>1km/1lần</v>
      </c>
      <c r="E42" s="739">
        <f>DTCT!E280</f>
        <v>9.4359999999999999</v>
      </c>
      <c r="F42" s="744">
        <f>DTCT!F280</f>
        <v>445.67500000000001</v>
      </c>
      <c r="G42" s="745">
        <f>DTCT!G280</f>
        <v>7439.1459999999997</v>
      </c>
      <c r="H42" s="745">
        <f>DTCT!H280</f>
        <v>0</v>
      </c>
      <c r="I42" s="746">
        <f t="shared" si="19"/>
        <v>31380.281762544004</v>
      </c>
      <c r="J42" s="746">
        <f t="shared" si="20"/>
        <v>0</v>
      </c>
      <c r="K42" s="746">
        <f t="shared" si="13"/>
        <v>31825.956762544003</v>
      </c>
      <c r="L42" s="746">
        <f t="shared" si="14"/>
        <v>20710.985963279043</v>
      </c>
      <c r="M42" s="746">
        <f t="shared" si="15"/>
        <v>3152.2165635493825</v>
      </c>
      <c r="N42" s="746">
        <f t="shared" si="16"/>
        <v>55689.159289372423</v>
      </c>
      <c r="O42" s="746">
        <f t="shared" si="17"/>
        <v>5568.9159289372428</v>
      </c>
      <c r="P42" s="746">
        <f t="shared" si="18"/>
        <v>61258.075218309663</v>
      </c>
      <c r="Q42" s="746"/>
      <c r="R42" s="746"/>
      <c r="S42" s="746"/>
      <c r="T42" s="746">
        <f t="shared" si="21"/>
        <v>61258.075218309663</v>
      </c>
    </row>
    <row r="43" spans="1:20" ht="17.100000000000001" hidden="1" customHeight="1">
      <c r="A43" s="738">
        <f>DTCT!A281</f>
        <v>4</v>
      </c>
      <c r="B43" s="747" t="str">
        <f>DTCT!B281</f>
        <v>QLD.10410</v>
      </c>
      <c r="C43" s="748" t="str">
        <f>DTCT!C281</f>
        <v>Trực bão lũ</v>
      </c>
      <c r="D43" s="738" t="str">
        <f>DTCT!D281</f>
        <v>40km/năm</v>
      </c>
      <c r="E43" s="739">
        <f>DTCT!E281</f>
        <v>0.2359</v>
      </c>
      <c r="F43" s="744">
        <f>DTCT!F281</f>
        <v>0</v>
      </c>
      <c r="G43" s="745">
        <f>DTCT!G281</f>
        <v>30655360</v>
      </c>
      <c r="H43" s="745">
        <f>DTCT!H281</f>
        <v>0</v>
      </c>
      <c r="I43" s="746">
        <f t="shared" si="19"/>
        <v>129312401.49504001</v>
      </c>
      <c r="J43" s="746">
        <f t="shared" si="20"/>
        <v>0</v>
      </c>
      <c r="K43" s="746">
        <f t="shared" si="13"/>
        <v>129312401.49504001</v>
      </c>
      <c r="L43" s="746">
        <f t="shared" si="14"/>
        <v>85346184.986726418</v>
      </c>
      <c r="M43" s="746">
        <f t="shared" si="15"/>
        <v>12879515.188905986</v>
      </c>
      <c r="N43" s="746">
        <f t="shared" si="16"/>
        <v>227538101.67067242</v>
      </c>
      <c r="O43" s="746">
        <f t="shared" si="17"/>
        <v>22753810.167067245</v>
      </c>
      <c r="P43" s="746">
        <f t="shared" si="18"/>
        <v>250291911.83773965</v>
      </c>
      <c r="Q43" s="746"/>
      <c r="R43" s="746"/>
      <c r="S43" s="746"/>
      <c r="T43" s="746">
        <f t="shared" si="21"/>
        <v>250291911.83773965</v>
      </c>
    </row>
    <row r="44" spans="1:20" ht="27" hidden="1" customHeight="1">
      <c r="A44" s="738">
        <f>DTCT!A282</f>
        <v>5</v>
      </c>
      <c r="B44" s="747" t="str">
        <f>DTCT!B282</f>
        <v>QLD.10610</v>
      </c>
      <c r="C44" s="748" t="str">
        <f>DTCT!C282</f>
        <v>Quản lý hành lang an toàn đường bộ và đấu nối</v>
      </c>
      <c r="D44" s="738" t="str">
        <f>DTCT!D282</f>
        <v>1km/ năm</v>
      </c>
      <c r="E44" s="739">
        <f>DTCT!E282</f>
        <v>9.4359999999999999</v>
      </c>
      <c r="F44" s="744">
        <f>DTCT!F282</f>
        <v>0</v>
      </c>
      <c r="G44" s="745">
        <f>DTCT!G282</f>
        <v>402116</v>
      </c>
      <c r="H44" s="745">
        <f>DTCT!H282</f>
        <v>0</v>
      </c>
      <c r="I44" s="746">
        <f t="shared" si="19"/>
        <v>1696231.4466240001</v>
      </c>
      <c r="J44" s="746">
        <f t="shared" si="20"/>
        <v>0</v>
      </c>
      <c r="K44" s="746">
        <f t="shared" si="13"/>
        <v>1696231.4466240001</v>
      </c>
      <c r="L44" s="746">
        <f t="shared" si="14"/>
        <v>1119512.7547718401</v>
      </c>
      <c r="M44" s="746">
        <f t="shared" si="15"/>
        <v>168944.65208375041</v>
      </c>
      <c r="N44" s="746">
        <f t="shared" si="16"/>
        <v>2984688.8534795907</v>
      </c>
      <c r="O44" s="746">
        <f t="shared" si="17"/>
        <v>298468.88534795906</v>
      </c>
      <c r="P44" s="746">
        <f t="shared" si="18"/>
        <v>3283157.7388275499</v>
      </c>
      <c r="Q44" s="746"/>
      <c r="R44" s="746"/>
      <c r="S44" s="746"/>
      <c r="T44" s="746">
        <f t="shared" si="21"/>
        <v>3283157.7388275499</v>
      </c>
    </row>
    <row r="45" spans="1:20" ht="17.100000000000001" hidden="1" customHeight="1">
      <c r="A45" s="738">
        <f>DTCT!A283</f>
        <v>6</v>
      </c>
      <c r="B45" s="747" t="str">
        <f>DTCT!B283</f>
        <v>BDD.20410</v>
      </c>
      <c r="C45" s="748" t="str">
        <f>DTCT!C283</f>
        <v>Cắt cỏ bằng máy</v>
      </c>
      <c r="D45" s="738" t="str">
        <f>DTCT!D283</f>
        <v>1km/1lần</v>
      </c>
      <c r="E45" s="739">
        <f>DTCT!E283</f>
        <v>9.4359999999999999</v>
      </c>
      <c r="F45" s="744">
        <f>DTCT!F283</f>
        <v>8000</v>
      </c>
      <c r="G45" s="745">
        <f>DTCT!G283</f>
        <v>0</v>
      </c>
      <c r="H45" s="745">
        <f>DTCT!H283</f>
        <v>49341.599999999999</v>
      </c>
      <c r="I45" s="746">
        <f t="shared" si="19"/>
        <v>0</v>
      </c>
      <c r="J45" s="746">
        <f t="shared" si="20"/>
        <v>87186.607199999999</v>
      </c>
      <c r="K45" s="746">
        <f t="shared" si="13"/>
        <v>95186.607199999999</v>
      </c>
      <c r="L45" s="746">
        <f t="shared" si="14"/>
        <v>0</v>
      </c>
      <c r="M45" s="746">
        <f t="shared" si="15"/>
        <v>5711.1964319999997</v>
      </c>
      <c r="N45" s="746">
        <f t="shared" si="16"/>
        <v>100897.803632</v>
      </c>
      <c r="O45" s="746">
        <f t="shared" si="17"/>
        <v>10089.7803632</v>
      </c>
      <c r="P45" s="746">
        <f t="shared" si="18"/>
        <v>110987.5839952</v>
      </c>
      <c r="Q45" s="746"/>
      <c r="R45" s="746"/>
      <c r="S45" s="746"/>
      <c r="T45" s="746">
        <f t="shared" si="21"/>
        <v>110987.5839952</v>
      </c>
    </row>
    <row r="46" spans="1:20" ht="17.100000000000001" hidden="1" customHeight="1">
      <c r="A46" s="738">
        <f>DTCT!A284</f>
        <v>7</v>
      </c>
      <c r="B46" s="747" t="str">
        <f>DTCT!B284</f>
        <v>BDD.20510</v>
      </c>
      <c r="C46" s="748" t="str">
        <f>DTCT!C284</f>
        <v>Phát quang cây cỏ bằng thủ công</v>
      </c>
      <c r="D46" s="738" t="str">
        <f>DTCT!D284</f>
        <v>1km/1lần</v>
      </c>
      <c r="E46" s="739">
        <f>DTCT!E284</f>
        <v>9.4359999999999999</v>
      </c>
      <c r="F46" s="744">
        <f>DTCT!F284</f>
        <v>0</v>
      </c>
      <c r="G46" s="745">
        <f>DTCT!G284</f>
        <v>899226.24</v>
      </c>
      <c r="H46" s="745">
        <f>DTCT!H284</f>
        <v>0</v>
      </c>
      <c r="I46" s="746">
        <f t="shared" si="19"/>
        <v>3793173.6760473605</v>
      </c>
      <c r="J46" s="746">
        <f t="shared" si="20"/>
        <v>0</v>
      </c>
      <c r="K46" s="746">
        <f t="shared" si="13"/>
        <v>3793173.6760473605</v>
      </c>
      <c r="L46" s="746">
        <f t="shared" si="14"/>
        <v>2503494.626191258</v>
      </c>
      <c r="M46" s="746">
        <f t="shared" si="15"/>
        <v>377800.09813431714</v>
      </c>
      <c r="N46" s="746">
        <f t="shared" si="16"/>
        <v>6674468.4003729364</v>
      </c>
      <c r="O46" s="746">
        <f t="shared" si="17"/>
        <v>667446.84003729373</v>
      </c>
      <c r="P46" s="746">
        <f t="shared" si="18"/>
        <v>7341915.2404102301</v>
      </c>
      <c r="Q46" s="746"/>
      <c r="R46" s="746"/>
      <c r="S46" s="746"/>
      <c r="T46" s="746">
        <f t="shared" si="21"/>
        <v>7341915.2404102301</v>
      </c>
    </row>
    <row r="47" spans="1:20" ht="17.100000000000001" hidden="1" customHeight="1">
      <c r="A47" s="738">
        <f>DTCT!A285</f>
        <v>8</v>
      </c>
      <c r="B47" s="747" t="str">
        <f>DTCT!B285</f>
        <v>BDD.22310</v>
      </c>
      <c r="C47" s="748" t="str">
        <f>DTCT!C285</f>
        <v>Nắn sửa cọc tiêu, cọc MLG</v>
      </c>
      <c r="D47" s="738" t="str">
        <f>DTCT!D285</f>
        <v>1 cọc</v>
      </c>
      <c r="E47" s="739">
        <f>DTCT!E285</f>
        <v>0.2</v>
      </c>
      <c r="F47" s="744">
        <f>DTCT!F285</f>
        <v>0</v>
      </c>
      <c r="G47" s="745">
        <f>DTCT!G285</f>
        <v>10218.48</v>
      </c>
      <c r="H47" s="745">
        <f>DTCT!H285</f>
        <v>0</v>
      </c>
      <c r="I47" s="746">
        <f t="shared" si="19"/>
        <v>43104.246318720005</v>
      </c>
      <c r="J47" s="746">
        <f t="shared" si="20"/>
        <v>0</v>
      </c>
      <c r="K47" s="746">
        <f t="shared" si="13"/>
        <v>43104.246318720005</v>
      </c>
      <c r="L47" s="746">
        <f t="shared" si="14"/>
        <v>28448.802570355205</v>
      </c>
      <c r="M47" s="746">
        <f t="shared" si="15"/>
        <v>4293.1829333445121</v>
      </c>
      <c r="N47" s="746">
        <f t="shared" si="16"/>
        <v>75846.231822419708</v>
      </c>
      <c r="O47" s="746">
        <f t="shared" si="17"/>
        <v>7584.6231822419713</v>
      </c>
      <c r="P47" s="746">
        <f t="shared" si="18"/>
        <v>83430.855004661673</v>
      </c>
      <c r="Q47" s="746"/>
      <c r="R47" s="746"/>
      <c r="S47" s="746"/>
      <c r="T47" s="746">
        <f t="shared" si="21"/>
        <v>83430.855004661673</v>
      </c>
    </row>
    <row r="48" spans="1:20" ht="17.100000000000001" hidden="1" customHeight="1">
      <c r="A48" s="738">
        <f>DTCT!A286</f>
        <v>9</v>
      </c>
      <c r="B48" s="747" t="str">
        <f>DTCT!B286</f>
        <v>BDD.22510</v>
      </c>
      <c r="C48" s="748" t="str">
        <f>DTCT!C286</f>
        <v>Nắn chỉnh, tu sửa biển báo</v>
      </c>
      <c r="D48" s="738" t="str">
        <f>DTCT!D286</f>
        <v>1 cột</v>
      </c>
      <c r="E48" s="739">
        <f>DTCT!E286</f>
        <v>0</v>
      </c>
      <c r="F48" s="744">
        <f>DTCT!F286</f>
        <v>0</v>
      </c>
      <c r="G48" s="745">
        <f>DTCT!G286</f>
        <v>38319.300000000003</v>
      </c>
      <c r="H48" s="745">
        <f>DTCT!H286</f>
        <v>0</v>
      </c>
      <c r="I48" s="746">
        <f t="shared" si="19"/>
        <v>161640.92369520004</v>
      </c>
      <c r="J48" s="746">
        <f t="shared" si="20"/>
        <v>0</v>
      </c>
      <c r="K48" s="746">
        <f t="shared" si="13"/>
        <v>161640.92369520004</v>
      </c>
      <c r="L48" s="746">
        <f t="shared" si="14"/>
        <v>106683.00963883202</v>
      </c>
      <c r="M48" s="746">
        <f t="shared" si="15"/>
        <v>16099.436000041924</v>
      </c>
      <c r="N48" s="746">
        <f t="shared" si="16"/>
        <v>284423.36933407397</v>
      </c>
      <c r="O48" s="746">
        <f t="shared" si="17"/>
        <v>28442.336933407398</v>
      </c>
      <c r="P48" s="746">
        <f t="shared" si="18"/>
        <v>312865.70626748138</v>
      </c>
      <c r="Q48" s="746"/>
      <c r="R48" s="746"/>
      <c r="S48" s="746"/>
      <c r="T48" s="746">
        <f t="shared" si="21"/>
        <v>312865.70626748138</v>
      </c>
    </row>
    <row r="49" spans="1:20" ht="17.100000000000001" hidden="1" customHeight="1">
      <c r="A49" s="738">
        <f>+DTCT!A287</f>
        <v>10</v>
      </c>
      <c r="B49" s="738" t="str">
        <f>+DTCT!B287</f>
        <v>BDD.203210</v>
      </c>
      <c r="C49" s="749" t="str">
        <f>+DTCT!C287</f>
        <v>Bạt lề đường bằng máy</v>
      </c>
      <c r="D49" s="738" t="str">
        <f>+DTCT!D287</f>
        <v>100md</v>
      </c>
      <c r="E49" s="739">
        <f>+DTCT!E287</f>
        <v>188.72</v>
      </c>
      <c r="F49" s="750">
        <f>+DTCT!F287</f>
        <v>0</v>
      </c>
      <c r="G49" s="750">
        <f>+DTCT!G287</f>
        <v>0</v>
      </c>
      <c r="H49" s="745">
        <f>+DTCT!H287</f>
        <v>3154.1489999999999</v>
      </c>
      <c r="I49" s="746">
        <f t="shared" si="19"/>
        <v>0</v>
      </c>
      <c r="J49" s="746">
        <f t="shared" si="20"/>
        <v>5573.3812829999997</v>
      </c>
      <c r="K49" s="746">
        <f t="shared" si="13"/>
        <v>5573.3812829999997</v>
      </c>
      <c r="L49" s="746">
        <f t="shared" si="14"/>
        <v>0</v>
      </c>
      <c r="M49" s="746">
        <f t="shared" si="15"/>
        <v>334.40287697999997</v>
      </c>
      <c r="N49" s="746">
        <f t="shared" si="16"/>
        <v>5907.7841599799995</v>
      </c>
      <c r="O49" s="746">
        <f t="shared" si="17"/>
        <v>590.77841599800001</v>
      </c>
      <c r="P49" s="746">
        <f t="shared" si="18"/>
        <v>6498.5625759779996</v>
      </c>
      <c r="Q49" s="746"/>
      <c r="R49" s="746"/>
      <c r="S49" s="746"/>
      <c r="T49" s="746">
        <f t="shared" si="21"/>
        <v>6498.5625759779996</v>
      </c>
    </row>
    <row r="50" spans="1:20" ht="17.100000000000001" hidden="1" customHeight="1">
      <c r="A50" s="738">
        <f>+DTCT!A288</f>
        <v>11</v>
      </c>
      <c r="B50" s="738" t="str">
        <f>+DTCT!B288</f>
        <v>BDD.21312</v>
      </c>
      <c r="C50" s="749" t="str">
        <f>+DTCT!C288</f>
        <v>Vệ sinh mặt đường bằng thủ công</v>
      </c>
      <c r="D50" s="738" t="str">
        <f>+DTCT!D288</f>
        <v>lần/km</v>
      </c>
      <c r="E50" s="739">
        <f>+DTCT!E288</f>
        <v>9.4359999999999999</v>
      </c>
      <c r="F50" s="750">
        <f>+DTCT!F288</f>
        <v>2000</v>
      </c>
      <c r="G50" s="750">
        <f>+DTCT!G288</f>
        <v>697788.75</v>
      </c>
      <c r="H50" s="745">
        <f>+DTCT!H288</f>
        <v>0</v>
      </c>
      <c r="I50" s="746">
        <f t="shared" si="19"/>
        <v>2943457.1637300001</v>
      </c>
      <c r="J50" s="746">
        <f t="shared" si="20"/>
        <v>0</v>
      </c>
      <c r="K50" s="746">
        <f t="shared" si="13"/>
        <v>2945457.1637300001</v>
      </c>
      <c r="L50" s="746">
        <f t="shared" si="14"/>
        <v>1942681.7280618001</v>
      </c>
      <c r="M50" s="746">
        <f t="shared" si="15"/>
        <v>293288.33350750798</v>
      </c>
      <c r="N50" s="746">
        <f t="shared" si="16"/>
        <v>5181427.2252993081</v>
      </c>
      <c r="O50" s="746">
        <f t="shared" si="17"/>
        <v>518142.72252993082</v>
      </c>
      <c r="P50" s="746">
        <f t="shared" si="18"/>
        <v>5699569.9478292391</v>
      </c>
      <c r="Q50" s="746"/>
      <c r="R50" s="746"/>
      <c r="S50" s="746"/>
      <c r="T50" s="746">
        <f t="shared" si="21"/>
        <v>5699569.9478292391</v>
      </c>
    </row>
    <row r="51" spans="1:20" ht="17.100000000000001" hidden="1" customHeight="1">
      <c r="A51" s="738">
        <f>+DTCT!A289</f>
        <v>12</v>
      </c>
      <c r="B51" s="738" t="str">
        <f>+DTCT!B289</f>
        <v>BDD.22910</v>
      </c>
      <c r="C51" s="749" t="str">
        <f>+DTCT!C289</f>
        <v>Vệ sinh mặt biển phản quang</v>
      </c>
      <c r="D51" s="738" t="str">
        <f>+DTCT!D289</f>
        <v>m2</v>
      </c>
      <c r="E51" s="739">
        <f>+DTCT!E289</f>
        <v>68.328999999999994</v>
      </c>
      <c r="F51" s="750">
        <f>+DTCT!F289</f>
        <v>0</v>
      </c>
      <c r="G51" s="750">
        <f>+DTCT!G289</f>
        <v>9579.8000000000011</v>
      </c>
      <c r="H51" s="745">
        <f>+DTCT!H289</f>
        <v>0</v>
      </c>
      <c r="I51" s="746">
        <f t="shared" si="19"/>
        <v>40410.125467200007</v>
      </c>
      <c r="J51" s="746">
        <f t="shared" si="20"/>
        <v>0</v>
      </c>
      <c r="K51" s="746">
        <f t="shared" si="13"/>
        <v>40410.125467200007</v>
      </c>
      <c r="L51" s="746">
        <f t="shared" si="14"/>
        <v>26670.682808352005</v>
      </c>
      <c r="M51" s="746">
        <f t="shared" si="15"/>
        <v>4024.8484965331209</v>
      </c>
      <c r="N51" s="746">
        <f t="shared" si="16"/>
        <v>71105.656772085131</v>
      </c>
      <c r="O51" s="746">
        <f t="shared" si="17"/>
        <v>7110.5656772085131</v>
      </c>
      <c r="P51" s="746">
        <f t="shared" si="18"/>
        <v>78216.222449293651</v>
      </c>
      <c r="Q51" s="746"/>
      <c r="R51" s="746"/>
      <c r="S51" s="746"/>
      <c r="T51" s="746">
        <f t="shared" si="21"/>
        <v>78216.222449293651</v>
      </c>
    </row>
    <row r="52" spans="1:20" ht="27.75" hidden="1" customHeight="1">
      <c r="A52" s="738"/>
      <c r="B52" s="747"/>
      <c r="C52" s="737" t="str">
        <f>DTCT!C290</f>
        <v>CÔNG TÁC BẢO DƯỠNG CẦU L &lt;= 300M</v>
      </c>
      <c r="D52" s="738"/>
      <c r="E52" s="739"/>
      <c r="F52" s="744"/>
      <c r="G52" s="745"/>
      <c r="H52" s="745"/>
      <c r="I52" s="746"/>
      <c r="J52" s="746"/>
      <c r="K52" s="746"/>
      <c r="L52" s="746"/>
      <c r="M52" s="746"/>
      <c r="N52" s="746"/>
      <c r="O52" s="746"/>
      <c r="P52" s="746"/>
      <c r="Q52" s="746"/>
      <c r="R52" s="746"/>
      <c r="S52" s="746"/>
      <c r="T52" s="746"/>
    </row>
    <row r="53" spans="1:20" ht="17.100000000000001" hidden="1" customHeight="1">
      <c r="A53" s="738">
        <f>DTCT!A291</f>
        <v>13</v>
      </c>
      <c r="B53" s="747" t="str">
        <f>DTCT!B291</f>
        <v>BDC.20610</v>
      </c>
      <c r="C53" s="748" t="str">
        <f>DTCT!C291</f>
        <v>Vệ sinh mặt cầu, ống thoát nước</v>
      </c>
      <c r="D53" s="738" t="str">
        <f>DTCT!D291</f>
        <v>10m2</v>
      </c>
      <c r="E53" s="739">
        <f>DTCT!E291</f>
        <v>27.25</v>
      </c>
      <c r="F53" s="744">
        <f>DTCT!F291</f>
        <v>2</v>
      </c>
      <c r="G53" s="745">
        <f>DTCT!G291</f>
        <v>8931.6959999999999</v>
      </c>
      <c r="H53" s="745">
        <f>DTCT!H291</f>
        <v>0</v>
      </c>
      <c r="I53" s="746">
        <f>$G$38*G53</f>
        <v>37676.251695744002</v>
      </c>
      <c r="J53" s="746">
        <f>$H$38*H53</f>
        <v>0</v>
      </c>
      <c r="K53" s="746">
        <f t="shared" si="13"/>
        <v>37678.251695744002</v>
      </c>
      <c r="L53" s="746">
        <f t="shared" si="14"/>
        <v>24866.326119191042</v>
      </c>
      <c r="M53" s="746">
        <f t="shared" si="15"/>
        <v>3752.6746688961025</v>
      </c>
      <c r="N53" s="746">
        <f t="shared" si="16"/>
        <v>66297.252483831151</v>
      </c>
      <c r="O53" s="746">
        <f t="shared" si="17"/>
        <v>6629.7252483831153</v>
      </c>
      <c r="P53" s="746">
        <f t="shared" si="18"/>
        <v>72926.977732214262</v>
      </c>
      <c r="Q53" s="746"/>
      <c r="R53" s="746"/>
      <c r="S53" s="746"/>
      <c r="T53" s="746">
        <f t="shared" ref="T53:T80" si="22">P53</f>
        <v>72926.977732214262</v>
      </c>
    </row>
    <row r="54" spans="1:20" ht="17.100000000000001" hidden="1" customHeight="1">
      <c r="A54" s="738">
        <f>DTCT!A292</f>
        <v>14</v>
      </c>
      <c r="B54" s="747" t="str">
        <f>DTCT!B292</f>
        <v>BDC.20910</v>
      </c>
      <c r="C54" s="748" t="str">
        <f>DTCT!C292</f>
        <v>Vệ sinh khe co dãn cao su</v>
      </c>
      <c r="D54" s="738" t="str">
        <f>DTCT!D292</f>
        <v>1md</v>
      </c>
      <c r="E54" s="739">
        <f>DTCT!E292</f>
        <v>45</v>
      </c>
      <c r="F54" s="744">
        <f>DTCT!F292</f>
        <v>0</v>
      </c>
      <c r="G54" s="745">
        <f>DTCT!G292</f>
        <v>11580.944000000001</v>
      </c>
      <c r="H54" s="745">
        <f>DTCT!H292</f>
        <v>0</v>
      </c>
      <c r="I54" s="746">
        <f>$G$38*G54</f>
        <v>48851.479161216012</v>
      </c>
      <c r="J54" s="746">
        <f>$H$38*H54</f>
        <v>0</v>
      </c>
      <c r="K54" s="746">
        <f t="shared" si="13"/>
        <v>48851.479161216012</v>
      </c>
      <c r="L54" s="746">
        <f t="shared" si="14"/>
        <v>32241.97624640257</v>
      </c>
      <c r="M54" s="746">
        <f t="shared" si="15"/>
        <v>4865.6073244571144</v>
      </c>
      <c r="N54" s="746">
        <f t="shared" si="16"/>
        <v>85959.06273207569</v>
      </c>
      <c r="O54" s="746">
        <f t="shared" si="17"/>
        <v>8595.906273207569</v>
      </c>
      <c r="P54" s="746">
        <f t="shared" si="18"/>
        <v>94554.969005283259</v>
      </c>
      <c r="Q54" s="746"/>
      <c r="R54" s="746"/>
      <c r="S54" s="746"/>
      <c r="T54" s="746">
        <f t="shared" si="22"/>
        <v>94554.969005283259</v>
      </c>
    </row>
    <row r="55" spans="1:20" ht="17.100000000000001" hidden="1" customHeight="1">
      <c r="A55" s="738">
        <f>DTCT!A293</f>
        <v>15</v>
      </c>
      <c r="B55" s="747" t="str">
        <f>DTCT!B293</f>
        <v>BDC.21010</v>
      </c>
      <c r="C55" s="748" t="str">
        <f>DTCT!C293</f>
        <v>Vệ sinh mố cầu</v>
      </c>
      <c r="D55" s="738" t="str">
        <f>DTCT!D293</f>
        <v>m2</v>
      </c>
      <c r="E55" s="739">
        <f>DTCT!E293</f>
        <v>4</v>
      </c>
      <c r="F55" s="744">
        <f>DTCT!F293</f>
        <v>0</v>
      </c>
      <c r="G55" s="745">
        <f>DTCT!G293</f>
        <v>86218.2</v>
      </c>
      <c r="H55" s="745">
        <f>DTCT!H293</f>
        <v>0</v>
      </c>
      <c r="I55" s="746">
        <f>$G$38*G55</f>
        <v>363691.1292048</v>
      </c>
      <c r="J55" s="746">
        <f>$H$38*H55</f>
        <v>0</v>
      </c>
      <c r="K55" s="746">
        <f t="shared" si="13"/>
        <v>363691.1292048</v>
      </c>
      <c r="L55" s="746">
        <f t="shared" si="14"/>
        <v>240036.145275168</v>
      </c>
      <c r="M55" s="746">
        <f t="shared" si="15"/>
        <v>36223.636468798082</v>
      </c>
      <c r="N55" s="746">
        <f t="shared" si="16"/>
        <v>639950.91094876605</v>
      </c>
      <c r="O55" s="746">
        <f t="shared" si="17"/>
        <v>63995.09109487661</v>
      </c>
      <c r="P55" s="746">
        <f t="shared" si="18"/>
        <v>703946.00204364269</v>
      </c>
      <c r="Q55" s="746"/>
      <c r="R55" s="746"/>
      <c r="S55" s="746"/>
      <c r="T55" s="746">
        <f t="shared" si="22"/>
        <v>703946.00204364269</v>
      </c>
    </row>
    <row r="56" spans="1:20" ht="17.100000000000001" hidden="1" customHeight="1">
      <c r="A56" s="738">
        <f>DTCT!A294</f>
        <v>16</v>
      </c>
      <c r="B56" s="747" t="str">
        <f>DTCT!B294</f>
        <v>BDC.21710</v>
      </c>
      <c r="C56" s="748" t="str">
        <f>DTCT!C294</f>
        <v>Phát quang cây dại</v>
      </c>
      <c r="D56" s="738" t="str">
        <f>DTCT!D294</f>
        <v>100m2</v>
      </c>
      <c r="E56" s="739">
        <f>DTCT!E294</f>
        <v>0.1</v>
      </c>
      <c r="F56" s="744">
        <f>DTCT!F294</f>
        <v>0</v>
      </c>
      <c r="G56" s="745">
        <f>DTCT!G294</f>
        <v>729940.08799999987</v>
      </c>
      <c r="H56" s="745">
        <f>DTCT!H294</f>
        <v>0</v>
      </c>
      <c r="I56" s="746">
        <f>$G$38*G56</f>
        <v>3079079.9953672318</v>
      </c>
      <c r="J56" s="746">
        <f>$H$38*H56</f>
        <v>0</v>
      </c>
      <c r="K56" s="746">
        <f t="shared" si="13"/>
        <v>3079079.9953672318</v>
      </c>
      <c r="L56" s="746">
        <f t="shared" si="14"/>
        <v>2032192.796942373</v>
      </c>
      <c r="M56" s="746">
        <f t="shared" si="15"/>
        <v>306676.36753857625</v>
      </c>
      <c r="N56" s="746">
        <f t="shared" si="16"/>
        <v>5417949.1598481806</v>
      </c>
      <c r="O56" s="746">
        <f t="shared" si="17"/>
        <v>541794.91598481813</v>
      </c>
      <c r="P56" s="746">
        <f t="shared" si="18"/>
        <v>5959744.0758329984</v>
      </c>
      <c r="Q56" s="746"/>
      <c r="R56" s="746"/>
      <c r="S56" s="746"/>
      <c r="T56" s="746">
        <f t="shared" si="22"/>
        <v>5959744.0758329984</v>
      </c>
    </row>
    <row r="57" spans="1:20" ht="25.5" hidden="1" customHeight="1">
      <c r="A57" s="738"/>
      <c r="B57" s="747"/>
      <c r="C57" s="737" t="str">
        <f>DTCT!C295</f>
        <v>CÔNG TÁC QUẢN LÝ CẦU L &lt;= 300M</v>
      </c>
      <c r="D57" s="738"/>
      <c r="E57" s="739"/>
      <c r="F57" s="744"/>
      <c r="G57" s="745"/>
      <c r="H57" s="745"/>
      <c r="I57" s="746"/>
      <c r="J57" s="746"/>
      <c r="K57" s="746"/>
      <c r="L57" s="746"/>
      <c r="M57" s="746"/>
      <c r="N57" s="746"/>
      <c r="O57" s="746"/>
      <c r="P57" s="746"/>
      <c r="Q57" s="746"/>
      <c r="R57" s="746"/>
      <c r="S57" s="746"/>
      <c r="T57" s="746"/>
    </row>
    <row r="58" spans="1:20" ht="19.5" hidden="1" customHeight="1">
      <c r="A58" s="738"/>
      <c r="B58" s="747"/>
      <c r="C58" s="737" t="str">
        <f>DTCT!C296</f>
        <v>Cầu &lt; 50m</v>
      </c>
      <c r="D58" s="738"/>
      <c r="E58" s="739"/>
      <c r="F58" s="744"/>
      <c r="G58" s="745"/>
      <c r="H58" s="745"/>
      <c r="I58" s="746"/>
      <c r="J58" s="746"/>
      <c r="K58" s="746"/>
      <c r="L58" s="746"/>
      <c r="M58" s="746"/>
      <c r="N58" s="746"/>
      <c r="O58" s="746"/>
      <c r="P58" s="746"/>
      <c r="Q58" s="746"/>
      <c r="R58" s="746"/>
      <c r="S58" s="746"/>
      <c r="T58" s="746"/>
    </row>
    <row r="59" spans="1:20" ht="17.100000000000001" hidden="1" customHeight="1">
      <c r="A59" s="738">
        <f>DTCT!A297</f>
        <v>17</v>
      </c>
      <c r="B59" s="747" t="str">
        <f>DTCT!B297</f>
        <v>QLC.10140</v>
      </c>
      <c r="C59" s="748" t="str">
        <f>DTCT!C297</f>
        <v>Kiểm tra cầu</v>
      </c>
      <c r="D59" s="738" t="str">
        <f>DTCT!D297</f>
        <v>cầu/năm</v>
      </c>
      <c r="E59" s="739">
        <f>DTCT!E297</f>
        <v>9</v>
      </c>
      <c r="F59" s="744">
        <f>DTCT!F297</f>
        <v>39000</v>
      </c>
      <c r="G59" s="745">
        <f>DTCT!G297</f>
        <v>804232</v>
      </c>
      <c r="H59" s="745">
        <f>DTCT!H297</f>
        <v>0</v>
      </c>
      <c r="I59" s="746">
        <f>$G$38*G59</f>
        <v>3392462.8932480002</v>
      </c>
      <c r="J59" s="746">
        <f>$H$38*H59</f>
        <v>0</v>
      </c>
      <c r="K59" s="746">
        <f t="shared" si="13"/>
        <v>3431462.8932480002</v>
      </c>
      <c r="L59" s="746">
        <f t="shared" si="14"/>
        <v>2239025.5095436801</v>
      </c>
      <c r="M59" s="746">
        <f t="shared" si="15"/>
        <v>340229.30416750081</v>
      </c>
      <c r="N59" s="746">
        <f t="shared" si="16"/>
        <v>6010717.7069591815</v>
      </c>
      <c r="O59" s="746">
        <f t="shared" si="17"/>
        <v>601071.77069591812</v>
      </c>
      <c r="P59" s="746">
        <f t="shared" si="18"/>
        <v>6611789.4776550997</v>
      </c>
      <c r="Q59" s="746"/>
      <c r="R59" s="746"/>
      <c r="S59" s="746"/>
      <c r="T59" s="746">
        <f t="shared" si="22"/>
        <v>6611789.4776550997</v>
      </c>
    </row>
    <row r="60" spans="1:20" ht="17.100000000000001" hidden="1" customHeight="1">
      <c r="A60" s="738">
        <f>DTCT!A298</f>
        <v>18</v>
      </c>
      <c r="B60" s="747" t="str">
        <f>DTCT!B298</f>
        <v>QLC.10340</v>
      </c>
      <c r="C60" s="748" t="str">
        <f>DTCT!C298</f>
        <v>Kiểm tra trước và sau mùa mưa bão</v>
      </c>
      <c r="D60" s="738" t="str">
        <f>DTCT!D298</f>
        <v>cầu/năm</v>
      </c>
      <c r="E60" s="739">
        <f>DTCT!E298</f>
        <v>9</v>
      </c>
      <c r="F60" s="744">
        <f>DTCT!F298</f>
        <v>6501</v>
      </c>
      <c r="G60" s="745">
        <f>DTCT!G298</f>
        <v>201058</v>
      </c>
      <c r="H60" s="745">
        <f>DTCT!H298</f>
        <v>0</v>
      </c>
      <c r="I60" s="746">
        <f>$G$38*G60</f>
        <v>848115.72331200005</v>
      </c>
      <c r="J60" s="746">
        <f>$H$38*H60</f>
        <v>0</v>
      </c>
      <c r="K60" s="746">
        <f t="shared" si="13"/>
        <v>854616.72331200005</v>
      </c>
      <c r="L60" s="746">
        <f t="shared" si="14"/>
        <v>559756.37738592003</v>
      </c>
      <c r="M60" s="746">
        <f t="shared" si="15"/>
        <v>84862.386041875216</v>
      </c>
      <c r="N60" s="746">
        <f t="shared" si="16"/>
        <v>1499235.4867397954</v>
      </c>
      <c r="O60" s="746">
        <f t="shared" si="17"/>
        <v>149923.54867397956</v>
      </c>
      <c r="P60" s="746">
        <f t="shared" si="18"/>
        <v>1649159.0354137749</v>
      </c>
      <c r="Q60" s="746"/>
      <c r="R60" s="746"/>
      <c r="S60" s="746"/>
      <c r="T60" s="746">
        <f t="shared" si="22"/>
        <v>1649159.0354137749</v>
      </c>
    </row>
    <row r="61" spans="1:20" ht="17.100000000000001" hidden="1" customHeight="1">
      <c r="A61" s="751">
        <f>DTCT!A299</f>
        <v>19</v>
      </c>
      <c r="B61" s="752" t="str">
        <f>DTCT!B299</f>
        <v>QLC.10440</v>
      </c>
      <c r="C61" s="753" t="str">
        <f>DTCT!C299</f>
        <v>Quản lý hồ sơ trên vi tính</v>
      </c>
      <c r="D61" s="751" t="str">
        <f>DTCT!D299</f>
        <v>cầu/năm</v>
      </c>
      <c r="E61" s="754">
        <f>DTCT!E299</f>
        <v>9</v>
      </c>
      <c r="F61" s="755">
        <f>DTCT!F299</f>
        <v>0</v>
      </c>
      <c r="G61" s="756">
        <f>DTCT!G299</f>
        <v>237327</v>
      </c>
      <c r="H61" s="756">
        <f>DTCT!H299</f>
        <v>0</v>
      </c>
      <c r="I61" s="757">
        <f>$G$38*G61</f>
        <v>1001107.9403280001</v>
      </c>
      <c r="J61" s="757">
        <f>$H$38*H61</f>
        <v>0</v>
      </c>
      <c r="K61" s="757">
        <f t="shared" si="13"/>
        <v>1001107.9403280001</v>
      </c>
      <c r="L61" s="757">
        <f t="shared" si="14"/>
        <v>660731.24061648012</v>
      </c>
      <c r="M61" s="757">
        <f t="shared" si="15"/>
        <v>99710.350856668811</v>
      </c>
      <c r="N61" s="757">
        <f t="shared" si="16"/>
        <v>1761549.531801149</v>
      </c>
      <c r="O61" s="757">
        <f t="shared" si="17"/>
        <v>176154.95318011491</v>
      </c>
      <c r="P61" s="757">
        <f t="shared" si="18"/>
        <v>1937704.484981264</v>
      </c>
      <c r="Q61" s="757"/>
      <c r="R61" s="757"/>
      <c r="S61" s="757"/>
      <c r="T61" s="757">
        <f t="shared" si="22"/>
        <v>1937704.484981264</v>
      </c>
    </row>
    <row r="62" spans="1:20" ht="49.5" hidden="1" customHeight="1">
      <c r="A62" s="758" t="s">
        <v>346</v>
      </c>
      <c r="B62" s="759"/>
      <c r="C62" s="760" t="str">
        <f>DTCT!C300</f>
        <v xml:space="preserve">QUỐC LỘ 1A, KCN HÒA PHÚ, ĐƯỜNG VÀO KCN BÌNH MINH, CẦU MỸ HÒA TÂY VÀ CÁC ĐƯỜNG TRONG TPVL </v>
      </c>
      <c r="D62" s="761"/>
      <c r="E62" s="762"/>
      <c r="F62" s="742" t="s">
        <v>56</v>
      </c>
      <c r="G62" s="741">
        <f>3.972*1.062</f>
        <v>4.2182640000000005</v>
      </c>
      <c r="H62" s="741">
        <v>1.7669999999999999</v>
      </c>
      <c r="I62" s="742" t="s">
        <v>478</v>
      </c>
      <c r="J62" s="742" t="s">
        <v>479</v>
      </c>
      <c r="K62" s="743" t="s">
        <v>471</v>
      </c>
      <c r="L62" s="743" t="s">
        <v>472</v>
      </c>
      <c r="M62" s="743" t="s">
        <v>473</v>
      </c>
      <c r="N62" s="743" t="s">
        <v>500</v>
      </c>
      <c r="O62" s="743" t="s">
        <v>502</v>
      </c>
      <c r="P62" s="743" t="s">
        <v>501</v>
      </c>
      <c r="Q62" s="743" t="s">
        <v>474</v>
      </c>
      <c r="R62" s="743" t="s">
        <v>475</v>
      </c>
      <c r="S62" s="743" t="s">
        <v>476</v>
      </c>
      <c r="T62" s="743" t="s">
        <v>477</v>
      </c>
    </row>
    <row r="63" spans="1:20" ht="17.100000000000001" customHeight="1">
      <c r="A63" s="738">
        <v>27</v>
      </c>
      <c r="B63" s="747" t="str">
        <f>DTCT!B309</f>
        <v>BDD.20712</v>
      </c>
      <c r="C63" s="748" t="str">
        <f>DTCT!C309</f>
        <v>Vét rãnh kín bằng thủ công</v>
      </c>
      <c r="D63" s="738" t="str">
        <f>DTCT!D309</f>
        <v>10m</v>
      </c>
      <c r="E63" s="739">
        <f>DTCT!E309</f>
        <v>246.05</v>
      </c>
      <c r="F63" s="744">
        <f>DTCT!F309</f>
        <v>0</v>
      </c>
      <c r="G63" s="745">
        <f>DTCT!G309</f>
        <v>67173.796999999991</v>
      </c>
      <c r="H63" s="745">
        <f>DTCT!H309</f>
        <v>0</v>
      </c>
      <c r="I63" s="746">
        <f>$G$62*G63</f>
        <v>283356.80962840799</v>
      </c>
      <c r="J63" s="746">
        <f>$H$62*H63</f>
        <v>0</v>
      </c>
      <c r="K63" s="746">
        <f t="shared" si="13"/>
        <v>283356.80962840799</v>
      </c>
      <c r="L63" s="746">
        <f t="shared" si="14"/>
        <v>187015.49435474927</v>
      </c>
      <c r="M63" s="746">
        <f t="shared" si="15"/>
        <v>28222.338238989436</v>
      </c>
      <c r="N63" s="746">
        <f t="shared" si="16"/>
        <v>498594.64222214668</v>
      </c>
      <c r="O63" s="746">
        <f t="shared" si="17"/>
        <v>49859.464222214672</v>
      </c>
      <c r="P63" s="746">
        <f t="shared" si="18"/>
        <v>548454.10644436139</v>
      </c>
      <c r="Q63" s="746"/>
      <c r="R63" s="746"/>
      <c r="S63" s="746"/>
      <c r="T63" s="746">
        <f t="shared" si="22"/>
        <v>548454.10644436139</v>
      </c>
    </row>
    <row r="64" spans="1:20" ht="17.100000000000001" hidden="1" customHeight="1">
      <c r="A64" s="738">
        <f>DTCT!A311</f>
        <v>10</v>
      </c>
      <c r="B64" s="747" t="str">
        <f>DTCT!B311</f>
        <v>BDD.22410</v>
      </c>
      <c r="C64" s="748" t="str">
        <f>DTCT!C311</f>
        <v>Nắn sửa cột Km</v>
      </c>
      <c r="D64" s="738" t="str">
        <f>DTCT!D311</f>
        <v>1 cột</v>
      </c>
      <c r="E64" s="739">
        <f>DTCT!E311</f>
        <v>0.16</v>
      </c>
      <c r="F64" s="744">
        <f>DTCT!F311</f>
        <v>0</v>
      </c>
      <c r="G64" s="745">
        <f>DTCT!G311</f>
        <v>20436.96</v>
      </c>
      <c r="H64" s="745">
        <f>DTCT!H311</f>
        <v>0</v>
      </c>
      <c r="I64" s="746">
        <f>$G$62*G64</f>
        <v>86208.492637440009</v>
      </c>
      <c r="J64" s="746">
        <f>$H$62*H64</f>
        <v>0</v>
      </c>
      <c r="K64" s="746">
        <f t="shared" si="13"/>
        <v>86208.492637440009</v>
      </c>
      <c r="L64" s="746">
        <f t="shared" si="14"/>
        <v>56897.60514071041</v>
      </c>
      <c r="M64" s="746">
        <f t="shared" si="15"/>
        <v>8586.3658666890242</v>
      </c>
      <c r="N64" s="746">
        <f t="shared" si="16"/>
        <v>151692.46364483942</v>
      </c>
      <c r="O64" s="746">
        <f t="shared" si="17"/>
        <v>15169.246364483943</v>
      </c>
      <c r="P64" s="746">
        <f t="shared" si="18"/>
        <v>166861.71000932335</v>
      </c>
      <c r="Q64" s="746"/>
      <c r="R64" s="746"/>
      <c r="S64" s="746"/>
      <c r="T64" s="746">
        <f t="shared" si="22"/>
        <v>166861.71000932335</v>
      </c>
    </row>
    <row r="65" spans="1:20" hidden="1">
      <c r="A65" s="738"/>
      <c r="B65" s="747"/>
      <c r="C65" s="737" t="str">
        <f>DTCT!C324</f>
        <v>Cầu 50m - 100m</v>
      </c>
      <c r="D65" s="738"/>
      <c r="E65" s="739"/>
      <c r="F65" s="744"/>
      <c r="G65" s="745"/>
      <c r="H65" s="745"/>
      <c r="I65" s="746"/>
      <c r="J65" s="746"/>
      <c r="K65" s="746"/>
      <c r="L65" s="746"/>
      <c r="M65" s="746"/>
      <c r="N65" s="746"/>
      <c r="O65" s="746"/>
      <c r="P65" s="746"/>
      <c r="Q65" s="746"/>
      <c r="R65" s="746"/>
      <c r="S65" s="746"/>
      <c r="T65" s="746"/>
    </row>
    <row r="66" spans="1:20" hidden="1">
      <c r="A66" s="738">
        <f>DTCT!A325</f>
        <v>20</v>
      </c>
      <c r="B66" s="747" t="str">
        <f>DTCT!B325</f>
        <v>QLC.10130</v>
      </c>
      <c r="C66" s="748" t="str">
        <f>DTCT!C325</f>
        <v>Kiểm tra cầu</v>
      </c>
      <c r="D66" s="738" t="str">
        <f>DTCT!D325</f>
        <v>cầu/năm</v>
      </c>
      <c r="E66" s="739">
        <f>DTCT!E325</f>
        <v>4</v>
      </c>
      <c r="F66" s="744">
        <f>DTCT!F325</f>
        <v>45000</v>
      </c>
      <c r="G66" s="745">
        <f>DTCT!G325</f>
        <v>2412696</v>
      </c>
      <c r="H66" s="745">
        <f>DTCT!H325</f>
        <v>0</v>
      </c>
      <c r="I66" s="746">
        <f>$G$62*G66</f>
        <v>10177388.679744001</v>
      </c>
      <c r="J66" s="746">
        <f>$H$62*H66</f>
        <v>0</v>
      </c>
      <c r="K66" s="746">
        <f t="shared" si="13"/>
        <v>10222388.679744001</v>
      </c>
      <c r="L66" s="746">
        <f t="shared" si="14"/>
        <v>6717076.5286310408</v>
      </c>
      <c r="M66" s="746">
        <f t="shared" si="15"/>
        <v>1016367.9125025026</v>
      </c>
      <c r="N66" s="746">
        <f t="shared" si="16"/>
        <v>17955833.120877545</v>
      </c>
      <c r="O66" s="746">
        <f t="shared" si="17"/>
        <v>1795583.3120877547</v>
      </c>
      <c r="P66" s="746">
        <f t="shared" si="18"/>
        <v>19751416.432965301</v>
      </c>
      <c r="Q66" s="746"/>
      <c r="R66" s="746"/>
      <c r="S66" s="746"/>
      <c r="T66" s="746">
        <f t="shared" si="22"/>
        <v>19751416.432965301</v>
      </c>
    </row>
    <row r="67" spans="1:20" ht="20.399999999999999" hidden="1">
      <c r="A67" s="738">
        <f>DTCT!A326</f>
        <v>21</v>
      </c>
      <c r="B67" s="747" t="str">
        <f>DTCT!B326</f>
        <v>QLC.10330</v>
      </c>
      <c r="C67" s="748" t="str">
        <f>DTCT!C326</f>
        <v>Kiểm tra trước và sau mùa mưa bão</v>
      </c>
      <c r="D67" s="738" t="str">
        <f>DTCT!D326</f>
        <v>cầu/năm</v>
      </c>
      <c r="E67" s="739">
        <f>DTCT!E326</f>
        <v>4</v>
      </c>
      <c r="F67" s="744">
        <f>DTCT!F326</f>
        <v>7500</v>
      </c>
      <c r="G67" s="745">
        <f>DTCT!G326</f>
        <v>402116</v>
      </c>
      <c r="H67" s="745">
        <f>DTCT!H326</f>
        <v>378931</v>
      </c>
      <c r="I67" s="746">
        <f>$G$62*G67</f>
        <v>1696231.4466240001</v>
      </c>
      <c r="J67" s="746">
        <f>$H$62*H67</f>
        <v>669571.07699999993</v>
      </c>
      <c r="K67" s="746">
        <f t="shared" si="13"/>
        <v>2373302.5236240001</v>
      </c>
      <c r="L67" s="746">
        <f t="shared" si="14"/>
        <v>1119512.7547718401</v>
      </c>
      <c r="M67" s="746">
        <f t="shared" si="15"/>
        <v>209568.91670375038</v>
      </c>
      <c r="N67" s="746">
        <f t="shared" si="16"/>
        <v>3702384.1950995903</v>
      </c>
      <c r="O67" s="746">
        <f t="shared" si="17"/>
        <v>370238.41950995906</v>
      </c>
      <c r="P67" s="746">
        <f t="shared" si="18"/>
        <v>4072622.6146095493</v>
      </c>
      <c r="Q67" s="746"/>
      <c r="R67" s="746"/>
      <c r="S67" s="746"/>
      <c r="T67" s="746">
        <f t="shared" si="22"/>
        <v>4072622.6146095493</v>
      </c>
    </row>
    <row r="68" spans="1:20" hidden="1">
      <c r="A68" s="738">
        <f>DTCT!A327</f>
        <v>22</v>
      </c>
      <c r="B68" s="747" t="str">
        <f>DTCT!B327</f>
        <v>QLC.10430</v>
      </c>
      <c r="C68" s="748" t="str">
        <f>DTCT!C327</f>
        <v>Quản lý hồ sơ trên vi tính</v>
      </c>
      <c r="D68" s="738" t="str">
        <f>DTCT!D327</f>
        <v>cầu/năm</v>
      </c>
      <c r="E68" s="739">
        <f>DTCT!E327</f>
        <v>4</v>
      </c>
      <c r="F68" s="744">
        <f>DTCT!F327</f>
        <v>0</v>
      </c>
      <c r="G68" s="745">
        <f>DTCT!G327</f>
        <v>237327</v>
      </c>
      <c r="H68" s="745">
        <f>DTCT!H327</f>
        <v>0</v>
      </c>
      <c r="I68" s="746">
        <f>$G$62*G68</f>
        <v>1001107.9403280001</v>
      </c>
      <c r="J68" s="746">
        <f>$H$62*H68</f>
        <v>0</v>
      </c>
      <c r="K68" s="746">
        <f t="shared" si="13"/>
        <v>1001107.9403280001</v>
      </c>
      <c r="L68" s="746">
        <f t="shared" si="14"/>
        <v>660731.24061648012</v>
      </c>
      <c r="M68" s="746">
        <f t="shared" si="15"/>
        <v>99710.350856668811</v>
      </c>
      <c r="N68" s="746">
        <f t="shared" si="16"/>
        <v>1761549.531801149</v>
      </c>
      <c r="O68" s="746">
        <f t="shared" si="17"/>
        <v>176154.95318011491</v>
      </c>
      <c r="P68" s="746">
        <f t="shared" si="18"/>
        <v>1937704.484981264</v>
      </c>
      <c r="Q68" s="746"/>
      <c r="R68" s="746"/>
      <c r="S68" s="746"/>
      <c r="T68" s="746">
        <f t="shared" si="22"/>
        <v>1937704.484981264</v>
      </c>
    </row>
    <row r="69" spans="1:20" hidden="1">
      <c r="A69" s="738"/>
      <c r="B69" s="747"/>
      <c r="C69" s="737" t="str">
        <f>DTCT!C328</f>
        <v>Cầu 100m - 200m</v>
      </c>
      <c r="D69" s="738"/>
      <c r="E69" s="739"/>
      <c r="F69" s="744"/>
      <c r="G69" s="745"/>
      <c r="H69" s="745"/>
      <c r="I69" s="746"/>
      <c r="J69" s="746"/>
      <c r="K69" s="746"/>
      <c r="L69" s="746"/>
      <c r="M69" s="746"/>
      <c r="N69" s="746"/>
      <c r="O69" s="746"/>
      <c r="P69" s="746"/>
      <c r="Q69" s="746"/>
      <c r="R69" s="746"/>
      <c r="S69" s="746"/>
      <c r="T69" s="746"/>
    </row>
    <row r="70" spans="1:20" hidden="1">
      <c r="A70" s="738">
        <f>DTCT!A329</f>
        <v>23</v>
      </c>
      <c r="B70" s="747" t="str">
        <f>DTCT!B329</f>
        <v>QLC.10120</v>
      </c>
      <c r="C70" s="748" t="str">
        <f>DTCT!C329</f>
        <v>Kiểm tra cầu</v>
      </c>
      <c r="D70" s="738" t="str">
        <f>DTCT!D329</f>
        <v>cầu/năm</v>
      </c>
      <c r="E70" s="739">
        <f>DTCT!E329</f>
        <v>2</v>
      </c>
      <c r="F70" s="744">
        <f>DTCT!F329</f>
        <v>51000</v>
      </c>
      <c r="G70" s="745">
        <f>DTCT!G329</f>
        <v>7238088</v>
      </c>
      <c r="H70" s="745">
        <f>DTCT!H329</f>
        <v>0</v>
      </c>
      <c r="I70" s="746">
        <f>$G$62*G70</f>
        <v>30532166.039232004</v>
      </c>
      <c r="J70" s="746">
        <f>$H$62*H70</f>
        <v>0</v>
      </c>
      <c r="K70" s="746">
        <f t="shared" si="13"/>
        <v>30583166.039232004</v>
      </c>
      <c r="L70" s="746">
        <f t="shared" si="14"/>
        <v>20151229.585893124</v>
      </c>
      <c r="M70" s="746">
        <f t="shared" si="15"/>
        <v>3044063.7375075072</v>
      </c>
      <c r="N70" s="746">
        <f t="shared" si="16"/>
        <v>53778459.362632632</v>
      </c>
      <c r="O70" s="746">
        <f t="shared" si="17"/>
        <v>5377845.9362632632</v>
      </c>
      <c r="P70" s="746">
        <f t="shared" si="18"/>
        <v>59156305.298895895</v>
      </c>
      <c r="Q70" s="746"/>
      <c r="R70" s="746"/>
      <c r="S70" s="746"/>
      <c r="T70" s="746">
        <f t="shared" si="22"/>
        <v>59156305.298895895</v>
      </c>
    </row>
    <row r="71" spans="1:20" ht="20.399999999999999" hidden="1">
      <c r="A71" s="738">
        <f>DTCT!A330</f>
        <v>24</v>
      </c>
      <c r="B71" s="747" t="str">
        <f>DTCT!B330</f>
        <v>QLC.10320</v>
      </c>
      <c r="C71" s="748" t="str">
        <f>DTCT!C330</f>
        <v>Kiểm tra trước và sau mùa mưa bão</v>
      </c>
      <c r="D71" s="738" t="str">
        <f>DTCT!D330</f>
        <v>cầu/năm</v>
      </c>
      <c r="E71" s="739">
        <f>DTCT!E330</f>
        <v>2</v>
      </c>
      <c r="F71" s="744">
        <f>DTCT!F330</f>
        <v>8499</v>
      </c>
      <c r="G71" s="745">
        <f>DTCT!G330</f>
        <v>804232</v>
      </c>
      <c r="H71" s="745">
        <f>DTCT!H330</f>
        <v>2107028</v>
      </c>
      <c r="I71" s="746">
        <f>$G$62*G71</f>
        <v>3392462.8932480002</v>
      </c>
      <c r="J71" s="746">
        <f>$H$62*H71</f>
        <v>3723118.4759999998</v>
      </c>
      <c r="K71" s="746">
        <f t="shared" si="13"/>
        <v>7124080.369248</v>
      </c>
      <c r="L71" s="746">
        <f t="shared" si="14"/>
        <v>2239025.5095436801</v>
      </c>
      <c r="M71" s="746">
        <f t="shared" si="15"/>
        <v>561786.35272750084</v>
      </c>
      <c r="N71" s="746">
        <f t="shared" si="16"/>
        <v>9924892.2315191813</v>
      </c>
      <c r="O71" s="746">
        <f t="shared" si="17"/>
        <v>992489.22315191815</v>
      </c>
      <c r="P71" s="746">
        <f t="shared" si="18"/>
        <v>10917381.4546711</v>
      </c>
      <c r="Q71" s="746"/>
      <c r="R71" s="746"/>
      <c r="S71" s="746"/>
      <c r="T71" s="746">
        <f t="shared" si="22"/>
        <v>10917381.4546711</v>
      </c>
    </row>
    <row r="72" spans="1:20" hidden="1">
      <c r="A72" s="751">
        <f>DTCT!A331</f>
        <v>25</v>
      </c>
      <c r="B72" s="752" t="str">
        <f>DTCT!B331</f>
        <v>QLC.10420</v>
      </c>
      <c r="C72" s="753" t="str">
        <f>DTCT!C331</f>
        <v>Quản lý hồ sơ trên vi tính</v>
      </c>
      <c r="D72" s="751" t="str">
        <f>DTCT!D331</f>
        <v>cầu/năm</v>
      </c>
      <c r="E72" s="754">
        <f>DTCT!E331</f>
        <v>2</v>
      </c>
      <c r="F72" s="755">
        <f>DTCT!F331</f>
        <v>0</v>
      </c>
      <c r="G72" s="756">
        <f>DTCT!G331</f>
        <v>474654</v>
      </c>
      <c r="H72" s="756">
        <f>DTCT!H331</f>
        <v>0</v>
      </c>
      <c r="I72" s="757">
        <f>$G$62*G72</f>
        <v>2002215.8806560002</v>
      </c>
      <c r="J72" s="757">
        <f>$H$62*H72</f>
        <v>0</v>
      </c>
      <c r="K72" s="757">
        <f t="shared" si="13"/>
        <v>2002215.8806560002</v>
      </c>
      <c r="L72" s="757">
        <f t="shared" si="14"/>
        <v>1321462.4812329602</v>
      </c>
      <c r="M72" s="757">
        <f t="shared" si="15"/>
        <v>199420.70171333762</v>
      </c>
      <c r="N72" s="757">
        <f t="shared" si="16"/>
        <v>3523099.063602298</v>
      </c>
      <c r="O72" s="757">
        <f t="shared" si="17"/>
        <v>352309.90636022983</v>
      </c>
      <c r="P72" s="757">
        <f t="shared" si="18"/>
        <v>3875408.969962528</v>
      </c>
      <c r="Q72" s="757"/>
      <c r="R72" s="757"/>
      <c r="S72" s="757"/>
      <c r="T72" s="757">
        <f t="shared" si="22"/>
        <v>3875408.969962528</v>
      </c>
    </row>
    <row r="73" spans="1:20" s="533" customFormat="1" ht="37.5" customHeight="1">
      <c r="A73" s="758" t="str">
        <f>DTCT!A332</f>
        <v>B</v>
      </c>
      <c r="B73" s="759"/>
      <c r="C73" s="760" t="str">
        <f>DTCT!C332</f>
        <v>CÔNG TÁC QUẢN LÝ BẢO TRÌ ĐƯỜNG THỦY NỘI ĐỊA</v>
      </c>
      <c r="D73" s="758"/>
      <c r="E73" s="763"/>
      <c r="F73" s="764"/>
      <c r="G73" s="741">
        <f>3.972*1.062</f>
        <v>4.2182640000000005</v>
      </c>
      <c r="H73" s="741">
        <v>1.7669999999999999</v>
      </c>
      <c r="I73" s="742" t="s">
        <v>478</v>
      </c>
      <c r="J73" s="742" t="s">
        <v>479</v>
      </c>
      <c r="K73" s="743" t="s">
        <v>471</v>
      </c>
      <c r="L73" s="743" t="s">
        <v>472</v>
      </c>
      <c r="M73" s="743" t="s">
        <v>473</v>
      </c>
      <c r="N73" s="743" t="s">
        <v>500</v>
      </c>
      <c r="O73" s="743" t="s">
        <v>502</v>
      </c>
      <c r="P73" s="743" t="s">
        <v>501</v>
      </c>
      <c r="Q73" s="743" t="s">
        <v>474</v>
      </c>
      <c r="R73" s="743" t="s">
        <v>475</v>
      </c>
      <c r="S73" s="743" t="s">
        <v>476</v>
      </c>
      <c r="T73" s="743" t="s">
        <v>477</v>
      </c>
    </row>
    <row r="74" spans="1:20">
      <c r="A74" s="738">
        <f>DTCT!A333</f>
        <v>1</v>
      </c>
      <c r="B74" s="747" t="str">
        <f>DTCT!B333</f>
        <v>2.02.3</v>
      </c>
      <c r="C74" s="748" t="str">
        <f>DTCT!C333</f>
        <v>Điều chỉnh phao trụ Ø1000</v>
      </c>
      <c r="D74" s="738" t="str">
        <f>DTCT!D333</f>
        <v>lần/năm/quả</v>
      </c>
      <c r="E74" s="739">
        <f>DTCT!E333</f>
        <v>88</v>
      </c>
      <c r="F74" s="744">
        <f>DTCT!F333</f>
        <v>0</v>
      </c>
      <c r="G74" s="745">
        <f>DTCT!G333</f>
        <v>228617.25599999999</v>
      </c>
      <c r="H74" s="745">
        <f>DTCT!H333</f>
        <v>772191.01</v>
      </c>
      <c r="I74" s="746">
        <f>$G$73*G74</f>
        <v>964367.94076358411</v>
      </c>
      <c r="J74" s="746">
        <f>$H$73*H74</f>
        <v>1364461.5146699999</v>
      </c>
      <c r="K74" s="746">
        <f t="shared" si="13"/>
        <v>2328829.4554335838</v>
      </c>
      <c r="L74" s="746">
        <f t="shared" si="14"/>
        <v>636482.84090396552</v>
      </c>
      <c r="M74" s="746">
        <f t="shared" si="15"/>
        <v>177918.73778025297</v>
      </c>
      <c r="N74" s="746">
        <f t="shared" si="16"/>
        <v>3143231.0341178025</v>
      </c>
      <c r="O74" s="746">
        <f t="shared" si="17"/>
        <v>314323.10341178026</v>
      </c>
      <c r="P74" s="746">
        <f t="shared" si="18"/>
        <v>3457554.1375295827</v>
      </c>
      <c r="Q74" s="746"/>
      <c r="R74" s="746"/>
      <c r="S74" s="746"/>
      <c r="T74" s="746">
        <f t="shared" si="22"/>
        <v>3457554.1375295827</v>
      </c>
    </row>
    <row r="75" spans="1:20">
      <c r="A75" s="738">
        <f>DTCT!A334</f>
        <v>2</v>
      </c>
      <c r="B75" s="747" t="str">
        <f>DTCT!B334</f>
        <v>2.02.5</v>
      </c>
      <c r="C75" s="748" t="str">
        <f>DTCT!C334</f>
        <v>Điều chỉnh phao trụ Ø1300</v>
      </c>
      <c r="D75" s="738" t="str">
        <f>DTCT!D334</f>
        <v>lần/năm/quả</v>
      </c>
      <c r="E75" s="739">
        <f>DTCT!E334</f>
        <v>48</v>
      </c>
      <c r="F75" s="744">
        <f>DTCT!F334</f>
        <v>0</v>
      </c>
      <c r="G75" s="745">
        <f>DTCT!G334</f>
        <v>327187.89840000001</v>
      </c>
      <c r="H75" s="745">
        <f>DTCT!H334</f>
        <v>1105425.1169999999</v>
      </c>
      <c r="I75" s="746">
        <f t="shared" ref="I75:I80" si="23">$G$73*G75</f>
        <v>1380164.9330563778</v>
      </c>
      <c r="J75" s="746">
        <f t="shared" ref="J75:J80" si="24">$H$73*H75</f>
        <v>1953286.1817389997</v>
      </c>
      <c r="K75" s="746">
        <f t="shared" si="13"/>
        <v>3333451.1147953775</v>
      </c>
      <c r="L75" s="746">
        <f t="shared" si="14"/>
        <v>910908.85581720935</v>
      </c>
      <c r="M75" s="746">
        <f t="shared" si="15"/>
        <v>254661.59823675518</v>
      </c>
      <c r="N75" s="746">
        <f t="shared" si="16"/>
        <v>4499021.5688493419</v>
      </c>
      <c r="O75" s="746">
        <f t="shared" si="17"/>
        <v>449902.15688493423</v>
      </c>
      <c r="P75" s="746">
        <f t="shared" si="18"/>
        <v>4948923.7257342758</v>
      </c>
      <c r="Q75" s="746"/>
      <c r="R75" s="746"/>
      <c r="S75" s="746"/>
      <c r="T75" s="746">
        <f t="shared" si="22"/>
        <v>4948923.7257342758</v>
      </c>
    </row>
    <row r="76" spans="1:20">
      <c r="A76" s="738">
        <f>DTCT!A335</f>
        <v>3</v>
      </c>
      <c r="B76" s="747" t="str">
        <f>DTCT!B335</f>
        <v>2.03.3</v>
      </c>
      <c r="C76" s="748" t="str">
        <f>DTCT!C335</f>
        <v>Chống bồi rùa phao trụ Ø1000</v>
      </c>
      <c r="D76" s="738" t="str">
        <f>DTCT!D335</f>
        <v>lần/năm/quả</v>
      </c>
      <c r="E76" s="739">
        <f>DTCT!E335</f>
        <v>528</v>
      </c>
      <c r="F76" s="744">
        <f>DTCT!F335</f>
        <v>0</v>
      </c>
      <c r="G76" s="745">
        <f>DTCT!G335</f>
        <v>111612.5664</v>
      </c>
      <c r="H76" s="745">
        <f>DTCT!H335</f>
        <v>377026.14749999996</v>
      </c>
      <c r="I76" s="746">
        <f t="shared" si="23"/>
        <v>470811.27079272963</v>
      </c>
      <c r="J76" s="746">
        <f t="shared" si="24"/>
        <v>666205.20263249986</v>
      </c>
      <c r="K76" s="746">
        <f t="shared" si="13"/>
        <v>1137016.4734252295</v>
      </c>
      <c r="L76" s="746">
        <f t="shared" si="14"/>
        <v>310735.43872320157</v>
      </c>
      <c r="M76" s="746">
        <f t="shared" si="15"/>
        <v>86865.114728905872</v>
      </c>
      <c r="N76" s="746">
        <f t="shared" si="16"/>
        <v>1534617.0268773371</v>
      </c>
      <c r="O76" s="746">
        <f t="shared" si="17"/>
        <v>153461.70268773372</v>
      </c>
      <c r="P76" s="746">
        <f t="shared" si="18"/>
        <v>1688078.7295650709</v>
      </c>
      <c r="Q76" s="746"/>
      <c r="R76" s="746"/>
      <c r="S76" s="746"/>
      <c r="T76" s="746">
        <f t="shared" si="22"/>
        <v>1688078.7295650709</v>
      </c>
    </row>
    <row r="77" spans="1:20">
      <c r="A77" s="738">
        <f>DTCT!A336</f>
        <v>4</v>
      </c>
      <c r="B77" s="747" t="str">
        <f>DTCT!B336</f>
        <v>2.03.5</v>
      </c>
      <c r="C77" s="748" t="str">
        <f>DTCT!C336</f>
        <v>Chống bồi rùa phao trụ Ø1300</v>
      </c>
      <c r="D77" s="738" t="str">
        <f>DTCT!D336</f>
        <v>lần/năm/quả</v>
      </c>
      <c r="E77" s="739">
        <f>DTCT!E336</f>
        <v>288</v>
      </c>
      <c r="F77" s="744">
        <f>DTCT!F336</f>
        <v>0</v>
      </c>
      <c r="G77" s="745">
        <f>DTCT!G336</f>
        <v>151900.05599999998</v>
      </c>
      <c r="H77" s="745">
        <f>DTCT!H336</f>
        <v>513066.51</v>
      </c>
      <c r="I77" s="746">
        <f t="shared" si="23"/>
        <v>640754.53782278404</v>
      </c>
      <c r="J77" s="746">
        <f t="shared" si="24"/>
        <v>906588.52316999994</v>
      </c>
      <c r="K77" s="746">
        <f t="shared" si="13"/>
        <v>1547343.0609927839</v>
      </c>
      <c r="L77" s="746">
        <f t="shared" si="14"/>
        <v>422897.99496303749</v>
      </c>
      <c r="M77" s="746">
        <f t="shared" si="15"/>
        <v>118214.46335734928</v>
      </c>
      <c r="N77" s="746">
        <f t="shared" si="16"/>
        <v>2088455.5193131706</v>
      </c>
      <c r="O77" s="746">
        <f t="shared" si="17"/>
        <v>208845.55193131708</v>
      </c>
      <c r="P77" s="746">
        <f t="shared" si="18"/>
        <v>2297301.0712444875</v>
      </c>
      <c r="Q77" s="746"/>
      <c r="R77" s="746"/>
      <c r="S77" s="746"/>
      <c r="T77" s="746">
        <f t="shared" si="22"/>
        <v>2297301.0712444875</v>
      </c>
    </row>
    <row r="78" spans="1:20">
      <c r="A78" s="738">
        <f>DTCT!A337</f>
        <v>5</v>
      </c>
      <c r="B78" s="747" t="str">
        <f>DTCT!B337</f>
        <v>3.12.68</v>
      </c>
      <c r="C78" s="748" t="str">
        <f>DTCT!C337</f>
        <v>Trực phòng chống thiên tai</v>
      </c>
      <c r="D78" s="738" t="str">
        <f>DTCT!D337</f>
        <v>lần/năm/trạm</v>
      </c>
      <c r="E78" s="739">
        <f>DTCT!E337</f>
        <v>18</v>
      </c>
      <c r="F78" s="744">
        <f>DTCT!F337</f>
        <v>0</v>
      </c>
      <c r="G78" s="745">
        <f>DTCT!G337</f>
        <v>1095960</v>
      </c>
      <c r="H78" s="745">
        <f>DTCT!H337</f>
        <v>0</v>
      </c>
      <c r="I78" s="746">
        <f t="shared" si="23"/>
        <v>4623048.6134400005</v>
      </c>
      <c r="J78" s="746">
        <f t="shared" si="24"/>
        <v>0</v>
      </c>
      <c r="K78" s="746">
        <f t="shared" si="13"/>
        <v>4623048.6134400005</v>
      </c>
      <c r="L78" s="746">
        <f t="shared" si="14"/>
        <v>3051212.0848704004</v>
      </c>
      <c r="M78" s="746">
        <f t="shared" si="15"/>
        <v>460455.64189862408</v>
      </c>
      <c r="N78" s="746">
        <f t="shared" si="16"/>
        <v>8134716.340209025</v>
      </c>
      <c r="O78" s="746">
        <f t="shared" si="17"/>
        <v>813471.63402090257</v>
      </c>
      <c r="P78" s="746">
        <f t="shared" si="18"/>
        <v>8948187.9742299281</v>
      </c>
      <c r="Q78" s="746"/>
      <c r="R78" s="746"/>
      <c r="S78" s="746"/>
      <c r="T78" s="746">
        <f t="shared" si="22"/>
        <v>8948187.9742299281</v>
      </c>
    </row>
    <row r="79" spans="1:20">
      <c r="A79" s="738">
        <f>DTCT!A338</f>
        <v>6</v>
      </c>
      <c r="B79" s="747" t="str">
        <f>DTCT!B338</f>
        <v>3.12.69</v>
      </c>
      <c r="C79" s="748" t="str">
        <f>DTCT!C338</f>
        <v>Trong coi tàu công tác</v>
      </c>
      <c r="D79" s="738" t="str">
        <f>DTCT!D338</f>
        <v>tàu/vị trí/năm</v>
      </c>
      <c r="E79" s="739">
        <f>DTCT!E338</f>
        <v>1</v>
      </c>
      <c r="F79" s="744">
        <f>DTCT!F338</f>
        <v>0</v>
      </c>
      <c r="G79" s="745">
        <f>DTCT!G338</f>
        <v>80005080</v>
      </c>
      <c r="H79" s="745">
        <f>DTCT!H338</f>
        <v>0</v>
      </c>
      <c r="I79" s="746">
        <f t="shared" si="23"/>
        <v>337482548.78112006</v>
      </c>
      <c r="J79" s="746">
        <f t="shared" si="24"/>
        <v>0</v>
      </c>
      <c r="K79" s="746">
        <f t="shared" si="13"/>
        <v>337482548.78112006</v>
      </c>
      <c r="L79" s="746">
        <f t="shared" si="14"/>
        <v>222738482.19553927</v>
      </c>
      <c r="M79" s="746">
        <f t="shared" si="15"/>
        <v>33613261.858599558</v>
      </c>
      <c r="N79" s="746">
        <f t="shared" si="16"/>
        <v>593834292.83525884</v>
      </c>
      <c r="O79" s="746">
        <f t="shared" si="17"/>
        <v>59383429.283525884</v>
      </c>
      <c r="P79" s="746">
        <f t="shared" si="18"/>
        <v>653217722.11878467</v>
      </c>
      <c r="Q79" s="746"/>
      <c r="R79" s="746"/>
      <c r="S79" s="746"/>
      <c r="T79" s="746">
        <f t="shared" si="22"/>
        <v>653217722.11878467</v>
      </c>
    </row>
    <row r="80" spans="1:20" ht="20.399999999999999">
      <c r="A80" s="751">
        <f>DTCT!A339</f>
        <v>7</v>
      </c>
      <c r="B80" s="752" t="str">
        <f>DTCT!B339</f>
        <v>3.12.71</v>
      </c>
      <c r="C80" s="753" t="str">
        <f>DTCT!C339</f>
        <v>Phát quang cây cối che khuất báo hiệu</v>
      </c>
      <c r="D80" s="751" t="str">
        <f>DTCT!D339</f>
        <v>lần/năm/cột</v>
      </c>
      <c r="E80" s="754">
        <f>DTCT!E339</f>
        <v>180</v>
      </c>
      <c r="F80" s="755">
        <f>DTCT!F339</f>
        <v>0</v>
      </c>
      <c r="G80" s="756">
        <f>DTCT!G339</f>
        <v>43838.400000000001</v>
      </c>
      <c r="H80" s="756">
        <f>DTCT!H339</f>
        <v>0</v>
      </c>
      <c r="I80" s="757">
        <f t="shared" si="23"/>
        <v>184921.94453760004</v>
      </c>
      <c r="J80" s="757">
        <f t="shared" si="24"/>
        <v>0</v>
      </c>
      <c r="K80" s="757">
        <f t="shared" si="13"/>
        <v>184921.94453760004</v>
      </c>
      <c r="L80" s="757">
        <f t="shared" si="14"/>
        <v>122048.48339481602</v>
      </c>
      <c r="M80" s="757">
        <f t="shared" si="15"/>
        <v>18418.225675944963</v>
      </c>
      <c r="N80" s="757">
        <f t="shared" si="16"/>
        <v>325388.65360836103</v>
      </c>
      <c r="O80" s="757">
        <f t="shared" si="17"/>
        <v>32538.865360836106</v>
      </c>
      <c r="P80" s="757">
        <f t="shared" si="18"/>
        <v>357927.51896919712</v>
      </c>
      <c r="Q80" s="757"/>
      <c r="R80" s="757"/>
      <c r="S80" s="757"/>
      <c r="T80" s="757">
        <f t="shared" si="22"/>
        <v>357927.51896919712</v>
      </c>
    </row>
    <row r="81" spans="1:20">
      <c r="A81" s="766"/>
      <c r="B81" s="767"/>
      <c r="C81" s="768"/>
      <c r="D81" s="766"/>
      <c r="E81" s="769"/>
      <c r="F81" s="770"/>
      <c r="G81" s="771"/>
      <c r="H81" s="771"/>
      <c r="I81" s="772"/>
      <c r="J81" s="772"/>
      <c r="K81" s="772"/>
      <c r="L81" s="772"/>
      <c r="M81" s="772"/>
      <c r="N81" s="772"/>
      <c r="O81" s="772"/>
      <c r="P81" s="772"/>
      <c r="Q81" s="772"/>
      <c r="R81" s="772"/>
      <c r="S81" s="772"/>
      <c r="T81" s="772"/>
    </row>
    <row r="82" spans="1:20">
      <c r="A82" s="522"/>
      <c r="C82" s="394"/>
      <c r="D82" s="524"/>
      <c r="E82" s="534"/>
      <c r="F82" s="525"/>
      <c r="G82" s="394"/>
      <c r="H82" s="394"/>
      <c r="I82" s="394"/>
      <c r="J82" s="394"/>
      <c r="K82" s="394"/>
      <c r="L82" s="394"/>
      <c r="M82" s="394"/>
      <c r="N82" s="773" t="s">
        <v>960</v>
      </c>
      <c r="O82" s="773"/>
      <c r="P82" s="773"/>
      <c r="Q82" s="765"/>
      <c r="R82" s="394"/>
      <c r="S82" s="394"/>
      <c r="T82" s="394"/>
    </row>
    <row r="83" spans="1:20" ht="16.8">
      <c r="A83" s="1317" t="s">
        <v>957</v>
      </c>
      <c r="B83" s="1317"/>
      <c r="C83" s="1317"/>
      <c r="D83" s="1317"/>
      <c r="E83" s="534"/>
      <c r="F83" s="525"/>
      <c r="G83" s="394"/>
      <c r="H83" s="394"/>
      <c r="I83" s="394"/>
      <c r="J83" s="394"/>
      <c r="K83" s="394"/>
      <c r="L83" s="394"/>
      <c r="M83" s="394"/>
      <c r="N83" s="1317" t="s">
        <v>1007</v>
      </c>
      <c r="O83" s="1317"/>
      <c r="P83" s="1317"/>
      <c r="Q83" s="1317"/>
      <c r="R83" s="394"/>
      <c r="S83" s="394"/>
      <c r="T83" s="394"/>
    </row>
    <row r="84" spans="1:20" ht="16.8">
      <c r="A84" s="717"/>
      <c r="B84" s="717"/>
      <c r="C84" s="717"/>
      <c r="D84" s="717"/>
      <c r="E84" s="534"/>
      <c r="F84" s="525"/>
      <c r="G84" s="394"/>
      <c r="H84" s="394"/>
      <c r="I84" s="394"/>
      <c r="J84" s="394"/>
      <c r="K84" s="394"/>
      <c r="L84" s="394"/>
      <c r="M84" s="394"/>
      <c r="R84" s="394"/>
      <c r="S84" s="394"/>
      <c r="T84" s="394"/>
    </row>
    <row r="85" spans="1:20" ht="16.8">
      <c r="A85" s="717"/>
      <c r="B85" s="717"/>
      <c r="C85" s="717"/>
      <c r="D85" s="717"/>
      <c r="E85" s="534"/>
      <c r="F85" s="525"/>
      <c r="G85" s="394"/>
      <c r="H85" s="394"/>
      <c r="I85" s="394"/>
      <c r="J85" s="394"/>
      <c r="K85" s="394"/>
      <c r="L85" s="394"/>
      <c r="M85" s="394"/>
      <c r="R85" s="394"/>
      <c r="S85" s="394"/>
      <c r="T85" s="394"/>
    </row>
    <row r="86" spans="1:20" ht="16.8">
      <c r="A86" s="717"/>
      <c r="B86" s="717"/>
      <c r="C86" s="717"/>
      <c r="D86" s="717"/>
      <c r="E86" s="534"/>
      <c r="F86" s="525"/>
      <c r="G86" s="394"/>
      <c r="H86" s="394"/>
      <c r="I86" s="394"/>
      <c r="J86" s="394"/>
      <c r="K86" s="394"/>
      <c r="L86" s="394"/>
      <c r="M86" s="394"/>
      <c r="R86" s="394"/>
      <c r="S86" s="394"/>
      <c r="T86" s="394"/>
    </row>
    <row r="87" spans="1:20" ht="16.8">
      <c r="A87" s="717"/>
      <c r="B87" s="717"/>
      <c r="C87" s="717"/>
      <c r="D87" s="717"/>
      <c r="E87" s="534"/>
      <c r="F87" s="525"/>
      <c r="G87" s="394"/>
      <c r="H87" s="394"/>
      <c r="I87" s="394"/>
      <c r="J87" s="394"/>
      <c r="K87" s="394"/>
      <c r="L87" s="394"/>
      <c r="M87" s="394"/>
      <c r="R87" s="394"/>
      <c r="S87" s="394"/>
      <c r="T87" s="394"/>
    </row>
    <row r="88" spans="1:20" ht="16.8">
      <c r="A88" s="717"/>
      <c r="B88" s="717"/>
      <c r="C88" s="717"/>
      <c r="D88" s="717"/>
      <c r="E88" s="534"/>
      <c r="F88" s="525"/>
      <c r="G88" s="394"/>
      <c r="H88" s="394"/>
      <c r="I88" s="394"/>
      <c r="J88" s="394"/>
      <c r="K88" s="394"/>
      <c r="L88" s="394"/>
      <c r="M88" s="394"/>
      <c r="R88" s="394"/>
      <c r="S88" s="394"/>
      <c r="T88" s="394"/>
    </row>
    <row r="89" spans="1:20" ht="16.8">
      <c r="A89" s="717"/>
      <c r="B89" s="717"/>
      <c r="C89" s="717"/>
      <c r="D89" s="717"/>
      <c r="E89" s="534"/>
      <c r="F89" s="525"/>
      <c r="G89" s="394"/>
      <c r="H89" s="394"/>
      <c r="I89" s="394"/>
      <c r="J89" s="394"/>
      <c r="K89" s="394"/>
      <c r="L89" s="394"/>
      <c r="M89" s="394"/>
      <c r="R89" s="394"/>
      <c r="S89" s="394"/>
      <c r="T89" s="394"/>
    </row>
    <row r="90" spans="1:20" ht="16.8">
      <c r="A90" s="1317" t="s">
        <v>877</v>
      </c>
      <c r="B90" s="1317"/>
      <c r="C90" s="1317"/>
      <c r="D90" s="1317"/>
      <c r="E90" s="534"/>
      <c r="F90" s="525"/>
      <c r="G90" s="394"/>
      <c r="H90" s="394"/>
      <c r="I90" s="394"/>
      <c r="J90" s="394"/>
      <c r="K90" s="394"/>
      <c r="L90" s="394"/>
      <c r="M90" s="394"/>
      <c r="R90" s="394"/>
      <c r="S90" s="394"/>
      <c r="T90" s="394"/>
    </row>
    <row r="91" spans="1:20">
      <c r="A91" s="522"/>
      <c r="C91" s="394"/>
      <c r="D91" s="524"/>
      <c r="E91" s="534"/>
      <c r="F91" s="525"/>
      <c r="G91" s="394"/>
      <c r="H91" s="394"/>
      <c r="I91" s="394"/>
      <c r="J91" s="394"/>
      <c r="K91" s="394"/>
      <c r="L91" s="394"/>
      <c r="M91" s="394"/>
      <c r="N91" s="394"/>
      <c r="O91" s="394"/>
      <c r="P91" s="394"/>
      <c r="Q91" s="394"/>
      <c r="R91" s="394"/>
      <c r="S91" s="394"/>
      <c r="T91" s="394"/>
    </row>
    <row r="92" spans="1:20">
      <c r="A92" s="522"/>
      <c r="C92" s="394"/>
      <c r="D92" s="524"/>
      <c r="E92" s="534"/>
      <c r="F92" s="525"/>
      <c r="G92" s="394"/>
      <c r="H92" s="394"/>
      <c r="I92" s="394"/>
      <c r="J92" s="394"/>
      <c r="K92" s="394"/>
      <c r="L92" s="394"/>
      <c r="M92" s="394"/>
      <c r="N92" s="394"/>
      <c r="O92" s="394"/>
      <c r="P92" s="394"/>
      <c r="Q92" s="394"/>
      <c r="R92" s="394"/>
      <c r="S92" s="394"/>
      <c r="T92" s="394"/>
    </row>
    <row r="93" spans="1:20">
      <c r="A93" s="522"/>
      <c r="C93" s="394"/>
      <c r="D93" s="524"/>
      <c r="E93" s="534"/>
      <c r="F93" s="525"/>
      <c r="G93" s="394"/>
      <c r="H93" s="394"/>
      <c r="I93" s="394"/>
      <c r="J93" s="394"/>
      <c r="K93" s="394"/>
      <c r="L93" s="394"/>
      <c r="M93" s="394"/>
      <c r="N93" s="394"/>
      <c r="O93" s="394"/>
      <c r="P93" s="394"/>
      <c r="Q93" s="394"/>
      <c r="R93" s="394"/>
      <c r="S93" s="394"/>
      <c r="T93" s="394"/>
    </row>
    <row r="94" spans="1:20">
      <c r="A94" s="522"/>
      <c r="C94" s="394"/>
      <c r="D94" s="524"/>
      <c r="E94" s="534"/>
      <c r="F94" s="525"/>
      <c r="G94" s="394"/>
      <c r="H94" s="394"/>
      <c r="I94" s="394"/>
      <c r="J94" s="394"/>
      <c r="K94" s="394"/>
      <c r="L94" s="394"/>
      <c r="M94" s="394"/>
      <c r="N94" s="394"/>
      <c r="O94" s="394"/>
      <c r="P94" s="394"/>
      <c r="Q94" s="394"/>
      <c r="R94" s="394"/>
      <c r="S94" s="394"/>
      <c r="T94" s="394"/>
    </row>
    <row r="95" spans="1:20">
      <c r="A95" s="522"/>
      <c r="C95" s="394"/>
      <c r="D95" s="524"/>
      <c r="E95" s="534"/>
      <c r="F95" s="525"/>
      <c r="G95" s="394"/>
      <c r="H95" s="394"/>
      <c r="I95" s="394"/>
      <c r="J95" s="394"/>
      <c r="K95" s="394"/>
      <c r="L95" s="394"/>
      <c r="M95" s="394"/>
      <c r="N95" s="394"/>
      <c r="O95" s="394"/>
      <c r="P95" s="394"/>
      <c r="Q95" s="394"/>
      <c r="R95" s="394"/>
      <c r="S95" s="394"/>
      <c r="T95" s="394"/>
    </row>
    <row r="96" spans="1:20">
      <c r="A96" s="522"/>
      <c r="C96" s="394"/>
      <c r="D96" s="524"/>
      <c r="E96" s="534"/>
      <c r="F96" s="525"/>
      <c r="G96" s="394"/>
      <c r="H96" s="394"/>
      <c r="I96" s="394"/>
      <c r="J96" s="394"/>
      <c r="K96" s="394"/>
      <c r="L96" s="394"/>
      <c r="M96" s="394"/>
      <c r="N96" s="394"/>
      <c r="O96" s="394"/>
      <c r="P96" s="394"/>
      <c r="Q96" s="394"/>
      <c r="R96" s="394"/>
      <c r="S96" s="394"/>
      <c r="T96" s="394"/>
    </row>
    <row r="97" spans="1:20">
      <c r="A97" s="522"/>
      <c r="C97" s="394"/>
      <c r="D97" s="524"/>
      <c r="E97" s="534"/>
      <c r="F97" s="525"/>
      <c r="G97" s="394"/>
      <c r="H97" s="394"/>
      <c r="I97" s="394"/>
      <c r="J97" s="394"/>
      <c r="K97" s="394"/>
      <c r="L97" s="394"/>
      <c r="M97" s="394"/>
      <c r="N97" s="394"/>
      <c r="O97" s="394"/>
      <c r="P97" s="394"/>
      <c r="Q97" s="394"/>
      <c r="R97" s="394"/>
      <c r="S97" s="394"/>
      <c r="T97" s="394"/>
    </row>
    <row r="98" spans="1:20">
      <c r="A98" s="522"/>
      <c r="C98" s="394"/>
      <c r="D98" s="524"/>
      <c r="E98" s="534"/>
      <c r="F98" s="525"/>
      <c r="G98" s="394"/>
      <c r="H98" s="394"/>
      <c r="I98" s="394"/>
      <c r="J98" s="394"/>
      <c r="K98" s="394"/>
      <c r="L98" s="394"/>
      <c r="M98" s="394"/>
      <c r="N98" s="394"/>
      <c r="O98" s="394"/>
      <c r="P98" s="394"/>
      <c r="Q98" s="394"/>
      <c r="R98" s="394"/>
      <c r="S98" s="394"/>
      <c r="T98" s="394"/>
    </row>
    <row r="99" spans="1:20">
      <c r="A99" s="522"/>
      <c r="C99" s="394"/>
      <c r="D99" s="524"/>
      <c r="E99" s="534"/>
      <c r="F99" s="525"/>
      <c r="G99" s="394"/>
      <c r="H99" s="394"/>
      <c r="I99" s="394"/>
      <c r="J99" s="394"/>
      <c r="K99" s="394"/>
      <c r="L99" s="394"/>
      <c r="M99" s="394"/>
      <c r="N99" s="394"/>
      <c r="O99" s="394"/>
      <c r="P99" s="394"/>
      <c r="Q99" s="394"/>
      <c r="R99" s="394"/>
      <c r="S99" s="394"/>
      <c r="T99" s="394"/>
    </row>
    <row r="100" spans="1:20">
      <c r="A100" s="522"/>
      <c r="C100" s="394"/>
      <c r="D100" s="524"/>
      <c r="E100" s="534"/>
      <c r="F100" s="525"/>
      <c r="G100" s="394"/>
      <c r="H100" s="394"/>
      <c r="I100" s="394"/>
      <c r="J100" s="394"/>
      <c r="K100" s="394"/>
      <c r="L100" s="394"/>
      <c r="M100" s="394"/>
      <c r="N100" s="394"/>
      <c r="O100" s="394"/>
      <c r="P100" s="394"/>
      <c r="Q100" s="394"/>
      <c r="R100" s="394"/>
      <c r="S100" s="394"/>
      <c r="T100" s="394"/>
    </row>
    <row r="101" spans="1:20">
      <c r="A101" s="522"/>
      <c r="C101" s="394"/>
      <c r="D101" s="524"/>
      <c r="E101" s="534"/>
      <c r="F101" s="525"/>
      <c r="G101" s="394"/>
      <c r="H101" s="394"/>
      <c r="I101" s="394"/>
      <c r="J101" s="394"/>
      <c r="K101" s="394"/>
      <c r="L101" s="394"/>
      <c r="M101" s="394"/>
      <c r="N101" s="394"/>
      <c r="O101" s="394"/>
      <c r="P101" s="394"/>
      <c r="Q101" s="394"/>
      <c r="R101" s="394"/>
      <c r="S101" s="394"/>
      <c r="T101" s="394"/>
    </row>
    <row r="102" spans="1:20">
      <c r="A102" s="522"/>
      <c r="C102" s="394"/>
      <c r="D102" s="524"/>
      <c r="E102" s="534"/>
      <c r="F102" s="525"/>
      <c r="G102" s="394"/>
      <c r="H102" s="394"/>
      <c r="I102" s="394"/>
      <c r="J102" s="394"/>
      <c r="K102" s="394"/>
      <c r="L102" s="394"/>
      <c r="M102" s="394"/>
      <c r="N102" s="394"/>
      <c r="O102" s="394"/>
      <c r="P102" s="394"/>
      <c r="Q102" s="394"/>
      <c r="R102" s="394"/>
      <c r="S102" s="394"/>
      <c r="T102" s="394"/>
    </row>
    <row r="103" spans="1:20">
      <c r="A103" s="522"/>
      <c r="C103" s="394"/>
      <c r="D103" s="524"/>
      <c r="E103" s="534"/>
      <c r="F103" s="525"/>
      <c r="G103" s="394"/>
      <c r="H103" s="394"/>
      <c r="I103" s="394"/>
      <c r="J103" s="394"/>
      <c r="K103" s="394"/>
      <c r="L103" s="394"/>
      <c r="M103" s="394"/>
      <c r="N103" s="394"/>
      <c r="O103" s="394"/>
      <c r="P103" s="394"/>
      <c r="Q103" s="394"/>
      <c r="R103" s="394"/>
      <c r="S103" s="394"/>
      <c r="T103" s="394"/>
    </row>
    <row r="104" spans="1:20">
      <c r="A104" s="522"/>
      <c r="C104" s="394"/>
      <c r="D104" s="524"/>
      <c r="E104" s="534"/>
      <c r="F104" s="525"/>
      <c r="G104" s="394"/>
      <c r="H104" s="394"/>
      <c r="I104" s="394"/>
      <c r="J104" s="394"/>
      <c r="K104" s="394"/>
      <c r="L104" s="394"/>
      <c r="M104" s="394"/>
      <c r="N104" s="394"/>
      <c r="O104" s="394"/>
      <c r="P104" s="394"/>
      <c r="Q104" s="394"/>
      <c r="R104" s="394"/>
      <c r="S104" s="394"/>
      <c r="T104" s="394"/>
    </row>
    <row r="105" spans="1:20">
      <c r="A105" s="522"/>
      <c r="C105" s="394"/>
      <c r="D105" s="524"/>
      <c r="E105" s="534"/>
      <c r="F105" s="525"/>
      <c r="G105" s="394"/>
      <c r="H105" s="394"/>
      <c r="I105" s="394"/>
      <c r="J105" s="394"/>
      <c r="K105" s="394"/>
      <c r="L105" s="394"/>
      <c r="M105" s="394"/>
      <c r="N105" s="394"/>
      <c r="O105" s="394"/>
      <c r="P105" s="394"/>
      <c r="Q105" s="394"/>
      <c r="R105" s="394"/>
      <c r="S105" s="394"/>
      <c r="T105" s="394"/>
    </row>
    <row r="106" spans="1:20">
      <c r="A106" s="522"/>
      <c r="C106" s="394"/>
      <c r="D106" s="524"/>
      <c r="E106" s="534"/>
      <c r="F106" s="525"/>
      <c r="G106" s="394"/>
      <c r="H106" s="394"/>
      <c r="I106" s="394"/>
      <c r="J106" s="394"/>
      <c r="K106" s="394"/>
      <c r="L106" s="394"/>
      <c r="M106" s="394"/>
      <c r="N106" s="394"/>
      <c r="O106" s="394"/>
      <c r="P106" s="394"/>
      <c r="Q106" s="394"/>
      <c r="R106" s="394"/>
      <c r="S106" s="394"/>
      <c r="T106" s="394"/>
    </row>
    <row r="107" spans="1:20">
      <c r="A107" s="522"/>
      <c r="C107" s="394"/>
      <c r="D107" s="524"/>
      <c r="E107" s="534"/>
      <c r="F107" s="525"/>
      <c r="G107" s="394"/>
      <c r="H107" s="394"/>
      <c r="I107" s="394"/>
      <c r="J107" s="394"/>
      <c r="K107" s="394"/>
      <c r="L107" s="394"/>
      <c r="M107" s="394"/>
      <c r="N107" s="394"/>
      <c r="O107" s="394"/>
      <c r="P107" s="394"/>
      <c r="Q107" s="394"/>
      <c r="R107" s="394"/>
      <c r="S107" s="394"/>
      <c r="T107" s="394"/>
    </row>
    <row r="108" spans="1:20">
      <c r="A108" s="522"/>
      <c r="C108" s="394"/>
      <c r="D108" s="524"/>
      <c r="E108" s="534"/>
      <c r="F108" s="525"/>
      <c r="G108" s="394"/>
      <c r="H108" s="394"/>
      <c r="I108" s="394"/>
      <c r="J108" s="394"/>
      <c r="K108" s="394"/>
      <c r="L108" s="394"/>
      <c r="M108" s="394"/>
      <c r="N108" s="394"/>
      <c r="O108" s="394"/>
      <c r="P108" s="394"/>
      <c r="Q108" s="394"/>
      <c r="R108" s="394"/>
      <c r="S108" s="394"/>
      <c r="T108" s="394"/>
    </row>
    <row r="109" spans="1:20">
      <c r="A109" s="522"/>
      <c r="C109" s="394"/>
      <c r="D109" s="524"/>
      <c r="E109" s="534"/>
      <c r="F109" s="525"/>
      <c r="G109" s="394"/>
      <c r="H109" s="394"/>
      <c r="I109" s="394"/>
      <c r="J109" s="394"/>
      <c r="K109" s="394"/>
      <c r="L109" s="394"/>
      <c r="M109" s="394"/>
      <c r="N109" s="394"/>
      <c r="O109" s="394"/>
      <c r="P109" s="394"/>
      <c r="Q109" s="394"/>
      <c r="R109" s="394"/>
      <c r="S109" s="394"/>
      <c r="T109" s="394"/>
    </row>
    <row r="110" spans="1:20">
      <c r="A110" s="522"/>
      <c r="C110" s="394"/>
      <c r="D110" s="524"/>
      <c r="E110" s="534"/>
      <c r="F110" s="525"/>
      <c r="G110" s="394"/>
      <c r="H110" s="394"/>
      <c r="I110" s="394"/>
      <c r="J110" s="394"/>
      <c r="K110" s="394"/>
      <c r="L110" s="394"/>
      <c r="M110" s="394"/>
      <c r="N110" s="394"/>
      <c r="O110" s="394"/>
      <c r="P110" s="394"/>
      <c r="Q110" s="394"/>
      <c r="R110" s="394"/>
      <c r="S110" s="394"/>
      <c r="T110" s="394"/>
    </row>
    <row r="111" spans="1:20">
      <c r="A111" s="522"/>
      <c r="C111" s="394"/>
      <c r="D111" s="524"/>
      <c r="E111" s="534"/>
      <c r="F111" s="525"/>
      <c r="G111" s="394"/>
      <c r="H111" s="394"/>
      <c r="I111" s="394"/>
      <c r="J111" s="394"/>
      <c r="K111" s="394"/>
      <c r="L111" s="394"/>
      <c r="M111" s="394"/>
      <c r="N111" s="394"/>
      <c r="O111" s="394"/>
      <c r="P111" s="394"/>
      <c r="Q111" s="394"/>
      <c r="R111" s="394"/>
      <c r="S111" s="394"/>
      <c r="T111" s="394"/>
    </row>
    <row r="112" spans="1:20">
      <c r="A112" s="522"/>
      <c r="C112" s="394"/>
      <c r="D112" s="524"/>
      <c r="E112" s="534"/>
      <c r="F112" s="525"/>
      <c r="G112" s="394"/>
      <c r="H112" s="394"/>
      <c r="I112" s="394"/>
      <c r="J112" s="394"/>
      <c r="K112" s="394"/>
      <c r="L112" s="394"/>
      <c r="M112" s="394"/>
      <c r="N112" s="394"/>
      <c r="O112" s="394"/>
      <c r="P112" s="394"/>
      <c r="Q112" s="394"/>
      <c r="R112" s="394"/>
      <c r="S112" s="394"/>
      <c r="T112" s="394"/>
    </row>
    <row r="113" spans="1:20">
      <c r="A113" s="522"/>
      <c r="C113" s="394"/>
      <c r="D113" s="524"/>
      <c r="E113" s="534"/>
      <c r="F113" s="525"/>
      <c r="G113" s="394"/>
      <c r="H113" s="394"/>
      <c r="I113" s="394"/>
      <c r="J113" s="394"/>
      <c r="K113" s="394"/>
      <c r="L113" s="394"/>
      <c r="M113" s="394"/>
      <c r="N113" s="394"/>
      <c r="O113" s="394"/>
      <c r="P113" s="394"/>
      <c r="Q113" s="394"/>
      <c r="R113" s="394"/>
      <c r="S113" s="394"/>
      <c r="T113" s="394"/>
    </row>
    <row r="114" spans="1:20">
      <c r="A114" s="522"/>
      <c r="C114" s="394"/>
      <c r="D114" s="524"/>
      <c r="E114" s="534"/>
      <c r="F114" s="525"/>
      <c r="G114" s="394"/>
      <c r="H114" s="394"/>
      <c r="I114" s="394"/>
      <c r="J114" s="394"/>
      <c r="K114" s="394"/>
      <c r="L114" s="394"/>
      <c r="M114" s="394"/>
      <c r="N114" s="394"/>
      <c r="O114" s="394"/>
      <c r="P114" s="394"/>
      <c r="Q114" s="394"/>
      <c r="R114" s="394"/>
      <c r="S114" s="394"/>
      <c r="T114" s="394"/>
    </row>
    <row r="115" spans="1:20">
      <c r="A115" s="522"/>
      <c r="C115" s="394"/>
      <c r="D115" s="524"/>
      <c r="E115" s="534"/>
      <c r="F115" s="525"/>
      <c r="G115" s="394"/>
      <c r="H115" s="394"/>
      <c r="I115" s="394"/>
      <c r="J115" s="394"/>
      <c r="K115" s="394"/>
      <c r="L115" s="394"/>
      <c r="M115" s="394"/>
      <c r="N115" s="394"/>
      <c r="O115" s="394"/>
      <c r="P115" s="394"/>
      <c r="Q115" s="394"/>
      <c r="R115" s="394"/>
      <c r="S115" s="394"/>
      <c r="T115" s="394"/>
    </row>
    <row r="116" spans="1:20">
      <c r="A116" s="522"/>
      <c r="C116" s="394"/>
      <c r="D116" s="524"/>
      <c r="E116" s="534"/>
      <c r="F116" s="525"/>
      <c r="G116" s="394"/>
      <c r="H116" s="394"/>
      <c r="I116" s="394"/>
      <c r="J116" s="394"/>
      <c r="K116" s="394"/>
      <c r="L116" s="394"/>
      <c r="M116" s="394"/>
      <c r="N116" s="394"/>
      <c r="O116" s="394"/>
      <c r="P116" s="394"/>
      <c r="Q116" s="394"/>
      <c r="R116" s="394"/>
      <c r="S116" s="394"/>
      <c r="T116" s="394"/>
    </row>
    <row r="117" spans="1:20">
      <c r="A117" s="522"/>
      <c r="C117" s="394"/>
      <c r="D117" s="524"/>
      <c r="E117" s="534"/>
      <c r="F117" s="525"/>
      <c r="G117" s="394"/>
      <c r="H117" s="394"/>
      <c r="I117" s="394"/>
      <c r="J117" s="394"/>
      <c r="K117" s="394"/>
      <c r="L117" s="394"/>
      <c r="M117" s="394"/>
      <c r="N117" s="394"/>
      <c r="O117" s="394"/>
      <c r="P117" s="394"/>
      <c r="Q117" s="394"/>
      <c r="R117" s="394"/>
      <c r="S117" s="394"/>
      <c r="T117" s="394"/>
    </row>
    <row r="118" spans="1:20">
      <c r="A118" s="522"/>
      <c r="C118" s="394"/>
      <c r="D118" s="524"/>
      <c r="E118" s="534"/>
      <c r="F118" s="525"/>
      <c r="G118" s="394"/>
      <c r="H118" s="394"/>
      <c r="I118" s="394"/>
      <c r="J118" s="394"/>
      <c r="K118" s="394"/>
      <c r="L118" s="394"/>
      <c r="M118" s="394"/>
      <c r="N118" s="394"/>
      <c r="O118" s="394"/>
      <c r="P118" s="394"/>
      <c r="Q118" s="394"/>
      <c r="R118" s="394"/>
      <c r="S118" s="394"/>
      <c r="T118" s="394"/>
    </row>
    <row r="119" spans="1:20">
      <c r="A119" s="522"/>
      <c r="C119" s="394"/>
      <c r="D119" s="524"/>
      <c r="E119" s="534"/>
      <c r="F119" s="525"/>
      <c r="G119" s="394"/>
      <c r="H119" s="394"/>
      <c r="I119" s="394"/>
      <c r="J119" s="394"/>
      <c r="K119" s="394"/>
      <c r="L119" s="394"/>
      <c r="M119" s="394"/>
      <c r="N119" s="394"/>
      <c r="O119" s="394"/>
      <c r="P119" s="394"/>
      <c r="Q119" s="394"/>
      <c r="R119" s="394"/>
      <c r="S119" s="394"/>
      <c r="T119" s="394"/>
    </row>
    <row r="120" spans="1:20">
      <c r="A120" s="522"/>
      <c r="C120" s="394"/>
      <c r="D120" s="524"/>
      <c r="E120" s="534"/>
      <c r="F120" s="525"/>
      <c r="G120" s="394"/>
      <c r="H120" s="394"/>
      <c r="I120" s="394"/>
      <c r="J120" s="394"/>
      <c r="K120" s="394"/>
      <c r="L120" s="394"/>
      <c r="M120" s="394"/>
      <c r="N120" s="394"/>
      <c r="O120" s="394"/>
      <c r="P120" s="394"/>
      <c r="Q120" s="394"/>
      <c r="R120" s="394"/>
      <c r="S120" s="394"/>
      <c r="T120" s="394"/>
    </row>
    <row r="121" spans="1:20">
      <c r="A121" s="522"/>
      <c r="C121" s="394"/>
      <c r="D121" s="524"/>
      <c r="E121" s="534"/>
      <c r="F121" s="525"/>
      <c r="G121" s="394"/>
      <c r="H121" s="394"/>
      <c r="I121" s="394"/>
      <c r="J121" s="394"/>
      <c r="K121" s="394"/>
      <c r="L121" s="394"/>
      <c r="M121" s="394"/>
      <c r="N121" s="394"/>
      <c r="O121" s="394"/>
      <c r="P121" s="394"/>
      <c r="Q121" s="394"/>
      <c r="R121" s="394"/>
      <c r="S121" s="394"/>
      <c r="T121" s="394"/>
    </row>
    <row r="122" spans="1:20">
      <c r="A122" s="522"/>
      <c r="C122" s="394"/>
      <c r="D122" s="524"/>
      <c r="E122" s="534"/>
      <c r="F122" s="525"/>
      <c r="G122" s="394"/>
      <c r="H122" s="394"/>
      <c r="I122" s="394"/>
      <c r="J122" s="394"/>
      <c r="K122" s="394"/>
      <c r="L122" s="394"/>
      <c r="M122" s="394"/>
      <c r="N122" s="394"/>
      <c r="O122" s="394"/>
      <c r="P122" s="394"/>
      <c r="Q122" s="394"/>
      <c r="R122" s="394"/>
      <c r="S122" s="394"/>
      <c r="T122" s="394"/>
    </row>
    <row r="123" spans="1:20">
      <c r="A123" s="522"/>
      <c r="C123" s="394"/>
      <c r="D123" s="524"/>
      <c r="E123" s="534"/>
      <c r="F123" s="525"/>
      <c r="G123" s="394"/>
      <c r="H123" s="394"/>
      <c r="I123" s="394"/>
      <c r="J123" s="394"/>
      <c r="K123" s="394"/>
      <c r="L123" s="394"/>
      <c r="M123" s="394"/>
      <c r="N123" s="394"/>
      <c r="O123" s="394"/>
      <c r="P123" s="394"/>
      <c r="Q123" s="394"/>
      <c r="R123" s="394"/>
      <c r="S123" s="394"/>
      <c r="T123" s="394"/>
    </row>
    <row r="124" spans="1:20">
      <c r="A124" s="522"/>
      <c r="C124" s="394"/>
      <c r="D124" s="524"/>
      <c r="E124" s="534"/>
      <c r="F124" s="525"/>
      <c r="G124" s="394"/>
      <c r="H124" s="394"/>
      <c r="I124" s="394"/>
      <c r="J124" s="394"/>
      <c r="K124" s="394"/>
      <c r="L124" s="394"/>
      <c r="M124" s="394"/>
      <c r="N124" s="394"/>
      <c r="O124" s="394"/>
      <c r="P124" s="394"/>
      <c r="Q124" s="394"/>
      <c r="R124" s="394"/>
      <c r="S124" s="394"/>
      <c r="T124" s="394"/>
    </row>
    <row r="125" spans="1:20">
      <c r="A125" s="522"/>
      <c r="C125" s="394"/>
      <c r="D125" s="524"/>
      <c r="E125" s="534"/>
      <c r="F125" s="525"/>
      <c r="G125" s="394"/>
      <c r="H125" s="394"/>
      <c r="I125" s="394"/>
      <c r="J125" s="394"/>
      <c r="K125" s="394"/>
      <c r="L125" s="394"/>
      <c r="M125" s="394"/>
      <c r="N125" s="394"/>
      <c r="O125" s="394"/>
      <c r="P125" s="394"/>
      <c r="Q125" s="394"/>
      <c r="R125" s="394"/>
      <c r="S125" s="394"/>
      <c r="T125" s="394"/>
    </row>
    <row r="126" spans="1:20">
      <c r="A126" s="522"/>
      <c r="C126" s="394"/>
      <c r="D126" s="524"/>
      <c r="E126" s="534"/>
      <c r="F126" s="525"/>
      <c r="G126" s="394"/>
      <c r="H126" s="394"/>
      <c r="I126" s="394"/>
      <c r="J126" s="394"/>
      <c r="K126" s="394"/>
      <c r="L126" s="394"/>
      <c r="M126" s="394"/>
      <c r="N126" s="394"/>
      <c r="O126" s="394"/>
      <c r="P126" s="394"/>
      <c r="Q126" s="394"/>
      <c r="R126" s="394"/>
      <c r="S126" s="394"/>
      <c r="T126" s="394"/>
    </row>
    <row r="127" spans="1:20">
      <c r="A127" s="522"/>
      <c r="C127" s="394"/>
      <c r="D127" s="524"/>
      <c r="E127" s="534"/>
      <c r="F127" s="525"/>
      <c r="G127" s="394"/>
      <c r="H127" s="394"/>
      <c r="I127" s="394"/>
      <c r="J127" s="394"/>
      <c r="K127" s="394"/>
      <c r="L127" s="394"/>
      <c r="M127" s="394"/>
      <c r="N127" s="394"/>
      <c r="O127" s="394"/>
      <c r="P127" s="394"/>
      <c r="Q127" s="394"/>
      <c r="R127" s="394"/>
      <c r="S127" s="394"/>
      <c r="T127" s="394"/>
    </row>
    <row r="128" spans="1:20">
      <c r="A128" s="522"/>
      <c r="C128" s="394"/>
      <c r="D128" s="524"/>
      <c r="E128" s="534"/>
      <c r="F128" s="525"/>
      <c r="G128" s="394"/>
      <c r="H128" s="394"/>
      <c r="I128" s="394"/>
      <c r="J128" s="394"/>
      <c r="K128" s="394"/>
      <c r="L128" s="394"/>
      <c r="M128" s="394"/>
      <c r="N128" s="394"/>
      <c r="O128" s="394"/>
      <c r="P128" s="394"/>
      <c r="Q128" s="394"/>
      <c r="R128" s="394"/>
      <c r="S128" s="394"/>
      <c r="T128" s="394"/>
    </row>
    <row r="129" spans="1:20">
      <c r="A129" s="522"/>
      <c r="C129" s="394"/>
      <c r="D129" s="524"/>
      <c r="E129" s="534"/>
      <c r="F129" s="525"/>
      <c r="G129" s="394"/>
      <c r="H129" s="394"/>
      <c r="I129" s="394"/>
      <c r="J129" s="394"/>
      <c r="K129" s="394"/>
      <c r="L129" s="394"/>
      <c r="M129" s="394"/>
      <c r="N129" s="394"/>
      <c r="O129" s="394"/>
      <c r="P129" s="394"/>
      <c r="Q129" s="394"/>
      <c r="R129" s="394"/>
      <c r="S129" s="394"/>
      <c r="T129" s="394"/>
    </row>
    <row r="130" spans="1:20">
      <c r="A130" s="522"/>
      <c r="C130" s="394"/>
      <c r="D130" s="524"/>
      <c r="E130" s="534"/>
      <c r="F130" s="525"/>
      <c r="G130" s="394"/>
      <c r="H130" s="394"/>
      <c r="I130" s="394"/>
      <c r="J130" s="394"/>
      <c r="K130" s="394"/>
      <c r="L130" s="394"/>
      <c r="M130" s="394"/>
      <c r="N130" s="394"/>
      <c r="O130" s="394"/>
      <c r="P130" s="394"/>
      <c r="Q130" s="394"/>
      <c r="R130" s="394"/>
      <c r="S130" s="394"/>
      <c r="T130" s="394"/>
    </row>
    <row r="131" spans="1:20">
      <c r="A131" s="522"/>
      <c r="C131" s="394"/>
      <c r="D131" s="524"/>
      <c r="E131" s="534"/>
      <c r="F131" s="525"/>
      <c r="G131" s="394"/>
      <c r="H131" s="394"/>
      <c r="I131" s="394"/>
      <c r="J131" s="394"/>
      <c r="K131" s="394"/>
      <c r="L131" s="394"/>
      <c r="M131" s="394"/>
      <c r="N131" s="394"/>
      <c r="O131" s="394"/>
      <c r="P131" s="394"/>
      <c r="Q131" s="394"/>
      <c r="R131" s="394"/>
      <c r="S131" s="394"/>
      <c r="T131" s="394"/>
    </row>
    <row r="132" spans="1:20">
      <c r="A132" s="522"/>
      <c r="C132" s="394"/>
      <c r="D132" s="524"/>
      <c r="E132" s="534"/>
      <c r="F132" s="525"/>
      <c r="G132" s="394"/>
      <c r="H132" s="394"/>
      <c r="I132" s="394"/>
      <c r="J132" s="394"/>
      <c r="K132" s="394"/>
      <c r="L132" s="394"/>
      <c r="M132" s="394"/>
      <c r="N132" s="394"/>
      <c r="O132" s="394"/>
      <c r="P132" s="394"/>
      <c r="Q132" s="394"/>
      <c r="R132" s="394"/>
      <c r="S132" s="394"/>
      <c r="T132" s="394"/>
    </row>
    <row r="133" spans="1:20">
      <c r="A133" s="522"/>
      <c r="C133" s="394"/>
      <c r="D133" s="524"/>
      <c r="E133" s="534"/>
      <c r="F133" s="525"/>
      <c r="G133" s="394"/>
      <c r="H133" s="394"/>
      <c r="I133" s="394"/>
      <c r="J133" s="394"/>
      <c r="K133" s="394"/>
      <c r="L133" s="394"/>
      <c r="M133" s="394"/>
      <c r="N133" s="394"/>
      <c r="O133" s="394"/>
      <c r="P133" s="394"/>
      <c r="Q133" s="394"/>
      <c r="R133" s="394"/>
      <c r="S133" s="394"/>
      <c r="T133" s="394"/>
    </row>
    <row r="134" spans="1:20">
      <c r="A134" s="522"/>
      <c r="C134" s="394"/>
      <c r="D134" s="524"/>
      <c r="E134" s="534"/>
      <c r="F134" s="525"/>
      <c r="G134" s="394"/>
      <c r="H134" s="394"/>
      <c r="I134" s="394"/>
      <c r="J134" s="394"/>
      <c r="K134" s="394"/>
      <c r="L134" s="394"/>
      <c r="M134" s="394"/>
      <c r="N134" s="394"/>
      <c r="O134" s="394"/>
      <c r="P134" s="394"/>
      <c r="Q134" s="394"/>
      <c r="R134" s="394"/>
      <c r="S134" s="394"/>
      <c r="T134" s="394"/>
    </row>
    <row r="135" spans="1:20">
      <c r="A135" s="522"/>
      <c r="C135" s="394"/>
      <c r="D135" s="524"/>
      <c r="E135" s="534"/>
      <c r="F135" s="525"/>
      <c r="G135" s="394"/>
      <c r="H135" s="394"/>
      <c r="I135" s="394"/>
      <c r="J135" s="394"/>
      <c r="K135" s="394"/>
      <c r="L135" s="394"/>
      <c r="M135" s="394"/>
      <c r="N135" s="394"/>
      <c r="O135" s="394"/>
      <c r="P135" s="394"/>
      <c r="Q135" s="394"/>
      <c r="R135" s="394"/>
      <c r="S135" s="394"/>
      <c r="T135" s="394"/>
    </row>
    <row r="136" spans="1:20">
      <c r="A136" s="522"/>
      <c r="C136" s="394"/>
      <c r="D136" s="524"/>
      <c r="E136" s="534"/>
      <c r="F136" s="525"/>
      <c r="G136" s="394"/>
      <c r="H136" s="394"/>
      <c r="I136" s="394"/>
      <c r="J136" s="394"/>
      <c r="K136" s="394"/>
      <c r="L136" s="394"/>
      <c r="M136" s="394"/>
      <c r="N136" s="394"/>
      <c r="O136" s="394"/>
      <c r="P136" s="394"/>
      <c r="Q136" s="394"/>
      <c r="R136" s="394"/>
      <c r="S136" s="394"/>
      <c r="T136" s="394"/>
    </row>
    <row r="137" spans="1:20">
      <c r="A137" s="522"/>
      <c r="C137" s="394"/>
      <c r="D137" s="524"/>
      <c r="E137" s="534"/>
      <c r="F137" s="525"/>
      <c r="G137" s="394"/>
      <c r="H137" s="394"/>
      <c r="I137" s="394"/>
      <c r="J137" s="394"/>
      <c r="K137" s="394"/>
      <c r="L137" s="394"/>
      <c r="M137" s="394"/>
      <c r="N137" s="394"/>
      <c r="O137" s="394"/>
      <c r="P137" s="394"/>
      <c r="Q137" s="394"/>
      <c r="R137" s="394"/>
      <c r="S137" s="394"/>
      <c r="T137" s="394"/>
    </row>
    <row r="138" spans="1:20">
      <c r="A138" s="522"/>
      <c r="C138" s="394"/>
      <c r="D138" s="524"/>
      <c r="E138" s="534"/>
      <c r="F138" s="525"/>
      <c r="G138" s="394"/>
      <c r="H138" s="394"/>
      <c r="I138" s="394"/>
      <c r="J138" s="394"/>
      <c r="K138" s="394"/>
      <c r="L138" s="394"/>
      <c r="M138" s="394"/>
      <c r="N138" s="394"/>
      <c r="O138" s="394"/>
      <c r="P138" s="394"/>
      <c r="Q138" s="394"/>
      <c r="R138" s="394"/>
      <c r="S138" s="394"/>
      <c r="T138" s="394"/>
    </row>
    <row r="139" spans="1:20">
      <c r="A139" s="522"/>
      <c r="C139" s="394"/>
      <c r="D139" s="524"/>
      <c r="E139" s="534"/>
      <c r="F139" s="525"/>
      <c r="G139" s="394"/>
      <c r="H139" s="394"/>
      <c r="I139" s="394"/>
      <c r="J139" s="394"/>
      <c r="K139" s="394"/>
      <c r="L139" s="394"/>
      <c r="M139" s="394"/>
      <c r="N139" s="394"/>
      <c r="O139" s="394"/>
      <c r="P139" s="394"/>
      <c r="Q139" s="394"/>
      <c r="R139" s="394"/>
      <c r="S139" s="394"/>
      <c r="T139" s="394"/>
    </row>
    <row r="140" spans="1:20">
      <c r="A140" s="522"/>
      <c r="C140" s="394"/>
      <c r="D140" s="524"/>
      <c r="E140" s="534"/>
      <c r="F140" s="525"/>
      <c r="G140" s="394"/>
      <c r="H140" s="394"/>
      <c r="I140" s="394"/>
      <c r="J140" s="394"/>
      <c r="K140" s="394"/>
      <c r="L140" s="394"/>
      <c r="M140" s="394"/>
      <c r="N140" s="394"/>
      <c r="O140" s="394"/>
      <c r="P140" s="394"/>
      <c r="Q140" s="394"/>
      <c r="R140" s="394"/>
      <c r="S140" s="394"/>
      <c r="T140" s="394"/>
    </row>
    <row r="141" spans="1:20">
      <c r="A141" s="522"/>
      <c r="C141" s="394"/>
      <c r="D141" s="524"/>
      <c r="E141" s="534"/>
      <c r="F141" s="525"/>
      <c r="G141" s="394"/>
      <c r="H141" s="394"/>
      <c r="I141" s="394"/>
      <c r="J141" s="394"/>
      <c r="K141" s="394"/>
      <c r="L141" s="394"/>
      <c r="M141" s="394"/>
      <c r="N141" s="394"/>
      <c r="O141" s="394"/>
      <c r="P141" s="394"/>
      <c r="Q141" s="394"/>
      <c r="R141" s="394"/>
      <c r="S141" s="394"/>
      <c r="T141" s="394"/>
    </row>
    <row r="142" spans="1:20">
      <c r="A142" s="522"/>
      <c r="C142" s="394"/>
      <c r="D142" s="524"/>
      <c r="E142" s="534"/>
      <c r="F142" s="525"/>
      <c r="G142" s="394"/>
      <c r="H142" s="394"/>
      <c r="I142" s="394"/>
      <c r="J142" s="394"/>
      <c r="K142" s="394"/>
      <c r="L142" s="394"/>
      <c r="M142" s="394"/>
      <c r="N142" s="394"/>
      <c r="O142" s="394"/>
      <c r="P142" s="394"/>
      <c r="Q142" s="394"/>
      <c r="R142" s="394"/>
      <c r="S142" s="394"/>
      <c r="T142" s="394"/>
    </row>
    <row r="143" spans="1:20">
      <c r="A143" s="522"/>
      <c r="C143" s="394"/>
      <c r="D143" s="524"/>
      <c r="E143" s="534"/>
      <c r="F143" s="525"/>
      <c r="G143" s="394"/>
      <c r="H143" s="394"/>
      <c r="I143" s="394"/>
      <c r="J143" s="394"/>
      <c r="K143" s="394"/>
      <c r="L143" s="394"/>
      <c r="M143" s="394"/>
      <c r="N143" s="394"/>
      <c r="O143" s="394"/>
      <c r="P143" s="394"/>
      <c r="Q143" s="394"/>
      <c r="R143" s="394"/>
      <c r="S143" s="394"/>
      <c r="T143" s="394"/>
    </row>
    <row r="144" spans="1:20">
      <c r="A144" s="522"/>
      <c r="C144" s="394"/>
      <c r="D144" s="524"/>
      <c r="E144" s="534"/>
      <c r="F144" s="525"/>
      <c r="G144" s="394"/>
      <c r="H144" s="394"/>
      <c r="I144" s="394"/>
      <c r="J144" s="394"/>
      <c r="K144" s="394"/>
      <c r="L144" s="394"/>
      <c r="M144" s="394"/>
      <c r="N144" s="394"/>
      <c r="O144" s="394"/>
      <c r="P144" s="394"/>
      <c r="Q144" s="394"/>
      <c r="R144" s="394"/>
      <c r="S144" s="394"/>
      <c r="T144" s="394"/>
    </row>
    <row r="145" spans="1:20">
      <c r="A145" s="522"/>
      <c r="C145" s="394"/>
      <c r="D145" s="524"/>
      <c r="E145" s="534"/>
      <c r="F145" s="525"/>
      <c r="G145" s="394"/>
      <c r="H145" s="394"/>
      <c r="I145" s="394"/>
      <c r="J145" s="394"/>
      <c r="K145" s="394"/>
      <c r="L145" s="394"/>
      <c r="M145" s="394"/>
      <c r="N145" s="394"/>
      <c r="O145" s="394"/>
      <c r="P145" s="394"/>
      <c r="Q145" s="394"/>
      <c r="R145" s="394"/>
      <c r="S145" s="394"/>
      <c r="T145" s="394"/>
    </row>
    <row r="146" spans="1:20">
      <c r="A146" s="522"/>
      <c r="C146" s="394"/>
      <c r="D146" s="524"/>
      <c r="E146" s="534"/>
      <c r="F146" s="525"/>
      <c r="G146" s="394"/>
      <c r="H146" s="394"/>
      <c r="I146" s="394"/>
      <c r="J146" s="394"/>
      <c r="K146" s="394"/>
      <c r="L146" s="394"/>
      <c r="M146" s="394"/>
      <c r="N146" s="394"/>
      <c r="O146" s="394"/>
      <c r="P146" s="394"/>
      <c r="Q146" s="394"/>
      <c r="R146" s="394"/>
      <c r="S146" s="394"/>
      <c r="T146" s="394"/>
    </row>
    <row r="147" spans="1:20">
      <c r="A147" s="522"/>
      <c r="C147" s="394"/>
      <c r="D147" s="524"/>
      <c r="E147" s="534"/>
      <c r="F147" s="525"/>
      <c r="G147" s="394"/>
      <c r="H147" s="394"/>
      <c r="I147" s="394"/>
      <c r="J147" s="394"/>
      <c r="K147" s="394"/>
      <c r="L147" s="394"/>
      <c r="M147" s="394"/>
      <c r="N147" s="394"/>
      <c r="O147" s="394"/>
      <c r="P147" s="394"/>
      <c r="Q147" s="394"/>
      <c r="R147" s="394"/>
      <c r="S147" s="394"/>
      <c r="T147" s="394"/>
    </row>
    <row r="148" spans="1:20">
      <c r="A148" s="522"/>
      <c r="C148" s="394"/>
      <c r="D148" s="524"/>
      <c r="E148" s="534"/>
      <c r="F148" s="525"/>
      <c r="G148" s="394"/>
      <c r="H148" s="394"/>
      <c r="I148" s="394"/>
      <c r="J148" s="394"/>
      <c r="K148" s="394"/>
      <c r="L148" s="394"/>
      <c r="M148" s="394"/>
      <c r="N148" s="394"/>
      <c r="O148" s="394"/>
      <c r="P148" s="394"/>
      <c r="Q148" s="394"/>
      <c r="R148" s="394"/>
      <c r="S148" s="394"/>
      <c r="T148" s="394"/>
    </row>
    <row r="149" spans="1:20">
      <c r="A149" s="522"/>
      <c r="C149" s="394"/>
      <c r="D149" s="524"/>
      <c r="E149" s="534"/>
      <c r="F149" s="525"/>
      <c r="G149" s="394"/>
      <c r="H149" s="394"/>
      <c r="I149" s="394"/>
      <c r="J149" s="394"/>
      <c r="K149" s="394"/>
      <c r="L149" s="394"/>
      <c r="M149" s="394"/>
      <c r="N149" s="394"/>
      <c r="O149" s="394"/>
      <c r="P149" s="394"/>
      <c r="Q149" s="394"/>
      <c r="R149" s="394"/>
      <c r="S149" s="394"/>
      <c r="T149" s="394"/>
    </row>
    <row r="150" spans="1:20">
      <c r="A150" s="522"/>
      <c r="C150" s="394"/>
      <c r="D150" s="524"/>
      <c r="E150" s="534"/>
      <c r="F150" s="525"/>
      <c r="G150" s="394"/>
      <c r="H150" s="394"/>
      <c r="I150" s="394"/>
      <c r="J150" s="394"/>
      <c r="K150" s="394"/>
      <c r="L150" s="394"/>
      <c r="M150" s="394"/>
      <c r="N150" s="394"/>
      <c r="O150" s="394"/>
      <c r="P150" s="394"/>
      <c r="Q150" s="394"/>
      <c r="R150" s="394"/>
      <c r="S150" s="394"/>
      <c r="T150" s="394"/>
    </row>
    <row r="151" spans="1:20">
      <c r="A151" s="522"/>
      <c r="C151" s="394"/>
      <c r="D151" s="524"/>
      <c r="E151" s="534"/>
      <c r="F151" s="525"/>
      <c r="G151" s="394"/>
      <c r="H151" s="394"/>
      <c r="I151" s="394"/>
      <c r="J151" s="394"/>
      <c r="K151" s="394"/>
      <c r="L151" s="394"/>
      <c r="M151" s="394"/>
      <c r="N151" s="394"/>
      <c r="O151" s="394"/>
      <c r="P151" s="394"/>
      <c r="Q151" s="394"/>
      <c r="R151" s="394"/>
      <c r="S151" s="394"/>
      <c r="T151" s="394"/>
    </row>
    <row r="152" spans="1:20">
      <c r="A152" s="522"/>
      <c r="C152" s="394"/>
      <c r="D152" s="524"/>
      <c r="E152" s="534"/>
      <c r="F152" s="525"/>
      <c r="G152" s="394"/>
      <c r="H152" s="394"/>
      <c r="I152" s="394"/>
      <c r="J152" s="394"/>
      <c r="K152" s="394"/>
      <c r="L152" s="394"/>
      <c r="M152" s="394"/>
      <c r="N152" s="394"/>
      <c r="O152" s="394"/>
      <c r="P152" s="394"/>
      <c r="Q152" s="394"/>
      <c r="R152" s="394"/>
      <c r="S152" s="394"/>
      <c r="T152" s="394"/>
    </row>
    <row r="153" spans="1:20">
      <c r="A153" s="522"/>
      <c r="C153" s="394"/>
      <c r="D153" s="524"/>
      <c r="E153" s="534"/>
      <c r="F153" s="525"/>
      <c r="G153" s="394"/>
      <c r="H153" s="394"/>
      <c r="I153" s="394"/>
      <c r="J153" s="394"/>
      <c r="K153" s="394"/>
      <c r="L153" s="394"/>
      <c r="M153" s="394"/>
      <c r="N153" s="394"/>
      <c r="O153" s="394"/>
      <c r="P153" s="394"/>
      <c r="Q153" s="394"/>
      <c r="R153" s="394"/>
      <c r="S153" s="394"/>
      <c r="T153" s="394"/>
    </row>
    <row r="154" spans="1:20">
      <c r="A154" s="522"/>
      <c r="C154" s="394"/>
      <c r="D154" s="524"/>
      <c r="E154" s="534"/>
      <c r="F154" s="525"/>
      <c r="G154" s="394"/>
      <c r="H154" s="394"/>
      <c r="I154" s="394"/>
      <c r="J154" s="394"/>
      <c r="K154" s="394"/>
      <c r="L154" s="394"/>
      <c r="M154" s="394"/>
      <c r="N154" s="394"/>
      <c r="O154" s="394"/>
      <c r="P154" s="394"/>
      <c r="Q154" s="394"/>
      <c r="R154" s="394"/>
      <c r="S154" s="394"/>
      <c r="T154" s="394"/>
    </row>
    <row r="155" spans="1:20">
      <c r="A155" s="522"/>
      <c r="C155" s="394"/>
      <c r="D155" s="524"/>
      <c r="E155" s="534"/>
      <c r="F155" s="525"/>
      <c r="G155" s="394"/>
      <c r="H155" s="394"/>
      <c r="I155" s="394"/>
      <c r="J155" s="394"/>
      <c r="K155" s="394"/>
      <c r="L155" s="394"/>
      <c r="M155" s="394"/>
      <c r="N155" s="394"/>
      <c r="O155" s="394"/>
      <c r="P155" s="394"/>
      <c r="Q155" s="394"/>
      <c r="R155" s="394"/>
      <c r="S155" s="394"/>
      <c r="T155" s="394"/>
    </row>
    <row r="156" spans="1:20">
      <c r="A156" s="522"/>
      <c r="C156" s="394"/>
      <c r="D156" s="524"/>
      <c r="E156" s="534"/>
      <c r="F156" s="525"/>
      <c r="G156" s="394"/>
      <c r="H156" s="394"/>
      <c r="I156" s="394"/>
      <c r="J156" s="394"/>
      <c r="K156" s="394"/>
      <c r="L156" s="394"/>
      <c r="M156" s="394"/>
      <c r="N156" s="394"/>
      <c r="O156" s="394"/>
      <c r="P156" s="394"/>
      <c r="Q156" s="394"/>
      <c r="R156" s="394"/>
      <c r="S156" s="394"/>
      <c r="T156" s="394"/>
    </row>
    <row r="157" spans="1:20">
      <c r="A157" s="522"/>
      <c r="C157" s="394"/>
      <c r="D157" s="524"/>
      <c r="E157" s="534"/>
      <c r="F157" s="525"/>
      <c r="G157" s="394"/>
      <c r="H157" s="394"/>
      <c r="I157" s="394"/>
      <c r="J157" s="394"/>
      <c r="K157" s="394"/>
      <c r="L157" s="394"/>
      <c r="M157" s="394"/>
      <c r="N157" s="394"/>
      <c r="O157" s="394"/>
      <c r="P157" s="394"/>
      <c r="Q157" s="394"/>
      <c r="R157" s="394"/>
      <c r="S157" s="394"/>
      <c r="T157" s="394"/>
    </row>
    <row r="158" spans="1:20">
      <c r="A158" s="522"/>
      <c r="C158" s="394"/>
      <c r="D158" s="524"/>
      <c r="E158" s="534"/>
      <c r="F158" s="525"/>
      <c r="G158" s="394"/>
      <c r="H158" s="394"/>
      <c r="I158" s="394"/>
      <c r="J158" s="394"/>
      <c r="K158" s="394"/>
      <c r="L158" s="394"/>
      <c r="M158" s="394"/>
      <c r="N158" s="394"/>
      <c r="O158" s="394"/>
      <c r="P158" s="394"/>
      <c r="Q158" s="394"/>
      <c r="R158" s="394"/>
      <c r="S158" s="394"/>
      <c r="T158" s="394"/>
    </row>
    <row r="159" spans="1:20">
      <c r="A159" s="522"/>
      <c r="C159" s="394"/>
      <c r="D159" s="524"/>
      <c r="E159" s="534"/>
      <c r="F159" s="525"/>
      <c r="G159" s="394"/>
      <c r="H159" s="394"/>
      <c r="I159" s="394"/>
      <c r="J159" s="394"/>
      <c r="K159" s="394"/>
      <c r="L159" s="394"/>
      <c r="M159" s="394"/>
      <c r="N159" s="394"/>
      <c r="O159" s="394"/>
      <c r="P159" s="394"/>
      <c r="Q159" s="394"/>
      <c r="R159" s="394"/>
      <c r="S159" s="394"/>
      <c r="T159" s="394"/>
    </row>
    <row r="160" spans="1:20">
      <c r="A160" s="522"/>
      <c r="C160" s="394"/>
      <c r="D160" s="524"/>
      <c r="E160" s="534"/>
      <c r="F160" s="525"/>
      <c r="G160" s="394"/>
      <c r="H160" s="394"/>
      <c r="I160" s="394"/>
      <c r="J160" s="394"/>
      <c r="K160" s="394"/>
      <c r="L160" s="394"/>
      <c r="M160" s="394"/>
      <c r="N160" s="394"/>
      <c r="O160" s="394"/>
      <c r="P160" s="394"/>
      <c r="Q160" s="394"/>
      <c r="R160" s="394"/>
      <c r="S160" s="394"/>
      <c r="T160" s="394"/>
    </row>
    <row r="161" spans="1:20">
      <c r="A161" s="522"/>
      <c r="C161" s="394"/>
      <c r="D161" s="524"/>
      <c r="E161" s="534"/>
      <c r="F161" s="525"/>
      <c r="G161" s="394"/>
      <c r="H161" s="394"/>
      <c r="I161" s="394"/>
      <c r="J161" s="394"/>
      <c r="K161" s="394"/>
      <c r="L161" s="394"/>
      <c r="M161" s="394"/>
      <c r="N161" s="394"/>
      <c r="O161" s="394"/>
      <c r="P161" s="394"/>
      <c r="Q161" s="394"/>
      <c r="R161" s="394"/>
      <c r="S161" s="394"/>
      <c r="T161" s="394"/>
    </row>
    <row r="162" spans="1:20">
      <c r="A162" s="522"/>
      <c r="C162" s="394"/>
      <c r="D162" s="524"/>
      <c r="E162" s="534"/>
      <c r="F162" s="525"/>
      <c r="G162" s="394"/>
      <c r="H162" s="394"/>
      <c r="I162" s="394"/>
      <c r="J162" s="394"/>
      <c r="K162" s="394"/>
      <c r="L162" s="394"/>
      <c r="M162" s="394"/>
      <c r="N162" s="394"/>
      <c r="O162" s="394"/>
      <c r="P162" s="394"/>
      <c r="Q162" s="394"/>
      <c r="R162" s="394"/>
      <c r="S162" s="394"/>
      <c r="T162" s="394"/>
    </row>
    <row r="163" spans="1:20">
      <c r="A163" s="522"/>
      <c r="C163" s="394"/>
      <c r="D163" s="524"/>
      <c r="E163" s="534"/>
      <c r="F163" s="525"/>
      <c r="G163" s="394"/>
      <c r="H163" s="394"/>
      <c r="I163" s="394"/>
      <c r="J163" s="394"/>
      <c r="K163" s="394"/>
      <c r="L163" s="394"/>
      <c r="M163" s="394"/>
      <c r="N163" s="394"/>
      <c r="O163" s="394"/>
      <c r="P163" s="394"/>
      <c r="Q163" s="394"/>
      <c r="R163" s="394"/>
      <c r="S163" s="394"/>
      <c r="T163" s="394"/>
    </row>
    <row r="164" spans="1:20">
      <c r="A164" s="522"/>
      <c r="C164" s="394"/>
      <c r="D164" s="524"/>
      <c r="E164" s="534"/>
      <c r="F164" s="525"/>
      <c r="G164" s="394"/>
      <c r="H164" s="394"/>
      <c r="I164" s="394"/>
      <c r="J164" s="394"/>
      <c r="K164" s="394"/>
      <c r="L164" s="394"/>
      <c r="M164" s="394"/>
      <c r="N164" s="394"/>
      <c r="O164" s="394"/>
      <c r="P164" s="394"/>
      <c r="Q164" s="394"/>
      <c r="R164" s="394"/>
      <c r="S164" s="394"/>
      <c r="T164" s="394"/>
    </row>
    <row r="165" spans="1:20">
      <c r="A165" s="522"/>
      <c r="C165" s="394"/>
      <c r="D165" s="524"/>
      <c r="E165" s="534"/>
      <c r="F165" s="525"/>
      <c r="G165" s="394"/>
      <c r="H165" s="394"/>
      <c r="I165" s="394"/>
      <c r="J165" s="394"/>
      <c r="K165" s="394"/>
      <c r="L165" s="394"/>
      <c r="M165" s="394"/>
      <c r="N165" s="394"/>
      <c r="O165" s="394"/>
      <c r="P165" s="394"/>
      <c r="Q165" s="394"/>
      <c r="R165" s="394"/>
      <c r="S165" s="394"/>
      <c r="T165" s="394"/>
    </row>
    <row r="166" spans="1:20">
      <c r="A166" s="522"/>
      <c r="C166" s="394"/>
      <c r="D166" s="524"/>
      <c r="E166" s="534"/>
      <c r="F166" s="525"/>
      <c r="G166" s="394"/>
      <c r="H166" s="394"/>
      <c r="I166" s="394"/>
      <c r="J166" s="394"/>
      <c r="K166" s="394"/>
      <c r="L166" s="394"/>
      <c r="M166" s="394"/>
      <c r="N166" s="394"/>
      <c r="O166" s="394"/>
      <c r="P166" s="394"/>
      <c r="Q166" s="394"/>
      <c r="R166" s="394"/>
      <c r="S166" s="394"/>
      <c r="T166" s="394"/>
    </row>
    <row r="167" spans="1:20">
      <c r="A167" s="522"/>
      <c r="C167" s="394"/>
      <c r="D167" s="524"/>
      <c r="E167" s="534"/>
      <c r="F167" s="525"/>
      <c r="G167" s="394"/>
      <c r="H167" s="394"/>
      <c r="I167" s="394"/>
      <c r="J167" s="394"/>
      <c r="K167" s="394"/>
      <c r="L167" s="394"/>
      <c r="M167" s="394"/>
      <c r="N167" s="394"/>
      <c r="O167" s="394"/>
      <c r="P167" s="394"/>
      <c r="Q167" s="394"/>
      <c r="R167" s="394"/>
      <c r="S167" s="394"/>
      <c r="T167" s="394"/>
    </row>
    <row r="168" spans="1:20">
      <c r="A168" s="522"/>
      <c r="C168" s="394"/>
      <c r="D168" s="524"/>
      <c r="E168" s="534"/>
      <c r="F168" s="525"/>
      <c r="G168" s="394"/>
      <c r="H168" s="394"/>
      <c r="I168" s="394"/>
      <c r="J168" s="394"/>
      <c r="K168" s="394"/>
      <c r="L168" s="394"/>
      <c r="M168" s="394"/>
      <c r="N168" s="394"/>
      <c r="O168" s="394"/>
      <c r="P168" s="394"/>
      <c r="Q168" s="394"/>
      <c r="R168" s="394"/>
      <c r="S168" s="394"/>
      <c r="T168" s="394"/>
    </row>
    <row r="169" spans="1:20">
      <c r="A169" s="522"/>
      <c r="C169" s="394"/>
      <c r="D169" s="524"/>
      <c r="E169" s="534"/>
      <c r="F169" s="525"/>
      <c r="G169" s="394"/>
      <c r="H169" s="394"/>
      <c r="I169" s="394"/>
      <c r="J169" s="394"/>
      <c r="K169" s="394"/>
      <c r="L169" s="394"/>
      <c r="M169" s="394"/>
      <c r="N169" s="394"/>
      <c r="O169" s="394"/>
      <c r="P169" s="394"/>
      <c r="Q169" s="394"/>
      <c r="R169" s="394"/>
      <c r="S169" s="394"/>
      <c r="T169" s="394"/>
    </row>
    <row r="170" spans="1:20">
      <c r="A170" s="522"/>
      <c r="C170" s="394"/>
      <c r="D170" s="524"/>
      <c r="E170" s="534"/>
      <c r="F170" s="525"/>
      <c r="G170" s="394"/>
      <c r="H170" s="394"/>
      <c r="I170" s="394"/>
      <c r="J170" s="394"/>
      <c r="K170" s="394"/>
      <c r="L170" s="394"/>
      <c r="M170" s="394"/>
      <c r="N170" s="394"/>
      <c r="O170" s="394"/>
      <c r="P170" s="394"/>
      <c r="Q170" s="394"/>
      <c r="R170" s="394"/>
      <c r="S170" s="394"/>
      <c r="T170" s="394"/>
    </row>
    <row r="171" spans="1:20">
      <c r="A171" s="522"/>
      <c r="C171" s="394"/>
      <c r="D171" s="524"/>
      <c r="E171" s="534"/>
      <c r="F171" s="525"/>
      <c r="G171" s="394"/>
      <c r="H171" s="394"/>
      <c r="I171" s="394"/>
      <c r="J171" s="394"/>
      <c r="K171" s="394"/>
      <c r="L171" s="394"/>
      <c r="M171" s="394"/>
      <c r="N171" s="394"/>
      <c r="O171" s="394"/>
      <c r="P171" s="394"/>
      <c r="Q171" s="394"/>
      <c r="R171" s="394"/>
      <c r="S171" s="394"/>
      <c r="T171" s="394"/>
    </row>
    <row r="172" spans="1:20">
      <c r="A172" s="522"/>
      <c r="C172" s="394"/>
      <c r="D172" s="524"/>
      <c r="E172" s="534"/>
      <c r="F172" s="525"/>
      <c r="G172" s="394"/>
      <c r="H172" s="394"/>
      <c r="I172" s="394"/>
      <c r="J172" s="394"/>
      <c r="K172" s="394"/>
      <c r="L172" s="394"/>
      <c r="M172" s="394"/>
      <c r="N172" s="394"/>
      <c r="O172" s="394"/>
      <c r="P172" s="394"/>
      <c r="Q172" s="394"/>
      <c r="R172" s="394"/>
      <c r="S172" s="394"/>
      <c r="T172" s="394"/>
    </row>
    <row r="173" spans="1:20">
      <c r="A173" s="522"/>
      <c r="C173" s="394"/>
      <c r="D173" s="524"/>
      <c r="E173" s="534"/>
      <c r="F173" s="525"/>
      <c r="G173" s="394"/>
      <c r="H173" s="394"/>
      <c r="I173" s="394"/>
      <c r="J173" s="394"/>
      <c r="K173" s="394"/>
      <c r="L173" s="394"/>
      <c r="M173" s="394"/>
      <c r="N173" s="394"/>
      <c r="O173" s="394"/>
      <c r="P173" s="394"/>
      <c r="Q173" s="394"/>
      <c r="R173" s="394"/>
      <c r="S173" s="394"/>
      <c r="T173" s="394"/>
    </row>
    <row r="174" spans="1:20">
      <c r="A174" s="522"/>
      <c r="C174" s="394"/>
      <c r="D174" s="524"/>
      <c r="E174" s="534"/>
      <c r="F174" s="525"/>
      <c r="G174" s="394"/>
      <c r="H174" s="394"/>
      <c r="I174" s="394"/>
      <c r="J174" s="394"/>
      <c r="K174" s="394"/>
      <c r="L174" s="394"/>
      <c r="M174" s="394"/>
      <c r="N174" s="394"/>
      <c r="O174" s="394"/>
      <c r="P174" s="394"/>
      <c r="Q174" s="394"/>
      <c r="R174" s="394"/>
      <c r="S174" s="394"/>
      <c r="T174" s="394"/>
    </row>
    <row r="175" spans="1:20">
      <c r="A175" s="522"/>
      <c r="C175" s="394"/>
      <c r="D175" s="524"/>
      <c r="E175" s="534"/>
      <c r="F175" s="525"/>
      <c r="G175" s="394"/>
      <c r="H175" s="394"/>
      <c r="I175" s="394"/>
      <c r="J175" s="394"/>
      <c r="K175" s="394"/>
      <c r="L175" s="394"/>
      <c r="M175" s="394"/>
      <c r="N175" s="394"/>
      <c r="O175" s="394"/>
      <c r="P175" s="394"/>
      <c r="Q175" s="394"/>
      <c r="R175" s="394"/>
      <c r="S175" s="394"/>
      <c r="T175" s="394"/>
    </row>
    <row r="176" spans="1:20">
      <c r="A176" s="522"/>
      <c r="C176" s="394"/>
      <c r="D176" s="524"/>
      <c r="E176" s="534"/>
      <c r="F176" s="525"/>
      <c r="G176" s="394"/>
      <c r="H176" s="394"/>
      <c r="I176" s="394"/>
      <c r="J176" s="394"/>
      <c r="K176" s="394"/>
      <c r="L176" s="394"/>
      <c r="M176" s="394"/>
      <c r="N176" s="394"/>
      <c r="O176" s="394"/>
      <c r="P176" s="394"/>
      <c r="Q176" s="394"/>
      <c r="R176" s="394"/>
      <c r="S176" s="394"/>
      <c r="T176" s="394"/>
    </row>
    <row r="177" spans="1:20">
      <c r="A177" s="522"/>
      <c r="C177" s="394"/>
      <c r="D177" s="524"/>
      <c r="E177" s="534"/>
      <c r="F177" s="525"/>
      <c r="G177" s="394"/>
      <c r="H177" s="394"/>
      <c r="I177" s="394"/>
      <c r="J177" s="394"/>
      <c r="K177" s="394"/>
      <c r="L177" s="394"/>
      <c r="M177" s="394"/>
      <c r="N177" s="394"/>
      <c r="O177" s="394"/>
      <c r="P177" s="394"/>
      <c r="Q177" s="394"/>
      <c r="R177" s="394"/>
      <c r="S177" s="394"/>
      <c r="T177" s="394"/>
    </row>
    <row r="178" spans="1:20">
      <c r="A178" s="522"/>
      <c r="C178" s="394"/>
      <c r="D178" s="524"/>
      <c r="E178" s="534"/>
      <c r="F178" s="525"/>
      <c r="G178" s="394"/>
      <c r="H178" s="394"/>
      <c r="I178" s="394"/>
      <c r="J178" s="394"/>
      <c r="K178" s="394"/>
      <c r="L178" s="394"/>
      <c r="M178" s="394"/>
      <c r="N178" s="394"/>
      <c r="O178" s="394"/>
      <c r="P178" s="394"/>
      <c r="Q178" s="394"/>
      <c r="R178" s="394"/>
      <c r="S178" s="394"/>
      <c r="T178" s="394"/>
    </row>
    <row r="179" spans="1:20">
      <c r="A179" s="522"/>
      <c r="C179" s="394"/>
      <c r="D179" s="524"/>
      <c r="E179" s="534"/>
      <c r="F179" s="525"/>
      <c r="G179" s="394"/>
      <c r="H179" s="394"/>
      <c r="I179" s="394"/>
      <c r="J179" s="394"/>
      <c r="K179" s="394"/>
      <c r="L179" s="394"/>
      <c r="M179" s="394"/>
      <c r="N179" s="394"/>
      <c r="O179" s="394"/>
      <c r="P179" s="394"/>
      <c r="Q179" s="394"/>
      <c r="R179" s="394"/>
      <c r="S179" s="394"/>
      <c r="T179" s="394"/>
    </row>
    <row r="180" spans="1:20">
      <c r="A180" s="522"/>
      <c r="C180" s="394"/>
      <c r="D180" s="524"/>
      <c r="E180" s="534"/>
      <c r="F180" s="525"/>
      <c r="G180" s="394"/>
      <c r="H180" s="394"/>
      <c r="I180" s="394"/>
      <c r="J180" s="394"/>
      <c r="K180" s="394"/>
      <c r="L180" s="394"/>
      <c r="M180" s="394"/>
      <c r="N180" s="394"/>
      <c r="O180" s="394"/>
      <c r="P180" s="394"/>
      <c r="Q180" s="394"/>
      <c r="R180" s="394"/>
      <c r="S180" s="394"/>
      <c r="T180" s="394"/>
    </row>
    <row r="181" spans="1:20">
      <c r="A181" s="522"/>
      <c r="C181" s="394"/>
      <c r="D181" s="524"/>
      <c r="E181" s="534"/>
      <c r="F181" s="525"/>
      <c r="G181" s="394"/>
      <c r="H181" s="394"/>
      <c r="I181" s="394"/>
      <c r="J181" s="394"/>
      <c r="K181" s="394"/>
      <c r="L181" s="394"/>
      <c r="M181" s="394"/>
      <c r="N181" s="394"/>
      <c r="O181" s="394"/>
      <c r="P181" s="394"/>
      <c r="Q181" s="394"/>
      <c r="R181" s="394"/>
      <c r="S181" s="394"/>
      <c r="T181" s="394"/>
    </row>
    <row r="182" spans="1:20">
      <c r="A182" s="522"/>
      <c r="C182" s="394"/>
      <c r="D182" s="524"/>
      <c r="E182" s="534"/>
      <c r="F182" s="525"/>
      <c r="G182" s="394"/>
      <c r="H182" s="394"/>
      <c r="I182" s="394"/>
      <c r="J182" s="394"/>
      <c r="K182" s="394"/>
      <c r="L182" s="394"/>
      <c r="M182" s="394"/>
      <c r="N182" s="394"/>
      <c r="O182" s="394"/>
      <c r="P182" s="394"/>
      <c r="Q182" s="394"/>
      <c r="R182" s="394"/>
      <c r="S182" s="394"/>
      <c r="T182" s="394"/>
    </row>
    <row r="183" spans="1:20">
      <c r="A183" s="522"/>
      <c r="C183" s="394"/>
      <c r="D183" s="524"/>
      <c r="E183" s="534"/>
      <c r="F183" s="525"/>
      <c r="G183" s="394"/>
      <c r="H183" s="394"/>
      <c r="I183" s="394"/>
      <c r="J183" s="394"/>
      <c r="K183" s="394"/>
      <c r="L183" s="394"/>
      <c r="M183" s="394"/>
      <c r="N183" s="394"/>
      <c r="O183" s="394"/>
      <c r="P183" s="394"/>
      <c r="Q183" s="394"/>
      <c r="R183" s="394"/>
      <c r="S183" s="394"/>
      <c r="T183" s="394"/>
    </row>
    <row r="184" spans="1:20">
      <c r="A184" s="522"/>
      <c r="C184" s="394"/>
      <c r="D184" s="524"/>
      <c r="E184" s="534"/>
      <c r="F184" s="525"/>
      <c r="G184" s="394"/>
      <c r="H184" s="394"/>
      <c r="I184" s="394"/>
      <c r="J184" s="394"/>
      <c r="K184" s="394"/>
      <c r="L184" s="394"/>
      <c r="M184" s="394"/>
      <c r="N184" s="394"/>
      <c r="O184" s="394"/>
      <c r="P184" s="394"/>
      <c r="Q184" s="394"/>
      <c r="R184" s="394"/>
      <c r="S184" s="394"/>
      <c r="T184" s="394"/>
    </row>
    <row r="185" spans="1:20">
      <c r="A185" s="522"/>
      <c r="C185" s="394"/>
      <c r="D185" s="524"/>
      <c r="E185" s="534"/>
      <c r="F185" s="525"/>
      <c r="G185" s="394"/>
      <c r="H185" s="394"/>
      <c r="I185" s="394"/>
      <c r="J185" s="394"/>
      <c r="K185" s="394"/>
      <c r="L185" s="394"/>
      <c r="M185" s="394"/>
      <c r="N185" s="394"/>
      <c r="O185" s="394"/>
      <c r="P185" s="394"/>
      <c r="Q185" s="394"/>
      <c r="R185" s="394"/>
      <c r="S185" s="394"/>
      <c r="T185" s="394"/>
    </row>
    <row r="186" spans="1:20">
      <c r="A186" s="522"/>
      <c r="C186" s="394"/>
      <c r="D186" s="524"/>
      <c r="E186" s="534"/>
      <c r="F186" s="525"/>
      <c r="G186" s="394"/>
      <c r="H186" s="394"/>
      <c r="I186" s="394"/>
      <c r="J186" s="394"/>
      <c r="K186" s="394"/>
      <c r="L186" s="394"/>
      <c r="M186" s="394"/>
      <c r="N186" s="394"/>
      <c r="O186" s="394"/>
      <c r="P186" s="394"/>
      <c r="Q186" s="394"/>
      <c r="R186" s="394"/>
      <c r="S186" s="394"/>
      <c r="T186" s="394"/>
    </row>
    <row r="187" spans="1:20">
      <c r="A187" s="522"/>
      <c r="C187" s="394"/>
      <c r="D187" s="524"/>
      <c r="E187" s="534"/>
      <c r="F187" s="525"/>
      <c r="G187" s="394"/>
      <c r="H187" s="394"/>
      <c r="I187" s="394"/>
      <c r="J187" s="394"/>
      <c r="K187" s="394"/>
      <c r="L187" s="394"/>
      <c r="M187" s="394"/>
      <c r="N187" s="394"/>
      <c r="O187" s="394"/>
      <c r="P187" s="394"/>
      <c r="Q187" s="394"/>
      <c r="R187" s="394"/>
      <c r="S187" s="394"/>
      <c r="T187" s="394"/>
    </row>
    <row r="188" spans="1:20">
      <c r="A188" s="522"/>
      <c r="C188" s="394"/>
      <c r="D188" s="524"/>
      <c r="E188" s="534"/>
      <c r="F188" s="525"/>
      <c r="G188" s="394"/>
      <c r="H188" s="394"/>
      <c r="I188" s="394"/>
      <c r="J188" s="394"/>
      <c r="K188" s="394"/>
      <c r="L188" s="394"/>
      <c r="M188" s="394"/>
      <c r="N188" s="394"/>
      <c r="O188" s="394"/>
      <c r="P188" s="394"/>
      <c r="Q188" s="394"/>
      <c r="R188" s="394"/>
      <c r="S188" s="394"/>
      <c r="T188" s="394"/>
    </row>
    <row r="189" spans="1:20">
      <c r="A189" s="522"/>
      <c r="C189" s="394"/>
      <c r="D189" s="524"/>
      <c r="E189" s="534"/>
      <c r="F189" s="525"/>
      <c r="G189" s="394"/>
      <c r="H189" s="394"/>
      <c r="I189" s="394"/>
      <c r="J189" s="394"/>
      <c r="K189" s="394"/>
      <c r="L189" s="394"/>
      <c r="M189" s="394"/>
      <c r="N189" s="394"/>
      <c r="O189" s="394"/>
      <c r="P189" s="394"/>
      <c r="Q189" s="394"/>
      <c r="R189" s="394"/>
      <c r="S189" s="394"/>
      <c r="T189" s="394"/>
    </row>
    <row r="190" spans="1:20">
      <c r="A190" s="522"/>
      <c r="C190" s="394"/>
      <c r="D190" s="524"/>
      <c r="E190" s="534"/>
      <c r="F190" s="525"/>
      <c r="G190" s="394"/>
      <c r="H190" s="394"/>
      <c r="I190" s="394"/>
      <c r="J190" s="394"/>
      <c r="K190" s="394"/>
      <c r="L190" s="394"/>
      <c r="M190" s="394"/>
      <c r="N190" s="394"/>
      <c r="O190" s="394"/>
      <c r="P190" s="394"/>
      <c r="Q190" s="394"/>
      <c r="R190" s="394"/>
      <c r="S190" s="394"/>
      <c r="T190" s="394"/>
    </row>
    <row r="191" spans="1:20">
      <c r="A191" s="522"/>
      <c r="C191" s="394"/>
      <c r="D191" s="524"/>
      <c r="E191" s="534"/>
      <c r="F191" s="525"/>
      <c r="G191" s="394"/>
      <c r="H191" s="394"/>
      <c r="I191" s="394"/>
      <c r="J191" s="394"/>
      <c r="K191" s="394"/>
      <c r="L191" s="394"/>
      <c r="M191" s="394"/>
      <c r="N191" s="394"/>
      <c r="O191" s="394"/>
      <c r="P191" s="394"/>
      <c r="Q191" s="394"/>
      <c r="R191" s="394"/>
      <c r="S191" s="394"/>
      <c r="T191" s="394"/>
    </row>
    <row r="192" spans="1:20">
      <c r="A192" s="522"/>
      <c r="C192" s="394"/>
      <c r="D192" s="524"/>
      <c r="E192" s="534"/>
      <c r="F192" s="525"/>
      <c r="G192" s="394"/>
      <c r="H192" s="394"/>
      <c r="I192" s="394"/>
      <c r="J192" s="394"/>
      <c r="K192" s="394"/>
      <c r="L192" s="394"/>
      <c r="M192" s="394"/>
      <c r="N192" s="394"/>
      <c r="O192" s="394"/>
      <c r="P192" s="394"/>
      <c r="Q192" s="394"/>
      <c r="R192" s="394"/>
      <c r="S192" s="394"/>
      <c r="T192" s="394"/>
    </row>
    <row r="193" spans="1:20">
      <c r="A193" s="522"/>
      <c r="C193" s="394"/>
      <c r="D193" s="524"/>
      <c r="E193" s="534"/>
      <c r="F193" s="525"/>
      <c r="G193" s="394"/>
      <c r="H193" s="394"/>
      <c r="I193" s="394"/>
      <c r="J193" s="394"/>
      <c r="K193" s="394"/>
      <c r="L193" s="394"/>
      <c r="M193" s="394"/>
      <c r="N193" s="394"/>
      <c r="O193" s="394"/>
      <c r="P193" s="394"/>
      <c r="Q193" s="394"/>
      <c r="R193" s="394"/>
      <c r="S193" s="394"/>
      <c r="T193" s="394"/>
    </row>
    <row r="194" spans="1:20">
      <c r="A194" s="522"/>
      <c r="C194" s="394"/>
      <c r="D194" s="524"/>
      <c r="E194" s="534"/>
      <c r="F194" s="525"/>
      <c r="G194" s="394"/>
      <c r="H194" s="394"/>
      <c r="I194" s="394"/>
      <c r="J194" s="394"/>
      <c r="K194" s="394"/>
      <c r="L194" s="394"/>
      <c r="M194" s="394"/>
      <c r="N194" s="394"/>
      <c r="O194" s="394"/>
      <c r="P194" s="394"/>
      <c r="Q194" s="394"/>
      <c r="R194" s="394"/>
      <c r="S194" s="394"/>
      <c r="T194" s="394"/>
    </row>
    <row r="195" spans="1:20">
      <c r="A195" s="522"/>
      <c r="C195" s="394"/>
      <c r="D195" s="524"/>
      <c r="E195" s="534"/>
      <c r="F195" s="525"/>
      <c r="G195" s="394"/>
      <c r="H195" s="394"/>
      <c r="I195" s="394"/>
      <c r="J195" s="394"/>
      <c r="K195" s="394"/>
      <c r="L195" s="394"/>
      <c r="M195" s="394"/>
      <c r="N195" s="394"/>
      <c r="O195" s="394"/>
      <c r="P195" s="394"/>
      <c r="Q195" s="394"/>
      <c r="R195" s="394"/>
      <c r="S195" s="394"/>
      <c r="T195" s="394"/>
    </row>
    <row r="196" spans="1:20">
      <c r="A196" s="522"/>
      <c r="C196" s="394"/>
      <c r="D196" s="524"/>
      <c r="E196" s="534"/>
      <c r="F196" s="525"/>
      <c r="G196" s="394"/>
      <c r="H196" s="394"/>
      <c r="I196" s="394"/>
      <c r="J196" s="394"/>
      <c r="K196" s="394"/>
      <c r="L196" s="394"/>
      <c r="M196" s="394"/>
      <c r="N196" s="394"/>
      <c r="O196" s="394"/>
      <c r="P196" s="394"/>
      <c r="Q196" s="394"/>
      <c r="R196" s="394"/>
      <c r="S196" s="394"/>
      <c r="T196" s="394"/>
    </row>
    <row r="197" spans="1:20">
      <c r="A197" s="522"/>
      <c r="C197" s="394"/>
      <c r="D197" s="524"/>
      <c r="E197" s="534"/>
      <c r="F197" s="525"/>
      <c r="G197" s="394"/>
      <c r="H197" s="394"/>
      <c r="I197" s="394"/>
      <c r="J197" s="394"/>
      <c r="K197" s="394"/>
      <c r="L197" s="394"/>
      <c r="M197" s="394"/>
      <c r="N197" s="394"/>
      <c r="O197" s="394"/>
      <c r="P197" s="394"/>
      <c r="Q197" s="394"/>
      <c r="R197" s="394"/>
      <c r="S197" s="394"/>
      <c r="T197" s="394"/>
    </row>
    <row r="198" spans="1:20">
      <c r="A198" s="522"/>
      <c r="C198" s="394"/>
      <c r="D198" s="524"/>
      <c r="E198" s="534"/>
      <c r="F198" s="525"/>
      <c r="G198" s="394"/>
      <c r="H198" s="394"/>
      <c r="I198" s="394"/>
      <c r="J198" s="394"/>
      <c r="K198" s="394"/>
      <c r="L198" s="394"/>
      <c r="M198" s="394"/>
      <c r="N198" s="394"/>
      <c r="O198" s="394"/>
      <c r="P198" s="394"/>
      <c r="Q198" s="394"/>
      <c r="R198" s="394"/>
      <c r="S198" s="394"/>
      <c r="T198" s="394"/>
    </row>
    <row r="199" spans="1:20">
      <c r="A199" s="522"/>
      <c r="C199" s="394"/>
      <c r="D199" s="524"/>
      <c r="E199" s="534"/>
      <c r="F199" s="525"/>
      <c r="G199" s="394"/>
      <c r="H199" s="394"/>
      <c r="I199" s="394"/>
      <c r="J199" s="394"/>
      <c r="K199" s="394"/>
      <c r="L199" s="394"/>
      <c r="M199" s="394"/>
      <c r="N199" s="394"/>
      <c r="O199" s="394"/>
      <c r="P199" s="394"/>
      <c r="Q199" s="394"/>
      <c r="R199" s="394"/>
      <c r="S199" s="394"/>
      <c r="T199" s="394"/>
    </row>
    <row r="200" spans="1:20">
      <c r="A200" s="522"/>
      <c r="C200" s="394"/>
      <c r="D200" s="524"/>
      <c r="E200" s="534"/>
      <c r="F200" s="525"/>
      <c r="G200" s="394"/>
      <c r="H200" s="394"/>
      <c r="I200" s="394"/>
      <c r="J200" s="394"/>
      <c r="K200" s="394"/>
      <c r="L200" s="394"/>
      <c r="M200" s="394"/>
      <c r="N200" s="394"/>
      <c r="O200" s="394"/>
      <c r="P200" s="394"/>
      <c r="Q200" s="394"/>
      <c r="R200" s="394"/>
      <c r="S200" s="394"/>
      <c r="T200" s="394"/>
    </row>
    <row r="201" spans="1:20">
      <c r="A201" s="522"/>
      <c r="C201" s="394"/>
      <c r="D201" s="524"/>
      <c r="E201" s="534"/>
      <c r="F201" s="525"/>
      <c r="G201" s="394"/>
      <c r="H201" s="394"/>
      <c r="I201" s="394"/>
      <c r="J201" s="394"/>
      <c r="K201" s="394"/>
      <c r="L201" s="394"/>
      <c r="M201" s="394"/>
      <c r="N201" s="394"/>
      <c r="O201" s="394"/>
      <c r="P201" s="394"/>
      <c r="Q201" s="394"/>
      <c r="R201" s="394"/>
      <c r="S201" s="394"/>
      <c r="T201" s="394"/>
    </row>
    <row r="202" spans="1:20">
      <c r="A202" s="522"/>
      <c r="C202" s="394"/>
      <c r="D202" s="524"/>
      <c r="E202" s="534"/>
      <c r="F202" s="525"/>
      <c r="G202" s="394"/>
      <c r="H202" s="394"/>
      <c r="I202" s="394"/>
      <c r="J202" s="394"/>
      <c r="K202" s="394"/>
      <c r="L202" s="394"/>
      <c r="M202" s="394"/>
      <c r="N202" s="394"/>
      <c r="O202" s="394"/>
      <c r="P202" s="394"/>
      <c r="Q202" s="394"/>
      <c r="R202" s="394"/>
      <c r="S202" s="394"/>
      <c r="T202" s="394"/>
    </row>
    <row r="203" spans="1:20">
      <c r="A203" s="522"/>
      <c r="C203" s="394"/>
      <c r="D203" s="524"/>
      <c r="E203" s="534"/>
      <c r="F203" s="525"/>
      <c r="G203" s="394"/>
      <c r="H203" s="394"/>
      <c r="I203" s="394"/>
      <c r="J203" s="394"/>
      <c r="K203" s="394"/>
      <c r="L203" s="394"/>
      <c r="M203" s="394"/>
      <c r="N203" s="394"/>
      <c r="O203" s="394"/>
      <c r="P203" s="394"/>
      <c r="Q203" s="394"/>
      <c r="R203" s="394"/>
      <c r="S203" s="394"/>
      <c r="T203" s="394"/>
    </row>
    <row r="204" spans="1:20">
      <c r="A204" s="522"/>
      <c r="C204" s="394"/>
      <c r="D204" s="524"/>
      <c r="E204" s="534"/>
      <c r="F204" s="525"/>
      <c r="G204" s="394"/>
      <c r="H204" s="394"/>
      <c r="I204" s="394"/>
      <c r="J204" s="394"/>
      <c r="K204" s="394"/>
      <c r="L204" s="394"/>
      <c r="M204" s="394"/>
      <c r="N204" s="394"/>
      <c r="O204" s="394"/>
      <c r="P204" s="394"/>
      <c r="Q204" s="394"/>
      <c r="R204" s="394"/>
      <c r="S204" s="394"/>
      <c r="T204" s="394"/>
    </row>
    <row r="205" spans="1:20">
      <c r="A205" s="522"/>
      <c r="C205" s="394"/>
      <c r="D205" s="524"/>
      <c r="E205" s="534"/>
      <c r="F205" s="525"/>
      <c r="G205" s="394"/>
      <c r="H205" s="394"/>
      <c r="I205" s="394"/>
      <c r="J205" s="394"/>
      <c r="K205" s="394"/>
      <c r="L205" s="394"/>
      <c r="M205" s="394"/>
      <c r="N205" s="394"/>
      <c r="O205" s="394"/>
      <c r="P205" s="394"/>
      <c r="Q205" s="394"/>
      <c r="R205" s="394"/>
      <c r="S205" s="394"/>
      <c r="T205" s="394"/>
    </row>
    <row r="206" spans="1:20">
      <c r="A206" s="522"/>
      <c r="C206" s="394"/>
      <c r="D206" s="524"/>
      <c r="E206" s="534"/>
      <c r="F206" s="525"/>
      <c r="G206" s="394"/>
      <c r="H206" s="394"/>
      <c r="I206" s="394"/>
      <c r="J206" s="394"/>
      <c r="K206" s="394"/>
      <c r="L206" s="394"/>
      <c r="M206" s="394"/>
      <c r="N206" s="394"/>
      <c r="O206" s="394"/>
      <c r="P206" s="394"/>
      <c r="Q206" s="394"/>
      <c r="R206" s="394"/>
      <c r="S206" s="394"/>
      <c r="T206" s="394"/>
    </row>
    <row r="207" spans="1:20">
      <c r="A207" s="522"/>
      <c r="C207" s="394"/>
      <c r="D207" s="524"/>
      <c r="E207" s="534"/>
      <c r="F207" s="525"/>
      <c r="G207" s="394"/>
      <c r="H207" s="394"/>
      <c r="I207" s="394"/>
      <c r="J207" s="394"/>
      <c r="K207" s="394"/>
      <c r="L207" s="394"/>
      <c r="M207" s="394"/>
      <c r="N207" s="394"/>
      <c r="O207" s="394"/>
      <c r="P207" s="394"/>
      <c r="Q207" s="394"/>
      <c r="R207" s="394"/>
      <c r="S207" s="394"/>
      <c r="T207" s="394"/>
    </row>
    <row r="208" spans="1:20">
      <c r="A208" s="522"/>
      <c r="C208" s="394"/>
      <c r="D208" s="524"/>
      <c r="E208" s="534"/>
      <c r="F208" s="525"/>
      <c r="G208" s="394"/>
      <c r="H208" s="394"/>
      <c r="I208" s="394"/>
      <c r="J208" s="394"/>
      <c r="K208" s="394"/>
      <c r="L208" s="394"/>
      <c r="M208" s="394"/>
      <c r="N208" s="394"/>
      <c r="O208" s="394"/>
      <c r="P208" s="394"/>
      <c r="Q208" s="394"/>
      <c r="R208" s="394"/>
      <c r="S208" s="394"/>
      <c r="T208" s="394"/>
    </row>
    <row r="209" spans="1:20">
      <c r="A209" s="522"/>
      <c r="C209" s="394"/>
      <c r="D209" s="524"/>
      <c r="E209" s="534"/>
      <c r="F209" s="525"/>
      <c r="G209" s="394"/>
      <c r="H209" s="394"/>
      <c r="I209" s="394"/>
      <c r="J209" s="394"/>
      <c r="K209" s="394"/>
      <c r="L209" s="394"/>
      <c r="M209" s="394"/>
      <c r="N209" s="394"/>
      <c r="O209" s="394"/>
      <c r="P209" s="394"/>
      <c r="Q209" s="394"/>
      <c r="R209" s="394"/>
      <c r="S209" s="394"/>
      <c r="T209" s="394"/>
    </row>
    <row r="210" spans="1:20">
      <c r="A210" s="522"/>
      <c r="C210" s="394"/>
      <c r="D210" s="524"/>
      <c r="E210" s="534"/>
      <c r="F210" s="525"/>
      <c r="G210" s="394"/>
      <c r="H210" s="394"/>
      <c r="I210" s="394"/>
      <c r="J210" s="394"/>
      <c r="K210" s="394"/>
      <c r="L210" s="394"/>
      <c r="M210" s="394"/>
      <c r="N210" s="394"/>
      <c r="O210" s="394"/>
      <c r="P210" s="394"/>
      <c r="Q210" s="394"/>
      <c r="R210" s="394"/>
      <c r="S210" s="394"/>
      <c r="T210" s="394"/>
    </row>
    <row r="211" spans="1:20">
      <c r="A211" s="522"/>
      <c r="C211" s="394"/>
      <c r="D211" s="524"/>
      <c r="E211" s="534"/>
      <c r="F211" s="525"/>
      <c r="G211" s="394"/>
      <c r="H211" s="394"/>
      <c r="I211" s="394"/>
      <c r="J211" s="394"/>
      <c r="K211" s="394"/>
      <c r="L211" s="394"/>
      <c r="M211" s="394"/>
      <c r="N211" s="394"/>
      <c r="O211" s="394"/>
      <c r="P211" s="394"/>
      <c r="Q211" s="394"/>
      <c r="R211" s="394"/>
      <c r="S211" s="394"/>
      <c r="T211" s="394"/>
    </row>
    <row r="212" spans="1:20">
      <c r="A212" s="522"/>
      <c r="C212" s="394"/>
      <c r="D212" s="524"/>
      <c r="E212" s="534"/>
      <c r="F212" s="525"/>
      <c r="G212" s="394"/>
      <c r="H212" s="394"/>
      <c r="I212" s="394"/>
      <c r="J212" s="394"/>
      <c r="K212" s="394"/>
      <c r="L212" s="394"/>
      <c r="M212" s="394"/>
      <c r="N212" s="394"/>
      <c r="O212" s="394"/>
      <c r="P212" s="394"/>
      <c r="Q212" s="394"/>
      <c r="R212" s="394"/>
      <c r="S212" s="394"/>
      <c r="T212" s="394"/>
    </row>
    <row r="213" spans="1:20">
      <c r="A213" s="522"/>
      <c r="C213" s="394"/>
      <c r="D213" s="524"/>
      <c r="E213" s="534"/>
      <c r="F213" s="525"/>
      <c r="G213" s="394"/>
      <c r="H213" s="394"/>
      <c r="I213" s="394"/>
      <c r="J213" s="394"/>
      <c r="K213" s="394"/>
      <c r="L213" s="394"/>
      <c r="M213" s="394"/>
      <c r="N213" s="394"/>
      <c r="O213" s="394"/>
      <c r="P213" s="394"/>
      <c r="Q213" s="394"/>
      <c r="R213" s="394"/>
      <c r="S213" s="394"/>
      <c r="T213" s="394"/>
    </row>
    <row r="214" spans="1:20">
      <c r="A214" s="522"/>
      <c r="C214" s="394"/>
      <c r="D214" s="524"/>
      <c r="E214" s="534"/>
      <c r="F214" s="525"/>
      <c r="G214" s="394"/>
      <c r="H214" s="394"/>
      <c r="I214" s="394"/>
      <c r="J214" s="394"/>
      <c r="K214" s="394"/>
      <c r="L214" s="394"/>
      <c r="M214" s="394"/>
      <c r="N214" s="394"/>
      <c r="O214" s="394"/>
      <c r="P214" s="394"/>
      <c r="Q214" s="394"/>
      <c r="R214" s="394"/>
      <c r="S214" s="394"/>
      <c r="T214" s="394"/>
    </row>
    <row r="215" spans="1:20">
      <c r="A215" s="522"/>
      <c r="C215" s="394"/>
      <c r="D215" s="524"/>
      <c r="E215" s="534"/>
      <c r="F215" s="525"/>
      <c r="G215" s="394"/>
      <c r="H215" s="394"/>
      <c r="I215" s="394"/>
      <c r="J215" s="394"/>
      <c r="K215" s="394"/>
      <c r="L215" s="394"/>
      <c r="M215" s="394"/>
      <c r="N215" s="394"/>
      <c r="O215" s="394"/>
      <c r="P215" s="394"/>
      <c r="Q215" s="394"/>
      <c r="R215" s="394"/>
      <c r="S215" s="394"/>
      <c r="T215" s="394"/>
    </row>
    <row r="216" spans="1:20">
      <c r="A216" s="522"/>
      <c r="C216" s="394"/>
      <c r="D216" s="524"/>
      <c r="E216" s="534"/>
      <c r="F216" s="525"/>
      <c r="G216" s="394"/>
      <c r="H216" s="394"/>
      <c r="I216" s="394"/>
      <c r="J216" s="394"/>
      <c r="K216" s="394"/>
      <c r="L216" s="394"/>
      <c r="M216" s="394"/>
      <c r="N216" s="394"/>
      <c r="O216" s="394"/>
      <c r="P216" s="394"/>
      <c r="Q216" s="394"/>
      <c r="R216" s="394"/>
      <c r="S216" s="394"/>
      <c r="T216" s="394"/>
    </row>
    <row r="217" spans="1:20">
      <c r="A217" s="522"/>
      <c r="C217" s="394"/>
      <c r="D217" s="524"/>
      <c r="E217" s="534"/>
      <c r="F217" s="525"/>
      <c r="G217" s="394"/>
      <c r="H217" s="394"/>
      <c r="I217" s="394"/>
      <c r="J217" s="394"/>
      <c r="K217" s="394"/>
      <c r="L217" s="394"/>
      <c r="M217" s="394"/>
      <c r="N217" s="394"/>
      <c r="O217" s="394"/>
      <c r="P217" s="394"/>
      <c r="Q217" s="394"/>
      <c r="R217" s="394"/>
      <c r="S217" s="394"/>
      <c r="T217" s="394"/>
    </row>
    <row r="218" spans="1:20">
      <c r="A218" s="522"/>
      <c r="C218" s="394"/>
      <c r="D218" s="524"/>
      <c r="E218" s="534"/>
      <c r="F218" s="525"/>
      <c r="G218" s="394"/>
      <c r="H218" s="394"/>
      <c r="I218" s="394"/>
      <c r="J218" s="394"/>
      <c r="K218" s="394"/>
      <c r="L218" s="394"/>
      <c r="M218" s="394"/>
      <c r="N218" s="394"/>
      <c r="O218" s="394"/>
      <c r="P218" s="394"/>
      <c r="Q218" s="394"/>
      <c r="R218" s="394"/>
      <c r="S218" s="394"/>
      <c r="T218" s="394"/>
    </row>
    <row r="219" spans="1:20">
      <c r="A219" s="522"/>
      <c r="C219" s="394"/>
      <c r="D219" s="524"/>
      <c r="E219" s="534"/>
      <c r="F219" s="525"/>
      <c r="G219" s="394"/>
      <c r="H219" s="394"/>
      <c r="I219" s="394"/>
      <c r="J219" s="394"/>
      <c r="K219" s="394"/>
      <c r="L219" s="394"/>
      <c r="M219" s="394"/>
      <c r="N219" s="394"/>
      <c r="O219" s="394"/>
      <c r="P219" s="394"/>
      <c r="Q219" s="394"/>
      <c r="R219" s="394"/>
      <c r="S219" s="394"/>
      <c r="T219" s="394"/>
    </row>
    <row r="220" spans="1:20">
      <c r="A220" s="522"/>
      <c r="C220" s="394"/>
      <c r="D220" s="524"/>
      <c r="E220" s="534"/>
      <c r="F220" s="525"/>
      <c r="G220" s="394"/>
      <c r="H220" s="394"/>
      <c r="I220" s="394"/>
      <c r="J220" s="394"/>
      <c r="K220" s="394"/>
      <c r="L220" s="394"/>
      <c r="M220" s="394"/>
      <c r="N220" s="394"/>
      <c r="O220" s="394"/>
      <c r="P220" s="394"/>
      <c r="Q220" s="394"/>
      <c r="R220" s="394"/>
      <c r="S220" s="394"/>
      <c r="T220" s="394"/>
    </row>
    <row r="221" spans="1:20">
      <c r="A221" s="522"/>
      <c r="C221" s="394"/>
      <c r="D221" s="524"/>
      <c r="E221" s="534"/>
      <c r="F221" s="525"/>
      <c r="G221" s="394"/>
      <c r="H221" s="394"/>
      <c r="I221" s="394"/>
      <c r="J221" s="394"/>
      <c r="K221" s="394"/>
      <c r="L221" s="394"/>
      <c r="M221" s="394"/>
      <c r="N221" s="394"/>
      <c r="O221" s="394"/>
      <c r="P221" s="394"/>
      <c r="Q221" s="394"/>
      <c r="R221" s="394"/>
      <c r="S221" s="394"/>
      <c r="T221" s="394"/>
    </row>
    <row r="222" spans="1:20">
      <c r="A222" s="522"/>
      <c r="C222" s="394"/>
      <c r="D222" s="524"/>
      <c r="E222" s="534"/>
      <c r="F222" s="525"/>
      <c r="G222" s="394"/>
      <c r="H222" s="394"/>
      <c r="I222" s="394"/>
      <c r="J222" s="394"/>
      <c r="K222" s="394"/>
      <c r="L222" s="394"/>
      <c r="M222" s="394"/>
      <c r="N222" s="394"/>
      <c r="O222" s="394"/>
      <c r="P222" s="394"/>
      <c r="Q222" s="394"/>
      <c r="R222" s="394"/>
      <c r="S222" s="394"/>
      <c r="T222" s="394"/>
    </row>
    <row r="223" spans="1:20">
      <c r="A223" s="522"/>
      <c r="C223" s="394"/>
      <c r="D223" s="524"/>
      <c r="E223" s="534"/>
      <c r="F223" s="525"/>
      <c r="G223" s="394"/>
      <c r="H223" s="394"/>
      <c r="I223" s="394"/>
      <c r="J223" s="394"/>
      <c r="K223" s="394"/>
      <c r="L223" s="394"/>
      <c r="M223" s="394"/>
      <c r="N223" s="394"/>
      <c r="O223" s="394"/>
      <c r="P223" s="394"/>
      <c r="Q223" s="394"/>
      <c r="R223" s="394"/>
      <c r="S223" s="394"/>
      <c r="T223" s="394"/>
    </row>
    <row r="224" spans="1:20">
      <c r="A224" s="522"/>
      <c r="C224" s="394"/>
      <c r="D224" s="524"/>
      <c r="E224" s="534"/>
      <c r="F224" s="525"/>
      <c r="G224" s="394"/>
      <c r="H224" s="394"/>
      <c r="I224" s="394"/>
      <c r="J224" s="394"/>
      <c r="K224" s="394"/>
      <c r="L224" s="394"/>
      <c r="M224" s="394"/>
      <c r="N224" s="394"/>
      <c r="O224" s="394"/>
      <c r="P224" s="394"/>
      <c r="Q224" s="394"/>
      <c r="R224" s="394"/>
      <c r="S224" s="394"/>
      <c r="T224" s="394"/>
    </row>
    <row r="225" spans="1:20">
      <c r="A225" s="522"/>
      <c r="C225" s="394"/>
      <c r="D225" s="524"/>
      <c r="E225" s="534"/>
      <c r="F225" s="525"/>
      <c r="G225" s="394"/>
      <c r="H225" s="394"/>
      <c r="I225" s="394"/>
      <c r="J225" s="394"/>
      <c r="K225" s="394"/>
      <c r="L225" s="394"/>
      <c r="M225" s="394"/>
      <c r="N225" s="394"/>
      <c r="O225" s="394"/>
      <c r="P225" s="394"/>
      <c r="Q225" s="394"/>
      <c r="R225" s="394"/>
      <c r="S225" s="394"/>
      <c r="T225" s="394"/>
    </row>
    <row r="226" spans="1:20">
      <c r="A226" s="522"/>
      <c r="C226" s="394"/>
      <c r="D226" s="524"/>
      <c r="E226" s="534"/>
      <c r="F226" s="525"/>
      <c r="G226" s="394"/>
      <c r="H226" s="394"/>
      <c r="I226" s="394"/>
      <c r="J226" s="394"/>
      <c r="K226" s="394"/>
      <c r="L226" s="394"/>
      <c r="M226" s="394"/>
      <c r="N226" s="394"/>
      <c r="O226" s="394"/>
      <c r="P226" s="394"/>
      <c r="Q226" s="394"/>
      <c r="R226" s="394"/>
      <c r="S226" s="394"/>
      <c r="T226" s="394"/>
    </row>
    <row r="227" spans="1:20">
      <c r="A227" s="522"/>
      <c r="C227" s="394"/>
      <c r="D227" s="524"/>
      <c r="E227" s="534"/>
      <c r="F227" s="525"/>
      <c r="G227" s="394"/>
      <c r="H227" s="394"/>
      <c r="I227" s="394"/>
      <c r="J227" s="394"/>
      <c r="K227" s="394"/>
      <c r="L227" s="394"/>
      <c r="M227" s="394"/>
      <c r="N227" s="394"/>
      <c r="O227" s="394"/>
      <c r="P227" s="394"/>
      <c r="Q227" s="394"/>
      <c r="R227" s="394"/>
      <c r="S227" s="394"/>
      <c r="T227" s="394"/>
    </row>
    <row r="228" spans="1:20">
      <c r="A228" s="522"/>
      <c r="C228" s="394"/>
      <c r="D228" s="524"/>
      <c r="E228" s="534"/>
      <c r="F228" s="525"/>
      <c r="G228" s="394"/>
      <c r="H228" s="394"/>
      <c r="I228" s="394"/>
      <c r="J228" s="394"/>
      <c r="K228" s="394"/>
      <c r="L228" s="394"/>
      <c r="M228" s="394"/>
      <c r="N228" s="394"/>
      <c r="O228" s="394"/>
      <c r="P228" s="394"/>
      <c r="Q228" s="394"/>
      <c r="R228" s="394"/>
      <c r="S228" s="394"/>
      <c r="T228" s="394"/>
    </row>
    <row r="229" spans="1:20">
      <c r="A229" s="522"/>
      <c r="C229" s="394"/>
      <c r="D229" s="524"/>
      <c r="E229" s="534"/>
      <c r="F229" s="525"/>
      <c r="G229" s="394"/>
      <c r="H229" s="394"/>
      <c r="I229" s="394"/>
      <c r="J229" s="394"/>
      <c r="K229" s="394"/>
      <c r="L229" s="394"/>
      <c r="M229" s="394"/>
      <c r="N229" s="394"/>
      <c r="O229" s="394"/>
      <c r="P229" s="394"/>
      <c r="Q229" s="394"/>
      <c r="R229" s="394"/>
      <c r="S229" s="394"/>
      <c r="T229" s="394"/>
    </row>
    <row r="230" spans="1:20">
      <c r="A230" s="522"/>
      <c r="C230" s="394"/>
      <c r="D230" s="524"/>
      <c r="E230" s="534"/>
      <c r="F230" s="525"/>
      <c r="G230" s="394"/>
      <c r="H230" s="394"/>
      <c r="I230" s="394"/>
      <c r="J230" s="394"/>
      <c r="K230" s="394"/>
      <c r="L230" s="394"/>
      <c r="M230" s="394"/>
      <c r="N230" s="394"/>
      <c r="O230" s="394"/>
      <c r="P230" s="394"/>
      <c r="Q230" s="394"/>
      <c r="R230" s="394"/>
      <c r="S230" s="394"/>
      <c r="T230" s="394"/>
    </row>
    <row r="231" spans="1:20">
      <c r="A231" s="522"/>
      <c r="C231" s="394"/>
      <c r="D231" s="524"/>
      <c r="E231" s="534"/>
      <c r="F231" s="525"/>
      <c r="G231" s="394"/>
      <c r="H231" s="394"/>
      <c r="I231" s="394"/>
      <c r="J231" s="394"/>
      <c r="K231" s="394"/>
      <c r="L231" s="394"/>
      <c r="M231" s="394"/>
      <c r="N231" s="394"/>
      <c r="O231" s="394"/>
      <c r="P231" s="394"/>
      <c r="Q231" s="394"/>
      <c r="R231" s="394"/>
      <c r="S231" s="394"/>
      <c r="T231" s="394"/>
    </row>
  </sheetData>
  <mergeCells count="5">
    <mergeCell ref="A1:T1"/>
    <mergeCell ref="A90:D90"/>
    <mergeCell ref="N83:Q83"/>
    <mergeCell ref="G4:H4"/>
    <mergeCell ref="A83:D83"/>
  </mergeCells>
  <phoneticPr fontId="60" type="noConversion"/>
  <pageMargins left="0.24" right="0.18" top="0.45" bottom="0.61" header="0.2" footer="0.3"/>
  <pageSetup paperSize="9" orientation="landscape"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I530"/>
  <sheetViews>
    <sheetView zoomScaleNormal="100" workbookViewId="0">
      <selection activeCell="J3" sqref="J3"/>
    </sheetView>
  </sheetViews>
  <sheetFormatPr defaultColWidth="8.90625" defaultRowHeight="15.6"/>
  <cols>
    <col min="1" max="1" width="4.08984375" style="1182" customWidth="1"/>
    <col min="2" max="2" width="9.453125" style="1195" customWidth="1"/>
    <col min="3" max="3" width="24.08984375" style="1196" customWidth="1"/>
    <col min="4" max="4" width="9.54296875" style="1195" customWidth="1"/>
    <col min="5" max="5" width="7.54296875" style="1201" customWidth="1"/>
    <col min="6" max="6" width="9.6328125" style="1202" customWidth="1"/>
    <col min="7" max="7" width="11.54296875" style="1203" customWidth="1"/>
    <col min="8" max="9" width="9.90625" style="275" bestFit="1" customWidth="1"/>
    <col min="10" max="16384" width="8.90625" style="275"/>
  </cols>
  <sheetData>
    <row r="2" spans="1:9" ht="20.25" customHeight="1">
      <c r="A2" s="1314" t="s">
        <v>1325</v>
      </c>
      <c r="B2" s="1314"/>
      <c r="C2" s="1314"/>
      <c r="D2" s="1314"/>
      <c r="E2" s="1314"/>
      <c r="F2" s="1314"/>
      <c r="G2" s="1314"/>
    </row>
    <row r="3" spans="1:9" ht="42.75" customHeight="1">
      <c r="A3" s="1363" t="s">
        <v>1324</v>
      </c>
      <c r="B3" s="1314"/>
      <c r="C3" s="1314"/>
      <c r="D3" s="1314"/>
      <c r="E3" s="1314"/>
      <c r="F3" s="1314"/>
      <c r="G3" s="1314"/>
    </row>
    <row r="4" spans="1:9" ht="18" customHeight="1">
      <c r="A4" s="1332"/>
      <c r="B4" s="1332"/>
      <c r="C4" s="1332"/>
      <c r="D4" s="1332"/>
      <c r="E4" s="1332"/>
      <c r="F4" s="1332"/>
      <c r="G4" s="1332"/>
    </row>
    <row r="5" spans="1:9" ht="18" customHeight="1">
      <c r="A5" s="1183"/>
      <c r="B5" s="1183"/>
      <c r="C5" s="1183"/>
      <c r="D5" s="1183"/>
      <c r="E5" s="1183"/>
      <c r="F5" s="1183"/>
      <c r="G5" s="1173" t="s">
        <v>1060</v>
      </c>
    </row>
    <row r="6" spans="1:9" ht="33.9" customHeight="1">
      <c r="A6" s="1153" t="s">
        <v>2</v>
      </c>
      <c r="B6" s="1153" t="s">
        <v>6</v>
      </c>
      <c r="C6" s="1153" t="s">
        <v>7</v>
      </c>
      <c r="D6" s="1153" t="s">
        <v>15</v>
      </c>
      <c r="E6" s="1154" t="s">
        <v>25</v>
      </c>
      <c r="F6" s="1155" t="s">
        <v>8</v>
      </c>
      <c r="G6" s="1156" t="s">
        <v>9</v>
      </c>
    </row>
    <row r="7" spans="1:9" ht="34.5" customHeight="1">
      <c r="A7" s="347" t="s">
        <v>378</v>
      </c>
      <c r="B7" s="112"/>
      <c r="C7" s="241" t="s">
        <v>1076</v>
      </c>
      <c r="D7" s="112"/>
      <c r="E7" s="1185"/>
      <c r="F7" s="1177"/>
      <c r="G7" s="1186"/>
    </row>
    <row r="8" spans="1:9" ht="31.5" customHeight="1">
      <c r="A8" s="112">
        <v>1</v>
      </c>
      <c r="B8" s="347" t="s">
        <v>1075</v>
      </c>
      <c r="C8" s="241" t="s">
        <v>1077</v>
      </c>
      <c r="D8" s="347" t="s">
        <v>1081</v>
      </c>
      <c r="E8" s="1185"/>
      <c r="F8" s="1189"/>
      <c r="G8" s="1188">
        <f>G9+G11</f>
        <v>11398.6685</v>
      </c>
    </row>
    <row r="9" spans="1:9" ht="18" customHeight="1">
      <c r="A9" s="112"/>
      <c r="B9" s="112"/>
      <c r="C9" s="340" t="s">
        <v>1070</v>
      </c>
      <c r="D9" s="112" t="s">
        <v>55</v>
      </c>
      <c r="E9" s="1176"/>
      <c r="F9" s="1177"/>
      <c r="G9" s="1187">
        <f>G10</f>
        <v>4327.1350000000002</v>
      </c>
    </row>
    <row r="10" spans="1:9" ht="18" customHeight="1">
      <c r="A10" s="112"/>
      <c r="B10" s="112"/>
      <c r="C10" s="1174" t="s">
        <v>408</v>
      </c>
      <c r="D10" s="112" t="s">
        <v>30</v>
      </c>
      <c r="E10" s="1176">
        <v>1.55E-2</v>
      </c>
      <c r="F10" s="1177">
        <v>279170</v>
      </c>
      <c r="G10" s="1178">
        <f>E10*F10</f>
        <v>4327.1350000000002</v>
      </c>
    </row>
    <row r="11" spans="1:9" ht="18" customHeight="1">
      <c r="A11" s="112"/>
      <c r="B11" s="112"/>
      <c r="C11" s="1174" t="s">
        <v>1078</v>
      </c>
      <c r="D11" s="112"/>
      <c r="E11" s="1176"/>
      <c r="F11" s="1177"/>
      <c r="G11" s="1179">
        <f>SUM(G12:G13)</f>
        <v>7071.5334999999995</v>
      </c>
    </row>
    <row r="12" spans="1:9" ht="18" customHeight="1">
      <c r="A12" s="112"/>
      <c r="B12" s="112"/>
      <c r="C12" s="1174" t="s">
        <v>1079</v>
      </c>
      <c r="D12" s="112" t="s">
        <v>1018</v>
      </c>
      <c r="E12" s="1176">
        <v>5.8999999999999999E-3</v>
      </c>
      <c r="F12" s="1177">
        <v>1198565</v>
      </c>
      <c r="G12" s="1178">
        <f>E12*F12</f>
        <v>7071.5334999999995</v>
      </c>
      <c r="I12" s="1227"/>
    </row>
    <row r="13" spans="1:9" ht="18" customHeight="1">
      <c r="A13" s="112"/>
      <c r="B13" s="112"/>
      <c r="C13" s="1175" t="s">
        <v>1080</v>
      </c>
      <c r="D13" s="112" t="s">
        <v>1018</v>
      </c>
      <c r="E13" s="1176">
        <v>5.0000000000000001E-3</v>
      </c>
      <c r="F13" s="1177">
        <v>0</v>
      </c>
      <c r="G13" s="1178">
        <f>E13*F13</f>
        <v>0</v>
      </c>
    </row>
    <row r="14" spans="1:9" ht="34.5" customHeight="1">
      <c r="A14" s="112">
        <v>2</v>
      </c>
      <c r="B14" s="347" t="s">
        <v>1082</v>
      </c>
      <c r="C14" s="241" t="s">
        <v>1083</v>
      </c>
      <c r="D14" s="347" t="s">
        <v>1081</v>
      </c>
      <c r="E14" s="1185"/>
      <c r="F14" s="1189"/>
      <c r="G14" s="1188">
        <f>G15+G17</f>
        <v>71702.365999999995</v>
      </c>
    </row>
    <row r="15" spans="1:9" ht="18" customHeight="1">
      <c r="A15" s="112"/>
      <c r="B15" s="112"/>
      <c r="C15" s="340" t="s">
        <v>1070</v>
      </c>
      <c r="D15" s="112" t="s">
        <v>55</v>
      </c>
      <c r="E15" s="1176"/>
      <c r="F15" s="1177"/>
      <c r="G15" s="1187">
        <f>G16</f>
        <v>13651.413</v>
      </c>
    </row>
    <row r="16" spans="1:9" ht="18" customHeight="1">
      <c r="A16" s="112"/>
      <c r="B16" s="112"/>
      <c r="C16" s="1174" t="s">
        <v>408</v>
      </c>
      <c r="D16" s="112" t="s">
        <v>30</v>
      </c>
      <c r="E16" s="1176">
        <v>4.8899999999999999E-2</v>
      </c>
      <c r="F16" s="1177">
        <v>279170</v>
      </c>
      <c r="G16" s="1178">
        <f>E16*F16</f>
        <v>13651.413</v>
      </c>
    </row>
    <row r="17" spans="1:9" ht="18" customHeight="1">
      <c r="A17" s="112"/>
      <c r="B17" s="112"/>
      <c r="C17" s="1174" t="s">
        <v>1078</v>
      </c>
      <c r="D17" s="112"/>
      <c r="E17" s="1176"/>
      <c r="F17" s="1177"/>
      <c r="G17" s="1179">
        <f>SUM(G18:G19)</f>
        <v>58050.952999999994</v>
      </c>
    </row>
    <row r="18" spans="1:9" ht="18" customHeight="1">
      <c r="A18" s="112"/>
      <c r="B18" s="112"/>
      <c r="C18" s="1174" t="s">
        <v>1084</v>
      </c>
      <c r="D18" s="112" t="s">
        <v>1018</v>
      </c>
      <c r="E18" s="1176">
        <v>1.7899999999999999E-2</v>
      </c>
      <c r="F18" s="1177">
        <v>3243070</v>
      </c>
      <c r="G18" s="1178">
        <f>E18*F18</f>
        <v>58050.952999999994</v>
      </c>
      <c r="I18" s="1227"/>
    </row>
    <row r="19" spans="1:9" ht="18" customHeight="1">
      <c r="A19" s="112"/>
      <c r="B19" s="112"/>
      <c r="C19" s="1175" t="s">
        <v>1080</v>
      </c>
      <c r="D19" s="112" t="s">
        <v>1018</v>
      </c>
      <c r="E19" s="1176">
        <v>1.0999999999999999E-2</v>
      </c>
      <c r="F19" s="1177">
        <v>0</v>
      </c>
      <c r="G19" s="1178">
        <f>E19*F19</f>
        <v>0</v>
      </c>
    </row>
    <row r="20" spans="1:9" ht="48" customHeight="1">
      <c r="A20" s="347" t="s">
        <v>335</v>
      </c>
      <c r="B20" s="112"/>
      <c r="C20" s="241" t="s">
        <v>1254</v>
      </c>
      <c r="D20" s="112"/>
      <c r="E20" s="1185"/>
      <c r="F20" s="1177"/>
      <c r="G20" s="1186"/>
    </row>
    <row r="21" spans="1:9" ht="15.75" customHeight="1">
      <c r="A21" s="347">
        <v>1</v>
      </c>
      <c r="B21" s="112"/>
      <c r="C21" s="241" t="s">
        <v>1086</v>
      </c>
      <c r="D21" s="112"/>
      <c r="E21" s="1185"/>
      <c r="F21" s="1177"/>
      <c r="G21" s="1186"/>
    </row>
    <row r="22" spans="1:9" ht="18" customHeight="1">
      <c r="A22" s="112"/>
      <c r="B22" s="347" t="s">
        <v>1085</v>
      </c>
      <c r="C22" s="241" t="s">
        <v>1095</v>
      </c>
      <c r="D22" s="347" t="s">
        <v>1096</v>
      </c>
      <c r="E22" s="1185"/>
      <c r="F22" s="1189"/>
      <c r="G22" s="1188">
        <f>G23+G25</f>
        <v>937904.59000000008</v>
      </c>
    </row>
    <row r="23" spans="1:9" ht="18" customHeight="1">
      <c r="A23" s="112"/>
      <c r="B23" s="112"/>
      <c r="C23" s="340" t="s">
        <v>1070</v>
      </c>
      <c r="D23" s="112" t="s">
        <v>55</v>
      </c>
      <c r="E23" s="1176"/>
      <c r="F23" s="1177"/>
      <c r="G23" s="1187">
        <f>G24</f>
        <v>240644.54</v>
      </c>
    </row>
    <row r="24" spans="1:9" ht="18" customHeight="1">
      <c r="A24" s="112"/>
      <c r="B24" s="112"/>
      <c r="C24" s="1174" t="s">
        <v>408</v>
      </c>
      <c r="D24" s="112" t="s">
        <v>30</v>
      </c>
      <c r="E24" s="1176">
        <v>0.86199999999999999</v>
      </c>
      <c r="F24" s="1177">
        <v>279170</v>
      </c>
      <c r="G24" s="1178">
        <f>E24*F24</f>
        <v>240644.54</v>
      </c>
    </row>
    <row r="25" spans="1:9" ht="18" customHeight="1">
      <c r="A25" s="112"/>
      <c r="B25" s="112"/>
      <c r="C25" s="1174" t="s">
        <v>1078</v>
      </c>
      <c r="D25" s="112"/>
      <c r="E25" s="1176"/>
      <c r="F25" s="1177"/>
      <c r="G25" s="1179">
        <f>G26</f>
        <v>697260.05</v>
      </c>
    </row>
    <row r="26" spans="1:9" ht="18" customHeight="1">
      <c r="A26" s="112"/>
      <c r="B26" s="112"/>
      <c r="C26" s="1174" t="s">
        <v>1084</v>
      </c>
      <c r="D26" s="112" t="s">
        <v>1018</v>
      </c>
      <c r="E26" s="1176">
        <v>0.215</v>
      </c>
      <c r="F26" s="1177">
        <v>3243070</v>
      </c>
      <c r="G26" s="1178">
        <f>E26*F26</f>
        <v>697260.05</v>
      </c>
    </row>
    <row r="27" spans="1:9" ht="18" customHeight="1">
      <c r="A27" s="112"/>
      <c r="B27" s="347" t="s">
        <v>1087</v>
      </c>
      <c r="C27" s="241" t="s">
        <v>1094</v>
      </c>
      <c r="D27" s="347" t="s">
        <v>1096</v>
      </c>
      <c r="E27" s="1185"/>
      <c r="F27" s="1189"/>
      <c r="G27" s="1188">
        <f>G28+G30</f>
        <v>1205417.3900000001</v>
      </c>
    </row>
    <row r="28" spans="1:9" ht="18" customHeight="1">
      <c r="A28" s="112"/>
      <c r="B28" s="112"/>
      <c r="C28" s="340" t="s">
        <v>1070</v>
      </c>
      <c r="D28" s="112" t="s">
        <v>55</v>
      </c>
      <c r="E28" s="1176"/>
      <c r="F28" s="1177"/>
      <c r="G28" s="1187">
        <f>G29</f>
        <v>307087</v>
      </c>
    </row>
    <row r="29" spans="1:9" ht="18" customHeight="1">
      <c r="A29" s="112"/>
      <c r="B29" s="112"/>
      <c r="C29" s="1174" t="s">
        <v>408</v>
      </c>
      <c r="D29" s="112" t="s">
        <v>30</v>
      </c>
      <c r="E29" s="1176">
        <v>1.1000000000000001</v>
      </c>
      <c r="F29" s="1177">
        <v>279170</v>
      </c>
      <c r="G29" s="1178">
        <f>E29*F29</f>
        <v>307087</v>
      </c>
    </row>
    <row r="30" spans="1:9" ht="18" customHeight="1">
      <c r="A30" s="112"/>
      <c r="B30" s="112"/>
      <c r="C30" s="1174" t="s">
        <v>1078</v>
      </c>
      <c r="D30" s="112"/>
      <c r="E30" s="1176"/>
      <c r="F30" s="1177"/>
      <c r="G30" s="1179">
        <f>G31</f>
        <v>898330.39000000013</v>
      </c>
    </row>
    <row r="31" spans="1:9" ht="18" customHeight="1">
      <c r="A31" s="112"/>
      <c r="B31" s="112"/>
      <c r="C31" s="1174" t="s">
        <v>1084</v>
      </c>
      <c r="D31" s="112" t="s">
        <v>1018</v>
      </c>
      <c r="E31" s="1176">
        <v>0.27700000000000002</v>
      </c>
      <c r="F31" s="1177">
        <v>3243070</v>
      </c>
      <c r="G31" s="1178">
        <f>E31*F31</f>
        <v>898330.39000000013</v>
      </c>
    </row>
    <row r="32" spans="1:9" ht="18" customHeight="1">
      <c r="A32" s="112"/>
      <c r="B32" s="347" t="s">
        <v>1088</v>
      </c>
      <c r="C32" s="241" t="s">
        <v>1093</v>
      </c>
      <c r="D32" s="347" t="s">
        <v>1096</v>
      </c>
      <c r="E32" s="1185"/>
      <c r="F32" s="1189"/>
      <c r="G32" s="1188">
        <f>G33+G35</f>
        <v>1355882.25</v>
      </c>
    </row>
    <row r="33" spans="1:7" ht="18" customHeight="1">
      <c r="A33" s="112"/>
      <c r="B33" s="112"/>
      <c r="C33" s="340" t="s">
        <v>1070</v>
      </c>
      <c r="D33" s="112" t="s">
        <v>55</v>
      </c>
      <c r="E33" s="1176"/>
      <c r="F33" s="1177"/>
      <c r="G33" s="1187">
        <f>G34</f>
        <v>347287.48</v>
      </c>
    </row>
    <row r="34" spans="1:7" ht="18" customHeight="1">
      <c r="A34" s="112"/>
      <c r="B34" s="112"/>
      <c r="C34" s="1174" t="s">
        <v>408</v>
      </c>
      <c r="D34" s="112" t="s">
        <v>30</v>
      </c>
      <c r="E34" s="1176">
        <v>1.244</v>
      </c>
      <c r="F34" s="1177">
        <v>279170</v>
      </c>
      <c r="G34" s="1178">
        <f>E34*F34</f>
        <v>347287.48</v>
      </c>
    </row>
    <row r="35" spans="1:7" ht="18" customHeight="1">
      <c r="A35" s="112"/>
      <c r="B35" s="112"/>
      <c r="C35" s="1174" t="s">
        <v>1078</v>
      </c>
      <c r="D35" s="112"/>
      <c r="E35" s="1176"/>
      <c r="F35" s="1177"/>
      <c r="G35" s="1179">
        <f>G36</f>
        <v>1008594.77</v>
      </c>
    </row>
    <row r="36" spans="1:7" ht="18" customHeight="1">
      <c r="A36" s="112"/>
      <c r="B36" s="112"/>
      <c r="C36" s="1174" t="s">
        <v>1084</v>
      </c>
      <c r="D36" s="112" t="s">
        <v>1018</v>
      </c>
      <c r="E36" s="1176">
        <v>0.311</v>
      </c>
      <c r="F36" s="1177">
        <v>3243070</v>
      </c>
      <c r="G36" s="1178">
        <f>E36*F36</f>
        <v>1008594.77</v>
      </c>
    </row>
    <row r="37" spans="1:7" ht="18" customHeight="1">
      <c r="A37" s="112"/>
      <c r="B37" s="347" t="s">
        <v>1089</v>
      </c>
      <c r="C37" s="241" t="s">
        <v>1092</v>
      </c>
      <c r="D37" s="347" t="s">
        <v>1096</v>
      </c>
      <c r="E37" s="1185"/>
      <c r="F37" s="1189"/>
      <c r="G37" s="1188">
        <f>G38+G40</f>
        <v>1486674.75</v>
      </c>
    </row>
    <row r="38" spans="1:7" ht="18" customHeight="1">
      <c r="A38" s="112"/>
      <c r="B38" s="112"/>
      <c r="C38" s="340" t="s">
        <v>1070</v>
      </c>
      <c r="D38" s="112" t="s">
        <v>55</v>
      </c>
      <c r="E38" s="1176"/>
      <c r="F38" s="1177"/>
      <c r="G38" s="1187">
        <f>G39</f>
        <v>380787.88</v>
      </c>
    </row>
    <row r="39" spans="1:7" ht="18" customHeight="1">
      <c r="A39" s="112"/>
      <c r="B39" s="112"/>
      <c r="C39" s="1174" t="s">
        <v>408</v>
      </c>
      <c r="D39" s="112" t="s">
        <v>30</v>
      </c>
      <c r="E39" s="1176">
        <v>1.3640000000000001</v>
      </c>
      <c r="F39" s="1177">
        <v>279170</v>
      </c>
      <c r="G39" s="1178">
        <f>E39*F39</f>
        <v>380787.88</v>
      </c>
    </row>
    <row r="40" spans="1:7" ht="18" customHeight="1">
      <c r="A40" s="112"/>
      <c r="B40" s="112"/>
      <c r="C40" s="1174" t="s">
        <v>1078</v>
      </c>
      <c r="D40" s="112"/>
      <c r="E40" s="1176"/>
      <c r="F40" s="1177"/>
      <c r="G40" s="1179">
        <f>G41</f>
        <v>1105886.8700000001</v>
      </c>
    </row>
    <row r="41" spans="1:7" ht="18" customHeight="1">
      <c r="A41" s="112"/>
      <c r="B41" s="112"/>
      <c r="C41" s="1174" t="s">
        <v>1084</v>
      </c>
      <c r="D41" s="112" t="s">
        <v>1018</v>
      </c>
      <c r="E41" s="1176">
        <v>0.34100000000000003</v>
      </c>
      <c r="F41" s="1177">
        <v>3243070</v>
      </c>
      <c r="G41" s="1178">
        <f>E41*F41</f>
        <v>1105886.8700000001</v>
      </c>
    </row>
    <row r="42" spans="1:7" ht="21.75" customHeight="1">
      <c r="A42" s="112">
        <v>2</v>
      </c>
      <c r="B42" s="112"/>
      <c r="C42" s="1151" t="s">
        <v>1090</v>
      </c>
      <c r="D42" s="112"/>
      <c r="E42" s="1185"/>
      <c r="F42" s="1177"/>
      <c r="G42" s="1186"/>
    </row>
    <row r="43" spans="1:7" ht="19.5" customHeight="1">
      <c r="A43" s="112"/>
      <c r="B43" s="347" t="s">
        <v>1091</v>
      </c>
      <c r="C43" s="1151" t="s">
        <v>1048</v>
      </c>
      <c r="D43" s="318" t="s">
        <v>1096</v>
      </c>
      <c r="E43" s="1185"/>
      <c r="F43" s="1189"/>
      <c r="G43" s="1186"/>
    </row>
    <row r="44" spans="1:7" ht="18" customHeight="1">
      <c r="A44" s="112"/>
      <c r="B44" s="112"/>
      <c r="C44" s="340" t="s">
        <v>1070</v>
      </c>
      <c r="D44" s="112" t="s">
        <v>55</v>
      </c>
      <c r="E44" s="1176"/>
      <c r="F44" s="1177"/>
      <c r="G44" s="1187">
        <f>G45</f>
        <v>244813.57199999999</v>
      </c>
    </row>
    <row r="45" spans="1:7" ht="18" customHeight="1">
      <c r="A45" s="112"/>
      <c r="B45" s="112"/>
      <c r="C45" s="1174" t="s">
        <v>1099</v>
      </c>
      <c r="D45" s="112" t="s">
        <v>30</v>
      </c>
      <c r="E45" s="1176">
        <v>0.95399999999999996</v>
      </c>
      <c r="F45" s="1177">
        <v>256618</v>
      </c>
      <c r="G45" s="1178">
        <f>E45*F45</f>
        <v>244813.57199999999</v>
      </c>
    </row>
    <row r="46" spans="1:7" ht="18" customHeight="1">
      <c r="A46" s="112"/>
      <c r="B46" s="112"/>
      <c r="C46" s="340" t="s">
        <v>1074</v>
      </c>
      <c r="D46" s="112" t="s">
        <v>55</v>
      </c>
      <c r="E46" s="1176"/>
      <c r="F46" s="1177"/>
      <c r="G46" s="1187">
        <f>G47</f>
        <v>771850.65999999992</v>
      </c>
    </row>
    <row r="47" spans="1:7" ht="18" customHeight="1">
      <c r="A47" s="112"/>
      <c r="B47" s="112"/>
      <c r="C47" s="340" t="s">
        <v>1098</v>
      </c>
      <c r="D47" s="112" t="s">
        <v>1018</v>
      </c>
      <c r="E47" s="1176">
        <v>0.23799999999999999</v>
      </c>
      <c r="F47" s="1177">
        <v>3243070</v>
      </c>
      <c r="G47" s="1178">
        <f>E47*F47</f>
        <v>771850.65999999992</v>
      </c>
    </row>
    <row r="48" spans="1:7" ht="18" customHeight="1">
      <c r="A48" s="112"/>
      <c r="B48" s="347" t="s">
        <v>1097</v>
      </c>
      <c r="C48" s="1151" t="s">
        <v>1100</v>
      </c>
      <c r="D48" s="318" t="s">
        <v>1096</v>
      </c>
      <c r="E48" s="1185"/>
      <c r="F48" s="1189"/>
      <c r="G48" s="1188">
        <f>G49+G51</f>
        <v>1310492.7760000001</v>
      </c>
    </row>
    <row r="49" spans="1:7" ht="18" customHeight="1">
      <c r="A49" s="112"/>
      <c r="B49" s="112"/>
      <c r="C49" s="340" t="s">
        <v>1070</v>
      </c>
      <c r="D49" s="112" t="s">
        <v>55</v>
      </c>
      <c r="E49" s="1176"/>
      <c r="F49" s="1177"/>
      <c r="G49" s="1187">
        <f>G50</f>
        <v>314870.28600000002</v>
      </c>
    </row>
    <row r="50" spans="1:7" ht="18" customHeight="1">
      <c r="A50" s="112"/>
      <c r="B50" s="112"/>
      <c r="C50" s="1174" t="s">
        <v>1099</v>
      </c>
      <c r="D50" s="112" t="s">
        <v>30</v>
      </c>
      <c r="E50" s="1176">
        <v>1.2270000000000001</v>
      </c>
      <c r="F50" s="1177">
        <v>256618</v>
      </c>
      <c r="G50" s="1178">
        <f>E50*F50</f>
        <v>314870.28600000002</v>
      </c>
    </row>
    <row r="51" spans="1:7" ht="15" customHeight="1">
      <c r="A51" s="112"/>
      <c r="B51" s="112"/>
      <c r="C51" s="340" t="s">
        <v>1074</v>
      </c>
      <c r="D51" s="112" t="s">
        <v>55</v>
      </c>
      <c r="E51" s="1176"/>
      <c r="F51" s="1177"/>
      <c r="G51" s="1187">
        <f>G52</f>
        <v>995622.49</v>
      </c>
    </row>
    <row r="52" spans="1:7" ht="18" customHeight="1">
      <c r="A52" s="112"/>
      <c r="B52" s="112"/>
      <c r="C52" s="340" t="s">
        <v>1098</v>
      </c>
      <c r="D52" s="112" t="s">
        <v>1018</v>
      </c>
      <c r="E52" s="1176">
        <v>0.307</v>
      </c>
      <c r="F52" s="1177">
        <v>3243070</v>
      </c>
      <c r="G52" s="1178">
        <f>E52*F52</f>
        <v>995622.49</v>
      </c>
    </row>
    <row r="53" spans="1:7" ht="18" customHeight="1">
      <c r="A53" s="112"/>
      <c r="B53" s="347" t="s">
        <v>1101</v>
      </c>
      <c r="C53" s="1151" t="s">
        <v>1049</v>
      </c>
      <c r="D53" s="318" t="s">
        <v>1096</v>
      </c>
      <c r="E53" s="1185"/>
      <c r="F53" s="1189"/>
      <c r="G53" s="1188">
        <f>G54+G56</f>
        <v>1456170.4400000002</v>
      </c>
    </row>
    <row r="54" spans="1:7" ht="18" customHeight="1">
      <c r="A54" s="112"/>
      <c r="B54" s="112"/>
      <c r="C54" s="340" t="s">
        <v>1070</v>
      </c>
      <c r="D54" s="112" t="s">
        <v>55</v>
      </c>
      <c r="E54" s="1176"/>
      <c r="F54" s="1177"/>
      <c r="G54" s="1187">
        <f>G55</f>
        <v>350283.57</v>
      </c>
    </row>
    <row r="55" spans="1:7" ht="18" customHeight="1">
      <c r="A55" s="112"/>
      <c r="B55" s="112"/>
      <c r="C55" s="1174" t="s">
        <v>1099</v>
      </c>
      <c r="D55" s="112" t="s">
        <v>30</v>
      </c>
      <c r="E55" s="1176">
        <v>1.365</v>
      </c>
      <c r="F55" s="1177">
        <v>256618</v>
      </c>
      <c r="G55" s="1178">
        <f>E55*F55</f>
        <v>350283.57</v>
      </c>
    </row>
    <row r="56" spans="1:7" ht="18" customHeight="1">
      <c r="A56" s="112"/>
      <c r="B56" s="112"/>
      <c r="C56" s="340" t="s">
        <v>1074</v>
      </c>
      <c r="D56" s="112" t="s">
        <v>55</v>
      </c>
      <c r="E56" s="1176"/>
      <c r="F56" s="1177"/>
      <c r="G56" s="1187">
        <f>G57</f>
        <v>1105886.8700000001</v>
      </c>
    </row>
    <row r="57" spans="1:7" ht="18" customHeight="1">
      <c r="A57" s="112"/>
      <c r="B57" s="112"/>
      <c r="C57" s="340" t="s">
        <v>1098</v>
      </c>
      <c r="D57" s="112" t="s">
        <v>1018</v>
      </c>
      <c r="E57" s="1176">
        <v>0.34100000000000003</v>
      </c>
      <c r="F57" s="1177">
        <v>3243070</v>
      </c>
      <c r="G57" s="1178">
        <f>E57*F57</f>
        <v>1105886.8700000001</v>
      </c>
    </row>
    <row r="58" spans="1:7" ht="18" customHeight="1">
      <c r="A58" s="112"/>
      <c r="B58" s="347" t="s">
        <v>1102</v>
      </c>
      <c r="C58" s="1151" t="s">
        <v>1103</v>
      </c>
      <c r="D58" s="318" t="s">
        <v>1096</v>
      </c>
      <c r="E58" s="1185"/>
      <c r="F58" s="1189"/>
      <c r="G58" s="1188">
        <f>G59+G61</f>
        <v>1600821.632</v>
      </c>
    </row>
    <row r="59" spans="1:7" ht="18" customHeight="1">
      <c r="A59" s="112"/>
      <c r="B59" s="112"/>
      <c r="C59" s="340" t="s">
        <v>1070</v>
      </c>
      <c r="D59" s="112" t="s">
        <v>55</v>
      </c>
      <c r="E59" s="1176"/>
      <c r="F59" s="1177"/>
      <c r="G59" s="1187">
        <f>G60</f>
        <v>384670.38200000004</v>
      </c>
    </row>
    <row r="60" spans="1:7" ht="18" customHeight="1">
      <c r="A60" s="112"/>
      <c r="B60" s="112"/>
      <c r="C60" s="1174" t="s">
        <v>1099</v>
      </c>
      <c r="D60" s="112" t="s">
        <v>30</v>
      </c>
      <c r="E60" s="1176">
        <v>1.4990000000000001</v>
      </c>
      <c r="F60" s="1177">
        <v>256618</v>
      </c>
      <c r="G60" s="1178">
        <f>E60*F60</f>
        <v>384670.38200000004</v>
      </c>
    </row>
    <row r="61" spans="1:7" ht="18" customHeight="1">
      <c r="A61" s="112"/>
      <c r="B61" s="112"/>
      <c r="C61" s="340" t="s">
        <v>1074</v>
      </c>
      <c r="D61" s="112" t="s">
        <v>55</v>
      </c>
      <c r="E61" s="1176"/>
      <c r="F61" s="1177"/>
      <c r="G61" s="1187">
        <f>G62</f>
        <v>1216151.25</v>
      </c>
    </row>
    <row r="62" spans="1:7" ht="18" customHeight="1">
      <c r="A62" s="112"/>
      <c r="B62" s="112"/>
      <c r="C62" s="340" t="s">
        <v>1098</v>
      </c>
      <c r="D62" s="112" t="s">
        <v>1018</v>
      </c>
      <c r="E62" s="1176">
        <v>0.375</v>
      </c>
      <c r="F62" s="1177">
        <v>3243070</v>
      </c>
      <c r="G62" s="1178">
        <f>E62*F62</f>
        <v>1216151.25</v>
      </c>
    </row>
    <row r="63" spans="1:7" ht="18" customHeight="1">
      <c r="A63" s="112">
        <v>3</v>
      </c>
      <c r="B63" s="112"/>
      <c r="C63" s="1151" t="s">
        <v>1104</v>
      </c>
      <c r="D63" s="112"/>
      <c r="E63" s="1176"/>
      <c r="F63" s="1177"/>
      <c r="G63" s="1187"/>
    </row>
    <row r="64" spans="1:7" ht="19.5" customHeight="1">
      <c r="A64" s="112"/>
      <c r="B64" s="347" t="s">
        <v>1105</v>
      </c>
      <c r="C64" s="1151" t="s">
        <v>324</v>
      </c>
      <c r="D64" s="318" t="s">
        <v>1096</v>
      </c>
      <c r="E64" s="1185"/>
      <c r="F64" s="1189"/>
      <c r="G64" s="1188">
        <f>G65+G67</f>
        <v>604106.78200000001</v>
      </c>
    </row>
    <row r="65" spans="1:7" ht="18" customHeight="1">
      <c r="A65" s="112"/>
      <c r="B65" s="112"/>
      <c r="C65" s="340" t="s">
        <v>1070</v>
      </c>
      <c r="D65" s="112" t="s">
        <v>55</v>
      </c>
      <c r="E65" s="1176"/>
      <c r="F65" s="1177"/>
      <c r="G65" s="1187">
        <f>G66</f>
        <v>130618.56200000001</v>
      </c>
    </row>
    <row r="66" spans="1:7" ht="18" customHeight="1">
      <c r="A66" s="112"/>
      <c r="B66" s="112"/>
      <c r="C66" s="1174" t="s">
        <v>1099</v>
      </c>
      <c r="D66" s="112" t="s">
        <v>30</v>
      </c>
      <c r="E66" s="1176">
        <v>0.50900000000000001</v>
      </c>
      <c r="F66" s="1177">
        <v>256618</v>
      </c>
      <c r="G66" s="1178">
        <f>E66*F66</f>
        <v>130618.56200000001</v>
      </c>
    </row>
    <row r="67" spans="1:7" ht="18" customHeight="1">
      <c r="A67" s="112"/>
      <c r="B67" s="112"/>
      <c r="C67" s="340" t="s">
        <v>1074</v>
      </c>
      <c r="D67" s="112" t="s">
        <v>55</v>
      </c>
      <c r="E67" s="1176"/>
      <c r="F67" s="1177"/>
      <c r="G67" s="1187">
        <f>G68</f>
        <v>473488.22</v>
      </c>
    </row>
    <row r="68" spans="1:7" ht="18" customHeight="1">
      <c r="A68" s="112"/>
      <c r="B68" s="112"/>
      <c r="C68" s="340" t="s">
        <v>1098</v>
      </c>
      <c r="D68" s="112" t="s">
        <v>1018</v>
      </c>
      <c r="E68" s="1176">
        <v>0.14599999999999999</v>
      </c>
      <c r="F68" s="1177">
        <v>3243070</v>
      </c>
      <c r="G68" s="1178">
        <f>E68*F68</f>
        <v>473488.22</v>
      </c>
    </row>
    <row r="69" spans="1:7" ht="18" customHeight="1">
      <c r="A69" s="112"/>
      <c r="B69" s="347" t="s">
        <v>1106</v>
      </c>
      <c r="C69" s="1151" t="s">
        <v>1107</v>
      </c>
      <c r="D69" s="318" t="s">
        <v>1096</v>
      </c>
      <c r="E69" s="1185"/>
      <c r="F69" s="1189"/>
      <c r="G69" s="1188">
        <f>G70+G72</f>
        <v>749178.24599999993</v>
      </c>
    </row>
    <row r="70" spans="1:7" ht="18" customHeight="1">
      <c r="A70" s="112"/>
      <c r="B70" s="112"/>
      <c r="C70" s="340" t="s">
        <v>1070</v>
      </c>
      <c r="D70" s="112" t="s">
        <v>55</v>
      </c>
      <c r="E70" s="1176"/>
      <c r="F70" s="1177"/>
      <c r="G70" s="1187">
        <f>G71</f>
        <v>162182.576</v>
      </c>
    </row>
    <row r="71" spans="1:7" ht="18" customHeight="1">
      <c r="A71" s="112"/>
      <c r="B71" s="112"/>
      <c r="C71" s="1174" t="s">
        <v>1099</v>
      </c>
      <c r="D71" s="112" t="s">
        <v>30</v>
      </c>
      <c r="E71" s="1176">
        <v>0.63200000000000001</v>
      </c>
      <c r="F71" s="1177">
        <v>256618</v>
      </c>
      <c r="G71" s="1178">
        <f>E71*F71</f>
        <v>162182.576</v>
      </c>
    </row>
    <row r="72" spans="1:7" ht="18" customHeight="1">
      <c r="A72" s="112"/>
      <c r="B72" s="112"/>
      <c r="C72" s="340" t="s">
        <v>1074</v>
      </c>
      <c r="D72" s="112" t="s">
        <v>55</v>
      </c>
      <c r="E72" s="1176"/>
      <c r="F72" s="1177"/>
      <c r="G72" s="1187">
        <f>G73</f>
        <v>586995.66999999993</v>
      </c>
    </row>
    <row r="73" spans="1:7" ht="18" customHeight="1">
      <c r="A73" s="112"/>
      <c r="B73" s="112"/>
      <c r="C73" s="340" t="s">
        <v>1098</v>
      </c>
      <c r="D73" s="112" t="s">
        <v>1018</v>
      </c>
      <c r="E73" s="1176">
        <v>0.18099999999999999</v>
      </c>
      <c r="F73" s="1177">
        <v>3243070</v>
      </c>
      <c r="G73" s="1178">
        <f>E73*F73</f>
        <v>586995.66999999993</v>
      </c>
    </row>
    <row r="74" spans="1:7" ht="18" customHeight="1">
      <c r="A74" s="112"/>
      <c r="B74" s="347" t="s">
        <v>1108</v>
      </c>
      <c r="C74" s="1151" t="s">
        <v>325</v>
      </c>
      <c r="D74" s="318" t="s">
        <v>1096</v>
      </c>
      <c r="E74" s="1185"/>
      <c r="F74" s="1189"/>
      <c r="G74" s="1188">
        <f>G75+G77</f>
        <v>819964.13399999996</v>
      </c>
    </row>
    <row r="75" spans="1:7" ht="18" customHeight="1">
      <c r="A75" s="112"/>
      <c r="B75" s="112"/>
      <c r="C75" s="340" t="s">
        <v>1070</v>
      </c>
      <c r="D75" s="112" t="s">
        <v>55</v>
      </c>
      <c r="E75" s="1176"/>
      <c r="F75" s="1177"/>
      <c r="G75" s="1187">
        <f>G76</f>
        <v>177836.27399999998</v>
      </c>
    </row>
    <row r="76" spans="1:7" ht="18" customHeight="1">
      <c r="A76" s="112"/>
      <c r="B76" s="112"/>
      <c r="C76" s="1174" t="s">
        <v>1099</v>
      </c>
      <c r="D76" s="112" t="s">
        <v>30</v>
      </c>
      <c r="E76" s="1176">
        <v>0.69299999999999995</v>
      </c>
      <c r="F76" s="1177">
        <v>256618</v>
      </c>
      <c r="G76" s="1178">
        <f>E76*F76</f>
        <v>177836.27399999998</v>
      </c>
    </row>
    <row r="77" spans="1:7" ht="18" customHeight="1">
      <c r="A77" s="112"/>
      <c r="B77" s="112"/>
      <c r="C77" s="340" t="s">
        <v>1074</v>
      </c>
      <c r="D77" s="112" t="s">
        <v>55</v>
      </c>
      <c r="E77" s="1176"/>
      <c r="F77" s="1177"/>
      <c r="G77" s="1187">
        <f>G78</f>
        <v>642127.86</v>
      </c>
    </row>
    <row r="78" spans="1:7" ht="18" customHeight="1">
      <c r="A78" s="112"/>
      <c r="B78" s="112"/>
      <c r="C78" s="340" t="s">
        <v>1098</v>
      </c>
      <c r="D78" s="112" t="s">
        <v>1018</v>
      </c>
      <c r="E78" s="1176">
        <v>0.19800000000000001</v>
      </c>
      <c r="F78" s="1177">
        <v>3243070</v>
      </c>
      <c r="G78" s="1178">
        <f>E78*F78</f>
        <v>642127.86</v>
      </c>
    </row>
    <row r="79" spans="1:7" ht="18" customHeight="1">
      <c r="A79" s="112"/>
      <c r="B79" s="347" t="s">
        <v>1109</v>
      </c>
      <c r="C79" s="1151" t="s">
        <v>1110</v>
      </c>
      <c r="D79" s="318" t="s">
        <v>1096</v>
      </c>
      <c r="E79" s="1185"/>
      <c r="F79" s="1189"/>
      <c r="G79" s="1188">
        <f>G80+G82</f>
        <v>893993.09199999995</v>
      </c>
    </row>
    <row r="80" spans="1:7" ht="18" customHeight="1">
      <c r="A80" s="112"/>
      <c r="B80" s="112"/>
      <c r="C80" s="340" t="s">
        <v>1070</v>
      </c>
      <c r="D80" s="112" t="s">
        <v>55</v>
      </c>
      <c r="E80" s="1176"/>
      <c r="F80" s="1177"/>
      <c r="G80" s="1187">
        <f>G81</f>
        <v>193489.97200000001</v>
      </c>
    </row>
    <row r="81" spans="1:7" ht="18" customHeight="1">
      <c r="A81" s="112"/>
      <c r="B81" s="112"/>
      <c r="C81" s="1174" t="s">
        <v>1099</v>
      </c>
      <c r="D81" s="112" t="s">
        <v>30</v>
      </c>
      <c r="E81" s="1176">
        <v>0.754</v>
      </c>
      <c r="F81" s="1177">
        <v>256618</v>
      </c>
      <c r="G81" s="1178">
        <f>E81*F81</f>
        <v>193489.97200000001</v>
      </c>
    </row>
    <row r="82" spans="1:7" ht="18" customHeight="1">
      <c r="A82" s="112"/>
      <c r="B82" s="112"/>
      <c r="C82" s="340" t="s">
        <v>1074</v>
      </c>
      <c r="D82" s="112" t="s">
        <v>55</v>
      </c>
      <c r="E82" s="1176"/>
      <c r="F82" s="1177"/>
      <c r="G82" s="1187">
        <f>G83</f>
        <v>700503.12</v>
      </c>
    </row>
    <row r="83" spans="1:7" ht="18" customHeight="1">
      <c r="A83" s="112"/>
      <c r="B83" s="112"/>
      <c r="C83" s="340" t="s">
        <v>1098</v>
      </c>
      <c r="D83" s="112" t="s">
        <v>1018</v>
      </c>
      <c r="E83" s="1176">
        <v>0.216</v>
      </c>
      <c r="F83" s="1177">
        <v>3243070</v>
      </c>
      <c r="G83" s="1178">
        <f>E83*F83</f>
        <v>700503.12</v>
      </c>
    </row>
    <row r="84" spans="1:7" ht="18" customHeight="1">
      <c r="A84" s="347">
        <v>4</v>
      </c>
      <c r="B84" s="112"/>
      <c r="C84" s="1151" t="s">
        <v>1111</v>
      </c>
      <c r="D84" s="112"/>
      <c r="E84" s="1176"/>
      <c r="F84" s="1177"/>
      <c r="G84" s="1188"/>
    </row>
    <row r="85" spans="1:7" ht="18" customHeight="1">
      <c r="A85" s="112"/>
      <c r="B85" s="347" t="s">
        <v>1112</v>
      </c>
      <c r="C85" s="1151" t="s">
        <v>1113</v>
      </c>
      <c r="D85" s="318" t="s">
        <v>1096</v>
      </c>
      <c r="E85" s="1185"/>
      <c r="F85" s="1189"/>
      <c r="G85" s="1188">
        <f>G86+G88</f>
        <v>1268473.3099999998</v>
      </c>
    </row>
    <row r="86" spans="1:7" ht="18" customHeight="1">
      <c r="A86" s="112"/>
      <c r="B86" s="112"/>
      <c r="C86" s="340" t="s">
        <v>1070</v>
      </c>
      <c r="D86" s="112" t="s">
        <v>55</v>
      </c>
      <c r="E86" s="1176"/>
      <c r="F86" s="1177"/>
      <c r="G86" s="1187">
        <f>G87</f>
        <v>318253.8</v>
      </c>
    </row>
    <row r="87" spans="1:7" ht="18" customHeight="1">
      <c r="A87" s="112"/>
      <c r="B87" s="112"/>
      <c r="C87" s="1174" t="s">
        <v>408</v>
      </c>
      <c r="D87" s="112" t="s">
        <v>30</v>
      </c>
      <c r="E87" s="1176">
        <v>1.1399999999999999</v>
      </c>
      <c r="F87" s="1177">
        <v>279170</v>
      </c>
      <c r="G87" s="1178">
        <f>E87*F87</f>
        <v>318253.8</v>
      </c>
    </row>
    <row r="88" spans="1:7" ht="21" customHeight="1">
      <c r="A88" s="112"/>
      <c r="B88" s="112"/>
      <c r="C88" s="340" t="s">
        <v>1074</v>
      </c>
      <c r="D88" s="112" t="s">
        <v>55</v>
      </c>
      <c r="E88" s="1176"/>
      <c r="F88" s="1177"/>
      <c r="G88" s="1187">
        <f>G89</f>
        <v>950219.50999999989</v>
      </c>
    </row>
    <row r="89" spans="1:7" ht="18" customHeight="1">
      <c r="A89" s="112"/>
      <c r="B89" s="112"/>
      <c r="C89" s="340" t="s">
        <v>1098</v>
      </c>
      <c r="D89" s="112" t="s">
        <v>1018</v>
      </c>
      <c r="E89" s="1176">
        <v>0.29299999999999998</v>
      </c>
      <c r="F89" s="1177">
        <v>3243070</v>
      </c>
      <c r="G89" s="1178">
        <f>E89*F89</f>
        <v>950219.50999999989</v>
      </c>
    </row>
    <row r="90" spans="1:7" ht="18" customHeight="1">
      <c r="A90" s="112"/>
      <c r="B90" s="347" t="s">
        <v>1115</v>
      </c>
      <c r="C90" s="1151" t="s">
        <v>1114</v>
      </c>
      <c r="D90" s="318" t="s">
        <v>1096</v>
      </c>
      <c r="E90" s="1185"/>
      <c r="F90" s="1189"/>
      <c r="G90" s="1188">
        <f>G91+G93</f>
        <v>1706123.33</v>
      </c>
    </row>
    <row r="91" spans="1:7" ht="18" customHeight="1">
      <c r="A91" s="112"/>
      <c r="B91" s="112"/>
      <c r="C91" s="340" t="s">
        <v>1070</v>
      </c>
      <c r="D91" s="112" t="s">
        <v>55</v>
      </c>
      <c r="E91" s="1176"/>
      <c r="F91" s="1177"/>
      <c r="G91" s="1187">
        <f>G92</f>
        <v>431596.82</v>
      </c>
    </row>
    <row r="92" spans="1:7" ht="18" customHeight="1">
      <c r="A92" s="112"/>
      <c r="B92" s="112"/>
      <c r="C92" s="1174" t="s">
        <v>408</v>
      </c>
      <c r="D92" s="112" t="s">
        <v>30</v>
      </c>
      <c r="E92" s="1176">
        <v>1.546</v>
      </c>
      <c r="F92" s="1177">
        <v>279170</v>
      </c>
      <c r="G92" s="1178">
        <f>E92*F92</f>
        <v>431596.82</v>
      </c>
    </row>
    <row r="93" spans="1:7" ht="18" customHeight="1">
      <c r="A93" s="112"/>
      <c r="B93" s="112"/>
      <c r="C93" s="340" t="s">
        <v>1074</v>
      </c>
      <c r="D93" s="112" t="s">
        <v>55</v>
      </c>
      <c r="E93" s="1176"/>
      <c r="F93" s="1177"/>
      <c r="G93" s="1187">
        <f>G94</f>
        <v>1274526.51</v>
      </c>
    </row>
    <row r="94" spans="1:7" ht="18" customHeight="1">
      <c r="A94" s="112"/>
      <c r="B94" s="112"/>
      <c r="C94" s="340" t="s">
        <v>1098</v>
      </c>
      <c r="D94" s="112" t="s">
        <v>1018</v>
      </c>
      <c r="E94" s="1176">
        <v>0.39300000000000002</v>
      </c>
      <c r="F94" s="1177">
        <v>3243070</v>
      </c>
      <c r="G94" s="1178">
        <f>E94*F94</f>
        <v>1274526.51</v>
      </c>
    </row>
    <row r="95" spans="1:7" ht="18" customHeight="1">
      <c r="A95" s="112"/>
      <c r="B95" s="347" t="s">
        <v>1116</v>
      </c>
      <c r="C95" s="1151" t="s">
        <v>1117</v>
      </c>
      <c r="D95" s="318" t="s">
        <v>1096</v>
      </c>
      <c r="E95" s="1185"/>
      <c r="F95" s="1189"/>
      <c r="G95" s="1188">
        <f>G96+G98</f>
        <v>1956862.44</v>
      </c>
    </row>
    <row r="96" spans="1:7" ht="18" customHeight="1">
      <c r="A96" s="112"/>
      <c r="B96" s="112"/>
      <c r="C96" s="340" t="s">
        <v>1070</v>
      </c>
      <c r="D96" s="112" t="s">
        <v>55</v>
      </c>
      <c r="E96" s="1176"/>
      <c r="F96" s="1177"/>
      <c r="G96" s="1187">
        <f>G97</f>
        <v>497480.94</v>
      </c>
    </row>
    <row r="97" spans="1:7" ht="18" customHeight="1">
      <c r="A97" s="112"/>
      <c r="B97" s="112"/>
      <c r="C97" s="1174" t="s">
        <v>408</v>
      </c>
      <c r="D97" s="112" t="s">
        <v>30</v>
      </c>
      <c r="E97" s="1176">
        <v>1.782</v>
      </c>
      <c r="F97" s="1177">
        <v>279170</v>
      </c>
      <c r="G97" s="1178">
        <f>E97*F97</f>
        <v>497480.94</v>
      </c>
    </row>
    <row r="98" spans="1:7" ht="18" customHeight="1">
      <c r="A98" s="112"/>
      <c r="B98" s="112"/>
      <c r="C98" s="340" t="s">
        <v>1074</v>
      </c>
      <c r="D98" s="112" t="s">
        <v>55</v>
      </c>
      <c r="E98" s="1176"/>
      <c r="F98" s="1177"/>
      <c r="G98" s="1187">
        <f>G99</f>
        <v>1459381.5</v>
      </c>
    </row>
    <row r="99" spans="1:7" ht="18" customHeight="1">
      <c r="A99" s="112"/>
      <c r="B99" s="112"/>
      <c r="C99" s="340" t="s">
        <v>1098</v>
      </c>
      <c r="D99" s="112" t="s">
        <v>1018</v>
      </c>
      <c r="E99" s="1176">
        <v>0.45</v>
      </c>
      <c r="F99" s="1177">
        <v>3243070</v>
      </c>
      <c r="G99" s="1178">
        <f>E99*F99</f>
        <v>1459381.5</v>
      </c>
    </row>
    <row r="100" spans="1:7" ht="18" customHeight="1">
      <c r="A100" s="112"/>
      <c r="B100" s="347" t="s">
        <v>1118</v>
      </c>
      <c r="C100" s="1151" t="s">
        <v>1119</v>
      </c>
      <c r="D100" s="318" t="s">
        <v>1096</v>
      </c>
      <c r="E100" s="1185"/>
      <c r="F100" s="1189"/>
      <c r="G100" s="1188">
        <f>G101+G103</f>
        <v>2146737.25</v>
      </c>
    </row>
    <row r="101" spans="1:7" ht="18" customHeight="1">
      <c r="A101" s="112"/>
      <c r="B101" s="112"/>
      <c r="C101" s="340" t="s">
        <v>1070</v>
      </c>
      <c r="D101" s="112" t="s">
        <v>55</v>
      </c>
      <c r="E101" s="1176"/>
      <c r="F101" s="1177"/>
      <c r="G101" s="1187">
        <f>G102</f>
        <v>544660.67000000004</v>
      </c>
    </row>
    <row r="102" spans="1:7" ht="18" customHeight="1">
      <c r="A102" s="112"/>
      <c r="B102" s="112"/>
      <c r="C102" s="1174" t="s">
        <v>408</v>
      </c>
      <c r="D102" s="112" t="s">
        <v>30</v>
      </c>
      <c r="E102" s="1176">
        <v>1.9510000000000001</v>
      </c>
      <c r="F102" s="1177">
        <v>279170</v>
      </c>
      <c r="G102" s="1178">
        <f>E102*F102</f>
        <v>544660.67000000004</v>
      </c>
    </row>
    <row r="103" spans="1:7" ht="18" customHeight="1">
      <c r="A103" s="112"/>
      <c r="B103" s="112"/>
      <c r="C103" s="340" t="s">
        <v>1074</v>
      </c>
      <c r="D103" s="112" t="s">
        <v>55</v>
      </c>
      <c r="E103" s="1176"/>
      <c r="F103" s="1177"/>
      <c r="G103" s="1187">
        <f>G104</f>
        <v>1602076.58</v>
      </c>
    </row>
    <row r="104" spans="1:7" ht="18" customHeight="1">
      <c r="A104" s="112"/>
      <c r="B104" s="112"/>
      <c r="C104" s="340" t="s">
        <v>1098</v>
      </c>
      <c r="D104" s="112" t="s">
        <v>1018</v>
      </c>
      <c r="E104" s="1176">
        <v>0.49399999999999999</v>
      </c>
      <c r="F104" s="1177">
        <v>3243070</v>
      </c>
      <c r="G104" s="1178">
        <f>E104*F104</f>
        <v>1602076.58</v>
      </c>
    </row>
    <row r="105" spans="1:7" ht="18" customHeight="1">
      <c r="A105" s="347">
        <v>5</v>
      </c>
      <c r="B105" s="347" t="s">
        <v>1129</v>
      </c>
      <c r="C105" s="1151" t="s">
        <v>1120</v>
      </c>
      <c r="D105" s="112"/>
      <c r="E105" s="1176"/>
      <c r="F105" s="1177"/>
      <c r="G105" s="1178"/>
    </row>
    <row r="106" spans="1:7" ht="18" customHeight="1">
      <c r="A106" s="112"/>
      <c r="B106" s="347" t="s">
        <v>1130</v>
      </c>
      <c r="C106" s="1151" t="s">
        <v>1121</v>
      </c>
      <c r="D106" s="318" t="s">
        <v>1096</v>
      </c>
      <c r="E106" s="1190"/>
      <c r="F106" s="1189"/>
      <c r="G106" s="1188">
        <f>G107+G111</f>
        <v>1161018.8530000001</v>
      </c>
    </row>
    <row r="107" spans="1:7" ht="18" customHeight="1">
      <c r="A107" s="112"/>
      <c r="B107" s="112"/>
      <c r="C107" s="340" t="s">
        <v>48</v>
      </c>
      <c r="D107" s="112"/>
      <c r="E107" s="1176"/>
      <c r="F107" s="1177"/>
      <c r="G107" s="1179">
        <f>SUM(G108:G110)</f>
        <v>310843.41899999999</v>
      </c>
    </row>
    <row r="108" spans="1:7" ht="18" customHeight="1">
      <c r="A108" s="112"/>
      <c r="B108" s="112"/>
      <c r="C108" s="340" t="s">
        <v>1122</v>
      </c>
      <c r="D108" s="112" t="s">
        <v>31</v>
      </c>
      <c r="E108" s="1176">
        <v>1.29</v>
      </c>
      <c r="F108" s="1177">
        <v>94805</v>
      </c>
      <c r="G108" s="1178">
        <f>E108*F108</f>
        <v>122298.45</v>
      </c>
    </row>
    <row r="109" spans="1:7" ht="18" customHeight="1">
      <c r="A109" s="112"/>
      <c r="B109" s="112"/>
      <c r="C109" s="340" t="s">
        <v>1123</v>
      </c>
      <c r="D109" s="112" t="s">
        <v>31</v>
      </c>
      <c r="E109" s="1176">
        <v>0.89</v>
      </c>
      <c r="F109" s="1177">
        <v>205000</v>
      </c>
      <c r="G109" s="1178">
        <f t="shared" ref="G109:G110" si="0">E109*F109</f>
        <v>182450</v>
      </c>
    </row>
    <row r="110" spans="1:7" ht="18" customHeight="1">
      <c r="A110" s="112"/>
      <c r="B110" s="112"/>
      <c r="C110" s="340" t="s">
        <v>1072</v>
      </c>
      <c r="D110" s="112" t="s">
        <v>4</v>
      </c>
      <c r="E110" s="1176">
        <v>2</v>
      </c>
      <c r="F110" s="1177">
        <f>SUM(G108:G109)/100</f>
        <v>3047.4845</v>
      </c>
      <c r="G110" s="1178">
        <f t="shared" si="0"/>
        <v>6094.9690000000001</v>
      </c>
    </row>
    <row r="111" spans="1:7" ht="18" customHeight="1">
      <c r="A111" s="112"/>
      <c r="B111" s="112"/>
      <c r="C111" s="340" t="s">
        <v>47</v>
      </c>
      <c r="D111" s="112" t="s">
        <v>55</v>
      </c>
      <c r="E111" s="1176"/>
      <c r="F111" s="1177"/>
      <c r="G111" s="1187">
        <f>G112</f>
        <v>850175.43400000001</v>
      </c>
    </row>
    <row r="112" spans="1:7" ht="18" customHeight="1">
      <c r="A112" s="112"/>
      <c r="B112" s="112"/>
      <c r="C112" s="1174" t="s">
        <v>1099</v>
      </c>
      <c r="D112" s="112" t="s">
        <v>30</v>
      </c>
      <c r="E112" s="1176">
        <v>3.3130000000000002</v>
      </c>
      <c r="F112" s="1177">
        <v>256618</v>
      </c>
      <c r="G112" s="1178">
        <f>E112*F112</f>
        <v>850175.43400000001</v>
      </c>
    </row>
    <row r="113" spans="1:7" ht="18" customHeight="1">
      <c r="A113" s="112"/>
      <c r="B113" s="347" t="s">
        <v>1127</v>
      </c>
      <c r="C113" s="1151" t="s">
        <v>1125</v>
      </c>
      <c r="D113" s="318" t="s">
        <v>1096</v>
      </c>
      <c r="E113" s="1190"/>
      <c r="F113" s="1189"/>
      <c r="G113" s="1188">
        <f>G114+G118</f>
        <v>1426881.6971999998</v>
      </c>
    </row>
    <row r="114" spans="1:7" ht="18" customHeight="1">
      <c r="A114" s="112"/>
      <c r="B114" s="112"/>
      <c r="C114" s="340" t="s">
        <v>48</v>
      </c>
      <c r="D114" s="112"/>
      <c r="E114" s="1176"/>
      <c r="F114" s="1177"/>
      <c r="G114" s="1179">
        <f>SUM(G115:G117)</f>
        <v>422222.22719999996</v>
      </c>
    </row>
    <row r="115" spans="1:7" ht="18" customHeight="1">
      <c r="A115" s="112"/>
      <c r="B115" s="112"/>
      <c r="C115" s="340" t="s">
        <v>1122</v>
      </c>
      <c r="D115" s="112" t="s">
        <v>31</v>
      </c>
      <c r="E115" s="1176">
        <v>1.752</v>
      </c>
      <c r="F115" s="1177">
        <v>94805</v>
      </c>
      <c r="G115" s="1178">
        <f>E115*F115</f>
        <v>166098.35999999999</v>
      </c>
    </row>
    <row r="116" spans="1:7" ht="18" customHeight="1">
      <c r="A116" s="112"/>
      <c r="B116" s="112"/>
      <c r="C116" s="340" t="s">
        <v>1123</v>
      </c>
      <c r="D116" s="112" t="s">
        <v>31</v>
      </c>
      <c r="E116" s="1176">
        <v>1.2090000000000001</v>
      </c>
      <c r="F116" s="1177">
        <v>205000</v>
      </c>
      <c r="G116" s="1178">
        <f t="shared" ref="G116:G117" si="1">E116*F116</f>
        <v>247845.00000000003</v>
      </c>
    </row>
    <row r="117" spans="1:7" ht="18" customHeight="1">
      <c r="A117" s="112"/>
      <c r="B117" s="112"/>
      <c r="C117" s="340" t="s">
        <v>1072</v>
      </c>
      <c r="D117" s="112" t="s">
        <v>4</v>
      </c>
      <c r="E117" s="1176">
        <v>2</v>
      </c>
      <c r="F117" s="1177">
        <f>SUM(G115:G116)/100</f>
        <v>4139.4336000000003</v>
      </c>
      <c r="G117" s="1178">
        <f t="shared" si="1"/>
        <v>8278.8672000000006</v>
      </c>
    </row>
    <row r="118" spans="1:7" ht="18" customHeight="1">
      <c r="A118" s="112"/>
      <c r="B118" s="112"/>
      <c r="C118" s="340" t="s">
        <v>47</v>
      </c>
      <c r="D118" s="112" t="s">
        <v>55</v>
      </c>
      <c r="E118" s="1176"/>
      <c r="F118" s="1177"/>
      <c r="G118" s="1187">
        <f>G119</f>
        <v>1004659.47</v>
      </c>
    </row>
    <row r="119" spans="1:7" ht="18" customHeight="1">
      <c r="A119" s="112"/>
      <c r="B119" s="112"/>
      <c r="C119" s="1174" t="s">
        <v>1099</v>
      </c>
      <c r="D119" s="112" t="s">
        <v>30</v>
      </c>
      <c r="E119" s="1176">
        <v>3.915</v>
      </c>
      <c r="F119" s="1177">
        <v>256618</v>
      </c>
      <c r="G119" s="1178">
        <f>E119*F119</f>
        <v>1004659.47</v>
      </c>
    </row>
    <row r="120" spans="1:7" ht="18" customHeight="1">
      <c r="A120" s="112"/>
      <c r="B120" s="347" t="s">
        <v>1128</v>
      </c>
      <c r="C120" s="1151" t="s">
        <v>1126</v>
      </c>
      <c r="D120" s="318" t="s">
        <v>1096</v>
      </c>
      <c r="E120" s="1190"/>
      <c r="F120" s="1189"/>
      <c r="G120" s="1188">
        <f>G121+G125</f>
        <v>1692100.6120000002</v>
      </c>
    </row>
    <row r="121" spans="1:7" ht="18" customHeight="1">
      <c r="A121" s="112"/>
      <c r="B121" s="112"/>
      <c r="C121" s="340" t="s">
        <v>48</v>
      </c>
      <c r="D121" s="112"/>
      <c r="E121" s="1176"/>
      <c r="F121" s="1177"/>
      <c r="G121" s="1179">
        <f>SUM(G122:G124)</f>
        <v>489332.04600000003</v>
      </c>
    </row>
    <row r="122" spans="1:7" ht="18" customHeight="1">
      <c r="A122" s="112"/>
      <c r="B122" s="112"/>
      <c r="C122" s="340" t="s">
        <v>1122</v>
      </c>
      <c r="D122" s="112" t="s">
        <v>31</v>
      </c>
      <c r="E122" s="1176">
        <v>1.86</v>
      </c>
      <c r="F122" s="1177">
        <v>94805</v>
      </c>
      <c r="G122" s="1178">
        <f>E122*F122</f>
        <v>176337.30000000002</v>
      </c>
    </row>
    <row r="123" spans="1:7" ht="18" customHeight="1">
      <c r="A123" s="112"/>
      <c r="B123" s="112"/>
      <c r="C123" s="340" t="s">
        <v>1123</v>
      </c>
      <c r="D123" s="112" t="s">
        <v>31</v>
      </c>
      <c r="E123" s="1176">
        <v>1.48</v>
      </c>
      <c r="F123" s="1177">
        <v>205000</v>
      </c>
      <c r="G123" s="1178">
        <f t="shared" ref="G123:G124" si="2">E123*F123</f>
        <v>303400</v>
      </c>
    </row>
    <row r="124" spans="1:7" ht="18" customHeight="1">
      <c r="A124" s="112"/>
      <c r="B124" s="112"/>
      <c r="C124" s="340" t="s">
        <v>1072</v>
      </c>
      <c r="D124" s="112" t="s">
        <v>4</v>
      </c>
      <c r="E124" s="1176">
        <v>2</v>
      </c>
      <c r="F124" s="1177">
        <f>SUM(G122:G123)/100</f>
        <v>4797.3730000000005</v>
      </c>
      <c r="G124" s="1178">
        <f t="shared" si="2"/>
        <v>9594.746000000001</v>
      </c>
    </row>
    <row r="125" spans="1:7" ht="18" customHeight="1">
      <c r="A125" s="112"/>
      <c r="B125" s="112"/>
      <c r="C125" s="340" t="s">
        <v>47</v>
      </c>
      <c r="D125" s="112" t="s">
        <v>55</v>
      </c>
      <c r="E125" s="1176"/>
      <c r="F125" s="1177"/>
      <c r="G125" s="1187">
        <f>G126</f>
        <v>1202768.5660000001</v>
      </c>
    </row>
    <row r="126" spans="1:7" ht="18" customHeight="1">
      <c r="A126" s="112"/>
      <c r="B126" s="112"/>
      <c r="C126" s="1174" t="s">
        <v>1099</v>
      </c>
      <c r="D126" s="112" t="s">
        <v>30</v>
      </c>
      <c r="E126" s="1176">
        <v>4.6870000000000003</v>
      </c>
      <c r="F126" s="1177">
        <v>256618</v>
      </c>
      <c r="G126" s="1178">
        <f>E126*F126</f>
        <v>1202768.5660000001</v>
      </c>
    </row>
    <row r="127" spans="1:7" ht="18" customHeight="1">
      <c r="A127" s="112"/>
      <c r="B127" s="347" t="s">
        <v>1131</v>
      </c>
      <c r="C127" s="1151" t="s">
        <v>1132</v>
      </c>
      <c r="D127" s="318" t="s">
        <v>1096</v>
      </c>
      <c r="E127" s="1190"/>
      <c r="F127" s="1189"/>
      <c r="G127" s="1188">
        <f>G128+G132</f>
        <v>1851980.618</v>
      </c>
    </row>
    <row r="128" spans="1:7" ht="18" customHeight="1">
      <c r="A128" s="112"/>
      <c r="B128" s="112"/>
      <c r="C128" s="340" t="s">
        <v>48</v>
      </c>
      <c r="D128" s="112"/>
      <c r="E128" s="1176"/>
      <c r="F128" s="1177"/>
      <c r="G128" s="1179">
        <f>SUM(G129:G131)</f>
        <v>568890.61800000002</v>
      </c>
    </row>
    <row r="129" spans="1:7" ht="18" customHeight="1">
      <c r="A129" s="112"/>
      <c r="B129" s="112"/>
      <c r="C129" s="340" t="s">
        <v>1122</v>
      </c>
      <c r="D129" s="112" t="s">
        <v>31</v>
      </c>
      <c r="E129" s="1176">
        <v>2.38</v>
      </c>
      <c r="F129" s="1177">
        <v>94805</v>
      </c>
      <c r="G129" s="1178">
        <f>E129*F129</f>
        <v>225635.9</v>
      </c>
    </row>
    <row r="130" spans="1:7" ht="18" customHeight="1">
      <c r="A130" s="112"/>
      <c r="B130" s="112"/>
      <c r="C130" s="340" t="s">
        <v>1123</v>
      </c>
      <c r="D130" s="112" t="s">
        <v>31</v>
      </c>
      <c r="E130" s="1176">
        <v>1.62</v>
      </c>
      <c r="F130" s="1177">
        <v>205000</v>
      </c>
      <c r="G130" s="1178">
        <f t="shared" ref="G130:G131" si="3">E130*F130</f>
        <v>332100</v>
      </c>
    </row>
    <row r="131" spans="1:7" ht="18" customHeight="1">
      <c r="A131" s="112"/>
      <c r="B131" s="112"/>
      <c r="C131" s="340" t="s">
        <v>1072</v>
      </c>
      <c r="D131" s="112" t="s">
        <v>4</v>
      </c>
      <c r="E131" s="1176">
        <v>2</v>
      </c>
      <c r="F131" s="1177">
        <f>SUM(G129:G130)/100</f>
        <v>5577.3590000000004</v>
      </c>
      <c r="G131" s="1178">
        <f t="shared" si="3"/>
        <v>11154.718000000001</v>
      </c>
    </row>
    <row r="132" spans="1:7" ht="18" customHeight="1">
      <c r="A132" s="112"/>
      <c r="B132" s="112"/>
      <c r="C132" s="340" t="s">
        <v>47</v>
      </c>
      <c r="D132" s="112" t="s">
        <v>55</v>
      </c>
      <c r="E132" s="1176"/>
      <c r="F132" s="1177"/>
      <c r="G132" s="1187">
        <f>G133</f>
        <v>1283090</v>
      </c>
    </row>
    <row r="133" spans="1:7" ht="18" customHeight="1">
      <c r="A133" s="112"/>
      <c r="B133" s="112"/>
      <c r="C133" s="1174" t="s">
        <v>1099</v>
      </c>
      <c r="D133" s="112" t="s">
        <v>30</v>
      </c>
      <c r="E133" s="1176">
        <v>5</v>
      </c>
      <c r="F133" s="1177">
        <v>256618</v>
      </c>
      <c r="G133" s="1178">
        <f>E133*F133</f>
        <v>1283090</v>
      </c>
    </row>
    <row r="134" spans="1:7" ht="30.75" customHeight="1">
      <c r="A134" s="112"/>
      <c r="B134" s="347" t="s">
        <v>1139</v>
      </c>
      <c r="C134" s="241" t="s">
        <v>1137</v>
      </c>
      <c r="D134" s="318" t="s">
        <v>1096</v>
      </c>
      <c r="E134" s="1190"/>
      <c r="F134" s="1189"/>
      <c r="G134" s="1188">
        <f>G135+G141</f>
        <v>235955.386</v>
      </c>
    </row>
    <row r="135" spans="1:7" ht="18" customHeight="1">
      <c r="A135" s="112"/>
      <c r="B135" s="112"/>
      <c r="C135" s="340" t="s">
        <v>48</v>
      </c>
      <c r="D135" s="112"/>
      <c r="E135" s="1176"/>
      <c r="F135" s="1177"/>
      <c r="G135" s="1188">
        <f>SUM(G136:G140)</f>
        <v>62225</v>
      </c>
    </row>
    <row r="136" spans="1:7" ht="18" customHeight="1">
      <c r="A136" s="112"/>
      <c r="B136" s="112"/>
      <c r="C136" s="340" t="s">
        <v>1133</v>
      </c>
      <c r="D136" s="112" t="s">
        <v>17</v>
      </c>
      <c r="E136" s="1176">
        <v>1.075</v>
      </c>
      <c r="F136" s="1177">
        <v>15000</v>
      </c>
      <c r="G136" s="1178">
        <f>E136*F136</f>
        <v>16125</v>
      </c>
    </row>
    <row r="137" spans="1:7" ht="18" customHeight="1">
      <c r="A137" s="112"/>
      <c r="B137" s="112"/>
      <c r="C137" s="340" t="s">
        <v>1134</v>
      </c>
      <c r="D137" s="112" t="s">
        <v>31</v>
      </c>
      <c r="E137" s="1176">
        <v>1.075</v>
      </c>
      <c r="F137" s="1177">
        <v>15000</v>
      </c>
      <c r="G137" s="1178">
        <f t="shared" ref="G137:G139" si="4">E137*F137</f>
        <v>16125</v>
      </c>
    </row>
    <row r="138" spans="1:7" ht="18" customHeight="1">
      <c r="A138" s="112"/>
      <c r="B138" s="112"/>
      <c r="C138" s="340" t="s">
        <v>1135</v>
      </c>
      <c r="D138" s="112" t="s">
        <v>32</v>
      </c>
      <c r="E138" s="1176">
        <v>0.215</v>
      </c>
      <c r="F138" s="1177">
        <v>30000</v>
      </c>
      <c r="G138" s="1178">
        <f t="shared" si="4"/>
        <v>6450</v>
      </c>
    </row>
    <row r="139" spans="1:7" ht="18" customHeight="1">
      <c r="A139" s="112"/>
      <c r="B139" s="112"/>
      <c r="C139" s="340" t="s">
        <v>1136</v>
      </c>
      <c r="D139" s="112" t="s">
        <v>32</v>
      </c>
      <c r="E139" s="1176">
        <v>0.215</v>
      </c>
      <c r="F139" s="1177">
        <v>95000</v>
      </c>
      <c r="G139" s="1178">
        <f t="shared" si="4"/>
        <v>20425</v>
      </c>
    </row>
    <row r="140" spans="1:7" ht="18" customHeight="1">
      <c r="A140" s="112"/>
      <c r="B140" s="112"/>
      <c r="C140" s="340" t="s">
        <v>1072</v>
      </c>
      <c r="D140" s="112" t="s">
        <v>4</v>
      </c>
      <c r="E140" s="1176">
        <v>2</v>
      </c>
      <c r="F140" s="1177">
        <f>SUM(F136:F139)/100</f>
        <v>1550</v>
      </c>
      <c r="G140" s="1178">
        <f t="shared" ref="G140" si="5">E140*F140</f>
        <v>3100</v>
      </c>
    </row>
    <row r="141" spans="1:7" ht="18" customHeight="1">
      <c r="A141" s="112"/>
      <c r="B141" s="112"/>
      <c r="C141" s="340" t="s">
        <v>47</v>
      </c>
      <c r="D141" s="112" t="s">
        <v>55</v>
      </c>
      <c r="E141" s="1176"/>
      <c r="F141" s="1177"/>
      <c r="G141" s="1187">
        <f>G142</f>
        <v>173730.386</v>
      </c>
    </row>
    <row r="142" spans="1:7" ht="18" customHeight="1">
      <c r="A142" s="112"/>
      <c r="B142" s="112"/>
      <c r="C142" s="1174" t="s">
        <v>1099</v>
      </c>
      <c r="D142" s="112" t="s">
        <v>30</v>
      </c>
      <c r="E142" s="1176">
        <v>0.67700000000000005</v>
      </c>
      <c r="F142" s="1177">
        <v>256618</v>
      </c>
      <c r="G142" s="1178">
        <f>E142*F142</f>
        <v>173730.386</v>
      </c>
    </row>
    <row r="143" spans="1:7" ht="30.75" customHeight="1">
      <c r="A143" s="112"/>
      <c r="B143" s="347" t="s">
        <v>1140</v>
      </c>
      <c r="C143" s="241" t="s">
        <v>1138</v>
      </c>
      <c r="D143" s="318" t="s">
        <v>1096</v>
      </c>
      <c r="E143" s="1190"/>
      <c r="F143" s="1189"/>
      <c r="G143" s="1188">
        <f>G144+G150</f>
        <v>311631.34600000002</v>
      </c>
    </row>
    <row r="144" spans="1:7" ht="18" customHeight="1">
      <c r="A144" s="112"/>
      <c r="B144" s="112"/>
      <c r="C144" s="340" t="s">
        <v>48</v>
      </c>
      <c r="D144" s="112"/>
      <c r="E144" s="1176"/>
      <c r="F144" s="1177"/>
      <c r="G144" s="1188">
        <f>SUM(G145:G149)</f>
        <v>81445</v>
      </c>
    </row>
    <row r="145" spans="1:7" ht="18" customHeight="1">
      <c r="A145" s="112"/>
      <c r="B145" s="112"/>
      <c r="C145" s="340" t="s">
        <v>1133</v>
      </c>
      <c r="D145" s="112" t="s">
        <v>17</v>
      </c>
      <c r="E145" s="1176">
        <v>1.4239999999999999</v>
      </c>
      <c r="F145" s="1177">
        <v>15000</v>
      </c>
      <c r="G145" s="1178">
        <f>E145*F145</f>
        <v>21360</v>
      </c>
    </row>
    <row r="146" spans="1:7" ht="18" customHeight="1">
      <c r="A146" s="112"/>
      <c r="B146" s="112"/>
      <c r="C146" s="340" t="s">
        <v>1134</v>
      </c>
      <c r="D146" s="112" t="s">
        <v>31</v>
      </c>
      <c r="E146" s="1176">
        <v>1.4239999999999999</v>
      </c>
      <c r="F146" s="1177">
        <v>15000</v>
      </c>
      <c r="G146" s="1178">
        <f t="shared" ref="G146:G149" si="6">E146*F146</f>
        <v>21360</v>
      </c>
    </row>
    <row r="147" spans="1:7" ht="18" customHeight="1">
      <c r="A147" s="112"/>
      <c r="B147" s="112"/>
      <c r="C147" s="340" t="s">
        <v>1135</v>
      </c>
      <c r="D147" s="112" t="s">
        <v>32</v>
      </c>
      <c r="E147" s="1176">
        <v>0.28499999999999998</v>
      </c>
      <c r="F147" s="1177">
        <v>30000</v>
      </c>
      <c r="G147" s="1178">
        <f t="shared" si="6"/>
        <v>8550</v>
      </c>
    </row>
    <row r="148" spans="1:7" ht="18" customHeight="1">
      <c r="A148" s="112"/>
      <c r="B148" s="112"/>
      <c r="C148" s="340" t="s">
        <v>1136</v>
      </c>
      <c r="D148" s="112" t="s">
        <v>32</v>
      </c>
      <c r="E148" s="1176">
        <v>0.28499999999999998</v>
      </c>
      <c r="F148" s="1177">
        <v>95000</v>
      </c>
      <c r="G148" s="1178">
        <f t="shared" si="6"/>
        <v>27074.999999999996</v>
      </c>
    </row>
    <row r="149" spans="1:7" ht="18" customHeight="1">
      <c r="A149" s="112"/>
      <c r="B149" s="112"/>
      <c r="C149" s="340" t="s">
        <v>1072</v>
      </c>
      <c r="D149" s="112" t="s">
        <v>4</v>
      </c>
      <c r="E149" s="1176">
        <v>2</v>
      </c>
      <c r="F149" s="1177">
        <f>SUM(F145:F148)/100</f>
        <v>1550</v>
      </c>
      <c r="G149" s="1178">
        <f t="shared" si="6"/>
        <v>3100</v>
      </c>
    </row>
    <row r="150" spans="1:7" ht="18" customHeight="1">
      <c r="A150" s="112"/>
      <c r="B150" s="112"/>
      <c r="C150" s="340" t="s">
        <v>47</v>
      </c>
      <c r="D150" s="112" t="s">
        <v>55</v>
      </c>
      <c r="E150" s="1176"/>
      <c r="F150" s="1177"/>
      <c r="G150" s="1187">
        <f>G151</f>
        <v>230186.34600000002</v>
      </c>
    </row>
    <row r="151" spans="1:7" ht="18" customHeight="1">
      <c r="A151" s="112"/>
      <c r="B151" s="112"/>
      <c r="C151" s="1174" t="s">
        <v>1099</v>
      </c>
      <c r="D151" s="112" t="s">
        <v>30</v>
      </c>
      <c r="E151" s="1176">
        <v>0.89700000000000002</v>
      </c>
      <c r="F151" s="1177">
        <v>256618</v>
      </c>
      <c r="G151" s="1178">
        <f>E151*F151</f>
        <v>230186.34600000002</v>
      </c>
    </row>
    <row r="152" spans="1:7" ht="32.25" customHeight="1">
      <c r="A152" s="347">
        <v>6</v>
      </c>
      <c r="B152" s="347" t="s">
        <v>1258</v>
      </c>
      <c r="C152" s="241" t="s">
        <v>1141</v>
      </c>
      <c r="D152" s="347"/>
      <c r="E152" s="1190"/>
      <c r="F152" s="1189"/>
      <c r="G152" s="1188"/>
    </row>
    <row r="153" spans="1:7" ht="18.75" customHeight="1">
      <c r="A153" s="347"/>
      <c r="B153" s="347"/>
      <c r="C153" s="241" t="s">
        <v>1143</v>
      </c>
      <c r="D153" s="112" t="s">
        <v>1142</v>
      </c>
      <c r="E153" s="1176"/>
      <c r="F153" s="1177"/>
      <c r="G153" s="1188">
        <f>G154+G157</f>
        <v>30118.175999999999</v>
      </c>
    </row>
    <row r="154" spans="1:7" ht="18" customHeight="1">
      <c r="A154" s="112"/>
      <c r="B154" s="112"/>
      <c r="C154" s="340" t="s">
        <v>48</v>
      </c>
      <c r="D154" s="112"/>
      <c r="E154" s="1176"/>
      <c r="F154" s="1177"/>
      <c r="G154" s="1179">
        <f>SUM(G155:G156)</f>
        <v>19340.22</v>
      </c>
    </row>
    <row r="155" spans="1:7" ht="18" customHeight="1">
      <c r="A155" s="112"/>
      <c r="B155" s="112"/>
      <c r="C155" s="340" t="s">
        <v>1122</v>
      </c>
      <c r="D155" s="112" t="s">
        <v>31</v>
      </c>
      <c r="E155" s="1176">
        <v>0.2</v>
      </c>
      <c r="F155" s="1177">
        <v>94805</v>
      </c>
      <c r="G155" s="1178">
        <f>E155*F155</f>
        <v>18961</v>
      </c>
    </row>
    <row r="156" spans="1:7" ht="18" customHeight="1">
      <c r="A156" s="112"/>
      <c r="B156" s="112"/>
      <c r="C156" s="340" t="s">
        <v>1072</v>
      </c>
      <c r="D156" s="112" t="s">
        <v>4</v>
      </c>
      <c r="E156" s="1176">
        <v>2</v>
      </c>
      <c r="F156" s="1177">
        <f>G155/100</f>
        <v>189.61</v>
      </c>
      <c r="G156" s="1178">
        <f t="shared" ref="G156" si="7">E156*F156</f>
        <v>379.22</v>
      </c>
    </row>
    <row r="157" spans="1:7" ht="18" customHeight="1">
      <c r="A157" s="112"/>
      <c r="B157" s="112"/>
      <c r="C157" s="340" t="s">
        <v>47</v>
      </c>
      <c r="D157" s="112" t="s">
        <v>55</v>
      </c>
      <c r="E157" s="1176"/>
      <c r="F157" s="1177"/>
      <c r="G157" s="1187">
        <f>G158</f>
        <v>10777.956</v>
      </c>
    </row>
    <row r="158" spans="1:7" ht="18" customHeight="1">
      <c r="A158" s="112"/>
      <c r="B158" s="112"/>
      <c r="C158" s="1174" t="s">
        <v>1099</v>
      </c>
      <c r="D158" s="112" t="s">
        <v>30</v>
      </c>
      <c r="E158" s="1176">
        <v>4.2000000000000003E-2</v>
      </c>
      <c r="F158" s="1177">
        <v>256618</v>
      </c>
      <c r="G158" s="1178">
        <f>E158*F158</f>
        <v>10777.956</v>
      </c>
    </row>
    <row r="159" spans="1:7" ht="18" customHeight="1">
      <c r="A159" s="112"/>
      <c r="B159" s="112"/>
      <c r="C159" s="241" t="s">
        <v>1144</v>
      </c>
      <c r="D159" s="112" t="s">
        <v>1142</v>
      </c>
      <c r="E159" s="1176"/>
      <c r="F159" s="1177"/>
      <c r="G159" s="1188">
        <f>G160+G163</f>
        <v>32241.845399999998</v>
      </c>
    </row>
    <row r="160" spans="1:7" ht="18" customHeight="1">
      <c r="A160" s="112"/>
      <c r="B160" s="112"/>
      <c r="C160" s="340" t="s">
        <v>48</v>
      </c>
      <c r="D160" s="112"/>
      <c r="E160" s="1176"/>
      <c r="F160" s="1177"/>
      <c r="G160" s="1179">
        <f>SUM(G161:G162)</f>
        <v>20694.035400000001</v>
      </c>
    </row>
    <row r="161" spans="1:7" ht="18" customHeight="1">
      <c r="A161" s="112"/>
      <c r="B161" s="112"/>
      <c r="C161" s="340" t="s">
        <v>1122</v>
      </c>
      <c r="D161" s="112" t="s">
        <v>31</v>
      </c>
      <c r="E161" s="1176">
        <v>0.214</v>
      </c>
      <c r="F161" s="1177">
        <v>94805</v>
      </c>
      <c r="G161" s="1178">
        <f>E161*F161</f>
        <v>20288.27</v>
      </c>
    </row>
    <row r="162" spans="1:7" ht="18" customHeight="1">
      <c r="A162" s="112"/>
      <c r="B162" s="112"/>
      <c r="C162" s="340" t="s">
        <v>1072</v>
      </c>
      <c r="D162" s="112" t="s">
        <v>4</v>
      </c>
      <c r="E162" s="1176">
        <v>2</v>
      </c>
      <c r="F162" s="1177">
        <f>G161/100</f>
        <v>202.8827</v>
      </c>
      <c r="G162" s="1178">
        <f t="shared" ref="G162" si="8">E162*F162</f>
        <v>405.7654</v>
      </c>
    </row>
    <row r="163" spans="1:7" ht="18" customHeight="1">
      <c r="A163" s="112"/>
      <c r="B163" s="112"/>
      <c r="C163" s="340" t="s">
        <v>47</v>
      </c>
      <c r="D163" s="112" t="s">
        <v>55</v>
      </c>
      <c r="E163" s="1176"/>
      <c r="F163" s="1177"/>
      <c r="G163" s="1187">
        <f>G164</f>
        <v>11547.81</v>
      </c>
    </row>
    <row r="164" spans="1:7" ht="18" customHeight="1">
      <c r="A164" s="112"/>
      <c r="B164" s="112"/>
      <c r="C164" s="1174" t="s">
        <v>1099</v>
      </c>
      <c r="D164" s="112" t="s">
        <v>30</v>
      </c>
      <c r="E164" s="1176">
        <v>4.4999999999999998E-2</v>
      </c>
      <c r="F164" s="1177">
        <v>256618</v>
      </c>
      <c r="G164" s="1178">
        <f>E164*F164</f>
        <v>11547.81</v>
      </c>
    </row>
    <row r="165" spans="1:7" ht="18" customHeight="1">
      <c r="A165" s="112"/>
      <c r="B165" s="112"/>
      <c r="C165" s="241" t="s">
        <v>1145</v>
      </c>
      <c r="D165" s="112" t="s">
        <v>1142</v>
      </c>
      <c r="E165" s="1176"/>
      <c r="F165" s="1177"/>
      <c r="G165" s="1188">
        <f>G166+G169</f>
        <v>34365.514800000004</v>
      </c>
    </row>
    <row r="166" spans="1:7" ht="18" customHeight="1">
      <c r="A166" s="112"/>
      <c r="B166" s="112"/>
      <c r="C166" s="340" t="s">
        <v>48</v>
      </c>
      <c r="D166" s="112"/>
      <c r="E166" s="1176"/>
      <c r="F166" s="1177"/>
      <c r="G166" s="1179">
        <f>SUM(G167:G168)</f>
        <v>22047.8508</v>
      </c>
    </row>
    <row r="167" spans="1:7" ht="18" customHeight="1">
      <c r="A167" s="112"/>
      <c r="B167" s="112"/>
      <c r="C167" s="340" t="s">
        <v>1122</v>
      </c>
      <c r="D167" s="112" t="s">
        <v>31</v>
      </c>
      <c r="E167" s="1176">
        <v>0.22800000000000001</v>
      </c>
      <c r="F167" s="1177">
        <v>94805</v>
      </c>
      <c r="G167" s="1178">
        <f>E167*F167</f>
        <v>21615.54</v>
      </c>
    </row>
    <row r="168" spans="1:7" ht="18" customHeight="1">
      <c r="A168" s="112"/>
      <c r="B168" s="112"/>
      <c r="C168" s="340" t="s">
        <v>1072</v>
      </c>
      <c r="D168" s="112" t="s">
        <v>4</v>
      </c>
      <c r="E168" s="1176">
        <v>2</v>
      </c>
      <c r="F168" s="1177">
        <f>G167/100</f>
        <v>216.15540000000001</v>
      </c>
      <c r="G168" s="1178">
        <f t="shared" ref="G168" si="9">E168*F168</f>
        <v>432.31080000000003</v>
      </c>
    </row>
    <row r="169" spans="1:7" ht="18" customHeight="1">
      <c r="A169" s="112"/>
      <c r="B169" s="112"/>
      <c r="C169" s="340" t="s">
        <v>47</v>
      </c>
      <c r="D169" s="112" t="s">
        <v>55</v>
      </c>
      <c r="E169" s="1176"/>
      <c r="F169" s="1177"/>
      <c r="G169" s="1187">
        <f>G170</f>
        <v>12317.664000000001</v>
      </c>
    </row>
    <row r="170" spans="1:7" ht="18" customHeight="1">
      <c r="A170" s="112"/>
      <c r="B170" s="112"/>
      <c r="C170" s="1174" t="s">
        <v>1099</v>
      </c>
      <c r="D170" s="112" t="s">
        <v>30</v>
      </c>
      <c r="E170" s="1176">
        <v>4.8000000000000001E-2</v>
      </c>
      <c r="F170" s="1177">
        <v>256618</v>
      </c>
      <c r="G170" s="1178">
        <f>E170*F170</f>
        <v>12317.664000000001</v>
      </c>
    </row>
    <row r="171" spans="1:7" ht="18" customHeight="1">
      <c r="A171" s="112"/>
      <c r="B171" s="112"/>
      <c r="C171" s="241" t="s">
        <v>1146</v>
      </c>
      <c r="D171" s="112" t="s">
        <v>1142</v>
      </c>
      <c r="E171" s="1176"/>
      <c r="F171" s="1177"/>
      <c r="G171" s="1188">
        <f>G172+G175</f>
        <v>37616.112099999998</v>
      </c>
    </row>
    <row r="172" spans="1:7" ht="18" customHeight="1">
      <c r="A172" s="112"/>
      <c r="B172" s="112"/>
      <c r="C172" s="340" t="s">
        <v>48</v>
      </c>
      <c r="D172" s="112"/>
      <c r="E172" s="1176"/>
      <c r="F172" s="1177"/>
      <c r="G172" s="1179">
        <f>SUM(G173:G174)</f>
        <v>24271.9761</v>
      </c>
    </row>
    <row r="173" spans="1:7" ht="18" customHeight="1">
      <c r="A173" s="112"/>
      <c r="B173" s="112"/>
      <c r="C173" s="340" t="s">
        <v>1122</v>
      </c>
      <c r="D173" s="112" t="s">
        <v>31</v>
      </c>
      <c r="E173" s="1176">
        <v>0.251</v>
      </c>
      <c r="F173" s="1177">
        <v>94805</v>
      </c>
      <c r="G173" s="1178">
        <f>E173*F173</f>
        <v>23796.055</v>
      </c>
    </row>
    <row r="174" spans="1:7" ht="18" customHeight="1">
      <c r="A174" s="112"/>
      <c r="B174" s="112"/>
      <c r="C174" s="340" t="s">
        <v>1072</v>
      </c>
      <c r="D174" s="112" t="s">
        <v>4</v>
      </c>
      <c r="E174" s="1176">
        <v>2</v>
      </c>
      <c r="F174" s="1177">
        <f>G173/100</f>
        <v>237.96055000000001</v>
      </c>
      <c r="G174" s="1178">
        <f t="shared" ref="G174" si="10">E174*F174</f>
        <v>475.92110000000002</v>
      </c>
    </row>
    <row r="175" spans="1:7" ht="18" customHeight="1">
      <c r="A175" s="112"/>
      <c r="B175" s="112"/>
      <c r="C175" s="340" t="s">
        <v>47</v>
      </c>
      <c r="D175" s="112" t="s">
        <v>55</v>
      </c>
      <c r="E175" s="1176"/>
      <c r="F175" s="1177"/>
      <c r="G175" s="1187">
        <f>G176</f>
        <v>13344.135999999999</v>
      </c>
    </row>
    <row r="176" spans="1:7" ht="18" customHeight="1">
      <c r="A176" s="112"/>
      <c r="B176" s="112"/>
      <c r="C176" s="1174" t="s">
        <v>1099</v>
      </c>
      <c r="D176" s="112" t="s">
        <v>30</v>
      </c>
      <c r="E176" s="1176">
        <v>5.1999999999999998E-2</v>
      </c>
      <c r="F176" s="1177">
        <v>256618</v>
      </c>
      <c r="G176" s="1178">
        <f>E176*F176</f>
        <v>13344.135999999999</v>
      </c>
    </row>
    <row r="177" spans="1:7" ht="18.75" customHeight="1">
      <c r="A177" s="347">
        <v>7</v>
      </c>
      <c r="B177" s="347"/>
      <c r="C177" s="241" t="s">
        <v>1147</v>
      </c>
      <c r="D177" s="112"/>
      <c r="E177" s="1176"/>
      <c r="F177" s="1177"/>
      <c r="G177" s="1178"/>
    </row>
    <row r="178" spans="1:7" ht="18" customHeight="1">
      <c r="A178" s="112"/>
      <c r="B178" s="347" t="s">
        <v>1259</v>
      </c>
      <c r="C178" s="1151" t="s">
        <v>1148</v>
      </c>
      <c r="D178" s="347" t="s">
        <v>1149</v>
      </c>
      <c r="E178" s="1176"/>
      <c r="F178" s="1177"/>
      <c r="G178" s="1188">
        <f>G179+G183</f>
        <v>439351.02309999993</v>
      </c>
    </row>
    <row r="179" spans="1:7" ht="18" customHeight="1">
      <c r="A179" s="112"/>
      <c r="B179" s="112"/>
      <c r="C179" s="340" t="s">
        <v>48</v>
      </c>
      <c r="D179" s="112"/>
      <c r="E179" s="1176"/>
      <c r="F179" s="1177"/>
      <c r="G179" s="1179">
        <f>SUM(G180:G182)</f>
        <v>168105.79709999997</v>
      </c>
    </row>
    <row r="180" spans="1:7" ht="18" customHeight="1">
      <c r="A180" s="112"/>
      <c r="B180" s="112"/>
      <c r="C180" s="340" t="s">
        <v>1122</v>
      </c>
      <c r="D180" s="112" t="s">
        <v>31</v>
      </c>
      <c r="E180" s="1176">
        <v>0.36099999999999999</v>
      </c>
      <c r="F180" s="1177">
        <v>94805</v>
      </c>
      <c r="G180" s="1178">
        <f>E180*F180</f>
        <v>34224.604999999996</v>
      </c>
    </row>
    <row r="181" spans="1:7" ht="18" customHeight="1">
      <c r="A181" s="112"/>
      <c r="B181" s="112"/>
      <c r="C181" s="340" t="s">
        <v>1123</v>
      </c>
      <c r="D181" s="112" t="s">
        <v>31</v>
      </c>
      <c r="E181" s="1176">
        <v>0.63700000000000001</v>
      </c>
      <c r="F181" s="1177">
        <v>205000</v>
      </c>
      <c r="G181" s="1178">
        <f t="shared" ref="G181:G182" si="11">E181*F181</f>
        <v>130585</v>
      </c>
    </row>
    <row r="182" spans="1:7" ht="18" customHeight="1">
      <c r="A182" s="112"/>
      <c r="B182" s="112"/>
      <c r="C182" s="340" t="s">
        <v>1072</v>
      </c>
      <c r="D182" s="112" t="s">
        <v>4</v>
      </c>
      <c r="E182" s="1176">
        <v>2</v>
      </c>
      <c r="F182" s="1177">
        <f>SUM(G180:G181)/100</f>
        <v>1648.0960499999999</v>
      </c>
      <c r="G182" s="1178">
        <f t="shared" si="11"/>
        <v>3296.1920999999998</v>
      </c>
    </row>
    <row r="183" spans="1:7" ht="18" customHeight="1">
      <c r="A183" s="112"/>
      <c r="B183" s="112"/>
      <c r="C183" s="340" t="s">
        <v>47</v>
      </c>
      <c r="D183" s="112" t="s">
        <v>55</v>
      </c>
      <c r="E183" s="1176"/>
      <c r="F183" s="1177"/>
      <c r="G183" s="1187">
        <f>G184</f>
        <v>271245.22599999997</v>
      </c>
    </row>
    <row r="184" spans="1:7" ht="18" customHeight="1">
      <c r="A184" s="112"/>
      <c r="B184" s="112"/>
      <c r="C184" s="1174" t="s">
        <v>1099</v>
      </c>
      <c r="D184" s="112" t="s">
        <v>30</v>
      </c>
      <c r="E184" s="1176">
        <v>1.0569999999999999</v>
      </c>
      <c r="F184" s="1177">
        <v>256618</v>
      </c>
      <c r="G184" s="1178">
        <f>E184*F184</f>
        <v>271245.22599999997</v>
      </c>
    </row>
    <row r="185" spans="1:7" ht="18" customHeight="1">
      <c r="A185" s="112"/>
      <c r="B185" s="347" t="s">
        <v>1152</v>
      </c>
      <c r="C185" s="1151" t="s">
        <v>1150</v>
      </c>
      <c r="D185" s="347" t="s">
        <v>1149</v>
      </c>
      <c r="E185" s="1176"/>
      <c r="F185" s="1177"/>
      <c r="G185" s="1188">
        <f>G186+G190</f>
        <v>219860.02000000002</v>
      </c>
    </row>
    <row r="186" spans="1:7" ht="18" customHeight="1">
      <c r="A186" s="112"/>
      <c r="B186" s="112"/>
      <c r="C186" s="340" t="s">
        <v>48</v>
      </c>
      <c r="D186" s="112"/>
      <c r="E186" s="1176"/>
      <c r="F186" s="1177"/>
      <c r="G186" s="1179">
        <f>SUM(G187:G189)</f>
        <v>84109.097999999998</v>
      </c>
    </row>
    <row r="187" spans="1:7" ht="18" customHeight="1">
      <c r="A187" s="112"/>
      <c r="B187" s="112"/>
      <c r="C187" s="340" t="s">
        <v>1122</v>
      </c>
      <c r="D187" s="112" t="s">
        <v>31</v>
      </c>
      <c r="E187" s="1176">
        <v>0.18</v>
      </c>
      <c r="F187" s="1177">
        <v>94805</v>
      </c>
      <c r="G187" s="1178">
        <f>E187*F187</f>
        <v>17064.899999999998</v>
      </c>
    </row>
    <row r="188" spans="1:7" ht="18" customHeight="1">
      <c r="A188" s="112"/>
      <c r="B188" s="112"/>
      <c r="C188" s="340" t="s">
        <v>1123</v>
      </c>
      <c r="D188" s="112" t="s">
        <v>31</v>
      </c>
      <c r="E188" s="1176">
        <v>0.31900000000000001</v>
      </c>
      <c r="F188" s="1177">
        <v>205000</v>
      </c>
      <c r="G188" s="1178">
        <f t="shared" ref="G188:G189" si="12">E188*F188</f>
        <v>65395</v>
      </c>
    </row>
    <row r="189" spans="1:7" ht="18" customHeight="1">
      <c r="A189" s="112"/>
      <c r="B189" s="112"/>
      <c r="C189" s="340" t="s">
        <v>1072</v>
      </c>
      <c r="D189" s="112" t="s">
        <v>4</v>
      </c>
      <c r="E189" s="1176">
        <v>2</v>
      </c>
      <c r="F189" s="1177">
        <f>SUM(G187:G188)/100</f>
        <v>824.59899999999993</v>
      </c>
      <c r="G189" s="1178">
        <f t="shared" si="12"/>
        <v>1649.1979999999999</v>
      </c>
    </row>
    <row r="190" spans="1:7" ht="18" customHeight="1">
      <c r="A190" s="112"/>
      <c r="B190" s="112"/>
      <c r="C190" s="340" t="s">
        <v>47</v>
      </c>
      <c r="D190" s="112" t="s">
        <v>55</v>
      </c>
      <c r="E190" s="1176"/>
      <c r="F190" s="1177"/>
      <c r="G190" s="1187">
        <f>G191</f>
        <v>135750.92200000002</v>
      </c>
    </row>
    <row r="191" spans="1:7" ht="18" customHeight="1">
      <c r="A191" s="112"/>
      <c r="B191" s="112"/>
      <c r="C191" s="1174" t="s">
        <v>1099</v>
      </c>
      <c r="D191" s="112" t="s">
        <v>30</v>
      </c>
      <c r="E191" s="1176">
        <v>0.52900000000000003</v>
      </c>
      <c r="F191" s="1177">
        <v>256618</v>
      </c>
      <c r="G191" s="1178">
        <f>E191*F191</f>
        <v>135750.92200000002</v>
      </c>
    </row>
    <row r="192" spans="1:7" ht="33" customHeight="1">
      <c r="A192" s="112"/>
      <c r="B192" s="347" t="s">
        <v>1151</v>
      </c>
      <c r="C192" s="241" t="s">
        <v>1171</v>
      </c>
      <c r="D192" s="347" t="s">
        <v>1149</v>
      </c>
      <c r="E192" s="1176"/>
      <c r="F192" s="1177"/>
      <c r="G192" s="1188">
        <f>G193+G197</f>
        <v>469702.06459999998</v>
      </c>
    </row>
    <row r="193" spans="1:7" ht="18" customHeight="1">
      <c r="A193" s="112"/>
      <c r="B193" s="112"/>
      <c r="C193" s="340" t="s">
        <v>48</v>
      </c>
      <c r="D193" s="112"/>
      <c r="E193" s="1176"/>
      <c r="F193" s="1177"/>
      <c r="G193" s="1179">
        <f>SUM(G194:G196)</f>
        <v>179723.72460000002</v>
      </c>
    </row>
    <row r="194" spans="1:7" ht="18" customHeight="1">
      <c r="A194" s="112"/>
      <c r="B194" s="112"/>
      <c r="C194" s="340" t="s">
        <v>1122</v>
      </c>
      <c r="D194" s="112" t="s">
        <v>31</v>
      </c>
      <c r="E194" s="1176">
        <v>0.38600000000000001</v>
      </c>
      <c r="F194" s="1177">
        <v>94805</v>
      </c>
      <c r="G194" s="1178">
        <f>E194*F194</f>
        <v>36594.730000000003</v>
      </c>
    </row>
    <row r="195" spans="1:7" ht="18" customHeight="1">
      <c r="A195" s="112"/>
      <c r="B195" s="112"/>
      <c r="C195" s="340" t="s">
        <v>1123</v>
      </c>
      <c r="D195" s="112" t="s">
        <v>31</v>
      </c>
      <c r="E195" s="1176">
        <v>0.68100000000000005</v>
      </c>
      <c r="F195" s="1177">
        <v>205000</v>
      </c>
      <c r="G195" s="1178">
        <f t="shared" ref="G195:G196" si="13">E195*F195</f>
        <v>139605</v>
      </c>
    </row>
    <row r="196" spans="1:7" ht="18" customHeight="1">
      <c r="A196" s="112"/>
      <c r="B196" s="112"/>
      <c r="C196" s="340" t="s">
        <v>1072</v>
      </c>
      <c r="D196" s="112" t="s">
        <v>4</v>
      </c>
      <c r="E196" s="1176">
        <v>2</v>
      </c>
      <c r="F196" s="1177">
        <f>SUM(G194:G195)/100</f>
        <v>1761.9973</v>
      </c>
      <c r="G196" s="1178">
        <f t="shared" si="13"/>
        <v>3523.9946</v>
      </c>
    </row>
    <row r="197" spans="1:7" ht="18" customHeight="1">
      <c r="A197" s="112"/>
      <c r="B197" s="112"/>
      <c r="C197" s="340" t="s">
        <v>47</v>
      </c>
      <c r="D197" s="112" t="s">
        <v>55</v>
      </c>
      <c r="E197" s="1176"/>
      <c r="F197" s="1177"/>
      <c r="G197" s="1187">
        <f>G198</f>
        <v>289978.33999999997</v>
      </c>
    </row>
    <row r="198" spans="1:7" ht="18" customHeight="1">
      <c r="A198" s="112"/>
      <c r="B198" s="112"/>
      <c r="C198" s="1174" t="s">
        <v>1099</v>
      </c>
      <c r="D198" s="112" t="s">
        <v>30</v>
      </c>
      <c r="E198" s="1176">
        <v>1.1299999999999999</v>
      </c>
      <c r="F198" s="1177">
        <v>256618</v>
      </c>
      <c r="G198" s="1178">
        <f>E198*F198</f>
        <v>289978.33999999997</v>
      </c>
    </row>
    <row r="199" spans="1:7" ht="18" customHeight="1">
      <c r="A199" s="347">
        <v>8</v>
      </c>
      <c r="B199" s="347" t="s">
        <v>1154</v>
      </c>
      <c r="C199" s="1151" t="s">
        <v>1260</v>
      </c>
      <c r="D199" s="347" t="s">
        <v>1153</v>
      </c>
      <c r="E199" s="1176"/>
      <c r="F199" s="1177"/>
      <c r="G199" s="1188">
        <f>G200+G204</f>
        <v>24602.083999999999</v>
      </c>
    </row>
    <row r="200" spans="1:7" ht="18" customHeight="1">
      <c r="A200" s="112"/>
      <c r="B200" s="112"/>
      <c r="C200" s="340" t="s">
        <v>48</v>
      </c>
      <c r="D200" s="112"/>
      <c r="E200" s="1176"/>
      <c r="F200" s="1177"/>
      <c r="G200" s="1179">
        <f>SUM(G201:G203)</f>
        <v>9461.6219999999994</v>
      </c>
    </row>
    <row r="201" spans="1:7" ht="18" customHeight="1">
      <c r="A201" s="112"/>
      <c r="B201" s="112"/>
      <c r="C201" s="340" t="s">
        <v>1122</v>
      </c>
      <c r="D201" s="112" t="s">
        <v>31</v>
      </c>
      <c r="E201" s="1176">
        <v>0.02</v>
      </c>
      <c r="F201" s="1177">
        <v>94805</v>
      </c>
      <c r="G201" s="1178">
        <f>E201*F201</f>
        <v>1896.1000000000001</v>
      </c>
    </row>
    <row r="202" spans="1:7" ht="18" customHeight="1">
      <c r="A202" s="112"/>
      <c r="B202" s="112"/>
      <c r="C202" s="340" t="s">
        <v>1123</v>
      </c>
      <c r="D202" s="112" t="s">
        <v>31</v>
      </c>
      <c r="E202" s="1176">
        <v>3.5999999999999997E-2</v>
      </c>
      <c r="F202" s="1177">
        <v>205000</v>
      </c>
      <c r="G202" s="1178">
        <f t="shared" ref="G202:G203" si="14">E202*F202</f>
        <v>7379.9999999999991</v>
      </c>
    </row>
    <row r="203" spans="1:7" ht="18" customHeight="1">
      <c r="A203" s="112"/>
      <c r="B203" s="112"/>
      <c r="C203" s="340" t="s">
        <v>1072</v>
      </c>
      <c r="D203" s="112" t="s">
        <v>4</v>
      </c>
      <c r="E203" s="1176">
        <v>2</v>
      </c>
      <c r="F203" s="1177">
        <f>SUM(G201:G202)/100</f>
        <v>92.760999999999981</v>
      </c>
      <c r="G203" s="1178">
        <f t="shared" si="14"/>
        <v>185.52199999999996</v>
      </c>
    </row>
    <row r="204" spans="1:7" ht="18" customHeight="1">
      <c r="A204" s="112"/>
      <c r="B204" s="112"/>
      <c r="C204" s="340" t="s">
        <v>47</v>
      </c>
      <c r="D204" s="112" t="s">
        <v>55</v>
      </c>
      <c r="E204" s="1176"/>
      <c r="F204" s="1177"/>
      <c r="G204" s="1187">
        <f>G205</f>
        <v>15140.462</v>
      </c>
    </row>
    <row r="205" spans="1:7" ht="18" customHeight="1">
      <c r="A205" s="112"/>
      <c r="B205" s="112"/>
      <c r="C205" s="1174" t="s">
        <v>1099</v>
      </c>
      <c r="D205" s="112" t="s">
        <v>30</v>
      </c>
      <c r="E205" s="1176">
        <v>5.8999999999999997E-2</v>
      </c>
      <c r="F205" s="1177">
        <v>256618</v>
      </c>
      <c r="G205" s="1178">
        <f>E205*F205</f>
        <v>15140.462</v>
      </c>
    </row>
    <row r="206" spans="1:7" ht="18" customHeight="1">
      <c r="A206" s="347">
        <v>9</v>
      </c>
      <c r="B206" s="347"/>
      <c r="C206" s="241" t="s">
        <v>1155</v>
      </c>
      <c r="D206" s="112"/>
      <c r="E206" s="1176"/>
      <c r="F206" s="1177"/>
      <c r="G206" s="1178"/>
    </row>
    <row r="207" spans="1:7" ht="18" customHeight="1">
      <c r="A207" s="112"/>
      <c r="B207" s="347" t="s">
        <v>1159</v>
      </c>
      <c r="C207" s="1151" t="s">
        <v>1156</v>
      </c>
      <c r="D207" s="347" t="s">
        <v>1157</v>
      </c>
      <c r="E207" s="1176"/>
      <c r="F207" s="1177"/>
      <c r="G207" s="1188">
        <f>G208+G212</f>
        <v>432573.92849999998</v>
      </c>
    </row>
    <row r="208" spans="1:7" ht="18" customHeight="1">
      <c r="A208" s="112"/>
      <c r="B208" s="112"/>
      <c r="C208" s="340" t="s">
        <v>48</v>
      </c>
      <c r="D208" s="112"/>
      <c r="E208" s="1176"/>
      <c r="F208" s="1177"/>
      <c r="G208" s="1179">
        <f>SUM(G209:G211)</f>
        <v>165434.59049999999</v>
      </c>
    </row>
    <row r="209" spans="1:7" ht="18" customHeight="1">
      <c r="A209" s="112"/>
      <c r="B209" s="112"/>
      <c r="C209" s="340" t="s">
        <v>1122</v>
      </c>
      <c r="D209" s="112" t="s">
        <v>31</v>
      </c>
      <c r="E209" s="1176">
        <v>0.35499999999999998</v>
      </c>
      <c r="F209" s="1177">
        <v>94805</v>
      </c>
      <c r="G209" s="1178">
        <f>E209*F209</f>
        <v>33655.775000000001</v>
      </c>
    </row>
    <row r="210" spans="1:7" ht="18" customHeight="1">
      <c r="A210" s="112"/>
      <c r="B210" s="112"/>
      <c r="C210" s="340" t="s">
        <v>1123</v>
      </c>
      <c r="D210" s="112" t="s">
        <v>31</v>
      </c>
      <c r="E210" s="1176">
        <v>0.627</v>
      </c>
      <c r="F210" s="1177">
        <v>205000</v>
      </c>
      <c r="G210" s="1178">
        <f t="shared" ref="G210:G211" si="15">E210*F210</f>
        <v>128535</v>
      </c>
    </row>
    <row r="211" spans="1:7" ht="18" customHeight="1">
      <c r="A211" s="112"/>
      <c r="B211" s="112"/>
      <c r="C211" s="340" t="s">
        <v>1072</v>
      </c>
      <c r="D211" s="112" t="s">
        <v>4</v>
      </c>
      <c r="E211" s="1176">
        <v>2</v>
      </c>
      <c r="F211" s="1177">
        <f>SUM(G209:G210)/100</f>
        <v>1621.9077499999999</v>
      </c>
      <c r="G211" s="1178">
        <f t="shared" si="15"/>
        <v>3243.8154999999997</v>
      </c>
    </row>
    <row r="212" spans="1:7" ht="18" customHeight="1">
      <c r="A212" s="112"/>
      <c r="B212" s="112"/>
      <c r="C212" s="340" t="s">
        <v>47</v>
      </c>
      <c r="D212" s="112" t="s">
        <v>55</v>
      </c>
      <c r="E212" s="1176"/>
      <c r="F212" s="1177"/>
      <c r="G212" s="1187">
        <f>G213</f>
        <v>267139.33799999999</v>
      </c>
    </row>
    <row r="213" spans="1:7" ht="18" customHeight="1">
      <c r="A213" s="112"/>
      <c r="B213" s="112"/>
      <c r="C213" s="1174" t="s">
        <v>1099</v>
      </c>
      <c r="D213" s="112" t="s">
        <v>30</v>
      </c>
      <c r="E213" s="1176">
        <v>1.0409999999999999</v>
      </c>
      <c r="F213" s="1177">
        <v>256618</v>
      </c>
      <c r="G213" s="1178">
        <f>E213*F213</f>
        <v>267139.33799999999</v>
      </c>
    </row>
    <row r="214" spans="1:7" ht="18" customHeight="1">
      <c r="A214" s="112"/>
      <c r="B214" s="347" t="s">
        <v>1160</v>
      </c>
      <c r="C214" s="1151" t="s">
        <v>1158</v>
      </c>
      <c r="D214" s="347" t="s">
        <v>1157</v>
      </c>
      <c r="E214" s="1176"/>
      <c r="F214" s="1177"/>
      <c r="G214" s="1188">
        <f>G215+G219</f>
        <v>127618.84149999999</v>
      </c>
    </row>
    <row r="215" spans="1:7" ht="18" customHeight="1">
      <c r="A215" s="112"/>
      <c r="B215" s="112"/>
      <c r="C215" s="340" t="s">
        <v>48</v>
      </c>
      <c r="D215" s="112"/>
      <c r="E215" s="1176"/>
      <c r="F215" s="1177"/>
      <c r="G215" s="1179">
        <f>SUM(G216:G218)</f>
        <v>48837.1155</v>
      </c>
    </row>
    <row r="216" spans="1:7" ht="18" customHeight="1">
      <c r="A216" s="112"/>
      <c r="B216" s="112"/>
      <c r="C216" s="340" t="s">
        <v>1122</v>
      </c>
      <c r="D216" s="112" t="s">
        <v>31</v>
      </c>
      <c r="E216" s="1176">
        <v>0.105</v>
      </c>
      <c r="F216" s="1177">
        <v>94805</v>
      </c>
      <c r="G216" s="1178">
        <f>E216*F216</f>
        <v>9954.5249999999996</v>
      </c>
    </row>
    <row r="217" spans="1:7" ht="18" customHeight="1">
      <c r="A217" s="112"/>
      <c r="B217" s="112"/>
      <c r="C217" s="340" t="s">
        <v>1123</v>
      </c>
      <c r="D217" s="112" t="s">
        <v>31</v>
      </c>
      <c r="E217" s="1176">
        <v>0.185</v>
      </c>
      <c r="F217" s="1177">
        <v>205000</v>
      </c>
      <c r="G217" s="1178">
        <f t="shared" ref="G217:G218" si="16">E217*F217</f>
        <v>37925</v>
      </c>
    </row>
    <row r="218" spans="1:7" ht="18" customHeight="1">
      <c r="A218" s="112"/>
      <c r="B218" s="112"/>
      <c r="C218" s="340" t="s">
        <v>1072</v>
      </c>
      <c r="D218" s="112" t="s">
        <v>4</v>
      </c>
      <c r="E218" s="1176">
        <v>2</v>
      </c>
      <c r="F218" s="1177">
        <f>SUM(G216:G217)/100</f>
        <v>478.79525000000001</v>
      </c>
      <c r="G218" s="1178">
        <f t="shared" si="16"/>
        <v>957.59050000000002</v>
      </c>
    </row>
    <row r="219" spans="1:7" ht="18" customHeight="1">
      <c r="A219" s="112"/>
      <c r="B219" s="112"/>
      <c r="C219" s="340" t="s">
        <v>47</v>
      </c>
      <c r="D219" s="112" t="s">
        <v>55</v>
      </c>
      <c r="E219" s="1176"/>
      <c r="F219" s="1177"/>
      <c r="G219" s="1187">
        <f>G220</f>
        <v>78781.725999999995</v>
      </c>
    </row>
    <row r="220" spans="1:7" ht="18" customHeight="1">
      <c r="A220" s="112"/>
      <c r="B220" s="112"/>
      <c r="C220" s="1174" t="s">
        <v>1099</v>
      </c>
      <c r="D220" s="112" t="s">
        <v>30</v>
      </c>
      <c r="E220" s="1176">
        <v>0.307</v>
      </c>
      <c r="F220" s="1177">
        <v>256618</v>
      </c>
      <c r="G220" s="1178">
        <f>E220*F220</f>
        <v>78781.725999999995</v>
      </c>
    </row>
    <row r="221" spans="1:7" ht="18" customHeight="1">
      <c r="A221" s="347">
        <v>10</v>
      </c>
      <c r="B221" s="347" t="s">
        <v>1163</v>
      </c>
      <c r="C221" s="1151" t="s">
        <v>1161</v>
      </c>
      <c r="D221" s="112"/>
      <c r="E221" s="1176"/>
      <c r="F221" s="1177"/>
      <c r="G221" s="1178"/>
    </row>
    <row r="222" spans="1:7" ht="18" customHeight="1">
      <c r="A222" s="347"/>
      <c r="B222" s="347"/>
      <c r="C222" s="1151" t="s">
        <v>1162</v>
      </c>
      <c r="D222" s="112" t="s">
        <v>1096</v>
      </c>
      <c r="E222" s="1176"/>
      <c r="F222" s="1177"/>
      <c r="G222" s="1188">
        <f>G223+G226+G228</f>
        <v>734564.22400000005</v>
      </c>
    </row>
    <row r="223" spans="1:7" ht="18" customHeight="1">
      <c r="A223" s="112"/>
      <c r="B223" s="112"/>
      <c r="C223" s="340" t="s">
        <v>48</v>
      </c>
      <c r="D223" s="112"/>
      <c r="E223" s="1176"/>
      <c r="F223" s="1177"/>
      <c r="G223" s="1179">
        <f>SUM(G224:G225)</f>
        <v>186099</v>
      </c>
    </row>
    <row r="224" spans="1:7" ht="18" customHeight="1">
      <c r="A224" s="112"/>
      <c r="B224" s="112"/>
      <c r="C224" s="340" t="s">
        <v>1123</v>
      </c>
      <c r="D224" s="112" t="s">
        <v>31</v>
      </c>
      <c r="E224" s="1176">
        <v>0.89</v>
      </c>
      <c r="F224" s="1177">
        <v>205000</v>
      </c>
      <c r="G224" s="1178">
        <f t="shared" ref="G224:G225" si="17">E224*F224</f>
        <v>182450</v>
      </c>
    </row>
    <row r="225" spans="1:7" ht="18" customHeight="1">
      <c r="A225" s="112"/>
      <c r="B225" s="112"/>
      <c r="C225" s="340" t="s">
        <v>1072</v>
      </c>
      <c r="D225" s="112" t="s">
        <v>4</v>
      </c>
      <c r="E225" s="1176">
        <v>2</v>
      </c>
      <c r="F225" s="1177">
        <f>G224/100</f>
        <v>1824.5</v>
      </c>
      <c r="G225" s="1178">
        <f t="shared" si="17"/>
        <v>3649</v>
      </c>
    </row>
    <row r="226" spans="1:7" ht="18" customHeight="1">
      <c r="A226" s="112"/>
      <c r="B226" s="112"/>
      <c r="C226" s="340" t="s">
        <v>47</v>
      </c>
      <c r="D226" s="112" t="s">
        <v>55</v>
      </c>
      <c r="E226" s="1176"/>
      <c r="F226" s="1177"/>
      <c r="G226" s="1187">
        <f>G227</f>
        <v>94435.423999999999</v>
      </c>
    </row>
    <row r="227" spans="1:7" ht="18" customHeight="1">
      <c r="A227" s="112"/>
      <c r="B227" s="112"/>
      <c r="C227" s="1174" t="s">
        <v>1099</v>
      </c>
      <c r="D227" s="112" t="s">
        <v>30</v>
      </c>
      <c r="E227" s="1176">
        <v>0.36799999999999999</v>
      </c>
      <c r="F227" s="1177">
        <v>256618</v>
      </c>
      <c r="G227" s="1178">
        <f>E227*F227</f>
        <v>94435.423999999999</v>
      </c>
    </row>
    <row r="228" spans="1:7" ht="18" customHeight="1">
      <c r="A228" s="112"/>
      <c r="B228" s="112"/>
      <c r="C228" s="340" t="s">
        <v>1124</v>
      </c>
      <c r="D228" s="112" t="s">
        <v>55</v>
      </c>
      <c r="E228" s="1176"/>
      <c r="F228" s="1177"/>
      <c r="G228" s="1187">
        <f>G229</f>
        <v>454029.80000000005</v>
      </c>
    </row>
    <row r="229" spans="1:7" ht="18" customHeight="1">
      <c r="A229" s="112"/>
      <c r="B229" s="112"/>
      <c r="C229" s="340" t="s">
        <v>1098</v>
      </c>
      <c r="D229" s="112" t="s">
        <v>1018</v>
      </c>
      <c r="E229" s="1176">
        <v>0.14000000000000001</v>
      </c>
      <c r="F229" s="1177">
        <v>3243070</v>
      </c>
      <c r="G229" s="1178">
        <f>E229*F229</f>
        <v>454029.80000000005</v>
      </c>
    </row>
    <row r="230" spans="1:7" ht="18" customHeight="1">
      <c r="A230" s="112"/>
      <c r="B230" s="112"/>
      <c r="C230" s="1151" t="s">
        <v>1164</v>
      </c>
      <c r="D230" s="112" t="s">
        <v>1096</v>
      </c>
      <c r="E230" s="1176"/>
      <c r="F230" s="1177"/>
      <c r="G230" s="1188">
        <f>G231+G234+G236</f>
        <v>879472.66</v>
      </c>
    </row>
    <row r="231" spans="1:7" ht="18" customHeight="1">
      <c r="A231" s="112"/>
      <c r="B231" s="112"/>
      <c r="C231" s="340" t="s">
        <v>48</v>
      </c>
      <c r="D231" s="112"/>
      <c r="E231" s="1176"/>
      <c r="F231" s="1177"/>
      <c r="G231" s="1179">
        <f>SUM(G232:G233)</f>
        <v>252801.90000000002</v>
      </c>
    </row>
    <row r="232" spans="1:7" ht="18" customHeight="1">
      <c r="A232" s="112"/>
      <c r="B232" s="112"/>
      <c r="C232" s="340" t="s">
        <v>1123</v>
      </c>
      <c r="D232" s="112" t="s">
        <v>31</v>
      </c>
      <c r="E232" s="1176">
        <v>1.2090000000000001</v>
      </c>
      <c r="F232" s="1177">
        <v>205000</v>
      </c>
      <c r="G232" s="1178">
        <f t="shared" ref="G232:G233" si="18">E232*F232</f>
        <v>247845.00000000003</v>
      </c>
    </row>
    <row r="233" spans="1:7" ht="18" customHeight="1">
      <c r="A233" s="112"/>
      <c r="B233" s="112"/>
      <c r="C233" s="340" t="s">
        <v>1072</v>
      </c>
      <c r="D233" s="112" t="s">
        <v>4</v>
      </c>
      <c r="E233" s="1176">
        <v>2</v>
      </c>
      <c r="F233" s="1177">
        <f>G232/100</f>
        <v>2478.4500000000003</v>
      </c>
      <c r="G233" s="1178">
        <f t="shared" si="18"/>
        <v>4956.9000000000005</v>
      </c>
    </row>
    <row r="234" spans="1:7" ht="18" customHeight="1">
      <c r="A234" s="112"/>
      <c r="B234" s="112"/>
      <c r="C234" s="340" t="s">
        <v>47</v>
      </c>
      <c r="D234" s="112" t="s">
        <v>55</v>
      </c>
      <c r="E234" s="1176"/>
      <c r="F234" s="1177"/>
      <c r="G234" s="1187">
        <f>G235</f>
        <v>107779.56</v>
      </c>
    </row>
    <row r="235" spans="1:7" ht="18" customHeight="1">
      <c r="A235" s="112"/>
      <c r="B235" s="112"/>
      <c r="C235" s="1174" t="s">
        <v>1099</v>
      </c>
      <c r="D235" s="112" t="s">
        <v>30</v>
      </c>
      <c r="E235" s="1176">
        <v>0.42</v>
      </c>
      <c r="F235" s="1177">
        <v>256618</v>
      </c>
      <c r="G235" s="1178">
        <f>E235*F235</f>
        <v>107779.56</v>
      </c>
    </row>
    <row r="236" spans="1:7" ht="18" customHeight="1">
      <c r="A236" s="112"/>
      <c r="B236" s="112"/>
      <c r="C236" s="340" t="s">
        <v>1124</v>
      </c>
      <c r="D236" s="112" t="s">
        <v>55</v>
      </c>
      <c r="E236" s="1176"/>
      <c r="F236" s="1177"/>
      <c r="G236" s="1187">
        <f>G237</f>
        <v>518891.2</v>
      </c>
    </row>
    <row r="237" spans="1:7" ht="18" customHeight="1">
      <c r="A237" s="112"/>
      <c r="B237" s="112"/>
      <c r="C237" s="340" t="s">
        <v>1098</v>
      </c>
      <c r="D237" s="112" t="s">
        <v>1018</v>
      </c>
      <c r="E237" s="1176">
        <v>0.16</v>
      </c>
      <c r="F237" s="1177">
        <v>3243070</v>
      </c>
      <c r="G237" s="1178">
        <f>E237*F237</f>
        <v>518891.2</v>
      </c>
    </row>
    <row r="238" spans="1:7" ht="18" customHeight="1">
      <c r="A238" s="112"/>
      <c r="B238" s="112"/>
      <c r="C238" s="1151" t="s">
        <v>1165</v>
      </c>
      <c r="D238" s="112" t="s">
        <v>1096</v>
      </c>
      <c r="E238" s="1176"/>
      <c r="F238" s="1177"/>
      <c r="G238" s="1188">
        <f>G239+G242+G244</f>
        <v>955690.14400000009</v>
      </c>
    </row>
    <row r="239" spans="1:7" ht="18" customHeight="1">
      <c r="A239" s="112"/>
      <c r="B239" s="112"/>
      <c r="C239" s="340" t="s">
        <v>48</v>
      </c>
      <c r="D239" s="112"/>
      <c r="E239" s="1176"/>
      <c r="F239" s="1177"/>
      <c r="G239" s="1179">
        <f>SUM(G240:G241)</f>
        <v>309468</v>
      </c>
    </row>
    <row r="240" spans="1:7" ht="18" customHeight="1">
      <c r="A240" s="112"/>
      <c r="B240" s="112"/>
      <c r="C240" s="340" t="s">
        <v>1123</v>
      </c>
      <c r="D240" s="112" t="s">
        <v>31</v>
      </c>
      <c r="E240" s="1176">
        <v>1.48</v>
      </c>
      <c r="F240" s="1177">
        <v>205000</v>
      </c>
      <c r="G240" s="1178">
        <f t="shared" ref="G240:G241" si="19">E240*F240</f>
        <v>303400</v>
      </c>
    </row>
    <row r="241" spans="1:7" ht="18" customHeight="1">
      <c r="A241" s="112"/>
      <c r="B241" s="112"/>
      <c r="C241" s="340" t="s">
        <v>1072</v>
      </c>
      <c r="D241" s="112" t="s">
        <v>4</v>
      </c>
      <c r="E241" s="1176">
        <v>2</v>
      </c>
      <c r="F241" s="1177">
        <f>G240/100</f>
        <v>3034</v>
      </c>
      <c r="G241" s="1178">
        <f t="shared" si="19"/>
        <v>6068</v>
      </c>
    </row>
    <row r="242" spans="1:7" ht="18" customHeight="1">
      <c r="A242" s="112"/>
      <c r="B242" s="112"/>
      <c r="C242" s="340" t="s">
        <v>47</v>
      </c>
      <c r="D242" s="112" t="s">
        <v>55</v>
      </c>
      <c r="E242" s="1176"/>
      <c r="F242" s="1177"/>
      <c r="G242" s="1187">
        <f>G243</f>
        <v>111115.594</v>
      </c>
    </row>
    <row r="243" spans="1:7" ht="18" customHeight="1">
      <c r="A243" s="112"/>
      <c r="B243" s="112"/>
      <c r="C243" s="1174" t="s">
        <v>1099</v>
      </c>
      <c r="D243" s="112" t="s">
        <v>30</v>
      </c>
      <c r="E243" s="1176">
        <v>0.433</v>
      </c>
      <c r="F243" s="1177">
        <v>256618</v>
      </c>
      <c r="G243" s="1178">
        <f>E243*F243</f>
        <v>111115.594</v>
      </c>
    </row>
    <row r="244" spans="1:7" ht="18" customHeight="1">
      <c r="A244" s="112"/>
      <c r="B244" s="112"/>
      <c r="C244" s="340" t="s">
        <v>1124</v>
      </c>
      <c r="D244" s="112" t="s">
        <v>55</v>
      </c>
      <c r="E244" s="1176"/>
      <c r="F244" s="1177"/>
      <c r="G244" s="1187">
        <f>G245</f>
        <v>535106.55000000005</v>
      </c>
    </row>
    <row r="245" spans="1:7" ht="18" customHeight="1">
      <c r="A245" s="112"/>
      <c r="B245" s="112"/>
      <c r="C245" s="340" t="s">
        <v>1098</v>
      </c>
      <c r="D245" s="112" t="s">
        <v>1018</v>
      </c>
      <c r="E245" s="1176">
        <v>0.16500000000000001</v>
      </c>
      <c r="F245" s="1177">
        <v>3243070</v>
      </c>
      <c r="G245" s="1178">
        <f>E245*F245</f>
        <v>535106.55000000005</v>
      </c>
    </row>
    <row r="246" spans="1:7" ht="18" customHeight="1">
      <c r="A246" s="112"/>
      <c r="B246" s="112"/>
      <c r="C246" s="1151" t="s">
        <v>1166</v>
      </c>
      <c r="D246" s="112" t="s">
        <v>1096</v>
      </c>
      <c r="E246" s="1176"/>
      <c r="F246" s="1177"/>
      <c r="G246" s="1188">
        <f>G247+G250+G252</f>
        <v>1004515.528</v>
      </c>
    </row>
    <row r="247" spans="1:7" ht="18" customHeight="1">
      <c r="A247" s="112"/>
      <c r="B247" s="112"/>
      <c r="C247" s="340" t="s">
        <v>48</v>
      </c>
      <c r="D247" s="112"/>
      <c r="E247" s="1176"/>
      <c r="F247" s="1177"/>
      <c r="G247" s="1179">
        <f>SUM(G248:G249)</f>
        <v>338742</v>
      </c>
    </row>
    <row r="248" spans="1:7" ht="18" customHeight="1">
      <c r="A248" s="112"/>
      <c r="B248" s="112"/>
      <c r="C248" s="340" t="s">
        <v>1123</v>
      </c>
      <c r="D248" s="112" t="s">
        <v>31</v>
      </c>
      <c r="E248" s="1176">
        <v>1.62</v>
      </c>
      <c r="F248" s="1177">
        <v>205000</v>
      </c>
      <c r="G248" s="1178">
        <f t="shared" ref="G248:G249" si="20">E248*F248</f>
        <v>332100</v>
      </c>
    </row>
    <row r="249" spans="1:7" ht="18" customHeight="1">
      <c r="A249" s="112"/>
      <c r="B249" s="112"/>
      <c r="C249" s="340" t="s">
        <v>1072</v>
      </c>
      <c r="D249" s="112" t="s">
        <v>4</v>
      </c>
      <c r="E249" s="1176">
        <v>2</v>
      </c>
      <c r="F249" s="1177">
        <f>G248/100</f>
        <v>3321</v>
      </c>
      <c r="G249" s="1178">
        <f t="shared" si="20"/>
        <v>6642</v>
      </c>
    </row>
    <row r="250" spans="1:7" ht="18" customHeight="1">
      <c r="A250" s="112"/>
      <c r="B250" s="112"/>
      <c r="C250" s="340" t="s">
        <v>47</v>
      </c>
      <c r="D250" s="112" t="s">
        <v>55</v>
      </c>
      <c r="E250" s="1176"/>
      <c r="F250" s="1177"/>
      <c r="G250" s="1187">
        <f>G251</f>
        <v>114451.628</v>
      </c>
    </row>
    <row r="251" spans="1:7" ht="18" customHeight="1">
      <c r="A251" s="112"/>
      <c r="B251" s="112"/>
      <c r="C251" s="1174" t="s">
        <v>1099</v>
      </c>
      <c r="D251" s="112" t="s">
        <v>30</v>
      </c>
      <c r="E251" s="1176">
        <v>0.44600000000000001</v>
      </c>
      <c r="F251" s="1177">
        <v>256618</v>
      </c>
      <c r="G251" s="1178">
        <f>E251*F251</f>
        <v>114451.628</v>
      </c>
    </row>
    <row r="252" spans="1:7" ht="18" customHeight="1">
      <c r="A252" s="112"/>
      <c r="B252" s="112"/>
      <c r="C252" s="340" t="s">
        <v>1124</v>
      </c>
      <c r="D252" s="112" t="s">
        <v>55</v>
      </c>
      <c r="E252" s="1176"/>
      <c r="F252" s="1177"/>
      <c r="G252" s="1187">
        <f>G253</f>
        <v>551321.9</v>
      </c>
    </row>
    <row r="253" spans="1:7" ht="18" customHeight="1">
      <c r="A253" s="112"/>
      <c r="B253" s="112"/>
      <c r="C253" s="340" t="s">
        <v>1098</v>
      </c>
      <c r="D253" s="112" t="s">
        <v>1018</v>
      </c>
      <c r="E253" s="1176">
        <v>0.17</v>
      </c>
      <c r="F253" s="1177">
        <v>3243070</v>
      </c>
      <c r="G253" s="1178">
        <f>E253*F253</f>
        <v>551321.9</v>
      </c>
    </row>
    <row r="254" spans="1:7" ht="18" customHeight="1">
      <c r="A254" s="347">
        <v>11</v>
      </c>
      <c r="B254" s="347"/>
      <c r="C254" s="1151" t="s">
        <v>1168</v>
      </c>
      <c r="D254" s="112"/>
      <c r="E254" s="1176"/>
      <c r="F254" s="1177"/>
      <c r="G254" s="1178"/>
    </row>
    <row r="255" spans="1:7" ht="18" customHeight="1">
      <c r="A255" s="347"/>
      <c r="B255" s="347" t="s">
        <v>1167</v>
      </c>
      <c r="C255" s="1151" t="s">
        <v>1148</v>
      </c>
      <c r="D255" s="112" t="s">
        <v>1149</v>
      </c>
      <c r="E255" s="1176"/>
      <c r="F255" s="1177"/>
      <c r="G255" s="1188">
        <f>G256+G259</f>
        <v>251497.598</v>
      </c>
    </row>
    <row r="256" spans="1:7" ht="18" customHeight="1">
      <c r="A256" s="112"/>
      <c r="B256" s="112"/>
      <c r="C256" s="340" t="s">
        <v>48</v>
      </c>
      <c r="D256" s="112"/>
      <c r="E256" s="1176"/>
      <c r="F256" s="1177"/>
      <c r="G256" s="1179">
        <f>SUM(G257:G258)</f>
        <v>133196.70000000001</v>
      </c>
    </row>
    <row r="257" spans="1:7" ht="18" customHeight="1">
      <c r="A257" s="112"/>
      <c r="B257" s="112"/>
      <c r="C257" s="340" t="s">
        <v>1123</v>
      </c>
      <c r="D257" s="112" t="s">
        <v>31</v>
      </c>
      <c r="E257" s="1176">
        <v>0.63700000000000001</v>
      </c>
      <c r="F257" s="1177">
        <v>205000</v>
      </c>
      <c r="G257" s="1178">
        <f t="shared" ref="G257:G258" si="21">E257*F257</f>
        <v>130585</v>
      </c>
    </row>
    <row r="258" spans="1:7" ht="18" customHeight="1">
      <c r="A258" s="112"/>
      <c r="B258" s="112"/>
      <c r="C258" s="340" t="s">
        <v>1072</v>
      </c>
      <c r="D258" s="112" t="s">
        <v>4</v>
      </c>
      <c r="E258" s="1176">
        <v>2</v>
      </c>
      <c r="F258" s="1177">
        <f>G257/100</f>
        <v>1305.8499999999999</v>
      </c>
      <c r="G258" s="1178">
        <f t="shared" si="21"/>
        <v>2611.6999999999998</v>
      </c>
    </row>
    <row r="259" spans="1:7" ht="18" customHeight="1">
      <c r="A259" s="112"/>
      <c r="B259" s="112"/>
      <c r="C259" s="340" t="s">
        <v>47</v>
      </c>
      <c r="D259" s="112" t="s">
        <v>55</v>
      </c>
      <c r="E259" s="1176"/>
      <c r="F259" s="1177"/>
      <c r="G259" s="1187">
        <f>G260</f>
        <v>118300.898</v>
      </c>
    </row>
    <row r="260" spans="1:7" ht="18" customHeight="1">
      <c r="A260" s="112"/>
      <c r="B260" s="112"/>
      <c r="C260" s="1174" t="s">
        <v>1099</v>
      </c>
      <c r="D260" s="112" t="s">
        <v>30</v>
      </c>
      <c r="E260" s="1176">
        <v>0.46100000000000002</v>
      </c>
      <c r="F260" s="1177">
        <v>256618</v>
      </c>
      <c r="G260" s="1178">
        <f>E260*F260</f>
        <v>118300.898</v>
      </c>
    </row>
    <row r="261" spans="1:7" ht="18" customHeight="1">
      <c r="A261" s="112"/>
      <c r="B261" s="347" t="s">
        <v>1169</v>
      </c>
      <c r="C261" s="1151" t="s">
        <v>1150</v>
      </c>
      <c r="D261" s="112" t="s">
        <v>1149</v>
      </c>
      <c r="E261" s="1176"/>
      <c r="F261" s="1177"/>
      <c r="G261" s="1188">
        <f>G262+G265</f>
        <v>125725.04</v>
      </c>
    </row>
    <row r="262" spans="1:7" ht="18" customHeight="1">
      <c r="A262" s="112"/>
      <c r="B262" s="112"/>
      <c r="C262" s="340" t="s">
        <v>48</v>
      </c>
      <c r="D262" s="112"/>
      <c r="E262" s="1176"/>
      <c r="F262" s="1177"/>
      <c r="G262" s="1179">
        <f>SUM(G263:G264)</f>
        <v>66702.899999999994</v>
      </c>
    </row>
    <row r="263" spans="1:7" ht="18" customHeight="1">
      <c r="A263" s="112"/>
      <c r="B263" s="112"/>
      <c r="C263" s="340" t="s">
        <v>1123</v>
      </c>
      <c r="D263" s="112" t="s">
        <v>31</v>
      </c>
      <c r="E263" s="1176">
        <v>0.31900000000000001</v>
      </c>
      <c r="F263" s="1177">
        <v>205000</v>
      </c>
      <c r="G263" s="1178">
        <f t="shared" ref="G263:G264" si="22">E263*F263</f>
        <v>65395</v>
      </c>
    </row>
    <row r="264" spans="1:7" ht="18" customHeight="1">
      <c r="A264" s="112"/>
      <c r="B264" s="112"/>
      <c r="C264" s="340" t="s">
        <v>1072</v>
      </c>
      <c r="D264" s="112" t="s">
        <v>4</v>
      </c>
      <c r="E264" s="1176">
        <v>2</v>
      </c>
      <c r="F264" s="1177">
        <f>G263/100</f>
        <v>653.95000000000005</v>
      </c>
      <c r="G264" s="1178">
        <f t="shared" si="22"/>
        <v>1307.9000000000001</v>
      </c>
    </row>
    <row r="265" spans="1:7" ht="18" customHeight="1">
      <c r="A265" s="112"/>
      <c r="B265" s="112"/>
      <c r="C265" s="340" t="s">
        <v>47</v>
      </c>
      <c r="D265" s="112" t="s">
        <v>55</v>
      </c>
      <c r="E265" s="1176"/>
      <c r="F265" s="1177"/>
      <c r="G265" s="1187">
        <f>G266</f>
        <v>59022.14</v>
      </c>
    </row>
    <row r="266" spans="1:7" ht="18" customHeight="1">
      <c r="A266" s="112"/>
      <c r="B266" s="112"/>
      <c r="C266" s="1174" t="s">
        <v>1099</v>
      </c>
      <c r="D266" s="112" t="s">
        <v>30</v>
      </c>
      <c r="E266" s="1176">
        <v>0.23</v>
      </c>
      <c r="F266" s="1177">
        <v>256618</v>
      </c>
      <c r="G266" s="1178">
        <f>E266*F266</f>
        <v>59022.14</v>
      </c>
    </row>
    <row r="267" spans="1:7" ht="32.25" customHeight="1">
      <c r="A267" s="112"/>
      <c r="B267" s="347" t="s">
        <v>1170</v>
      </c>
      <c r="C267" s="241" t="s">
        <v>1171</v>
      </c>
      <c r="D267" s="112" t="s">
        <v>1149</v>
      </c>
      <c r="E267" s="1176"/>
      <c r="F267" s="1177"/>
      <c r="G267" s="1188">
        <f>G268+G271</f>
        <v>268653.15600000002</v>
      </c>
    </row>
    <row r="268" spans="1:7" ht="18" customHeight="1">
      <c r="A268" s="112"/>
      <c r="B268" s="112"/>
      <c r="C268" s="340" t="s">
        <v>48</v>
      </c>
      <c r="D268" s="112"/>
      <c r="E268" s="1176"/>
      <c r="F268" s="1177"/>
      <c r="G268" s="1179">
        <f>SUM(G269:G270)</f>
        <v>142397.1</v>
      </c>
    </row>
    <row r="269" spans="1:7" ht="18" customHeight="1">
      <c r="A269" s="112"/>
      <c r="B269" s="112"/>
      <c r="C269" s="340" t="s">
        <v>1123</v>
      </c>
      <c r="D269" s="112" t="s">
        <v>31</v>
      </c>
      <c r="E269" s="1176">
        <v>0.68100000000000005</v>
      </c>
      <c r="F269" s="1177">
        <v>205000</v>
      </c>
      <c r="G269" s="1178">
        <f t="shared" ref="G269:G270" si="23">E269*F269</f>
        <v>139605</v>
      </c>
    </row>
    <row r="270" spans="1:7" ht="18" customHeight="1">
      <c r="A270" s="112"/>
      <c r="B270" s="112"/>
      <c r="C270" s="340" t="s">
        <v>1072</v>
      </c>
      <c r="D270" s="112" t="s">
        <v>4</v>
      </c>
      <c r="E270" s="1176">
        <v>2</v>
      </c>
      <c r="F270" s="1177">
        <f>G269/100</f>
        <v>1396.05</v>
      </c>
      <c r="G270" s="1178">
        <f t="shared" si="23"/>
        <v>2792.1</v>
      </c>
    </row>
    <row r="271" spans="1:7" ht="18" customHeight="1">
      <c r="A271" s="112"/>
      <c r="B271" s="112"/>
      <c r="C271" s="340" t="s">
        <v>47</v>
      </c>
      <c r="D271" s="112" t="s">
        <v>55</v>
      </c>
      <c r="E271" s="1176"/>
      <c r="F271" s="1177"/>
      <c r="G271" s="1187">
        <f>G272</f>
        <v>126256.056</v>
      </c>
    </row>
    <row r="272" spans="1:7" ht="18" customHeight="1">
      <c r="A272" s="112"/>
      <c r="B272" s="112"/>
      <c r="C272" s="1174" t="s">
        <v>1099</v>
      </c>
      <c r="D272" s="112" t="s">
        <v>30</v>
      </c>
      <c r="E272" s="1176">
        <v>0.49199999999999999</v>
      </c>
      <c r="F272" s="1177">
        <v>256618</v>
      </c>
      <c r="G272" s="1178">
        <f>E272*F272</f>
        <v>126256.056</v>
      </c>
    </row>
    <row r="273" spans="1:7" ht="18" customHeight="1">
      <c r="A273" s="347">
        <v>12</v>
      </c>
      <c r="B273" s="347" t="s">
        <v>1172</v>
      </c>
      <c r="C273" s="1151" t="s">
        <v>1261</v>
      </c>
      <c r="D273" s="347" t="s">
        <v>1153</v>
      </c>
      <c r="E273" s="1190"/>
      <c r="F273" s="1189"/>
      <c r="G273" s="1188">
        <f>G274+G277</f>
        <v>14199.667999999998</v>
      </c>
    </row>
    <row r="274" spans="1:7" ht="18" customHeight="1">
      <c r="A274" s="112"/>
      <c r="B274" s="112"/>
      <c r="C274" s="340" t="s">
        <v>48</v>
      </c>
      <c r="D274" s="112"/>
      <c r="E274" s="1176"/>
      <c r="F274" s="1177"/>
      <c r="G274" s="1179">
        <f>SUM(G275:G276)</f>
        <v>7527.5999999999995</v>
      </c>
    </row>
    <row r="275" spans="1:7" ht="18" customHeight="1">
      <c r="A275" s="112"/>
      <c r="B275" s="112"/>
      <c r="C275" s="340" t="s">
        <v>1123</v>
      </c>
      <c r="D275" s="112" t="s">
        <v>31</v>
      </c>
      <c r="E275" s="1176">
        <v>3.5999999999999997E-2</v>
      </c>
      <c r="F275" s="1177">
        <v>205000</v>
      </c>
      <c r="G275" s="1178">
        <f t="shared" ref="G275:G276" si="24">E275*F275</f>
        <v>7379.9999999999991</v>
      </c>
    </row>
    <row r="276" spans="1:7" ht="18" customHeight="1">
      <c r="A276" s="112"/>
      <c r="B276" s="112"/>
      <c r="C276" s="340" t="s">
        <v>1072</v>
      </c>
      <c r="D276" s="112" t="s">
        <v>4</v>
      </c>
      <c r="E276" s="1176">
        <v>2</v>
      </c>
      <c r="F276" s="1177">
        <f>G275/100</f>
        <v>73.8</v>
      </c>
      <c r="G276" s="1178">
        <f t="shared" si="24"/>
        <v>147.6</v>
      </c>
    </row>
    <row r="277" spans="1:7" ht="18" customHeight="1">
      <c r="A277" s="112"/>
      <c r="B277" s="112"/>
      <c r="C277" s="340" t="s">
        <v>47</v>
      </c>
      <c r="D277" s="112" t="s">
        <v>55</v>
      </c>
      <c r="E277" s="1176"/>
      <c r="F277" s="1177"/>
      <c r="G277" s="1187">
        <f>G278</f>
        <v>6672.0679999999993</v>
      </c>
    </row>
    <row r="278" spans="1:7" ht="18" customHeight="1">
      <c r="A278" s="112"/>
      <c r="B278" s="112"/>
      <c r="C278" s="1174" t="s">
        <v>1099</v>
      </c>
      <c r="D278" s="112" t="s">
        <v>30</v>
      </c>
      <c r="E278" s="1176">
        <v>2.5999999999999999E-2</v>
      </c>
      <c r="F278" s="1177">
        <v>256618</v>
      </c>
      <c r="G278" s="1178">
        <f>E278*F278</f>
        <v>6672.0679999999993</v>
      </c>
    </row>
    <row r="279" spans="1:7" ht="28.5" customHeight="1">
      <c r="A279" s="347">
        <v>13</v>
      </c>
      <c r="B279" s="112"/>
      <c r="C279" s="1181" t="s">
        <v>1173</v>
      </c>
      <c r="D279" s="112"/>
      <c r="E279" s="1176"/>
      <c r="F279" s="1177"/>
      <c r="G279" s="1178"/>
    </row>
    <row r="280" spans="1:7" ht="18" customHeight="1">
      <c r="A280" s="112"/>
      <c r="B280" s="347" t="s">
        <v>1174</v>
      </c>
      <c r="C280" s="1180" t="s">
        <v>1175</v>
      </c>
      <c r="D280" s="112" t="s">
        <v>1177</v>
      </c>
      <c r="E280" s="1176"/>
      <c r="F280" s="1177"/>
      <c r="G280" s="1188">
        <f>G281+G285+G287</f>
        <v>581255.84329999995</v>
      </c>
    </row>
    <row r="281" spans="1:7" ht="18" customHeight="1">
      <c r="A281" s="112"/>
      <c r="B281" s="112"/>
      <c r="C281" s="340" t="s">
        <v>48</v>
      </c>
      <c r="D281" s="112"/>
      <c r="E281" s="1176"/>
      <c r="F281" s="1177"/>
      <c r="G281" s="1179">
        <f>SUM(G282:G284)</f>
        <v>187640.6433</v>
      </c>
    </row>
    <row r="282" spans="1:7" ht="18" customHeight="1">
      <c r="A282" s="112"/>
      <c r="B282" s="112"/>
      <c r="C282" s="340" t="s">
        <v>1122</v>
      </c>
      <c r="D282" s="112" t="s">
        <v>31</v>
      </c>
      <c r="E282" s="1176">
        <v>0.40300000000000002</v>
      </c>
      <c r="F282" s="1177">
        <v>94805</v>
      </c>
      <c r="G282" s="1178">
        <f>E282*F282</f>
        <v>38206.415000000001</v>
      </c>
    </row>
    <row r="283" spans="1:7" ht="18" customHeight="1">
      <c r="A283" s="112"/>
      <c r="B283" s="112"/>
      <c r="C283" s="340" t="s">
        <v>1123</v>
      </c>
      <c r="D283" s="112" t="s">
        <v>31</v>
      </c>
      <c r="E283" s="1176">
        <v>0.71099999999999997</v>
      </c>
      <c r="F283" s="1177">
        <v>205000</v>
      </c>
      <c r="G283" s="1178">
        <f t="shared" ref="G283:G284" si="25">E283*F283</f>
        <v>145755</v>
      </c>
    </row>
    <row r="284" spans="1:7" ht="18" customHeight="1">
      <c r="A284" s="112"/>
      <c r="B284" s="112"/>
      <c r="C284" s="340" t="s">
        <v>1072</v>
      </c>
      <c r="D284" s="112" t="s">
        <v>4</v>
      </c>
      <c r="E284" s="1176">
        <v>2</v>
      </c>
      <c r="F284" s="1177">
        <f>SUM(G282:G283)/100</f>
        <v>1839.6141500000001</v>
      </c>
      <c r="G284" s="1178">
        <f t="shared" si="25"/>
        <v>3679.2283000000002</v>
      </c>
    </row>
    <row r="285" spans="1:7" ht="18" customHeight="1">
      <c r="A285" s="112"/>
      <c r="B285" s="112"/>
      <c r="C285" s="340" t="s">
        <v>47</v>
      </c>
      <c r="D285" s="112" t="s">
        <v>55</v>
      </c>
      <c r="E285" s="1176"/>
      <c r="F285" s="275"/>
      <c r="G285" s="1179">
        <f>G286</f>
        <v>302809.24</v>
      </c>
    </row>
    <row r="286" spans="1:7" ht="18" customHeight="1">
      <c r="A286" s="112"/>
      <c r="B286" s="112"/>
      <c r="C286" s="1174" t="s">
        <v>1099</v>
      </c>
      <c r="D286" s="112" t="s">
        <v>30</v>
      </c>
      <c r="E286" s="1176">
        <v>1.18</v>
      </c>
      <c r="F286" s="1177">
        <v>256618</v>
      </c>
      <c r="G286" s="1191">
        <f>E286*F286</f>
        <v>302809.24</v>
      </c>
    </row>
    <row r="287" spans="1:7" ht="18" customHeight="1">
      <c r="A287" s="112"/>
      <c r="B287" s="112"/>
      <c r="C287" s="340" t="s">
        <v>1124</v>
      </c>
      <c r="D287" s="112" t="s">
        <v>55</v>
      </c>
      <c r="E287" s="1176"/>
      <c r="F287" s="275"/>
      <c r="G287" s="1179">
        <f>G288</f>
        <v>90805.96</v>
      </c>
    </row>
    <row r="288" spans="1:7" ht="18" customHeight="1">
      <c r="A288" s="112"/>
      <c r="B288" s="112"/>
      <c r="C288" s="340" t="s">
        <v>1098</v>
      </c>
      <c r="D288" s="112" t="s">
        <v>1018</v>
      </c>
      <c r="E288" s="1176">
        <v>2.8000000000000001E-2</v>
      </c>
      <c r="F288" s="1177">
        <v>3243070</v>
      </c>
      <c r="G288" s="1178">
        <f>E288*F288</f>
        <v>90805.96</v>
      </c>
    </row>
    <row r="289" spans="1:7" ht="18" customHeight="1">
      <c r="A289" s="112"/>
      <c r="B289" s="347" t="s">
        <v>1174</v>
      </c>
      <c r="C289" s="1180" t="s">
        <v>1176</v>
      </c>
      <c r="D289" s="112" t="s">
        <v>1177</v>
      </c>
      <c r="E289" s="1176"/>
      <c r="F289" s="1177"/>
      <c r="G289" s="1188">
        <f>G290+G294+G296</f>
        <v>616280.18720000004</v>
      </c>
    </row>
    <row r="290" spans="1:7" ht="18" customHeight="1">
      <c r="A290" s="112"/>
      <c r="B290" s="112"/>
      <c r="C290" s="340" t="s">
        <v>48</v>
      </c>
      <c r="D290" s="112"/>
      <c r="E290" s="1176"/>
      <c r="F290" s="1177"/>
      <c r="G290" s="1179">
        <f>SUM(G291:G293)</f>
        <v>201109.07520000002</v>
      </c>
    </row>
    <row r="291" spans="1:7" ht="18" customHeight="1">
      <c r="A291" s="112"/>
      <c r="B291" s="112"/>
      <c r="C291" s="340" t="s">
        <v>1122</v>
      </c>
      <c r="D291" s="112" t="s">
        <v>31</v>
      </c>
      <c r="E291" s="1176">
        <v>0.432</v>
      </c>
      <c r="F291" s="1177">
        <v>94805</v>
      </c>
      <c r="G291" s="1178">
        <f>E291*F291</f>
        <v>40955.760000000002</v>
      </c>
    </row>
    <row r="292" spans="1:7" ht="18" customHeight="1">
      <c r="A292" s="112"/>
      <c r="B292" s="112"/>
      <c r="C292" s="340" t="s">
        <v>1123</v>
      </c>
      <c r="D292" s="112" t="s">
        <v>31</v>
      </c>
      <c r="E292" s="1176">
        <v>0.76200000000000001</v>
      </c>
      <c r="F292" s="1177">
        <v>205000</v>
      </c>
      <c r="G292" s="1178">
        <f t="shared" ref="G292:G293" si="26">E292*F292</f>
        <v>156210</v>
      </c>
    </row>
    <row r="293" spans="1:7" ht="18" customHeight="1">
      <c r="A293" s="112"/>
      <c r="B293" s="112"/>
      <c r="C293" s="340" t="s">
        <v>1072</v>
      </c>
      <c r="D293" s="112" t="s">
        <v>4</v>
      </c>
      <c r="E293" s="1176">
        <v>2</v>
      </c>
      <c r="F293" s="1177">
        <f>SUM(G291:G292)/100</f>
        <v>1971.6576</v>
      </c>
      <c r="G293" s="1178">
        <f t="shared" si="26"/>
        <v>3943.3152</v>
      </c>
    </row>
    <row r="294" spans="1:7" ht="18" customHeight="1">
      <c r="A294" s="112"/>
      <c r="B294" s="112"/>
      <c r="C294" s="340" t="s">
        <v>47</v>
      </c>
      <c r="D294" s="112" t="s">
        <v>55</v>
      </c>
      <c r="E294" s="1176"/>
      <c r="F294" s="275"/>
      <c r="G294" s="1179">
        <f>G295</f>
        <v>324365.152</v>
      </c>
    </row>
    <row r="295" spans="1:7" ht="18" customHeight="1">
      <c r="A295" s="112"/>
      <c r="B295" s="112"/>
      <c r="C295" s="1174" t="s">
        <v>1099</v>
      </c>
      <c r="D295" s="112" t="s">
        <v>30</v>
      </c>
      <c r="E295" s="1176">
        <v>1.264</v>
      </c>
      <c r="F295" s="1177">
        <v>256618</v>
      </c>
      <c r="G295" s="1191">
        <f>E295*F295</f>
        <v>324365.152</v>
      </c>
    </row>
    <row r="296" spans="1:7" ht="18" customHeight="1">
      <c r="A296" s="112"/>
      <c r="B296" s="112"/>
      <c r="C296" s="340" t="s">
        <v>1124</v>
      </c>
      <c r="D296" s="112" t="s">
        <v>55</v>
      </c>
      <c r="E296" s="1176"/>
      <c r="F296" s="275"/>
      <c r="G296" s="1179">
        <f>G297</f>
        <v>90805.96</v>
      </c>
    </row>
    <row r="297" spans="1:7" ht="18" customHeight="1">
      <c r="A297" s="112"/>
      <c r="B297" s="112"/>
      <c r="C297" s="340" t="s">
        <v>1098</v>
      </c>
      <c r="D297" s="112" t="s">
        <v>1018</v>
      </c>
      <c r="E297" s="1176">
        <v>2.8000000000000001E-2</v>
      </c>
      <c r="F297" s="1177">
        <v>3243070</v>
      </c>
      <c r="G297" s="1178">
        <f>E297*F297</f>
        <v>90805.96</v>
      </c>
    </row>
    <row r="298" spans="1:7" ht="30.75" customHeight="1">
      <c r="A298" s="112"/>
      <c r="B298" s="347" t="s">
        <v>1178</v>
      </c>
      <c r="C298" s="1181" t="s">
        <v>1179</v>
      </c>
      <c r="D298" s="347" t="s">
        <v>1177</v>
      </c>
      <c r="E298" s="1176"/>
      <c r="F298" s="1177"/>
      <c r="G298" s="1188"/>
    </row>
    <row r="299" spans="1:7" ht="18.75" customHeight="1">
      <c r="A299" s="112"/>
      <c r="B299" s="347"/>
      <c r="C299" s="1181" t="s">
        <v>1180</v>
      </c>
      <c r="D299" s="112" t="s">
        <v>1177</v>
      </c>
      <c r="E299" s="1176"/>
      <c r="F299" s="1177"/>
      <c r="G299" s="1204">
        <f>G300+G304+G306</f>
        <v>12783205.151000001</v>
      </c>
    </row>
    <row r="300" spans="1:7" ht="18" customHeight="1">
      <c r="A300" s="112"/>
      <c r="B300" s="112"/>
      <c r="C300" s="340" t="s">
        <v>48</v>
      </c>
      <c r="D300" s="112"/>
      <c r="E300" s="1176"/>
      <c r="F300" s="1177"/>
      <c r="G300" s="1179">
        <f>SUM(G301:G303)</f>
        <v>4383108.3509999998</v>
      </c>
    </row>
    <row r="301" spans="1:7" ht="18" customHeight="1">
      <c r="A301" s="112"/>
      <c r="B301" s="112"/>
      <c r="C301" s="340" t="s">
        <v>1122</v>
      </c>
      <c r="D301" s="112" t="s">
        <v>31</v>
      </c>
      <c r="E301" s="1176">
        <v>9.41</v>
      </c>
      <c r="F301" s="1177">
        <v>94805</v>
      </c>
      <c r="G301" s="1178">
        <f>E301*F301</f>
        <v>892115.05</v>
      </c>
    </row>
    <row r="302" spans="1:7" ht="18" customHeight="1">
      <c r="A302" s="112"/>
      <c r="B302" s="112"/>
      <c r="C302" s="340" t="s">
        <v>1123</v>
      </c>
      <c r="D302" s="112" t="s">
        <v>31</v>
      </c>
      <c r="E302" s="1176">
        <v>16.61</v>
      </c>
      <c r="F302" s="1177">
        <v>205000</v>
      </c>
      <c r="G302" s="1178">
        <f t="shared" ref="G302:G303" si="27">E302*F302</f>
        <v>3405050</v>
      </c>
    </row>
    <row r="303" spans="1:7" ht="18" customHeight="1">
      <c r="A303" s="112"/>
      <c r="B303" s="112"/>
      <c r="C303" s="340" t="s">
        <v>1072</v>
      </c>
      <c r="D303" s="112" t="s">
        <v>4</v>
      </c>
      <c r="E303" s="1176">
        <v>2</v>
      </c>
      <c r="F303" s="1177">
        <f>SUM(G301:G302)/100</f>
        <v>42971.650499999996</v>
      </c>
      <c r="G303" s="1178">
        <f t="shared" si="27"/>
        <v>85943.300999999992</v>
      </c>
    </row>
    <row r="304" spans="1:7" ht="18" customHeight="1">
      <c r="A304" s="112"/>
      <c r="B304" s="112"/>
      <c r="C304" s="340" t="s">
        <v>47</v>
      </c>
      <c r="D304" s="112" t="s">
        <v>55</v>
      </c>
      <c r="E304" s="1176"/>
      <c r="G304" s="1179">
        <f>G305</f>
        <v>8309290.8400000008</v>
      </c>
    </row>
    <row r="305" spans="1:7" ht="18" customHeight="1">
      <c r="A305" s="112"/>
      <c r="B305" s="112"/>
      <c r="C305" s="1174" t="s">
        <v>1099</v>
      </c>
      <c r="D305" s="112" t="s">
        <v>30</v>
      </c>
      <c r="E305" s="1176">
        <v>32.380000000000003</v>
      </c>
      <c r="F305" s="1177">
        <v>256618</v>
      </c>
      <c r="G305" s="1191">
        <f>E305*F305</f>
        <v>8309290.8400000008</v>
      </c>
    </row>
    <row r="306" spans="1:7" ht="18" customHeight="1">
      <c r="A306" s="112"/>
      <c r="B306" s="112"/>
      <c r="C306" s="340" t="s">
        <v>1124</v>
      </c>
      <c r="D306" s="112" t="s">
        <v>55</v>
      </c>
      <c r="E306" s="1176"/>
      <c r="G306" s="1179">
        <f>G307</f>
        <v>90805.96</v>
      </c>
    </row>
    <row r="307" spans="1:7" ht="18" customHeight="1">
      <c r="A307" s="112"/>
      <c r="B307" s="112"/>
      <c r="C307" s="340" t="s">
        <v>1098</v>
      </c>
      <c r="D307" s="112" t="s">
        <v>1018</v>
      </c>
      <c r="E307" s="1176">
        <v>2.8000000000000001E-2</v>
      </c>
      <c r="F307" s="1177">
        <v>3243070</v>
      </c>
      <c r="G307" s="1178">
        <f>E307*F307</f>
        <v>90805.96</v>
      </c>
    </row>
    <row r="308" spans="1:7" ht="18" customHeight="1">
      <c r="A308" s="112"/>
      <c r="B308" s="112"/>
      <c r="C308" s="1181" t="s">
        <v>1181</v>
      </c>
      <c r="D308" s="112" t="s">
        <v>1177</v>
      </c>
      <c r="E308" s="1176"/>
      <c r="F308" s="1177"/>
      <c r="G308" s="1204">
        <f>G309+G313+G315</f>
        <v>14896912.067000002</v>
      </c>
    </row>
    <row r="309" spans="1:7" ht="18" customHeight="1">
      <c r="A309" s="112"/>
      <c r="B309" s="112"/>
      <c r="C309" s="340" t="s">
        <v>48</v>
      </c>
      <c r="D309" s="112"/>
      <c r="E309" s="1176"/>
      <c r="F309" s="275"/>
      <c r="G309" s="1179">
        <f>SUM(G310:G312)</f>
        <v>5111078.0669999998</v>
      </c>
    </row>
    <row r="310" spans="1:7" ht="18" customHeight="1">
      <c r="A310" s="112"/>
      <c r="B310" s="112"/>
      <c r="C310" s="340" t="s">
        <v>1122</v>
      </c>
      <c r="D310" s="112" t="s">
        <v>31</v>
      </c>
      <c r="E310" s="1176">
        <v>10.97</v>
      </c>
      <c r="F310" s="1177">
        <v>94805</v>
      </c>
      <c r="G310" s="1178">
        <f>E310*F310</f>
        <v>1040010.8500000001</v>
      </c>
    </row>
    <row r="311" spans="1:7" ht="18" customHeight="1">
      <c r="A311" s="112"/>
      <c r="B311" s="112"/>
      <c r="C311" s="340" t="s">
        <v>1123</v>
      </c>
      <c r="D311" s="112" t="s">
        <v>31</v>
      </c>
      <c r="E311" s="1176">
        <v>19.37</v>
      </c>
      <c r="F311" s="1177">
        <v>205000</v>
      </c>
      <c r="G311" s="1178">
        <f t="shared" ref="G311:G312" si="28">E311*F311</f>
        <v>3970850</v>
      </c>
    </row>
    <row r="312" spans="1:7" ht="18" customHeight="1">
      <c r="A312" s="112"/>
      <c r="B312" s="112"/>
      <c r="C312" s="340" t="s">
        <v>1072</v>
      </c>
      <c r="D312" s="112" t="s">
        <v>4</v>
      </c>
      <c r="E312" s="1176">
        <v>2</v>
      </c>
      <c r="F312" s="1177">
        <f>SUM(G310:G311)/100</f>
        <v>50108.608499999995</v>
      </c>
      <c r="G312" s="1178">
        <f t="shared" si="28"/>
        <v>100217.21699999999</v>
      </c>
    </row>
    <row r="313" spans="1:7" ht="18" customHeight="1">
      <c r="A313" s="112"/>
      <c r="B313" s="112"/>
      <c r="C313" s="340" t="s">
        <v>47</v>
      </c>
      <c r="D313" s="112" t="s">
        <v>55</v>
      </c>
      <c r="E313" s="1176"/>
      <c r="G313" s="1179">
        <f>G314</f>
        <v>9695028.040000001</v>
      </c>
    </row>
    <row r="314" spans="1:7" ht="18" customHeight="1">
      <c r="A314" s="112"/>
      <c r="B314" s="112"/>
      <c r="C314" s="1174" t="s">
        <v>1099</v>
      </c>
      <c r="D314" s="112" t="s">
        <v>30</v>
      </c>
      <c r="E314" s="1176">
        <v>37.78</v>
      </c>
      <c r="F314" s="1177">
        <v>256618</v>
      </c>
      <c r="G314" s="1191">
        <f>E314*F314</f>
        <v>9695028.040000001</v>
      </c>
    </row>
    <row r="315" spans="1:7" ht="18" customHeight="1">
      <c r="A315" s="112"/>
      <c r="B315" s="112"/>
      <c r="C315" s="340" t="s">
        <v>1124</v>
      </c>
      <c r="D315" s="112" t="s">
        <v>55</v>
      </c>
      <c r="E315" s="1176"/>
      <c r="G315" s="1179">
        <f>G316</f>
        <v>90805.96</v>
      </c>
    </row>
    <row r="316" spans="1:7" ht="18" customHeight="1">
      <c r="A316" s="112"/>
      <c r="B316" s="112"/>
      <c r="C316" s="340" t="s">
        <v>1098</v>
      </c>
      <c r="D316" s="112" t="s">
        <v>1018</v>
      </c>
      <c r="E316" s="1176">
        <v>2.8000000000000001E-2</v>
      </c>
      <c r="F316" s="1177">
        <v>3243070</v>
      </c>
      <c r="G316" s="1178">
        <f>E316*F316</f>
        <v>90805.96</v>
      </c>
    </row>
    <row r="317" spans="1:7" ht="18" customHeight="1">
      <c r="A317" s="112"/>
      <c r="B317" s="112"/>
      <c r="C317" s="1181" t="s">
        <v>1182</v>
      </c>
      <c r="D317" s="112" t="s">
        <v>1177</v>
      </c>
      <c r="E317" s="1176"/>
      <c r="F317" s="1177"/>
      <c r="G317" s="1204">
        <f>G318+G322+G324</f>
        <v>17036772.614</v>
      </c>
    </row>
    <row r="318" spans="1:7" ht="18" customHeight="1">
      <c r="A318" s="112"/>
      <c r="B318" s="112"/>
      <c r="C318" s="340" t="s">
        <v>48</v>
      </c>
      <c r="D318" s="112"/>
      <c r="E318" s="1176"/>
      <c r="F318" s="1177"/>
      <c r="G318" s="1179">
        <f>SUM(G319:G321)</f>
        <v>5842105.7939999998</v>
      </c>
    </row>
    <row r="319" spans="1:7" ht="18" customHeight="1">
      <c r="A319" s="112"/>
      <c r="B319" s="112"/>
      <c r="C319" s="340" t="s">
        <v>1122</v>
      </c>
      <c r="D319" s="112" t="s">
        <v>31</v>
      </c>
      <c r="E319" s="1176">
        <v>12.54</v>
      </c>
      <c r="F319" s="1177">
        <v>94805</v>
      </c>
      <c r="G319" s="1178">
        <f>E319*F319</f>
        <v>1188854.7</v>
      </c>
    </row>
    <row r="320" spans="1:7" ht="18" customHeight="1">
      <c r="A320" s="112"/>
      <c r="B320" s="112"/>
      <c r="C320" s="340" t="s">
        <v>1123</v>
      </c>
      <c r="D320" s="112" t="s">
        <v>31</v>
      </c>
      <c r="E320" s="1176">
        <v>22.14</v>
      </c>
      <c r="F320" s="1177">
        <v>205000</v>
      </c>
      <c r="G320" s="1178">
        <f t="shared" ref="G320:G321" si="29">E320*F320</f>
        <v>4538700</v>
      </c>
    </row>
    <row r="321" spans="1:7" ht="18" customHeight="1">
      <c r="A321" s="112"/>
      <c r="B321" s="112"/>
      <c r="C321" s="340" t="s">
        <v>1072</v>
      </c>
      <c r="D321" s="112" t="s">
        <v>4</v>
      </c>
      <c r="E321" s="1176">
        <v>2</v>
      </c>
      <c r="F321" s="1177">
        <f>SUM(G319:G320)/100</f>
        <v>57275.546999999999</v>
      </c>
      <c r="G321" s="1178">
        <f t="shared" si="29"/>
        <v>114551.094</v>
      </c>
    </row>
    <row r="322" spans="1:7" ht="18" customHeight="1">
      <c r="A322" s="112"/>
      <c r="B322" s="112"/>
      <c r="C322" s="340" t="s">
        <v>47</v>
      </c>
      <c r="D322" s="112" t="s">
        <v>55</v>
      </c>
      <c r="E322" s="1176"/>
      <c r="G322" s="1179">
        <f>G323</f>
        <v>11103860.860000001</v>
      </c>
    </row>
    <row r="323" spans="1:7" ht="18" customHeight="1">
      <c r="A323" s="112"/>
      <c r="B323" s="112"/>
      <c r="C323" s="1174" t="s">
        <v>1099</v>
      </c>
      <c r="D323" s="112" t="s">
        <v>30</v>
      </c>
      <c r="E323" s="1176">
        <v>43.27</v>
      </c>
      <c r="F323" s="1177">
        <v>256618</v>
      </c>
      <c r="G323" s="1191">
        <f>E323*F323</f>
        <v>11103860.860000001</v>
      </c>
    </row>
    <row r="324" spans="1:7" ht="18" customHeight="1">
      <c r="A324" s="112"/>
      <c r="B324" s="112"/>
      <c r="C324" s="340" t="s">
        <v>1124</v>
      </c>
      <c r="D324" s="112" t="s">
        <v>55</v>
      </c>
      <c r="E324" s="1176"/>
      <c r="G324" s="1179">
        <f>G325</f>
        <v>90805.96</v>
      </c>
    </row>
    <row r="325" spans="1:7" ht="18" customHeight="1">
      <c r="A325" s="112"/>
      <c r="B325" s="112"/>
      <c r="C325" s="340" t="s">
        <v>1098</v>
      </c>
      <c r="D325" s="112" t="s">
        <v>1018</v>
      </c>
      <c r="E325" s="1176">
        <v>2.8000000000000001E-2</v>
      </c>
      <c r="F325" s="1177">
        <v>3243070</v>
      </c>
      <c r="G325" s="1178">
        <f>E325*F325</f>
        <v>90805.96</v>
      </c>
    </row>
    <row r="326" spans="1:7" ht="18" customHeight="1">
      <c r="A326" s="347">
        <v>14</v>
      </c>
      <c r="B326" s="347"/>
      <c r="C326" s="1180" t="s">
        <v>1183</v>
      </c>
      <c r="D326" s="347" t="s">
        <v>1149</v>
      </c>
      <c r="E326" s="1176"/>
      <c r="F326" s="1177"/>
      <c r="G326" s="1178"/>
    </row>
    <row r="327" spans="1:7" ht="36" customHeight="1">
      <c r="A327" s="112"/>
      <c r="B327" s="347" t="s">
        <v>1184</v>
      </c>
      <c r="C327" s="1181" t="s">
        <v>1185</v>
      </c>
      <c r="D327" s="347" t="s">
        <v>1149</v>
      </c>
      <c r="E327" s="1176"/>
      <c r="F327" s="1177"/>
      <c r="G327" s="1188">
        <f>G328+G332</f>
        <v>280872.6286</v>
      </c>
    </row>
    <row r="328" spans="1:7" ht="18" customHeight="1">
      <c r="A328" s="112"/>
      <c r="B328" s="112"/>
      <c r="C328" s="340" t="s">
        <v>48</v>
      </c>
      <c r="D328" s="112"/>
      <c r="E328" s="1176"/>
      <c r="F328" s="1177"/>
      <c r="G328" s="1179">
        <f>SUM(G329:G331)</f>
        <v>114327.5466</v>
      </c>
    </row>
    <row r="329" spans="1:7" ht="18" customHeight="1">
      <c r="A329" s="112"/>
      <c r="B329" s="112"/>
      <c r="C329" s="340" t="s">
        <v>1122</v>
      </c>
      <c r="D329" s="112" t="s">
        <v>31</v>
      </c>
      <c r="E329" s="1176">
        <v>0.40600000000000003</v>
      </c>
      <c r="F329" s="1177">
        <v>94805</v>
      </c>
      <c r="G329" s="1178">
        <f>E329*F329</f>
        <v>38490.83</v>
      </c>
    </row>
    <row r="330" spans="1:7" ht="18" customHeight="1">
      <c r="A330" s="112"/>
      <c r="B330" s="112"/>
      <c r="C330" s="340" t="s">
        <v>1123</v>
      </c>
      <c r="D330" s="112" t="s">
        <v>31</v>
      </c>
      <c r="E330" s="1176">
        <v>0.35899999999999999</v>
      </c>
      <c r="F330" s="1177">
        <v>205000</v>
      </c>
      <c r="G330" s="1178">
        <f t="shared" ref="G330:G331" si="30">E330*F330</f>
        <v>73595</v>
      </c>
    </row>
    <row r="331" spans="1:7" ht="18" customHeight="1">
      <c r="A331" s="112"/>
      <c r="B331" s="112"/>
      <c r="C331" s="340" t="s">
        <v>1072</v>
      </c>
      <c r="D331" s="112" t="s">
        <v>4</v>
      </c>
      <c r="E331" s="1176">
        <v>2</v>
      </c>
      <c r="F331" s="1177">
        <f>SUM(G329:G330)/100</f>
        <v>1120.8583000000001</v>
      </c>
      <c r="G331" s="1178">
        <f t="shared" si="30"/>
        <v>2241.7166000000002</v>
      </c>
    </row>
    <row r="332" spans="1:7" ht="18" customHeight="1">
      <c r="A332" s="112"/>
      <c r="B332" s="112"/>
      <c r="C332" s="340" t="s">
        <v>47</v>
      </c>
      <c r="D332" s="112" t="s">
        <v>55</v>
      </c>
      <c r="E332" s="1176"/>
      <c r="G332" s="1179">
        <f>G333</f>
        <v>166545.08199999999</v>
      </c>
    </row>
    <row r="333" spans="1:7" ht="18" customHeight="1">
      <c r="A333" s="112"/>
      <c r="B333" s="112"/>
      <c r="C333" s="1174" t="s">
        <v>1099</v>
      </c>
      <c r="D333" s="112" t="s">
        <v>30</v>
      </c>
      <c r="E333" s="1176">
        <v>0.64900000000000002</v>
      </c>
      <c r="F333" s="1177">
        <v>256618</v>
      </c>
      <c r="G333" s="1191">
        <f>E333*F333</f>
        <v>166545.08199999999</v>
      </c>
    </row>
    <row r="334" spans="1:7" ht="32.25" customHeight="1">
      <c r="A334" s="112"/>
      <c r="B334" s="347" t="s">
        <v>1186</v>
      </c>
      <c r="C334" s="1181" t="s">
        <v>1187</v>
      </c>
      <c r="D334" s="347" t="s">
        <v>1149</v>
      </c>
      <c r="E334" s="1176"/>
      <c r="F334" s="1177"/>
      <c r="G334" s="1188">
        <f>G335+G339</f>
        <v>704960.71640000003</v>
      </c>
    </row>
    <row r="335" spans="1:7" ht="18" customHeight="1">
      <c r="A335" s="112"/>
      <c r="B335" s="112"/>
      <c r="C335" s="340" t="s">
        <v>48</v>
      </c>
      <c r="D335" s="112"/>
      <c r="E335" s="1176"/>
      <c r="F335" s="1177"/>
      <c r="G335" s="1179">
        <f>SUM(G336:G338)</f>
        <v>327988.87440000003</v>
      </c>
    </row>
    <row r="336" spans="1:7" ht="18" customHeight="1">
      <c r="A336" s="112"/>
      <c r="B336" s="112"/>
      <c r="C336" s="340" t="s">
        <v>1122</v>
      </c>
      <c r="D336" s="112" t="s">
        <v>31</v>
      </c>
      <c r="E336" s="1176">
        <v>0.70399999999999996</v>
      </c>
      <c r="F336" s="1177">
        <v>94805</v>
      </c>
      <c r="G336" s="1178">
        <f>E336*F336</f>
        <v>66742.720000000001</v>
      </c>
    </row>
    <row r="337" spans="1:7" ht="18" customHeight="1">
      <c r="A337" s="112"/>
      <c r="B337" s="112"/>
      <c r="C337" s="340" t="s">
        <v>1123</v>
      </c>
      <c r="D337" s="112" t="s">
        <v>31</v>
      </c>
      <c r="E337" s="1176">
        <v>1.2430000000000001</v>
      </c>
      <c r="F337" s="1177">
        <v>205000</v>
      </c>
      <c r="G337" s="1178">
        <f t="shared" ref="G337:G338" si="31">E337*F337</f>
        <v>254815.00000000003</v>
      </c>
    </row>
    <row r="338" spans="1:7" ht="18" customHeight="1">
      <c r="A338" s="112"/>
      <c r="B338" s="112"/>
      <c r="C338" s="340" t="s">
        <v>1072</v>
      </c>
      <c r="D338" s="112" t="s">
        <v>4</v>
      </c>
      <c r="E338" s="1176">
        <v>2</v>
      </c>
      <c r="F338" s="1177">
        <f>SUM(G336:G337)/100</f>
        <v>3215.5772000000002</v>
      </c>
      <c r="G338" s="1178">
        <f t="shared" si="31"/>
        <v>6431.1544000000004</v>
      </c>
    </row>
    <row r="339" spans="1:7" ht="18" customHeight="1">
      <c r="A339" s="112"/>
      <c r="B339" s="112"/>
      <c r="C339" s="340" t="s">
        <v>47</v>
      </c>
      <c r="D339" s="112" t="s">
        <v>55</v>
      </c>
      <c r="E339" s="1176"/>
      <c r="G339" s="1179">
        <f>G340</f>
        <v>376971.842</v>
      </c>
    </row>
    <row r="340" spans="1:7" ht="18" customHeight="1">
      <c r="A340" s="112"/>
      <c r="B340" s="112"/>
      <c r="C340" s="1174" t="s">
        <v>1099</v>
      </c>
      <c r="D340" s="112" t="s">
        <v>30</v>
      </c>
      <c r="E340" s="1176">
        <v>1.4690000000000001</v>
      </c>
      <c r="F340" s="1177">
        <v>256618</v>
      </c>
      <c r="G340" s="1191">
        <f>E340*F340</f>
        <v>376971.842</v>
      </c>
    </row>
    <row r="341" spans="1:7" ht="29.25" customHeight="1">
      <c r="A341" s="112"/>
      <c r="B341" s="347" t="s">
        <v>1191</v>
      </c>
      <c r="C341" s="1181" t="s">
        <v>1188</v>
      </c>
      <c r="D341" s="347" t="s">
        <v>1149</v>
      </c>
      <c r="E341" s="1176"/>
      <c r="F341" s="1177"/>
      <c r="G341" s="1188">
        <f>G342+G346</f>
        <v>406797.4106</v>
      </c>
    </row>
    <row r="342" spans="1:7" ht="18" customHeight="1">
      <c r="A342" s="112"/>
      <c r="B342" s="112"/>
      <c r="C342" s="340" t="s">
        <v>48</v>
      </c>
      <c r="D342" s="112"/>
      <c r="E342" s="1176"/>
      <c r="F342" s="1177"/>
      <c r="G342" s="1179">
        <f>SUM(G343:G345)</f>
        <v>189185.34660000002</v>
      </c>
    </row>
    <row r="343" spans="1:7" ht="18" customHeight="1">
      <c r="A343" s="112"/>
      <c r="B343" s="112"/>
      <c r="C343" s="340" t="s">
        <v>1122</v>
      </c>
      <c r="D343" s="112" t="s">
        <v>31</v>
      </c>
      <c r="E343" s="1176">
        <v>0.40600000000000003</v>
      </c>
      <c r="F343" s="1177">
        <v>94805</v>
      </c>
      <c r="G343" s="1178">
        <f>E343*F343</f>
        <v>38490.83</v>
      </c>
    </row>
    <row r="344" spans="1:7" ht="18" customHeight="1">
      <c r="A344" s="112"/>
      <c r="B344" s="112"/>
      <c r="C344" s="340" t="s">
        <v>1123</v>
      </c>
      <c r="D344" s="112" t="s">
        <v>31</v>
      </c>
      <c r="E344" s="1176">
        <v>0.71699999999999997</v>
      </c>
      <c r="F344" s="1177">
        <v>205000</v>
      </c>
      <c r="G344" s="1178">
        <f t="shared" ref="G344:G345" si="32">E344*F344</f>
        <v>146985</v>
      </c>
    </row>
    <row r="345" spans="1:7" ht="18" customHeight="1">
      <c r="A345" s="112"/>
      <c r="B345" s="112"/>
      <c r="C345" s="340" t="s">
        <v>1072</v>
      </c>
      <c r="D345" s="112" t="s">
        <v>4</v>
      </c>
      <c r="E345" s="1176">
        <v>2</v>
      </c>
      <c r="F345" s="1177">
        <f>SUM(G343:G344)/100</f>
        <v>1854.7583000000002</v>
      </c>
      <c r="G345" s="1178">
        <f t="shared" si="32"/>
        <v>3709.5166000000004</v>
      </c>
    </row>
    <row r="346" spans="1:7" ht="18" customHeight="1">
      <c r="A346" s="112"/>
      <c r="B346" s="112"/>
      <c r="C346" s="340" t="s">
        <v>47</v>
      </c>
      <c r="D346" s="112" t="s">
        <v>55</v>
      </c>
      <c r="E346" s="1176"/>
      <c r="G346" s="1179">
        <f>G347</f>
        <v>217612.06399999998</v>
      </c>
    </row>
    <row r="347" spans="1:7" ht="18" customHeight="1">
      <c r="A347" s="112"/>
      <c r="B347" s="112"/>
      <c r="C347" s="1174" t="s">
        <v>1099</v>
      </c>
      <c r="D347" s="112" t="s">
        <v>30</v>
      </c>
      <c r="E347" s="1176">
        <v>0.84799999999999998</v>
      </c>
      <c r="F347" s="1177">
        <v>256618</v>
      </c>
      <c r="G347" s="1191">
        <f>E347*F347</f>
        <v>217612.06399999998</v>
      </c>
    </row>
    <row r="348" spans="1:7" ht="29.25" customHeight="1">
      <c r="A348" s="112"/>
      <c r="B348" s="347" t="s">
        <v>1190</v>
      </c>
      <c r="C348" s="1181" t="s">
        <v>1189</v>
      </c>
      <c r="D348" s="347" t="s">
        <v>1149</v>
      </c>
      <c r="E348" s="1176"/>
      <c r="F348" s="1177"/>
      <c r="G348" s="1188">
        <f>G349+G353</f>
        <v>229461.56090000001</v>
      </c>
    </row>
    <row r="349" spans="1:7" ht="18" customHeight="1">
      <c r="A349" s="112"/>
      <c r="B349" s="112"/>
      <c r="C349" s="340" t="s">
        <v>48</v>
      </c>
      <c r="D349" s="112"/>
      <c r="E349" s="1176"/>
      <c r="F349" s="1177"/>
      <c r="G349" s="1179">
        <f>SUM(G350:G352)</f>
        <v>89604.750900000014</v>
      </c>
    </row>
    <row r="350" spans="1:7" ht="18" customHeight="1">
      <c r="A350" s="112"/>
      <c r="B350" s="112"/>
      <c r="C350" s="340" t="s">
        <v>1122</v>
      </c>
      <c r="D350" s="112" t="s">
        <v>31</v>
      </c>
      <c r="E350" s="1176">
        <v>0.31900000000000001</v>
      </c>
      <c r="F350" s="1177">
        <v>94805</v>
      </c>
      <c r="G350" s="1178">
        <f>E350*F350</f>
        <v>30242.795000000002</v>
      </c>
    </row>
    <row r="351" spans="1:7" ht="18" customHeight="1">
      <c r="A351" s="112"/>
      <c r="B351" s="112"/>
      <c r="C351" s="340" t="s">
        <v>1123</v>
      </c>
      <c r="D351" s="112" t="s">
        <v>31</v>
      </c>
      <c r="E351" s="1176">
        <v>0.28100000000000003</v>
      </c>
      <c r="F351" s="1177">
        <v>205000</v>
      </c>
      <c r="G351" s="1178">
        <f t="shared" ref="G351:G352" si="33">E351*F351</f>
        <v>57605.000000000007</v>
      </c>
    </row>
    <row r="352" spans="1:7" ht="18" customHeight="1">
      <c r="A352" s="112"/>
      <c r="B352" s="112"/>
      <c r="C352" s="340" t="s">
        <v>1072</v>
      </c>
      <c r="D352" s="112" t="s">
        <v>4</v>
      </c>
      <c r="E352" s="1176">
        <v>2</v>
      </c>
      <c r="F352" s="1177">
        <f>SUM(G350:G351)/100</f>
        <v>878.47795000000008</v>
      </c>
      <c r="G352" s="1178">
        <f t="shared" si="33"/>
        <v>1756.9559000000002</v>
      </c>
    </row>
    <row r="353" spans="1:7" ht="18" customHeight="1">
      <c r="A353" s="112"/>
      <c r="B353" s="112"/>
      <c r="C353" s="340" t="s">
        <v>47</v>
      </c>
      <c r="D353" s="112" t="s">
        <v>55</v>
      </c>
      <c r="E353" s="1176"/>
      <c r="G353" s="1179">
        <f>G354</f>
        <v>139856.81</v>
      </c>
    </row>
    <row r="354" spans="1:7" ht="18" customHeight="1">
      <c r="A354" s="112"/>
      <c r="B354" s="112"/>
      <c r="C354" s="1174" t="s">
        <v>1099</v>
      </c>
      <c r="D354" s="112" t="s">
        <v>30</v>
      </c>
      <c r="E354" s="1176">
        <v>0.54500000000000004</v>
      </c>
      <c r="F354" s="1177">
        <v>256618</v>
      </c>
      <c r="G354" s="1191">
        <f>E354*F354</f>
        <v>139856.81</v>
      </c>
    </row>
    <row r="355" spans="1:7" ht="33.75" customHeight="1">
      <c r="A355" s="112"/>
      <c r="B355" s="347" t="s">
        <v>1190</v>
      </c>
      <c r="C355" s="1181" t="s">
        <v>1192</v>
      </c>
      <c r="D355" s="347" t="s">
        <v>1149</v>
      </c>
      <c r="E355" s="1176"/>
      <c r="F355" s="1177"/>
      <c r="G355" s="1188">
        <f>G356+G360</f>
        <v>32475.135499999997</v>
      </c>
    </row>
    <row r="356" spans="1:7" ht="18" customHeight="1">
      <c r="A356" s="112"/>
      <c r="B356" s="112"/>
      <c r="C356" s="340" t="s">
        <v>48</v>
      </c>
      <c r="D356" s="112"/>
      <c r="E356" s="1176"/>
      <c r="F356" s="1177"/>
      <c r="G356" s="1179">
        <f>SUM(G357:G359)</f>
        <v>12715.549499999999</v>
      </c>
    </row>
    <row r="357" spans="1:7" ht="18" customHeight="1">
      <c r="A357" s="112"/>
      <c r="B357" s="112"/>
      <c r="C357" s="340" t="s">
        <v>1122</v>
      </c>
      <c r="D357" s="112" t="s">
        <v>31</v>
      </c>
      <c r="E357" s="1176">
        <v>4.4999999999999998E-2</v>
      </c>
      <c r="F357" s="1177">
        <v>94805</v>
      </c>
      <c r="G357" s="1178">
        <f>E357*F357</f>
        <v>4266.2249999999995</v>
      </c>
    </row>
    <row r="358" spans="1:7" ht="18" customHeight="1">
      <c r="A358" s="112"/>
      <c r="B358" s="112"/>
      <c r="C358" s="340" t="s">
        <v>1123</v>
      </c>
      <c r="D358" s="112" t="s">
        <v>31</v>
      </c>
      <c r="E358" s="1176">
        <v>0.04</v>
      </c>
      <c r="F358" s="1177">
        <v>205000</v>
      </c>
      <c r="G358" s="1178">
        <f t="shared" ref="G358:G359" si="34">E358*F358</f>
        <v>8200</v>
      </c>
    </row>
    <row r="359" spans="1:7" ht="18" customHeight="1">
      <c r="A359" s="112"/>
      <c r="B359" s="112"/>
      <c r="C359" s="340" t="s">
        <v>1072</v>
      </c>
      <c r="D359" s="112" t="s">
        <v>4</v>
      </c>
      <c r="E359" s="1176">
        <v>2</v>
      </c>
      <c r="F359" s="1177">
        <f>SUM(G357:G358)/100</f>
        <v>124.66224999999999</v>
      </c>
      <c r="G359" s="1178">
        <f t="shared" si="34"/>
        <v>249.32449999999997</v>
      </c>
    </row>
    <row r="360" spans="1:7" ht="18" customHeight="1">
      <c r="A360" s="112"/>
      <c r="B360" s="112"/>
      <c r="C360" s="340" t="s">
        <v>47</v>
      </c>
      <c r="D360" s="112" t="s">
        <v>55</v>
      </c>
      <c r="E360" s="1176"/>
      <c r="G360" s="1179">
        <f>G361</f>
        <v>19759.585999999999</v>
      </c>
    </row>
    <row r="361" spans="1:7" ht="18" customHeight="1">
      <c r="A361" s="112"/>
      <c r="B361" s="112"/>
      <c r="C361" s="1174" t="s">
        <v>1099</v>
      </c>
      <c r="D361" s="112" t="s">
        <v>30</v>
      </c>
      <c r="E361" s="1176">
        <v>7.6999999999999999E-2</v>
      </c>
      <c r="F361" s="1177">
        <v>256618</v>
      </c>
      <c r="G361" s="1191">
        <f>E361*F361</f>
        <v>19759.585999999999</v>
      </c>
    </row>
    <row r="362" spans="1:7" ht="49.5" customHeight="1">
      <c r="A362" s="347">
        <v>15</v>
      </c>
      <c r="B362" s="347" t="s">
        <v>1195</v>
      </c>
      <c r="C362" s="1181" t="s">
        <v>1193</v>
      </c>
      <c r="D362" s="347" t="s">
        <v>1194</v>
      </c>
      <c r="E362" s="1176"/>
      <c r="F362" s="1177"/>
      <c r="G362" s="1188">
        <f>G363+G367+G369</f>
        <v>231952.40710000001</v>
      </c>
    </row>
    <row r="363" spans="1:7" ht="18" customHeight="1">
      <c r="A363" s="112"/>
      <c r="B363" s="112"/>
      <c r="C363" s="340" t="s">
        <v>48</v>
      </c>
      <c r="D363" s="112"/>
      <c r="E363" s="1176"/>
      <c r="F363" s="1177"/>
      <c r="G363" s="1179">
        <f>SUM(G364:G366)</f>
        <v>65700.755099999995</v>
      </c>
    </row>
    <row r="364" spans="1:7" ht="18" customHeight="1">
      <c r="A364" s="112"/>
      <c r="B364" s="112"/>
      <c r="C364" s="340" t="s">
        <v>1122</v>
      </c>
      <c r="D364" s="112" t="s">
        <v>31</v>
      </c>
      <c r="E364" s="1176">
        <v>0.14099999999999999</v>
      </c>
      <c r="F364" s="1177">
        <v>94805</v>
      </c>
      <c r="G364" s="1178">
        <f>E364*F364</f>
        <v>13367.504999999999</v>
      </c>
    </row>
    <row r="365" spans="1:7" ht="18" customHeight="1">
      <c r="A365" s="112"/>
      <c r="B365" s="112"/>
      <c r="C365" s="340" t="s">
        <v>1123</v>
      </c>
      <c r="D365" s="112" t="s">
        <v>31</v>
      </c>
      <c r="E365" s="1176">
        <v>0.249</v>
      </c>
      <c r="F365" s="1177">
        <v>205000</v>
      </c>
      <c r="G365" s="1178">
        <f t="shared" ref="G365:G366" si="35">E365*F365</f>
        <v>51045</v>
      </c>
    </row>
    <row r="366" spans="1:7" ht="18" customHeight="1">
      <c r="A366" s="112"/>
      <c r="B366" s="112"/>
      <c r="C366" s="340" t="s">
        <v>1072</v>
      </c>
      <c r="D366" s="112" t="s">
        <v>4</v>
      </c>
      <c r="E366" s="1176">
        <v>2</v>
      </c>
      <c r="F366" s="1177">
        <f>SUM(G364:G365)/100</f>
        <v>644.12504999999999</v>
      </c>
      <c r="G366" s="1178">
        <f t="shared" si="35"/>
        <v>1288.2501</v>
      </c>
    </row>
    <row r="367" spans="1:7" ht="18" customHeight="1">
      <c r="A367" s="112"/>
      <c r="B367" s="112"/>
      <c r="C367" s="340" t="s">
        <v>47</v>
      </c>
      <c r="D367" s="112" t="s">
        <v>55</v>
      </c>
      <c r="E367" s="1176"/>
      <c r="G367" s="1179">
        <f>G368</f>
        <v>75445.691999999995</v>
      </c>
    </row>
    <row r="368" spans="1:7" ht="18" customHeight="1">
      <c r="A368" s="112"/>
      <c r="B368" s="112"/>
      <c r="C368" s="1174" t="s">
        <v>1099</v>
      </c>
      <c r="D368" s="112" t="s">
        <v>30</v>
      </c>
      <c r="E368" s="1176">
        <v>0.29399999999999998</v>
      </c>
      <c r="F368" s="1177">
        <v>256618</v>
      </c>
      <c r="G368" s="1191">
        <f>E368*F368</f>
        <v>75445.691999999995</v>
      </c>
    </row>
    <row r="369" spans="1:7" ht="18" customHeight="1">
      <c r="A369" s="112"/>
      <c r="B369" s="112"/>
      <c r="C369" s="340" t="s">
        <v>1124</v>
      </c>
      <c r="D369" s="112" t="s">
        <v>55</v>
      </c>
      <c r="E369" s="1176"/>
      <c r="F369" s="1177"/>
      <c r="G369" s="1187">
        <f>G370</f>
        <v>90805.96</v>
      </c>
    </row>
    <row r="370" spans="1:7" ht="18" customHeight="1">
      <c r="A370" s="112"/>
      <c r="B370" s="112"/>
      <c r="C370" s="340" t="s">
        <v>1098</v>
      </c>
      <c r="D370" s="112" t="s">
        <v>1018</v>
      </c>
      <c r="E370" s="1176">
        <v>2.8000000000000001E-2</v>
      </c>
      <c r="F370" s="1177">
        <v>3243070</v>
      </c>
      <c r="G370" s="1178">
        <f>E370*F370</f>
        <v>90805.96</v>
      </c>
    </row>
    <row r="371" spans="1:7" ht="33" customHeight="1">
      <c r="A371" s="347">
        <v>16</v>
      </c>
      <c r="B371" s="347" t="s">
        <v>1198</v>
      </c>
      <c r="C371" s="1181" t="s">
        <v>1196</v>
      </c>
      <c r="D371" s="347" t="s">
        <v>1194</v>
      </c>
      <c r="E371" s="1176"/>
      <c r="F371" s="1177"/>
      <c r="G371" s="1188">
        <f>G372+G374</f>
        <v>1275437.5900000001</v>
      </c>
    </row>
    <row r="372" spans="1:7" ht="18" customHeight="1">
      <c r="A372" s="112"/>
      <c r="B372" s="112"/>
      <c r="C372" s="340" t="s">
        <v>48</v>
      </c>
      <c r="D372" s="112"/>
      <c r="E372" s="1176"/>
      <c r="F372" s="1177"/>
      <c r="G372" s="1179">
        <f>G373</f>
        <v>1210000</v>
      </c>
    </row>
    <row r="373" spans="1:7" ht="18" customHeight="1">
      <c r="A373" s="112"/>
      <c r="B373" s="112"/>
      <c r="C373" s="340" t="s">
        <v>1197</v>
      </c>
      <c r="D373" s="112" t="s">
        <v>5</v>
      </c>
      <c r="E373" s="1176">
        <v>1.1000000000000001</v>
      </c>
      <c r="F373" s="1177">
        <v>1100000</v>
      </c>
      <c r="G373" s="1178">
        <f>E373*F373</f>
        <v>1210000</v>
      </c>
    </row>
    <row r="374" spans="1:7" ht="18" customHeight="1">
      <c r="A374" s="112"/>
      <c r="B374" s="112"/>
      <c r="C374" s="340" t="s">
        <v>47</v>
      </c>
      <c r="D374" s="112" t="s">
        <v>55</v>
      </c>
      <c r="E374" s="1176"/>
      <c r="F374" s="1177"/>
      <c r="G374" s="1187">
        <f>G375</f>
        <v>65437.590000000004</v>
      </c>
    </row>
    <row r="375" spans="1:7" ht="18" customHeight="1">
      <c r="A375" s="112"/>
      <c r="B375" s="112"/>
      <c r="C375" s="1174" t="s">
        <v>1099</v>
      </c>
      <c r="D375" s="112" t="s">
        <v>30</v>
      </c>
      <c r="E375" s="1176">
        <v>0.255</v>
      </c>
      <c r="F375" s="1177">
        <v>256618</v>
      </c>
      <c r="G375" s="1178">
        <f>E375*F375</f>
        <v>65437.590000000004</v>
      </c>
    </row>
    <row r="376" spans="1:7" ht="19.5" customHeight="1">
      <c r="A376" s="347">
        <v>17</v>
      </c>
      <c r="B376" s="275"/>
      <c r="C376" s="1181" t="s">
        <v>1199</v>
      </c>
      <c r="D376" s="347" t="s">
        <v>1177</v>
      </c>
      <c r="E376" s="1176"/>
      <c r="F376" s="1177"/>
      <c r="G376" s="1178"/>
    </row>
    <row r="377" spans="1:7" ht="19.5" customHeight="1">
      <c r="A377" s="347"/>
      <c r="B377" s="347" t="s">
        <v>1202</v>
      </c>
      <c r="C377" s="1181" t="s">
        <v>1200</v>
      </c>
      <c r="D377" s="347" t="s">
        <v>1177</v>
      </c>
      <c r="E377" s="1176"/>
      <c r="F377" s="1177"/>
      <c r="G377" s="1188">
        <f>G378+G381+G383</f>
        <v>356750.48600000003</v>
      </c>
    </row>
    <row r="378" spans="1:7" ht="18" customHeight="1">
      <c r="A378" s="112"/>
      <c r="B378" s="112"/>
      <c r="C378" s="340" t="s">
        <v>48</v>
      </c>
      <c r="D378" s="112"/>
      <c r="E378" s="1176"/>
      <c r="F378" s="1177"/>
      <c r="G378" s="1179">
        <f>SUM(G379:G380)</f>
        <v>148670.1</v>
      </c>
    </row>
    <row r="379" spans="1:7" ht="18" customHeight="1">
      <c r="A379" s="112"/>
      <c r="B379" s="112"/>
      <c r="C379" s="340" t="s">
        <v>1123</v>
      </c>
      <c r="D379" s="112" t="s">
        <v>31</v>
      </c>
      <c r="E379" s="1176">
        <v>0.71099999999999997</v>
      </c>
      <c r="F379" s="1177">
        <v>205000</v>
      </c>
      <c r="G379" s="1178">
        <f>E379*F379</f>
        <v>145755</v>
      </c>
    </row>
    <row r="380" spans="1:7" ht="18" customHeight="1">
      <c r="A380" s="112"/>
      <c r="B380" s="112"/>
      <c r="C380" s="340" t="s">
        <v>1072</v>
      </c>
      <c r="D380" s="112" t="s">
        <v>4</v>
      </c>
      <c r="E380" s="1176">
        <v>2</v>
      </c>
      <c r="F380" s="1177">
        <f>G379/100</f>
        <v>1457.55</v>
      </c>
      <c r="G380" s="1178">
        <f>E380*F380</f>
        <v>2915.1</v>
      </c>
    </row>
    <row r="381" spans="1:7" ht="18" customHeight="1">
      <c r="A381" s="112"/>
      <c r="B381" s="112"/>
      <c r="C381" s="340" t="s">
        <v>47</v>
      </c>
      <c r="D381" s="112" t="s">
        <v>55</v>
      </c>
      <c r="E381" s="1176"/>
      <c r="F381" s="1177"/>
      <c r="G381" s="1187">
        <f>G382</f>
        <v>117274.42600000001</v>
      </c>
    </row>
    <row r="382" spans="1:7" ht="18" customHeight="1">
      <c r="A382" s="112"/>
      <c r="B382" s="112"/>
      <c r="C382" s="1174" t="s">
        <v>1099</v>
      </c>
      <c r="D382" s="112" t="s">
        <v>30</v>
      </c>
      <c r="E382" s="1176">
        <v>0.45700000000000002</v>
      </c>
      <c r="F382" s="1177">
        <v>256618</v>
      </c>
      <c r="G382" s="1178">
        <f>E382*F382</f>
        <v>117274.42600000001</v>
      </c>
    </row>
    <row r="383" spans="1:7" ht="18" customHeight="1">
      <c r="A383" s="112"/>
      <c r="B383" s="112"/>
      <c r="C383" s="340" t="s">
        <v>1124</v>
      </c>
      <c r="D383" s="112" t="s">
        <v>55</v>
      </c>
      <c r="E383" s="1176"/>
      <c r="F383" s="1177"/>
      <c r="G383" s="1187">
        <f>G384</f>
        <v>90805.96</v>
      </c>
    </row>
    <row r="384" spans="1:7" ht="18" customHeight="1">
      <c r="A384" s="112"/>
      <c r="B384" s="112"/>
      <c r="C384" s="340" t="s">
        <v>1098</v>
      </c>
      <c r="D384" s="112" t="s">
        <v>1018</v>
      </c>
      <c r="E384" s="1176">
        <v>2.8000000000000001E-2</v>
      </c>
      <c r="F384" s="1177">
        <v>3243070</v>
      </c>
      <c r="G384" s="1178">
        <f>E384*F384</f>
        <v>90805.96</v>
      </c>
    </row>
    <row r="385" spans="1:7" ht="18" customHeight="1">
      <c r="A385" s="112"/>
      <c r="B385" s="347" t="s">
        <v>1202</v>
      </c>
      <c r="C385" s="1181" t="s">
        <v>1201</v>
      </c>
      <c r="D385" s="347" t="s">
        <v>1177</v>
      </c>
      <c r="E385" s="1176"/>
      <c r="F385" s="1177"/>
      <c r="G385" s="1188">
        <f>G386+G389+G391</f>
        <v>413131.06200000003</v>
      </c>
    </row>
    <row r="386" spans="1:7" ht="18" customHeight="1">
      <c r="A386" s="112"/>
      <c r="B386" s="112"/>
      <c r="C386" s="340" t="s">
        <v>48</v>
      </c>
      <c r="D386" s="112"/>
      <c r="E386" s="1176"/>
      <c r="F386" s="1177"/>
      <c r="G386" s="1179">
        <f>SUM(G387:G388)</f>
        <v>184008</v>
      </c>
    </row>
    <row r="387" spans="1:7" ht="18" customHeight="1">
      <c r="A387" s="112"/>
      <c r="B387" s="112"/>
      <c r="C387" s="340" t="s">
        <v>1123</v>
      </c>
      <c r="D387" s="112" t="s">
        <v>31</v>
      </c>
      <c r="E387" s="1176">
        <v>0.88</v>
      </c>
      <c r="F387" s="1177">
        <v>205000</v>
      </c>
      <c r="G387" s="1178">
        <f>E387*F387</f>
        <v>180400</v>
      </c>
    </row>
    <row r="388" spans="1:7" ht="18" customHeight="1">
      <c r="A388" s="112"/>
      <c r="B388" s="112"/>
      <c r="C388" s="340" t="s">
        <v>1072</v>
      </c>
      <c r="D388" s="112" t="s">
        <v>4</v>
      </c>
      <c r="E388" s="1176">
        <v>2</v>
      </c>
      <c r="F388" s="1177">
        <f>G387/100</f>
        <v>1804</v>
      </c>
      <c r="G388" s="1178">
        <f>E388*F388</f>
        <v>3608</v>
      </c>
    </row>
    <row r="389" spans="1:7" ht="18" customHeight="1">
      <c r="A389" s="112"/>
      <c r="B389" s="112"/>
      <c r="C389" s="340" t="s">
        <v>47</v>
      </c>
      <c r="D389" s="112" t="s">
        <v>55</v>
      </c>
      <c r="E389" s="1176"/>
      <c r="F389" s="1177"/>
      <c r="G389" s="1187">
        <f>G390</f>
        <v>138317.10200000001</v>
      </c>
    </row>
    <row r="390" spans="1:7" ht="18" customHeight="1">
      <c r="A390" s="112"/>
      <c r="B390" s="112"/>
      <c r="C390" s="1174" t="s">
        <v>1099</v>
      </c>
      <c r="D390" s="112" t="s">
        <v>30</v>
      </c>
      <c r="E390" s="1176">
        <v>0.53900000000000003</v>
      </c>
      <c r="F390" s="1177">
        <v>256618</v>
      </c>
      <c r="G390" s="1178">
        <f>E390*F390</f>
        <v>138317.10200000001</v>
      </c>
    </row>
    <row r="391" spans="1:7" ht="18" customHeight="1">
      <c r="A391" s="112"/>
      <c r="B391" s="112"/>
      <c r="C391" s="340" t="s">
        <v>1124</v>
      </c>
      <c r="D391" s="112" t="s">
        <v>55</v>
      </c>
      <c r="E391" s="1176"/>
      <c r="F391" s="1177"/>
      <c r="G391" s="1187">
        <f>G392</f>
        <v>90805.96</v>
      </c>
    </row>
    <row r="392" spans="1:7" ht="18" customHeight="1">
      <c r="A392" s="112"/>
      <c r="B392" s="112"/>
      <c r="C392" s="340" t="s">
        <v>1098</v>
      </c>
      <c r="D392" s="112" t="s">
        <v>1018</v>
      </c>
      <c r="E392" s="1176">
        <v>2.8000000000000001E-2</v>
      </c>
      <c r="F392" s="1177">
        <v>3243070</v>
      </c>
      <c r="G392" s="1178">
        <f>E392*F392</f>
        <v>90805.96</v>
      </c>
    </row>
    <row r="393" spans="1:7" ht="18" customHeight="1">
      <c r="A393" s="112"/>
      <c r="B393" s="347" t="s">
        <v>1203</v>
      </c>
      <c r="C393" s="1181" t="s">
        <v>1204</v>
      </c>
      <c r="D393" s="347" t="s">
        <v>1177</v>
      </c>
      <c r="E393" s="1176"/>
      <c r="F393" s="1177"/>
      <c r="G393" s="1188">
        <f>G394+G397+G399</f>
        <v>441682.41399999999</v>
      </c>
    </row>
    <row r="394" spans="1:7" ht="18" customHeight="1">
      <c r="A394" s="112"/>
      <c r="B394" s="112"/>
      <c r="C394" s="340" t="s">
        <v>48</v>
      </c>
      <c r="D394" s="112"/>
      <c r="E394" s="1176"/>
      <c r="F394" s="1177"/>
      <c r="G394" s="1179">
        <f>SUM(G395:G396)</f>
        <v>196135.8</v>
      </c>
    </row>
    <row r="395" spans="1:7" ht="18" customHeight="1">
      <c r="A395" s="112"/>
      <c r="B395" s="112"/>
      <c r="C395" s="340" t="s">
        <v>1123</v>
      </c>
      <c r="D395" s="112" t="s">
        <v>31</v>
      </c>
      <c r="E395" s="1176">
        <v>0.93799999999999994</v>
      </c>
      <c r="F395" s="1177">
        <v>205000</v>
      </c>
      <c r="G395" s="1178">
        <f>E395*F395</f>
        <v>192290</v>
      </c>
    </row>
    <row r="396" spans="1:7" ht="18" customHeight="1">
      <c r="A396" s="112"/>
      <c r="B396" s="112"/>
      <c r="C396" s="340" t="s">
        <v>1072</v>
      </c>
      <c r="D396" s="112" t="s">
        <v>4</v>
      </c>
      <c r="E396" s="1176">
        <v>2</v>
      </c>
      <c r="F396" s="1177">
        <f>G395/100</f>
        <v>1922.9</v>
      </c>
      <c r="G396" s="1178">
        <f>E396*F396</f>
        <v>3845.8</v>
      </c>
    </row>
    <row r="397" spans="1:7" ht="18" customHeight="1">
      <c r="A397" s="112"/>
      <c r="B397" s="112"/>
      <c r="C397" s="340" t="s">
        <v>47</v>
      </c>
      <c r="D397" s="112" t="s">
        <v>55</v>
      </c>
      <c r="E397" s="1176"/>
      <c r="F397" s="1177"/>
      <c r="G397" s="1187">
        <f>G398</f>
        <v>154740.65399999998</v>
      </c>
    </row>
    <row r="398" spans="1:7" ht="18" customHeight="1">
      <c r="A398" s="112"/>
      <c r="B398" s="112"/>
      <c r="C398" s="1174" t="s">
        <v>1099</v>
      </c>
      <c r="D398" s="112" t="s">
        <v>30</v>
      </c>
      <c r="E398" s="1176">
        <v>0.60299999999999998</v>
      </c>
      <c r="F398" s="1177">
        <v>256618</v>
      </c>
      <c r="G398" s="1178">
        <f>E398*F398</f>
        <v>154740.65399999998</v>
      </c>
    </row>
    <row r="399" spans="1:7" ht="18" customHeight="1">
      <c r="A399" s="112"/>
      <c r="B399" s="112"/>
      <c r="C399" s="340" t="s">
        <v>1124</v>
      </c>
      <c r="D399" s="112" t="s">
        <v>55</v>
      </c>
      <c r="E399" s="1176"/>
      <c r="F399" s="1177"/>
      <c r="G399" s="1187">
        <f>G400</f>
        <v>90805.96</v>
      </c>
    </row>
    <row r="400" spans="1:7" ht="18" customHeight="1">
      <c r="A400" s="112"/>
      <c r="B400" s="112"/>
      <c r="C400" s="340" t="s">
        <v>1098</v>
      </c>
      <c r="D400" s="112" t="s">
        <v>1018</v>
      </c>
      <c r="E400" s="1176">
        <v>2.8000000000000001E-2</v>
      </c>
      <c r="F400" s="1177">
        <v>3243070</v>
      </c>
      <c r="G400" s="1178">
        <f>E400*F400</f>
        <v>90805.96</v>
      </c>
    </row>
    <row r="401" spans="1:7" ht="32.25" customHeight="1">
      <c r="A401" s="112"/>
      <c r="B401" s="347" t="s">
        <v>1206</v>
      </c>
      <c r="C401" s="1181" t="s">
        <v>1205</v>
      </c>
      <c r="D401" s="347" t="s">
        <v>1177</v>
      </c>
      <c r="E401" s="1176"/>
      <c r="F401" s="1177"/>
      <c r="G401" s="1188">
        <f>G402+G405+G407</f>
        <v>4934297.08</v>
      </c>
    </row>
    <row r="402" spans="1:7" ht="18" customHeight="1">
      <c r="A402" s="112"/>
      <c r="B402" s="112"/>
      <c r="C402" s="340" t="s">
        <v>48</v>
      </c>
      <c r="D402" s="112"/>
      <c r="E402" s="1176"/>
      <c r="F402" s="1177"/>
      <c r="G402" s="1179">
        <f>SUM(G403:G404)</f>
        <v>3473151</v>
      </c>
    </row>
    <row r="403" spans="1:7" ht="18" customHeight="1">
      <c r="A403" s="112"/>
      <c r="B403" s="112"/>
      <c r="C403" s="340" t="s">
        <v>1123</v>
      </c>
      <c r="D403" s="112" t="s">
        <v>31</v>
      </c>
      <c r="E403" s="1176">
        <v>16.61</v>
      </c>
      <c r="F403" s="1177">
        <v>205000</v>
      </c>
      <c r="G403" s="1178">
        <f>E403*F403</f>
        <v>3405050</v>
      </c>
    </row>
    <row r="404" spans="1:7" ht="18" customHeight="1">
      <c r="A404" s="112"/>
      <c r="B404" s="112"/>
      <c r="C404" s="340" t="s">
        <v>1072</v>
      </c>
      <c r="D404" s="112" t="s">
        <v>4</v>
      </c>
      <c r="E404" s="1176">
        <v>2</v>
      </c>
      <c r="F404" s="1177">
        <f>G403/100</f>
        <v>34050.5</v>
      </c>
      <c r="G404" s="1178">
        <f>E404*F404</f>
        <v>68101</v>
      </c>
    </row>
    <row r="405" spans="1:7" ht="18" customHeight="1">
      <c r="A405" s="112"/>
      <c r="B405" s="112"/>
      <c r="C405" s="340" t="s">
        <v>47</v>
      </c>
      <c r="D405" s="112" t="s">
        <v>55</v>
      </c>
      <c r="E405" s="1176"/>
      <c r="F405" s="1177"/>
      <c r="G405" s="1187">
        <f>G406</f>
        <v>1370340.1199999999</v>
      </c>
    </row>
    <row r="406" spans="1:7" ht="18" customHeight="1">
      <c r="A406" s="112"/>
      <c r="B406" s="112"/>
      <c r="C406" s="1174" t="s">
        <v>1099</v>
      </c>
      <c r="D406" s="112" t="s">
        <v>30</v>
      </c>
      <c r="E406" s="1176">
        <v>5.34</v>
      </c>
      <c r="F406" s="1177">
        <v>256618</v>
      </c>
      <c r="G406" s="1178">
        <f>E406*F406</f>
        <v>1370340.1199999999</v>
      </c>
    </row>
    <row r="407" spans="1:7" ht="18" customHeight="1">
      <c r="A407" s="112"/>
      <c r="B407" s="112"/>
      <c r="C407" s="340" t="s">
        <v>1124</v>
      </c>
      <c r="D407" s="112" t="s">
        <v>55</v>
      </c>
      <c r="E407" s="1176"/>
      <c r="F407" s="1177"/>
      <c r="G407" s="1187">
        <f>G408</f>
        <v>90805.96</v>
      </c>
    </row>
    <row r="408" spans="1:7" ht="18" customHeight="1">
      <c r="A408" s="112"/>
      <c r="B408" s="112"/>
      <c r="C408" s="340" t="s">
        <v>1098</v>
      </c>
      <c r="D408" s="112" t="s">
        <v>1018</v>
      </c>
      <c r="E408" s="1176">
        <v>2.8000000000000001E-2</v>
      </c>
      <c r="F408" s="1177">
        <v>3243070</v>
      </c>
      <c r="G408" s="1178">
        <f>E408*F408</f>
        <v>90805.96</v>
      </c>
    </row>
    <row r="409" spans="1:7" ht="31.5" customHeight="1">
      <c r="A409" s="112"/>
      <c r="B409" s="347" t="s">
        <v>1206</v>
      </c>
      <c r="C409" s="1181" t="s">
        <v>1207</v>
      </c>
      <c r="D409" s="347" t="s">
        <v>1177</v>
      </c>
      <c r="E409" s="1176"/>
      <c r="F409" s="1177"/>
      <c r="G409" s="1188">
        <f>G410+G413+G415</f>
        <v>5739803.1000000006</v>
      </c>
    </row>
    <row r="410" spans="1:7" ht="18" customHeight="1">
      <c r="A410" s="112"/>
      <c r="B410" s="112"/>
      <c r="C410" s="340" t="s">
        <v>48</v>
      </c>
      <c r="D410" s="112"/>
      <c r="E410" s="1176"/>
      <c r="F410" s="1177"/>
      <c r="G410" s="1179">
        <f>SUM(G411:G412)</f>
        <v>4050267</v>
      </c>
    </row>
    <row r="411" spans="1:7" ht="18" customHeight="1">
      <c r="A411" s="112"/>
      <c r="B411" s="112"/>
      <c r="C411" s="340" t="s">
        <v>1123</v>
      </c>
      <c r="D411" s="112" t="s">
        <v>31</v>
      </c>
      <c r="E411" s="1176">
        <v>19.37</v>
      </c>
      <c r="F411" s="1177">
        <v>205000</v>
      </c>
      <c r="G411" s="1178">
        <f>E411*F411</f>
        <v>3970850</v>
      </c>
    </row>
    <row r="412" spans="1:7" ht="18" customHeight="1">
      <c r="A412" s="112"/>
      <c r="B412" s="112"/>
      <c r="C412" s="340" t="s">
        <v>1072</v>
      </c>
      <c r="D412" s="112" t="s">
        <v>4</v>
      </c>
      <c r="E412" s="1176">
        <v>2</v>
      </c>
      <c r="F412" s="1177">
        <f>G411/100</f>
        <v>39708.5</v>
      </c>
      <c r="G412" s="1178">
        <f>E412*F412</f>
        <v>79417</v>
      </c>
    </row>
    <row r="413" spans="1:7" ht="18" customHeight="1">
      <c r="A413" s="112"/>
      <c r="B413" s="112"/>
      <c r="C413" s="340" t="s">
        <v>47</v>
      </c>
      <c r="D413" s="112" t="s">
        <v>55</v>
      </c>
      <c r="E413" s="1176"/>
      <c r="F413" s="1177"/>
      <c r="G413" s="1187">
        <f>G414</f>
        <v>1598730.1400000001</v>
      </c>
    </row>
    <row r="414" spans="1:7" ht="18" customHeight="1">
      <c r="A414" s="112"/>
      <c r="B414" s="112"/>
      <c r="C414" s="1174" t="s">
        <v>1099</v>
      </c>
      <c r="D414" s="112" t="s">
        <v>30</v>
      </c>
      <c r="E414" s="1176">
        <v>6.23</v>
      </c>
      <c r="F414" s="1177">
        <v>256618</v>
      </c>
      <c r="G414" s="1178">
        <f>E414*F414</f>
        <v>1598730.1400000001</v>
      </c>
    </row>
    <row r="415" spans="1:7" ht="18" customHeight="1">
      <c r="A415" s="112"/>
      <c r="B415" s="112"/>
      <c r="C415" s="340" t="s">
        <v>1124</v>
      </c>
      <c r="D415" s="112" t="s">
        <v>55</v>
      </c>
      <c r="E415" s="1176"/>
      <c r="F415" s="1177"/>
      <c r="G415" s="1187">
        <f>G416</f>
        <v>90805.96</v>
      </c>
    </row>
    <row r="416" spans="1:7" ht="18" customHeight="1">
      <c r="A416" s="112"/>
      <c r="B416" s="112"/>
      <c r="C416" s="340" t="s">
        <v>1098</v>
      </c>
      <c r="D416" s="112" t="s">
        <v>1018</v>
      </c>
      <c r="E416" s="1176">
        <v>2.8000000000000001E-2</v>
      </c>
      <c r="F416" s="1177">
        <v>3243070</v>
      </c>
      <c r="G416" s="1178">
        <f>E416*F416</f>
        <v>90805.96</v>
      </c>
    </row>
    <row r="417" spans="1:7" ht="38.25" customHeight="1">
      <c r="A417" s="112"/>
      <c r="B417" s="347" t="s">
        <v>1206</v>
      </c>
      <c r="C417" s="1181" t="s">
        <v>1208</v>
      </c>
      <c r="D417" s="347" t="s">
        <v>1177</v>
      </c>
      <c r="E417" s="1176"/>
      <c r="F417" s="1177"/>
      <c r="G417" s="1188">
        <f>G418+G421+G423</f>
        <v>6552532.4799999995</v>
      </c>
    </row>
    <row r="418" spans="1:7" ht="18" customHeight="1">
      <c r="A418" s="112"/>
      <c r="B418" s="112"/>
      <c r="C418" s="340" t="s">
        <v>48</v>
      </c>
      <c r="D418" s="112"/>
      <c r="E418" s="1176"/>
      <c r="F418" s="1177"/>
      <c r="G418" s="1179">
        <f>SUM(G419:G420)</f>
        <v>4629474</v>
      </c>
    </row>
    <row r="419" spans="1:7" ht="18" customHeight="1">
      <c r="A419" s="112"/>
      <c r="B419" s="112"/>
      <c r="C419" s="340" t="s">
        <v>1123</v>
      </c>
      <c r="D419" s="112" t="s">
        <v>31</v>
      </c>
      <c r="E419" s="1176">
        <v>22.14</v>
      </c>
      <c r="F419" s="1177">
        <v>205000</v>
      </c>
      <c r="G419" s="1178">
        <f>E419*F419</f>
        <v>4538700</v>
      </c>
    </row>
    <row r="420" spans="1:7" ht="18" customHeight="1">
      <c r="A420" s="112"/>
      <c r="B420" s="112"/>
      <c r="C420" s="340" t="s">
        <v>1072</v>
      </c>
      <c r="D420" s="112" t="s">
        <v>4</v>
      </c>
      <c r="E420" s="1176">
        <v>2</v>
      </c>
      <c r="F420" s="1177">
        <f>G419/100</f>
        <v>45387</v>
      </c>
      <c r="G420" s="1178">
        <f>E420*F420</f>
        <v>90774</v>
      </c>
    </row>
    <row r="421" spans="1:7" ht="18" customHeight="1">
      <c r="A421" s="112"/>
      <c r="B421" s="112"/>
      <c r="C421" s="340" t="s">
        <v>47</v>
      </c>
      <c r="D421" s="112" t="s">
        <v>55</v>
      </c>
      <c r="E421" s="1176"/>
      <c r="F421" s="1177"/>
      <c r="G421" s="1187">
        <f>G422</f>
        <v>1832252.52</v>
      </c>
    </row>
    <row r="422" spans="1:7" ht="18" customHeight="1">
      <c r="A422" s="112"/>
      <c r="B422" s="112"/>
      <c r="C422" s="1174" t="s">
        <v>1099</v>
      </c>
      <c r="D422" s="112" t="s">
        <v>30</v>
      </c>
      <c r="E422" s="1176">
        <v>7.14</v>
      </c>
      <c r="F422" s="1177">
        <v>256618</v>
      </c>
      <c r="G422" s="1178">
        <f>E422*F422</f>
        <v>1832252.52</v>
      </c>
    </row>
    <row r="423" spans="1:7" ht="18" customHeight="1">
      <c r="A423" s="112"/>
      <c r="B423" s="112"/>
      <c r="C423" s="340" t="s">
        <v>1124</v>
      </c>
      <c r="D423" s="112" t="s">
        <v>55</v>
      </c>
      <c r="E423" s="1176"/>
      <c r="F423" s="1177"/>
      <c r="G423" s="1187">
        <f>G424</f>
        <v>90805.96</v>
      </c>
    </row>
    <row r="424" spans="1:7" ht="18" customHeight="1">
      <c r="A424" s="112"/>
      <c r="B424" s="112"/>
      <c r="C424" s="340" t="s">
        <v>1098</v>
      </c>
      <c r="D424" s="112" t="s">
        <v>1018</v>
      </c>
      <c r="E424" s="1176">
        <v>2.8000000000000001E-2</v>
      </c>
      <c r="F424" s="1177">
        <v>3243070</v>
      </c>
      <c r="G424" s="1178">
        <f>E424*F424</f>
        <v>90805.96</v>
      </c>
    </row>
    <row r="425" spans="1:7" ht="18" customHeight="1">
      <c r="A425" s="347">
        <v>18</v>
      </c>
      <c r="B425" s="275"/>
      <c r="C425" s="1181" t="s">
        <v>1210</v>
      </c>
      <c r="D425" s="347" t="s">
        <v>1177</v>
      </c>
      <c r="E425" s="1176"/>
      <c r="F425" s="1177"/>
      <c r="G425" s="1178"/>
    </row>
    <row r="426" spans="1:7" ht="18" customHeight="1">
      <c r="A426" s="347"/>
      <c r="B426" s="347" t="s">
        <v>1209</v>
      </c>
      <c r="C426" s="1181" t="s">
        <v>1211</v>
      </c>
      <c r="D426" s="347" t="s">
        <v>1177</v>
      </c>
      <c r="E426" s="1176"/>
      <c r="F426" s="1177"/>
      <c r="G426" s="1188">
        <f>G427+G430+G432</f>
        <v>475700.20800000004</v>
      </c>
    </row>
    <row r="427" spans="1:7" ht="18" customHeight="1">
      <c r="A427" s="112"/>
      <c r="B427" s="112"/>
      <c r="C427" s="340" t="s">
        <v>48</v>
      </c>
      <c r="D427" s="112"/>
      <c r="E427" s="1176"/>
      <c r="F427" s="1177"/>
      <c r="G427" s="1179">
        <f>SUM(G428:G429)</f>
        <v>285839.7</v>
      </c>
    </row>
    <row r="428" spans="1:7" ht="18" customHeight="1">
      <c r="A428" s="112"/>
      <c r="B428" s="112"/>
      <c r="C428" s="340" t="s">
        <v>1123</v>
      </c>
      <c r="D428" s="112" t="s">
        <v>31</v>
      </c>
      <c r="E428" s="1176">
        <v>1.367</v>
      </c>
      <c r="F428" s="1177">
        <v>205000</v>
      </c>
      <c r="G428" s="1178">
        <f>E428*F428</f>
        <v>280235</v>
      </c>
    </row>
    <row r="429" spans="1:7" ht="18" customHeight="1">
      <c r="A429" s="112"/>
      <c r="B429" s="112"/>
      <c r="C429" s="340" t="s">
        <v>1072</v>
      </c>
      <c r="D429" s="112" t="s">
        <v>4</v>
      </c>
      <c r="E429" s="1176">
        <v>2</v>
      </c>
      <c r="F429" s="1177">
        <f>G428/100</f>
        <v>2802.35</v>
      </c>
      <c r="G429" s="1178">
        <f>E429*F429</f>
        <v>5604.7</v>
      </c>
    </row>
    <row r="430" spans="1:7" ht="18" customHeight="1">
      <c r="A430" s="112"/>
      <c r="B430" s="112"/>
      <c r="C430" s="340" t="s">
        <v>47</v>
      </c>
      <c r="D430" s="112" t="s">
        <v>55</v>
      </c>
      <c r="E430" s="1176"/>
      <c r="F430" s="1177"/>
      <c r="G430" s="1187">
        <f>G431</f>
        <v>99054.54800000001</v>
      </c>
    </row>
    <row r="431" spans="1:7" ht="18" customHeight="1">
      <c r="A431" s="112"/>
      <c r="B431" s="112"/>
      <c r="C431" s="1174" t="s">
        <v>1099</v>
      </c>
      <c r="D431" s="112" t="s">
        <v>30</v>
      </c>
      <c r="E431" s="1176">
        <v>0.38600000000000001</v>
      </c>
      <c r="F431" s="1177">
        <v>256618</v>
      </c>
      <c r="G431" s="1178">
        <f>E431*F431</f>
        <v>99054.54800000001</v>
      </c>
    </row>
    <row r="432" spans="1:7" ht="18" customHeight="1">
      <c r="A432" s="112"/>
      <c r="B432" s="112"/>
      <c r="C432" s="340" t="s">
        <v>1124</v>
      </c>
      <c r="D432" s="112" t="s">
        <v>55</v>
      </c>
      <c r="E432" s="1176"/>
      <c r="F432" s="1177"/>
      <c r="G432" s="1187">
        <f>G433</f>
        <v>90805.96</v>
      </c>
    </row>
    <row r="433" spans="1:7" ht="18" customHeight="1">
      <c r="A433" s="112"/>
      <c r="B433" s="112"/>
      <c r="C433" s="340" t="s">
        <v>1098</v>
      </c>
      <c r="D433" s="112" t="s">
        <v>1018</v>
      </c>
      <c r="E433" s="1176">
        <v>2.8000000000000001E-2</v>
      </c>
      <c r="F433" s="1177">
        <v>3243070</v>
      </c>
      <c r="G433" s="1178">
        <f>E433*F433</f>
        <v>90805.96</v>
      </c>
    </row>
    <row r="434" spans="1:7" ht="18" customHeight="1">
      <c r="A434" s="112"/>
      <c r="B434" s="347" t="s">
        <v>1209</v>
      </c>
      <c r="C434" s="1181" t="s">
        <v>1212</v>
      </c>
      <c r="D434" s="347" t="s">
        <v>1177</v>
      </c>
      <c r="E434" s="1176"/>
      <c r="F434" s="1177"/>
      <c r="G434" s="1188">
        <f>G435+G438+G440</f>
        <v>594268.85</v>
      </c>
    </row>
    <row r="435" spans="1:7" ht="18" customHeight="1">
      <c r="A435" s="112"/>
      <c r="B435" s="112"/>
      <c r="C435" s="340" t="s">
        <v>48</v>
      </c>
      <c r="D435" s="112"/>
      <c r="E435" s="1176"/>
      <c r="F435" s="1177"/>
      <c r="G435" s="1179">
        <f>SUM(G436:G437)</f>
        <v>373870.8</v>
      </c>
    </row>
    <row r="436" spans="1:7" ht="18" customHeight="1">
      <c r="A436" s="112"/>
      <c r="B436" s="112"/>
      <c r="C436" s="340" t="s">
        <v>1123</v>
      </c>
      <c r="D436" s="112" t="s">
        <v>31</v>
      </c>
      <c r="E436" s="1176">
        <v>1.788</v>
      </c>
      <c r="F436" s="1177">
        <v>205000</v>
      </c>
      <c r="G436" s="1178">
        <f>E436*F436</f>
        <v>366540</v>
      </c>
    </row>
    <row r="437" spans="1:7" ht="18" customHeight="1">
      <c r="A437" s="112"/>
      <c r="B437" s="112"/>
      <c r="C437" s="340" t="s">
        <v>1072</v>
      </c>
      <c r="D437" s="112" t="s">
        <v>4</v>
      </c>
      <c r="E437" s="1176">
        <v>2</v>
      </c>
      <c r="F437" s="1177">
        <f>G436/100</f>
        <v>3665.4</v>
      </c>
      <c r="G437" s="1178">
        <f>E437*F437</f>
        <v>7330.8</v>
      </c>
    </row>
    <row r="438" spans="1:7" ht="18" customHeight="1">
      <c r="A438" s="112"/>
      <c r="B438" s="112"/>
      <c r="C438" s="340" t="s">
        <v>47</v>
      </c>
      <c r="D438" s="112" t="s">
        <v>55</v>
      </c>
      <c r="E438" s="1176"/>
      <c r="F438" s="1177"/>
      <c r="G438" s="1187">
        <f>G439</f>
        <v>129592.09</v>
      </c>
    </row>
    <row r="439" spans="1:7" ht="18" customHeight="1">
      <c r="A439" s="112"/>
      <c r="B439" s="112"/>
      <c r="C439" s="1174" t="s">
        <v>1099</v>
      </c>
      <c r="D439" s="112" t="s">
        <v>30</v>
      </c>
      <c r="E439" s="1176">
        <v>0.505</v>
      </c>
      <c r="F439" s="1177">
        <v>256618</v>
      </c>
      <c r="G439" s="1178">
        <f>E439*F439</f>
        <v>129592.09</v>
      </c>
    </row>
    <row r="440" spans="1:7" ht="18" customHeight="1">
      <c r="A440" s="112"/>
      <c r="B440" s="112"/>
      <c r="C440" s="340" t="s">
        <v>1124</v>
      </c>
      <c r="D440" s="112" t="s">
        <v>55</v>
      </c>
      <c r="E440" s="1176"/>
      <c r="F440" s="1177"/>
      <c r="G440" s="1187">
        <f>G441</f>
        <v>90805.96</v>
      </c>
    </row>
    <row r="441" spans="1:7" ht="18" customHeight="1">
      <c r="A441" s="112"/>
      <c r="B441" s="112"/>
      <c r="C441" s="340" t="s">
        <v>1098</v>
      </c>
      <c r="D441" s="112" t="s">
        <v>1018</v>
      </c>
      <c r="E441" s="1176">
        <v>2.8000000000000001E-2</v>
      </c>
      <c r="F441" s="1177">
        <v>3243070</v>
      </c>
      <c r="G441" s="1178">
        <f>E441*F441</f>
        <v>90805.96</v>
      </c>
    </row>
    <row r="442" spans="1:7" ht="18" customHeight="1">
      <c r="A442" s="347">
        <v>19</v>
      </c>
      <c r="B442" s="347"/>
      <c r="C442" s="1151" t="s">
        <v>1213</v>
      </c>
      <c r="D442" s="347" t="s">
        <v>1157</v>
      </c>
      <c r="E442" s="1176"/>
      <c r="F442" s="1177"/>
      <c r="G442" s="1178"/>
    </row>
    <row r="443" spans="1:7" ht="18" customHeight="1">
      <c r="A443" s="112"/>
      <c r="B443" s="347" t="s">
        <v>1214</v>
      </c>
      <c r="C443" s="1151" t="s">
        <v>1215</v>
      </c>
      <c r="D443" s="347" t="s">
        <v>1071</v>
      </c>
      <c r="E443" s="1176"/>
      <c r="F443" s="1177"/>
      <c r="G443" s="1188">
        <f>G444+G447</f>
        <v>247610.272</v>
      </c>
    </row>
    <row r="444" spans="1:7" ht="18" customHeight="1">
      <c r="A444" s="112"/>
      <c r="B444" s="112"/>
      <c r="C444" s="340" t="s">
        <v>48</v>
      </c>
      <c r="D444" s="112"/>
      <c r="E444" s="1176"/>
      <c r="F444" s="1177"/>
      <c r="G444" s="1179">
        <f>SUM(G445:G446)</f>
        <v>131105.70000000001</v>
      </c>
    </row>
    <row r="445" spans="1:7" ht="18" customHeight="1">
      <c r="A445" s="112"/>
      <c r="B445" s="112"/>
      <c r="C445" s="340" t="s">
        <v>1123</v>
      </c>
      <c r="D445" s="112" t="s">
        <v>31</v>
      </c>
      <c r="E445" s="1176">
        <v>0.627</v>
      </c>
      <c r="F445" s="1177">
        <v>205000</v>
      </c>
      <c r="G445" s="1178">
        <f>E445*F445</f>
        <v>128535</v>
      </c>
    </row>
    <row r="446" spans="1:7" ht="18" customHeight="1">
      <c r="A446" s="112"/>
      <c r="B446" s="112"/>
      <c r="C446" s="340" t="s">
        <v>1072</v>
      </c>
      <c r="D446" s="112" t="s">
        <v>4</v>
      </c>
      <c r="E446" s="1176">
        <v>2</v>
      </c>
      <c r="F446" s="1177">
        <f>G445/100</f>
        <v>1285.3499999999999</v>
      </c>
      <c r="G446" s="1178">
        <f>E446*F446</f>
        <v>2570.6999999999998</v>
      </c>
    </row>
    <row r="447" spans="1:7" ht="18" customHeight="1">
      <c r="A447" s="112"/>
      <c r="B447" s="112"/>
      <c r="C447" s="340" t="s">
        <v>47</v>
      </c>
      <c r="D447" s="112" t="s">
        <v>55</v>
      </c>
      <c r="E447" s="1176"/>
      <c r="F447" s="1177"/>
      <c r="G447" s="1187">
        <f>G448</f>
        <v>116504.572</v>
      </c>
    </row>
    <row r="448" spans="1:7" ht="18" customHeight="1">
      <c r="A448" s="112"/>
      <c r="B448" s="112"/>
      <c r="C448" s="1174" t="s">
        <v>1099</v>
      </c>
      <c r="D448" s="112" t="s">
        <v>30</v>
      </c>
      <c r="E448" s="1176">
        <v>0.45400000000000001</v>
      </c>
      <c r="F448" s="1177">
        <v>256618</v>
      </c>
      <c r="G448" s="1178">
        <f>E448*F448</f>
        <v>116504.572</v>
      </c>
    </row>
    <row r="449" spans="1:7" ht="18" customHeight="1">
      <c r="A449" s="112"/>
      <c r="B449" s="347" t="s">
        <v>1216</v>
      </c>
      <c r="C449" s="1151" t="s">
        <v>1217</v>
      </c>
      <c r="D449" s="347" t="s">
        <v>1071</v>
      </c>
      <c r="E449" s="1176"/>
      <c r="F449" s="1177"/>
      <c r="G449" s="1188">
        <f>G450+G453</f>
        <v>155188.07199999999</v>
      </c>
    </row>
    <row r="450" spans="1:7" ht="18" customHeight="1">
      <c r="A450" s="112"/>
      <c r="B450" s="112"/>
      <c r="C450" s="340" t="s">
        <v>48</v>
      </c>
      <c r="D450" s="112"/>
      <c r="E450" s="1176"/>
      <c r="F450" s="1177"/>
      <c r="G450" s="1179">
        <f>SUM(G451:G452)</f>
        <v>38683.5</v>
      </c>
    </row>
    <row r="451" spans="1:7" ht="18" customHeight="1">
      <c r="A451" s="112"/>
      <c r="B451" s="112"/>
      <c r="C451" s="340" t="s">
        <v>1123</v>
      </c>
      <c r="D451" s="112" t="s">
        <v>31</v>
      </c>
      <c r="E451" s="1176">
        <v>0.185</v>
      </c>
      <c r="F451" s="1177">
        <v>205000</v>
      </c>
      <c r="G451" s="1178">
        <f>E451*F451</f>
        <v>37925</v>
      </c>
    </row>
    <row r="452" spans="1:7" ht="18" customHeight="1">
      <c r="A452" s="112"/>
      <c r="B452" s="112"/>
      <c r="C452" s="340" t="s">
        <v>1072</v>
      </c>
      <c r="D452" s="112" t="s">
        <v>4</v>
      </c>
      <c r="E452" s="1176">
        <v>2</v>
      </c>
      <c r="F452" s="1177">
        <f>G451/100</f>
        <v>379.25</v>
      </c>
      <c r="G452" s="1178">
        <f>E452*F452</f>
        <v>758.5</v>
      </c>
    </row>
    <row r="453" spans="1:7" ht="18" customHeight="1">
      <c r="A453" s="112"/>
      <c r="B453" s="112"/>
      <c r="C453" s="340" t="s">
        <v>47</v>
      </c>
      <c r="D453" s="112" t="s">
        <v>55</v>
      </c>
      <c r="E453" s="1176"/>
      <c r="F453" s="1177"/>
      <c r="G453" s="1187">
        <f>G454</f>
        <v>116504.572</v>
      </c>
    </row>
    <row r="454" spans="1:7" ht="18" customHeight="1">
      <c r="A454" s="112"/>
      <c r="B454" s="112"/>
      <c r="C454" s="1174" t="s">
        <v>1099</v>
      </c>
      <c r="D454" s="112" t="s">
        <v>30</v>
      </c>
      <c r="E454" s="1176">
        <v>0.45400000000000001</v>
      </c>
      <c r="F454" s="1177">
        <v>256618</v>
      </c>
      <c r="G454" s="1178">
        <f>E454*F454</f>
        <v>116504.572</v>
      </c>
    </row>
    <row r="455" spans="1:7" ht="18" customHeight="1">
      <c r="A455" s="347">
        <v>20</v>
      </c>
      <c r="B455" s="112"/>
      <c r="C455" s="1180" t="s">
        <v>1218</v>
      </c>
      <c r="D455" s="347" t="s">
        <v>1149</v>
      </c>
      <c r="E455" s="1176"/>
      <c r="F455" s="1177"/>
      <c r="G455" s="1178"/>
    </row>
    <row r="456" spans="1:7" ht="31.5" customHeight="1">
      <c r="A456" s="112"/>
      <c r="B456" s="347" t="s">
        <v>1219</v>
      </c>
      <c r="C456" s="1181" t="s">
        <v>1220</v>
      </c>
      <c r="D456" s="347" t="s">
        <v>1149</v>
      </c>
      <c r="E456" s="1176"/>
      <c r="F456" s="1177"/>
      <c r="G456" s="1188">
        <f>G457+G460</f>
        <v>141530.962</v>
      </c>
    </row>
    <row r="457" spans="1:7" ht="18" customHeight="1">
      <c r="A457" s="112"/>
      <c r="B457" s="112"/>
      <c r="C457" s="340" t="s">
        <v>48</v>
      </c>
      <c r="D457" s="112"/>
      <c r="E457" s="1176"/>
      <c r="F457" s="1177"/>
      <c r="G457" s="1179">
        <f>SUM(G458:G459)</f>
        <v>75066.899999999994</v>
      </c>
    </row>
    <row r="458" spans="1:7" ht="18" customHeight="1">
      <c r="A458" s="112"/>
      <c r="B458" s="112"/>
      <c r="C458" s="340" t="s">
        <v>1123</v>
      </c>
      <c r="D458" s="112" t="s">
        <v>31</v>
      </c>
      <c r="E458" s="1176">
        <v>0.35899999999999999</v>
      </c>
      <c r="F458" s="1177">
        <v>205000</v>
      </c>
      <c r="G458" s="1178">
        <f>E458*F458</f>
        <v>73595</v>
      </c>
    </row>
    <row r="459" spans="1:7" ht="18" customHeight="1">
      <c r="A459" s="112"/>
      <c r="B459" s="112"/>
      <c r="C459" s="340" t="s">
        <v>1072</v>
      </c>
      <c r="D459" s="112" t="s">
        <v>4</v>
      </c>
      <c r="E459" s="1176">
        <v>2</v>
      </c>
      <c r="F459" s="1177">
        <f>G458/100</f>
        <v>735.95</v>
      </c>
      <c r="G459" s="1178">
        <f>E459*F459</f>
        <v>1471.9</v>
      </c>
    </row>
    <row r="460" spans="1:7" ht="18" customHeight="1">
      <c r="A460" s="112"/>
      <c r="B460" s="112"/>
      <c r="C460" s="340" t="s">
        <v>47</v>
      </c>
      <c r="D460" s="112" t="s">
        <v>55</v>
      </c>
      <c r="E460" s="1176"/>
      <c r="F460" s="1177"/>
      <c r="G460" s="1187">
        <f>G461</f>
        <v>66464.062000000005</v>
      </c>
    </row>
    <row r="461" spans="1:7" ht="18" customHeight="1">
      <c r="A461" s="112"/>
      <c r="B461" s="112"/>
      <c r="C461" s="1174" t="s">
        <v>1099</v>
      </c>
      <c r="D461" s="112" t="s">
        <v>30</v>
      </c>
      <c r="E461" s="1176">
        <v>0.25900000000000001</v>
      </c>
      <c r="F461" s="1177">
        <v>256618</v>
      </c>
      <c r="G461" s="1178">
        <f>E461*F461</f>
        <v>66464.062000000005</v>
      </c>
    </row>
    <row r="462" spans="1:7" ht="22.5" customHeight="1">
      <c r="A462" s="112"/>
      <c r="B462" s="347" t="s">
        <v>1221</v>
      </c>
      <c r="C462" s="1181" t="s">
        <v>1222</v>
      </c>
      <c r="D462" s="347" t="s">
        <v>1149</v>
      </c>
      <c r="E462" s="1176"/>
      <c r="F462" s="1177"/>
      <c r="G462" s="1188">
        <f>G463+G466</f>
        <v>490610.88199999998</v>
      </c>
    </row>
    <row r="463" spans="1:7" ht="18" customHeight="1">
      <c r="A463" s="112"/>
      <c r="B463" s="112"/>
      <c r="C463" s="340" t="s">
        <v>48</v>
      </c>
      <c r="D463" s="112"/>
      <c r="E463" s="1176"/>
      <c r="F463" s="1177"/>
      <c r="G463" s="1179">
        <f>SUM(G464:G465)</f>
        <v>259911.30000000002</v>
      </c>
    </row>
    <row r="464" spans="1:7" ht="18" customHeight="1">
      <c r="A464" s="112"/>
      <c r="B464" s="112"/>
      <c r="C464" s="340" t="s">
        <v>1123</v>
      </c>
      <c r="D464" s="112" t="s">
        <v>31</v>
      </c>
      <c r="E464" s="1176">
        <v>1.2430000000000001</v>
      </c>
      <c r="F464" s="1177">
        <v>205000</v>
      </c>
      <c r="G464" s="1178">
        <f>E464*F464</f>
        <v>254815.00000000003</v>
      </c>
    </row>
    <row r="465" spans="1:7" ht="18" customHeight="1">
      <c r="A465" s="112"/>
      <c r="B465" s="112"/>
      <c r="C465" s="340" t="s">
        <v>1072</v>
      </c>
      <c r="D465" s="112" t="s">
        <v>4</v>
      </c>
      <c r="E465" s="1176">
        <v>2</v>
      </c>
      <c r="F465" s="1177">
        <f>G464/100</f>
        <v>2548.15</v>
      </c>
      <c r="G465" s="1178">
        <f>E465*F465</f>
        <v>5096.3</v>
      </c>
    </row>
    <row r="466" spans="1:7" ht="18" customHeight="1">
      <c r="A466" s="112"/>
      <c r="B466" s="112"/>
      <c r="C466" s="340" t="s">
        <v>47</v>
      </c>
      <c r="D466" s="112" t="s">
        <v>55</v>
      </c>
      <c r="E466" s="1176"/>
      <c r="F466" s="1177"/>
      <c r="G466" s="1187">
        <f>G467</f>
        <v>230699.58199999999</v>
      </c>
    </row>
    <row r="467" spans="1:7" ht="18" customHeight="1">
      <c r="A467" s="112"/>
      <c r="B467" s="112"/>
      <c r="C467" s="1174" t="s">
        <v>1099</v>
      </c>
      <c r="D467" s="112" t="s">
        <v>30</v>
      </c>
      <c r="E467" s="1176">
        <v>0.89900000000000002</v>
      </c>
      <c r="F467" s="1177">
        <v>256618</v>
      </c>
      <c r="G467" s="1178">
        <f>E467*F467</f>
        <v>230699.58199999999</v>
      </c>
    </row>
    <row r="468" spans="1:7" ht="18" customHeight="1">
      <c r="A468" s="112"/>
      <c r="B468" s="347" t="s">
        <v>1223</v>
      </c>
      <c r="C468" s="1181" t="s">
        <v>1224</v>
      </c>
      <c r="D468" s="347" t="s">
        <v>1149</v>
      </c>
      <c r="E468" s="1176"/>
      <c r="F468" s="1177"/>
      <c r="G468" s="1188">
        <f>G469+G472</f>
        <v>282852.82400000002</v>
      </c>
    </row>
    <row r="469" spans="1:7" ht="18" customHeight="1">
      <c r="A469" s="112"/>
      <c r="B469" s="112"/>
      <c r="C469" s="340" t="s">
        <v>48</v>
      </c>
      <c r="D469" s="112"/>
      <c r="E469" s="1176"/>
      <c r="F469" s="1177"/>
      <c r="G469" s="1179">
        <f>SUM(G470:G471)</f>
        <v>149924.70000000001</v>
      </c>
    </row>
    <row r="470" spans="1:7" ht="18" customHeight="1">
      <c r="A470" s="112"/>
      <c r="B470" s="112"/>
      <c r="C470" s="340" t="s">
        <v>1123</v>
      </c>
      <c r="D470" s="112" t="s">
        <v>31</v>
      </c>
      <c r="E470" s="1176">
        <v>0.71699999999999997</v>
      </c>
      <c r="F470" s="1177">
        <v>205000</v>
      </c>
      <c r="G470" s="1178">
        <f>E470*F470</f>
        <v>146985</v>
      </c>
    </row>
    <row r="471" spans="1:7" ht="18" customHeight="1">
      <c r="A471" s="112"/>
      <c r="B471" s="112"/>
      <c r="C471" s="340" t="s">
        <v>1072</v>
      </c>
      <c r="D471" s="112" t="s">
        <v>4</v>
      </c>
      <c r="E471" s="1176">
        <v>2</v>
      </c>
      <c r="F471" s="1177">
        <f>G470/100</f>
        <v>1469.85</v>
      </c>
      <c r="G471" s="1178">
        <f>E471*F471</f>
        <v>2939.7</v>
      </c>
    </row>
    <row r="472" spans="1:7" ht="18" customHeight="1">
      <c r="A472" s="112"/>
      <c r="B472" s="112"/>
      <c r="C472" s="340" t="s">
        <v>47</v>
      </c>
      <c r="D472" s="112" t="s">
        <v>55</v>
      </c>
      <c r="E472" s="1176"/>
      <c r="F472" s="1177"/>
      <c r="G472" s="1187">
        <f>G473</f>
        <v>132928.12400000001</v>
      </c>
    </row>
    <row r="473" spans="1:7" ht="18" customHeight="1">
      <c r="A473" s="112"/>
      <c r="B473" s="112"/>
      <c r="C473" s="1174" t="s">
        <v>1099</v>
      </c>
      <c r="D473" s="112" t="s">
        <v>30</v>
      </c>
      <c r="E473" s="1176">
        <v>0.51800000000000002</v>
      </c>
      <c r="F473" s="1177">
        <v>256618</v>
      </c>
      <c r="G473" s="1178">
        <f>E473*F473</f>
        <v>132928.12400000001</v>
      </c>
    </row>
    <row r="474" spans="1:7" ht="18" customHeight="1">
      <c r="A474" s="112"/>
      <c r="B474" s="347" t="s">
        <v>1225</v>
      </c>
      <c r="C474" s="1181" t="s">
        <v>1226</v>
      </c>
      <c r="D474" s="347" t="s">
        <v>1149</v>
      </c>
      <c r="E474" s="1176"/>
      <c r="F474" s="1177"/>
      <c r="G474" s="1188">
        <f>G475+G478</f>
        <v>15805.922</v>
      </c>
    </row>
    <row r="475" spans="1:7" ht="18" customHeight="1">
      <c r="A475" s="112"/>
      <c r="B475" s="112"/>
      <c r="C475" s="340" t="s">
        <v>48</v>
      </c>
      <c r="D475" s="112"/>
      <c r="E475" s="1176"/>
      <c r="F475" s="1177"/>
      <c r="G475" s="1179">
        <f>SUM(G476:G477)</f>
        <v>8364</v>
      </c>
    </row>
    <row r="476" spans="1:7" ht="18" customHeight="1">
      <c r="A476" s="112"/>
      <c r="B476" s="112"/>
      <c r="C476" s="340" t="s">
        <v>1123</v>
      </c>
      <c r="D476" s="112" t="s">
        <v>31</v>
      </c>
      <c r="E476" s="1176">
        <v>0.04</v>
      </c>
      <c r="F476" s="1177">
        <v>205000</v>
      </c>
      <c r="G476" s="1178">
        <f>E476*F476</f>
        <v>8200</v>
      </c>
    </row>
    <row r="477" spans="1:7" ht="18" customHeight="1">
      <c r="A477" s="112"/>
      <c r="B477" s="112"/>
      <c r="C477" s="340" t="s">
        <v>1072</v>
      </c>
      <c r="D477" s="112" t="s">
        <v>4</v>
      </c>
      <c r="E477" s="1176">
        <v>2</v>
      </c>
      <c r="F477" s="1177">
        <f>G476/100</f>
        <v>82</v>
      </c>
      <c r="G477" s="1178">
        <f>E477*F477</f>
        <v>164</v>
      </c>
    </row>
    <row r="478" spans="1:7" ht="18" customHeight="1">
      <c r="A478" s="112"/>
      <c r="B478" s="112"/>
      <c r="C478" s="340" t="s">
        <v>47</v>
      </c>
      <c r="D478" s="112" t="s">
        <v>55</v>
      </c>
      <c r="E478" s="1176"/>
      <c r="F478" s="1177"/>
      <c r="G478" s="1187">
        <f>G479</f>
        <v>7441.9220000000005</v>
      </c>
    </row>
    <row r="479" spans="1:7" ht="18" customHeight="1">
      <c r="A479" s="112"/>
      <c r="B479" s="112"/>
      <c r="C479" s="1174" t="s">
        <v>1099</v>
      </c>
      <c r="D479" s="112" t="s">
        <v>30</v>
      </c>
      <c r="E479" s="1176">
        <v>2.9000000000000001E-2</v>
      </c>
      <c r="F479" s="1177">
        <v>256618</v>
      </c>
      <c r="G479" s="1178">
        <f>E479*F479</f>
        <v>7441.9220000000005</v>
      </c>
    </row>
    <row r="480" spans="1:7" ht="32.25" customHeight="1">
      <c r="A480" s="347">
        <v>21</v>
      </c>
      <c r="B480" s="347" t="s">
        <v>1228</v>
      </c>
      <c r="C480" s="1181" t="s">
        <v>1227</v>
      </c>
      <c r="D480" s="347" t="s">
        <v>1073</v>
      </c>
      <c r="E480" s="1176"/>
      <c r="F480" s="1177"/>
      <c r="G480" s="1188">
        <f>G481+G484+G486</f>
        <v>189063.1</v>
      </c>
    </row>
    <row r="481" spans="1:7" ht="18" customHeight="1">
      <c r="A481" s="112"/>
      <c r="B481" s="112"/>
      <c r="C481" s="340" t="s">
        <v>48</v>
      </c>
      <c r="D481" s="112"/>
      <c r="E481" s="1176"/>
      <c r="F481" s="1177"/>
      <c r="G481" s="1179">
        <f>SUM(G482:G483)</f>
        <v>52065.9</v>
      </c>
    </row>
    <row r="482" spans="1:7" ht="18" customHeight="1">
      <c r="A482" s="112"/>
      <c r="B482" s="112"/>
      <c r="C482" s="340" t="s">
        <v>1123</v>
      </c>
      <c r="D482" s="112" t="s">
        <v>31</v>
      </c>
      <c r="E482" s="1176">
        <v>0.249</v>
      </c>
      <c r="F482" s="1177">
        <v>205000</v>
      </c>
      <c r="G482" s="1178">
        <f>E482*F482</f>
        <v>51045</v>
      </c>
    </row>
    <row r="483" spans="1:7" ht="18" customHeight="1">
      <c r="A483" s="112"/>
      <c r="B483" s="112"/>
      <c r="C483" s="340" t="s">
        <v>1072</v>
      </c>
      <c r="D483" s="112" t="s">
        <v>4</v>
      </c>
      <c r="E483" s="1176">
        <v>2</v>
      </c>
      <c r="F483" s="1177">
        <f>G482/100</f>
        <v>510.45</v>
      </c>
      <c r="G483" s="1178">
        <f>E483*F483</f>
        <v>1020.9</v>
      </c>
    </row>
    <row r="484" spans="1:7" ht="18" customHeight="1">
      <c r="A484" s="112"/>
      <c r="B484" s="112"/>
      <c r="C484" s="340" t="s">
        <v>47</v>
      </c>
      <c r="D484" s="112" t="s">
        <v>55</v>
      </c>
      <c r="E484" s="1176"/>
      <c r="F484" s="1177"/>
      <c r="G484" s="1187">
        <f>G485</f>
        <v>46191.24</v>
      </c>
    </row>
    <row r="485" spans="1:7" ht="18" customHeight="1">
      <c r="A485" s="112"/>
      <c r="B485" s="112"/>
      <c r="C485" s="1174" t="s">
        <v>1099</v>
      </c>
      <c r="D485" s="112" t="s">
        <v>30</v>
      </c>
      <c r="E485" s="1176">
        <v>0.18</v>
      </c>
      <c r="F485" s="1177">
        <v>256618</v>
      </c>
      <c r="G485" s="1178">
        <f>E485*F485</f>
        <v>46191.24</v>
      </c>
    </row>
    <row r="486" spans="1:7" ht="18" customHeight="1">
      <c r="A486" s="112"/>
      <c r="B486" s="112"/>
      <c r="C486" s="340" t="s">
        <v>1124</v>
      </c>
      <c r="D486" s="112" t="s">
        <v>55</v>
      </c>
      <c r="E486" s="1176"/>
      <c r="F486" s="1177"/>
      <c r="G486" s="1187">
        <f>G487</f>
        <v>90805.96</v>
      </c>
    </row>
    <row r="487" spans="1:7" ht="18" customHeight="1">
      <c r="A487" s="112"/>
      <c r="B487" s="112"/>
      <c r="C487" s="340" t="s">
        <v>1098</v>
      </c>
      <c r="D487" s="112" t="s">
        <v>1018</v>
      </c>
      <c r="E487" s="1176">
        <v>2.8000000000000001E-2</v>
      </c>
      <c r="F487" s="1177">
        <v>3243070</v>
      </c>
      <c r="G487" s="1178">
        <f>E487*F487</f>
        <v>90805.96</v>
      </c>
    </row>
    <row r="488" spans="1:7" ht="33" customHeight="1">
      <c r="A488" s="347">
        <v>22</v>
      </c>
      <c r="B488" s="347" t="s">
        <v>1229</v>
      </c>
      <c r="C488" s="1180" t="s">
        <v>1230</v>
      </c>
      <c r="D488" s="318" t="s">
        <v>1232</v>
      </c>
      <c r="E488" s="1176"/>
      <c r="F488" s="1177"/>
      <c r="G488" s="1188">
        <f>G489</f>
        <v>603442</v>
      </c>
    </row>
    <row r="489" spans="1:7" ht="18" customHeight="1">
      <c r="A489" s="112"/>
      <c r="B489" s="112"/>
      <c r="C489" s="340" t="s">
        <v>1070</v>
      </c>
      <c r="D489" s="112" t="s">
        <v>55</v>
      </c>
      <c r="E489" s="1176"/>
      <c r="F489" s="1177"/>
      <c r="G489" s="1187">
        <f>G490</f>
        <v>603442</v>
      </c>
    </row>
    <row r="490" spans="1:7" ht="30.75" customHeight="1">
      <c r="A490" s="112"/>
      <c r="B490" s="112"/>
      <c r="C490" s="1174" t="s">
        <v>1231</v>
      </c>
      <c r="D490" s="114" t="s">
        <v>1232</v>
      </c>
      <c r="E490" s="1176">
        <v>2</v>
      </c>
      <c r="F490" s="1177">
        <v>301721</v>
      </c>
      <c r="G490" s="1178">
        <f>E490*F490</f>
        <v>603442</v>
      </c>
    </row>
    <row r="491" spans="1:7" ht="30.75" customHeight="1">
      <c r="A491" s="347">
        <v>23</v>
      </c>
      <c r="B491" s="347" t="s">
        <v>1233</v>
      </c>
      <c r="C491" s="1181" t="s">
        <v>1234</v>
      </c>
      <c r="D491" s="318" t="s">
        <v>1235</v>
      </c>
      <c r="E491" s="1176"/>
      <c r="F491" s="1177"/>
      <c r="G491" s="1188">
        <f>G492</f>
        <v>256618</v>
      </c>
    </row>
    <row r="492" spans="1:7" ht="18" customHeight="1">
      <c r="A492" s="112"/>
      <c r="B492" s="112"/>
      <c r="C492" s="340" t="s">
        <v>1070</v>
      </c>
      <c r="D492" s="112" t="s">
        <v>55</v>
      </c>
      <c r="E492" s="1176"/>
      <c r="F492" s="1177"/>
      <c r="G492" s="1187">
        <f>G493</f>
        <v>256618</v>
      </c>
    </row>
    <row r="493" spans="1:7" ht="18" customHeight="1">
      <c r="A493" s="112"/>
      <c r="B493" s="112"/>
      <c r="C493" s="1174" t="s">
        <v>1099</v>
      </c>
      <c r="D493" s="114" t="s">
        <v>1236</v>
      </c>
      <c r="E493" s="1176">
        <v>1</v>
      </c>
      <c r="F493" s="1177">
        <v>256618</v>
      </c>
      <c r="G493" s="1178">
        <f>E493*F493</f>
        <v>256618</v>
      </c>
    </row>
    <row r="494" spans="1:7" ht="30.75" customHeight="1">
      <c r="A494" s="347">
        <v>24</v>
      </c>
      <c r="B494" s="347" t="s">
        <v>1239</v>
      </c>
      <c r="C494" s="1181" t="s">
        <v>1237</v>
      </c>
      <c r="D494" s="318" t="s">
        <v>1232</v>
      </c>
      <c r="E494" s="1176"/>
      <c r="F494" s="1177"/>
      <c r="G494" s="1188">
        <f>G495</f>
        <v>76985.399999999994</v>
      </c>
    </row>
    <row r="495" spans="1:7" ht="18" customHeight="1">
      <c r="A495" s="112"/>
      <c r="B495" s="112"/>
      <c r="C495" s="340" t="s">
        <v>1070</v>
      </c>
      <c r="D495" s="112" t="s">
        <v>55</v>
      </c>
      <c r="E495" s="1176"/>
      <c r="F495" s="1177"/>
      <c r="G495" s="1187">
        <f>G496</f>
        <v>76985.399999999994</v>
      </c>
    </row>
    <row r="496" spans="1:7" ht="28.5" customHeight="1">
      <c r="A496" s="112"/>
      <c r="B496" s="112"/>
      <c r="C496" s="1174" t="s">
        <v>1099</v>
      </c>
      <c r="D496" s="114" t="s">
        <v>1238</v>
      </c>
      <c r="E496" s="1176">
        <v>0.3</v>
      </c>
      <c r="F496" s="1177">
        <v>256618</v>
      </c>
      <c r="G496" s="1178">
        <f>E496*F496</f>
        <v>76985.399999999994</v>
      </c>
    </row>
    <row r="497" spans="1:7" ht="30" customHeight="1">
      <c r="A497" s="347">
        <v>25</v>
      </c>
      <c r="B497" s="347" t="s">
        <v>1240</v>
      </c>
      <c r="C497" s="1181" t="s">
        <v>1263</v>
      </c>
      <c r="D497" s="318" t="s">
        <v>1232</v>
      </c>
      <c r="E497" s="1176"/>
      <c r="F497" s="1177"/>
      <c r="G497" s="1188">
        <f>G498</f>
        <v>256618</v>
      </c>
    </row>
    <row r="498" spans="1:7" ht="18" customHeight="1">
      <c r="A498" s="112"/>
      <c r="B498" s="112"/>
      <c r="C498" s="340" t="s">
        <v>1070</v>
      </c>
      <c r="D498" s="112" t="s">
        <v>55</v>
      </c>
      <c r="E498" s="1176"/>
      <c r="F498" s="1177"/>
      <c r="G498" s="1187">
        <f>G499</f>
        <v>256618</v>
      </c>
    </row>
    <row r="499" spans="1:7" ht="31.5" customHeight="1">
      <c r="A499" s="112"/>
      <c r="B499" s="112"/>
      <c r="C499" s="1174" t="s">
        <v>1099</v>
      </c>
      <c r="D499" s="114" t="s">
        <v>1238</v>
      </c>
      <c r="E499" s="1176">
        <v>1</v>
      </c>
      <c r="F499" s="1177">
        <v>256618</v>
      </c>
      <c r="G499" s="1178">
        <f>E499*F499</f>
        <v>256618</v>
      </c>
    </row>
    <row r="500" spans="1:7" ht="32.25" customHeight="1">
      <c r="A500" s="347">
        <v>26</v>
      </c>
      <c r="B500" s="347" t="s">
        <v>1241</v>
      </c>
      <c r="C500" s="1181" t="s">
        <v>1039</v>
      </c>
      <c r="D500" s="318" t="s">
        <v>1232</v>
      </c>
      <c r="E500" s="1176"/>
      <c r="F500" s="1177"/>
      <c r="G500" s="1188">
        <f>G501</f>
        <v>1395850</v>
      </c>
    </row>
    <row r="501" spans="1:7" ht="18" customHeight="1">
      <c r="A501" s="112"/>
      <c r="B501" s="112"/>
      <c r="C501" s="340" t="s">
        <v>1070</v>
      </c>
      <c r="D501" s="112" t="s">
        <v>55</v>
      </c>
      <c r="E501" s="1176"/>
      <c r="F501" s="1177"/>
      <c r="G501" s="1187">
        <f>G502</f>
        <v>1395850</v>
      </c>
    </row>
    <row r="502" spans="1:7" ht="30" customHeight="1">
      <c r="A502" s="112"/>
      <c r="B502" s="112"/>
      <c r="C502" s="1174" t="s">
        <v>408</v>
      </c>
      <c r="D502" s="114" t="s">
        <v>1238</v>
      </c>
      <c r="E502" s="1176">
        <v>5</v>
      </c>
      <c r="F502" s="1177">
        <v>279170</v>
      </c>
      <c r="G502" s="1178">
        <f>E502*F502</f>
        <v>1395850</v>
      </c>
    </row>
    <row r="503" spans="1:7" ht="47.25" customHeight="1">
      <c r="A503" s="347">
        <v>27</v>
      </c>
      <c r="B503" s="347" t="s">
        <v>1242</v>
      </c>
      <c r="C503" s="1181" t="s">
        <v>1243</v>
      </c>
      <c r="D503" s="318" t="s">
        <v>1232</v>
      </c>
      <c r="E503" s="1176"/>
      <c r="F503" s="1177"/>
      <c r="G503" s="1188">
        <f>G504</f>
        <v>150860.5</v>
      </c>
    </row>
    <row r="504" spans="1:7" ht="18" customHeight="1">
      <c r="A504" s="112"/>
      <c r="B504" s="112"/>
      <c r="C504" s="340" t="s">
        <v>1070</v>
      </c>
      <c r="D504" s="112" t="s">
        <v>55</v>
      </c>
      <c r="E504" s="1176"/>
      <c r="F504" s="1177"/>
      <c r="G504" s="1187">
        <f>G505</f>
        <v>150860.5</v>
      </c>
    </row>
    <row r="505" spans="1:7" ht="96" customHeight="1">
      <c r="A505" s="112"/>
      <c r="B505" s="112"/>
      <c r="C505" s="1174" t="s">
        <v>1231</v>
      </c>
      <c r="D505" s="114" t="s">
        <v>1244</v>
      </c>
      <c r="E505" s="1176">
        <v>0.5</v>
      </c>
      <c r="F505" s="1177">
        <v>301721</v>
      </c>
      <c r="G505" s="1178">
        <f>E505*F505</f>
        <v>150860.5</v>
      </c>
    </row>
    <row r="506" spans="1:7" ht="20.25" customHeight="1">
      <c r="A506" s="347">
        <v>28</v>
      </c>
      <c r="B506" s="347" t="s">
        <v>1245</v>
      </c>
      <c r="C506" s="1151" t="s">
        <v>1246</v>
      </c>
      <c r="D506" s="347" t="s">
        <v>1247</v>
      </c>
      <c r="E506" s="1185"/>
      <c r="F506" s="1177"/>
      <c r="G506" s="1188">
        <f>G507</f>
        <v>40840.400000000001</v>
      </c>
    </row>
    <row r="507" spans="1:7" ht="18" customHeight="1">
      <c r="A507" s="112"/>
      <c r="B507" s="112"/>
      <c r="C507" s="340" t="s">
        <v>1070</v>
      </c>
      <c r="D507" s="112" t="s">
        <v>55</v>
      </c>
      <c r="E507" s="1176"/>
      <c r="F507" s="1177"/>
      <c r="G507" s="1187">
        <f>G508</f>
        <v>40840.400000000001</v>
      </c>
    </row>
    <row r="508" spans="1:7" ht="18" customHeight="1">
      <c r="A508" s="332"/>
      <c r="B508" s="332"/>
      <c r="C508" s="1184" t="s">
        <v>1248</v>
      </c>
      <c r="D508" s="332" t="s">
        <v>30</v>
      </c>
      <c r="E508" s="1192">
        <v>0.2</v>
      </c>
      <c r="F508" s="1193">
        <v>204202</v>
      </c>
      <c r="G508" s="1194">
        <f>E508*F508</f>
        <v>40840.400000000001</v>
      </c>
    </row>
    <row r="513" spans="1:7" hidden="1">
      <c r="D513" s="1364" t="s">
        <v>1046</v>
      </c>
      <c r="E513" s="1364"/>
      <c r="F513" s="1364"/>
      <c r="G513" s="1364"/>
    </row>
    <row r="514" spans="1:7" hidden="1">
      <c r="D514" s="1365" t="s">
        <v>957</v>
      </c>
      <c r="E514" s="1365"/>
      <c r="F514" s="1365"/>
      <c r="G514" s="1365"/>
    </row>
    <row r="515" spans="1:7" hidden="1">
      <c r="D515" s="1197"/>
      <c r="E515" s="1198"/>
      <c r="F515" s="1199"/>
      <c r="G515" s="1200"/>
    </row>
    <row r="516" spans="1:7" hidden="1">
      <c r="D516" s="1197"/>
      <c r="E516" s="1198"/>
      <c r="F516" s="1199"/>
      <c r="G516" s="1200"/>
    </row>
    <row r="517" spans="1:7" hidden="1">
      <c r="D517" s="1197"/>
      <c r="E517" s="1198"/>
      <c r="F517" s="1199"/>
      <c r="G517" s="1200"/>
    </row>
    <row r="518" spans="1:7" hidden="1">
      <c r="D518" s="1197"/>
      <c r="E518" s="1198"/>
      <c r="F518" s="1199"/>
      <c r="G518" s="1200"/>
    </row>
    <row r="519" spans="1:7" hidden="1">
      <c r="D519" s="1197"/>
      <c r="E519" s="1198"/>
      <c r="F519" s="1199"/>
      <c r="G519" s="1200"/>
    </row>
    <row r="520" spans="1:7" hidden="1">
      <c r="D520" s="1365" t="s">
        <v>877</v>
      </c>
      <c r="E520" s="1365"/>
      <c r="F520" s="1365"/>
      <c r="G520" s="1365"/>
    </row>
    <row r="521" spans="1:7" ht="34.5" customHeight="1">
      <c r="A521" s="1361" t="s">
        <v>1249</v>
      </c>
      <c r="B521" s="1362"/>
      <c r="C521" s="1362"/>
      <c r="D521" s="1362"/>
      <c r="E521" s="1362"/>
      <c r="F521" s="1362"/>
      <c r="G521" s="1362"/>
    </row>
    <row r="522" spans="1:7" ht="32.25" customHeight="1">
      <c r="A522" s="1361" t="s">
        <v>1250</v>
      </c>
      <c r="B522" s="1361"/>
      <c r="C522" s="1361"/>
      <c r="D522" s="1361"/>
      <c r="E522" s="1361"/>
      <c r="F522" s="1361"/>
      <c r="G522" s="1361"/>
    </row>
    <row r="523" spans="1:7" ht="33.75" customHeight="1">
      <c r="A523" s="1361" t="s">
        <v>1043</v>
      </c>
      <c r="B523" s="1362"/>
      <c r="C523" s="1362"/>
      <c r="D523" s="1362"/>
      <c r="E523" s="1362"/>
      <c r="F523" s="1362"/>
      <c r="G523" s="1362"/>
    </row>
    <row r="524" spans="1:7" ht="32.25" customHeight="1">
      <c r="A524" s="1361" t="s">
        <v>1044</v>
      </c>
      <c r="B524" s="1362"/>
      <c r="C524" s="1362"/>
      <c r="D524" s="1362"/>
      <c r="E524" s="1362"/>
      <c r="F524" s="1362"/>
      <c r="G524" s="1362"/>
    </row>
    <row r="525" spans="1:7" ht="32.25" customHeight="1">
      <c r="A525" s="1361" t="s">
        <v>1251</v>
      </c>
      <c r="B525" s="1362"/>
      <c r="C525" s="1362"/>
      <c r="D525" s="1362"/>
      <c r="E525" s="1362"/>
      <c r="F525" s="1362"/>
      <c r="G525" s="1362"/>
    </row>
    <row r="526" spans="1:7" ht="33.75" customHeight="1">
      <c r="A526" s="1361" t="s">
        <v>1252</v>
      </c>
      <c r="B526" s="1362"/>
      <c r="C526" s="1362"/>
      <c r="D526" s="1362"/>
      <c r="E526" s="1362"/>
      <c r="F526" s="1362"/>
      <c r="G526" s="1362"/>
    </row>
    <row r="527" spans="1:7" ht="36.75" customHeight="1">
      <c r="A527" s="1361" t="s">
        <v>1253</v>
      </c>
      <c r="B527" s="1362"/>
      <c r="C527" s="1362"/>
      <c r="D527" s="1362"/>
      <c r="E527" s="1362"/>
      <c r="F527" s="1362"/>
      <c r="G527" s="1362"/>
    </row>
    <row r="528" spans="1:7" ht="63.75" customHeight="1">
      <c r="A528" s="1361" t="s">
        <v>1332</v>
      </c>
      <c r="B528" s="1362"/>
      <c r="C528" s="1362"/>
      <c r="D528" s="1362"/>
      <c r="E528" s="1362"/>
      <c r="F528" s="1362"/>
      <c r="G528" s="1362"/>
    </row>
    <row r="529" spans="1:7" ht="83.25" customHeight="1">
      <c r="A529" s="1361" t="s">
        <v>1333</v>
      </c>
      <c r="B529" s="1362"/>
      <c r="C529" s="1362"/>
      <c r="D529" s="1362"/>
      <c r="E529" s="1362"/>
      <c r="F529" s="1362"/>
      <c r="G529" s="1362"/>
    </row>
    <row r="530" spans="1:7" ht="33.75" customHeight="1">
      <c r="A530" s="1366" t="s">
        <v>1334</v>
      </c>
      <c r="B530" s="1367"/>
      <c r="C530" s="1367"/>
      <c r="D530" s="1367"/>
      <c r="E530" s="1367"/>
      <c r="F530" s="1367"/>
      <c r="G530" s="1367"/>
    </row>
  </sheetData>
  <mergeCells count="16">
    <mergeCell ref="A528:G528"/>
    <mergeCell ref="A530:G530"/>
    <mergeCell ref="A529:G529"/>
    <mergeCell ref="A524:G524"/>
    <mergeCell ref="A525:G525"/>
    <mergeCell ref="A526:G526"/>
    <mergeCell ref="A2:G2"/>
    <mergeCell ref="A527:G527"/>
    <mergeCell ref="A523:G523"/>
    <mergeCell ref="A3:G3"/>
    <mergeCell ref="A4:G4"/>
    <mergeCell ref="D513:G513"/>
    <mergeCell ref="D514:G514"/>
    <mergeCell ref="D520:G520"/>
    <mergeCell ref="A521:G521"/>
    <mergeCell ref="A522:G522"/>
  </mergeCells>
  <phoneticPr fontId="60" type="noConversion"/>
  <pageMargins left="0.62" right="0.19" top="0.26" bottom="0.25" header="0.23" footer="0.22"/>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workbookViewId="0">
      <selection activeCell="H5" sqref="H5"/>
    </sheetView>
  </sheetViews>
  <sheetFormatPr defaultColWidth="8.90625" defaultRowHeight="15.6"/>
  <cols>
    <col min="1" max="1" width="14.08984375" style="680" customWidth="1"/>
    <col min="2" max="2" width="7.6328125" style="680" customWidth="1"/>
    <col min="3" max="3" width="9.1796875" style="680" customWidth="1"/>
    <col min="4" max="4" width="8.90625" style="680"/>
    <col min="5" max="5" width="8.6328125" style="680" customWidth="1"/>
    <col min="6" max="6" width="7.36328125" style="680" customWidth="1"/>
    <col min="7" max="7" width="7.1796875" style="680" customWidth="1"/>
    <col min="8" max="8" width="10.36328125" style="680" customWidth="1"/>
    <col min="9" max="9" width="8.90625" style="680"/>
    <col min="10" max="10" width="18" style="574" customWidth="1"/>
    <col min="11" max="16384" width="8.90625" style="680"/>
  </cols>
  <sheetData>
    <row r="1" spans="1:10" ht="16.8">
      <c r="A1" s="1317" t="s">
        <v>941</v>
      </c>
      <c r="B1" s="1317"/>
      <c r="C1" s="1317"/>
      <c r="D1" s="1317"/>
      <c r="E1" s="1317"/>
      <c r="F1" s="1317"/>
      <c r="G1" s="1317"/>
      <c r="H1" s="1317"/>
    </row>
    <row r="2" spans="1:10" ht="11.25" customHeight="1">
      <c r="A2" s="681"/>
      <c r="B2" s="681"/>
      <c r="C2" s="681"/>
      <c r="D2" s="681"/>
      <c r="E2" s="681"/>
      <c r="F2" s="681"/>
      <c r="G2" s="681"/>
      <c r="H2" s="681"/>
    </row>
    <row r="3" spans="1:10" s="683" customFormat="1" ht="32.1" customHeight="1">
      <c r="A3" s="682" t="s">
        <v>2</v>
      </c>
      <c r="B3" s="682" t="s">
        <v>942</v>
      </c>
      <c r="C3" s="682" t="s">
        <v>943</v>
      </c>
      <c r="D3" s="682" t="s">
        <v>944</v>
      </c>
      <c r="E3" s="682" t="s">
        <v>945</v>
      </c>
      <c r="F3" s="682" t="s">
        <v>946</v>
      </c>
      <c r="G3" s="682" t="s">
        <v>947</v>
      </c>
      <c r="H3" s="682" t="s">
        <v>948</v>
      </c>
      <c r="J3" s="574"/>
    </row>
    <row r="4" spans="1:10" s="683" customFormat="1" ht="15" customHeight="1">
      <c r="A4" s="684"/>
      <c r="B4" s="685" t="s">
        <v>527</v>
      </c>
      <c r="C4" s="685" t="s">
        <v>527</v>
      </c>
      <c r="D4" s="685" t="s">
        <v>527</v>
      </c>
      <c r="E4" s="685" t="s">
        <v>527</v>
      </c>
      <c r="F4" s="685" t="s">
        <v>527</v>
      </c>
      <c r="G4" s="685" t="s">
        <v>527</v>
      </c>
      <c r="H4" s="685" t="s">
        <v>527</v>
      </c>
      <c r="J4" s="574"/>
    </row>
    <row r="5" spans="1:10" s="683" customFormat="1" ht="15" customHeight="1">
      <c r="A5" s="686" t="s">
        <v>736</v>
      </c>
      <c r="B5" s="687"/>
      <c r="C5" s="687"/>
      <c r="D5" s="687"/>
      <c r="E5" s="687"/>
      <c r="F5" s="687">
        <v>49.24</v>
      </c>
      <c r="G5" s="688">
        <f>'[2]chi tiết cầu'!D145/1000</f>
        <v>0.70760999999999996</v>
      </c>
      <c r="H5" s="689">
        <f>F5-G5</f>
        <v>48.532389999999999</v>
      </c>
      <c r="J5" s="574"/>
    </row>
    <row r="6" spans="1:10" s="683" customFormat="1" ht="15" customHeight="1">
      <c r="A6" s="690" t="s">
        <v>730</v>
      </c>
      <c r="B6" s="691"/>
      <c r="C6" s="691"/>
      <c r="D6" s="691"/>
      <c r="E6" s="691">
        <v>32.75</v>
      </c>
      <c r="F6" s="691"/>
      <c r="G6" s="692">
        <f>'[2]chi tiết cầu'!D107/1000</f>
        <v>1.0136199999999997</v>
      </c>
      <c r="H6" s="693">
        <f>E6-G6</f>
        <v>31.73638</v>
      </c>
      <c r="J6" s="574"/>
    </row>
    <row r="7" spans="1:10" s="683" customFormat="1" ht="15" customHeight="1">
      <c r="A7" s="690" t="s">
        <v>721</v>
      </c>
      <c r="B7" s="691"/>
      <c r="C7" s="691">
        <v>12.9</v>
      </c>
      <c r="D7" s="691"/>
      <c r="E7" s="691"/>
      <c r="F7" s="691"/>
      <c r="G7" s="692">
        <f>'[2]chi tiết cầu'!D43/1000</f>
        <v>0.16363999999999998</v>
      </c>
      <c r="H7" s="693">
        <f>C7-G7</f>
        <v>12.736360000000001</v>
      </c>
      <c r="J7" s="574"/>
    </row>
    <row r="8" spans="1:10" s="683" customFormat="1" ht="15" customHeight="1">
      <c r="A8" s="690" t="s">
        <v>722</v>
      </c>
      <c r="B8" s="691"/>
      <c r="C8" s="691">
        <v>26.9</v>
      </c>
      <c r="D8" s="691"/>
      <c r="E8" s="691"/>
      <c r="F8" s="691"/>
      <c r="G8" s="692">
        <v>0.69399999999999995</v>
      </c>
      <c r="H8" s="693">
        <f>C8-G8</f>
        <v>26.206</v>
      </c>
      <c r="J8" s="574"/>
    </row>
    <row r="9" spans="1:10" s="683" customFormat="1" ht="15" customHeight="1">
      <c r="A9" s="690" t="s">
        <v>709</v>
      </c>
      <c r="B9" s="691">
        <v>15</v>
      </c>
      <c r="C9" s="691"/>
      <c r="D9" s="691"/>
      <c r="E9" s="691"/>
      <c r="F9" s="691"/>
      <c r="G9" s="692">
        <f>'[2]chi tiết cầu'!D5/1000</f>
        <v>0.25504000000000004</v>
      </c>
      <c r="H9" s="693">
        <f>B9-G9</f>
        <v>14.744960000000001</v>
      </c>
      <c r="J9" s="574"/>
    </row>
    <row r="10" spans="1:10" s="683" customFormat="1" ht="15" customHeight="1">
      <c r="A10" s="690" t="s">
        <v>727</v>
      </c>
      <c r="B10" s="694"/>
      <c r="C10" s="691"/>
      <c r="D10" s="691">
        <v>17</v>
      </c>
      <c r="E10" s="694"/>
      <c r="F10" s="691"/>
      <c r="G10" s="692">
        <f>'[2]chi tiết cầu'!D80/1000</f>
        <v>0.21284</v>
      </c>
      <c r="H10" s="693">
        <f>D10-G10</f>
        <v>16.78716</v>
      </c>
      <c r="J10" s="574"/>
    </row>
    <row r="11" spans="1:10" s="683" customFormat="1" ht="15" customHeight="1">
      <c r="A11" s="690" t="s">
        <v>728</v>
      </c>
      <c r="B11" s="695"/>
      <c r="C11" s="691"/>
      <c r="D11" s="691">
        <v>62.466000000000001</v>
      </c>
      <c r="E11" s="691"/>
      <c r="F11" s="691"/>
      <c r="G11" s="692">
        <f>'[2]chi tiết cầu'!D87/1000</f>
        <v>0.90619999999999989</v>
      </c>
      <c r="H11" s="693">
        <f>D11-G11</f>
        <v>61.559800000000003</v>
      </c>
      <c r="J11" s="574"/>
    </row>
    <row r="12" spans="1:10" s="683" customFormat="1" ht="15" customHeight="1">
      <c r="A12" s="690" t="s">
        <v>710</v>
      </c>
      <c r="B12" s="691">
        <v>29</v>
      </c>
      <c r="C12" s="691"/>
      <c r="D12" s="691"/>
      <c r="E12" s="691"/>
      <c r="F12" s="691"/>
      <c r="G12" s="692">
        <f>'[2]chi tiết cầu'!D13/1000</f>
        <v>0.86090000000000033</v>
      </c>
      <c r="H12" s="693">
        <f>B12-G12</f>
        <v>28.139099999999999</v>
      </c>
      <c r="J12" s="574"/>
    </row>
    <row r="13" spans="1:10" s="683" customFormat="1" ht="15" customHeight="1">
      <c r="A13" s="690" t="s">
        <v>723</v>
      </c>
      <c r="B13" s="691"/>
      <c r="C13" s="691">
        <v>38.801000000000002</v>
      </c>
      <c r="D13" s="691"/>
      <c r="E13" s="691"/>
      <c r="F13" s="691"/>
      <c r="G13" s="692">
        <f>'[2]chi tiết cầu'!D58/1000</f>
        <v>0.94125000000000014</v>
      </c>
      <c r="H13" s="693">
        <f>C13-G13</f>
        <v>37.859750000000005</v>
      </c>
      <c r="J13" s="574"/>
    </row>
    <row r="14" spans="1:10" s="683" customFormat="1" ht="15" customHeight="1">
      <c r="A14" s="690" t="s">
        <v>713</v>
      </c>
      <c r="B14" s="691">
        <v>9.6</v>
      </c>
      <c r="C14" s="691"/>
      <c r="D14" s="691"/>
      <c r="E14" s="691"/>
      <c r="F14" s="691"/>
      <c r="G14" s="692">
        <f>'[2]chi tiết cầu'!D35/1000</f>
        <v>0.16400000000000001</v>
      </c>
      <c r="H14" s="693">
        <f>B14-G14</f>
        <v>9.4359999999999999</v>
      </c>
      <c r="J14" s="574"/>
    </row>
    <row r="15" spans="1:10" s="683" customFormat="1" ht="15" customHeight="1">
      <c r="A15" s="690" t="s">
        <v>734</v>
      </c>
      <c r="B15" s="691"/>
      <c r="C15" s="691"/>
      <c r="D15" s="691"/>
      <c r="E15" s="691">
        <v>9.9359999999999999</v>
      </c>
      <c r="F15" s="691"/>
      <c r="G15" s="692">
        <f>'[2]chi tiết cầu'!D138/1000</f>
        <v>0.25900000000000001</v>
      </c>
      <c r="H15" s="693">
        <f>E15-G15</f>
        <v>9.6769999999999996</v>
      </c>
      <c r="J15" s="574"/>
    </row>
    <row r="16" spans="1:10" s="683" customFormat="1" ht="15" customHeight="1">
      <c r="A16" s="696" t="s">
        <v>949</v>
      </c>
      <c r="B16" s="691">
        <v>1.8560000000000001</v>
      </c>
      <c r="C16" s="691"/>
      <c r="D16" s="691"/>
      <c r="E16" s="691"/>
      <c r="F16" s="691"/>
      <c r="G16" s="692">
        <v>0</v>
      </c>
      <c r="H16" s="693">
        <f>B16-G16</f>
        <v>1.8560000000000001</v>
      </c>
      <c r="J16" s="574"/>
    </row>
    <row r="17" spans="1:12" s="683" customFormat="1" ht="15" customHeight="1">
      <c r="A17" s="690" t="s">
        <v>950</v>
      </c>
      <c r="B17" s="691"/>
      <c r="C17" s="691"/>
      <c r="D17" s="691"/>
      <c r="E17" s="691"/>
      <c r="F17" s="691"/>
      <c r="G17" s="692">
        <f>'[2]chi tiết cầu'!D41/1000</f>
        <v>9.8000000000000004E-2</v>
      </c>
      <c r="H17" s="693"/>
      <c r="J17" s="574"/>
    </row>
    <row r="18" spans="1:12" s="683" customFormat="1" ht="15" customHeight="1">
      <c r="A18" s="690" t="s">
        <v>951</v>
      </c>
      <c r="B18" s="691"/>
      <c r="C18" s="691"/>
      <c r="D18" s="691"/>
      <c r="E18" s="691"/>
      <c r="F18" s="691"/>
      <c r="G18" s="692">
        <f>'[2]chi tiết cầu'!D40/1000</f>
        <v>0.11120000000000001</v>
      </c>
      <c r="H18" s="693"/>
      <c r="J18" s="574"/>
    </row>
    <row r="19" spans="1:12" s="683" customFormat="1" ht="15" customHeight="1">
      <c r="A19" s="690" t="s">
        <v>719</v>
      </c>
      <c r="B19" s="691">
        <v>3</v>
      </c>
      <c r="C19" s="691"/>
      <c r="D19" s="691"/>
      <c r="E19" s="691"/>
      <c r="F19" s="691"/>
      <c r="G19" s="692"/>
      <c r="H19" s="693">
        <v>3</v>
      </c>
      <c r="J19" s="574"/>
      <c r="L19" s="697"/>
    </row>
    <row r="20" spans="1:12" s="683" customFormat="1" ht="15" customHeight="1">
      <c r="A20" s="690" t="s">
        <v>952</v>
      </c>
      <c r="B20" s="698"/>
      <c r="C20" s="698"/>
      <c r="D20" s="698"/>
      <c r="E20" s="699">
        <f>'[2]Đường TPVL'!C38</f>
        <v>28.46200000000001</v>
      </c>
      <c r="F20" s="698"/>
      <c r="G20" s="692">
        <f>'[2]Đường TPVL'!D38</f>
        <v>2.69E-2</v>
      </c>
      <c r="H20" s="693">
        <f>E20-G20</f>
        <v>28.435100000000009</v>
      </c>
      <c r="J20" s="574"/>
    </row>
    <row r="21" spans="1:12" s="683" customFormat="1" ht="15" customHeight="1">
      <c r="A21" s="700" t="s">
        <v>953</v>
      </c>
      <c r="B21" s="701">
        <f>G9+G12+G14</f>
        <v>1.2799400000000003</v>
      </c>
      <c r="C21" s="701">
        <f>G7+G8+G13</f>
        <v>1.7988900000000001</v>
      </c>
      <c r="D21" s="702">
        <f>G10+G11</f>
        <v>1.1190399999999998</v>
      </c>
      <c r="E21" s="701">
        <f>G6+G15+G20</f>
        <v>1.2995199999999998</v>
      </c>
      <c r="F21" s="703">
        <f>G5</f>
        <v>0.70760999999999996</v>
      </c>
      <c r="H21" s="704"/>
      <c r="J21" s="574"/>
    </row>
    <row r="22" spans="1:12" s="683" customFormat="1" ht="15" customHeight="1">
      <c r="A22" s="705" t="s">
        <v>948</v>
      </c>
      <c r="B22" s="706">
        <f>B9+B12+B14+B19+B16-B21</f>
        <v>57.17606</v>
      </c>
      <c r="C22" s="706">
        <f>C7+C8+C13-C21</f>
        <v>76.802109999999999</v>
      </c>
      <c r="D22" s="706">
        <f>D10+D11-D21</f>
        <v>78.34696000000001</v>
      </c>
      <c r="E22" s="706">
        <f>E6+E15+E20-E21</f>
        <v>69.848480000000009</v>
      </c>
      <c r="F22" s="706">
        <f>F5-F21</f>
        <v>48.532389999999999</v>
      </c>
      <c r="G22" s="705"/>
      <c r="H22" s="706">
        <f>SUM(B22:F22)</f>
        <v>330.70600000000002</v>
      </c>
      <c r="J22" s="574"/>
    </row>
    <row r="23" spans="1:12" s="683" customFormat="1" ht="9.75" customHeight="1">
      <c r="A23" s="574"/>
      <c r="B23" s="574"/>
      <c r="C23" s="574"/>
      <c r="D23" s="574"/>
      <c r="E23" s="574"/>
      <c r="F23" s="574"/>
      <c r="G23" s="574"/>
      <c r="H23" s="574"/>
      <c r="J23" s="574"/>
    </row>
    <row r="24" spans="1:12" s="683" customFormat="1" ht="16.8">
      <c r="A24" s="1368" t="s">
        <v>954</v>
      </c>
      <c r="B24" s="1368"/>
      <c r="C24" s="1368"/>
      <c r="D24" s="1368"/>
      <c r="E24" s="1368"/>
      <c r="F24" s="1368"/>
      <c r="G24" s="1368"/>
      <c r="H24" s="1368"/>
      <c r="J24" s="574"/>
    </row>
    <row r="25" spans="1:12" s="683" customFormat="1" ht="7.5" customHeight="1">
      <c r="A25" s="707"/>
      <c r="B25" s="707"/>
      <c r="C25" s="707"/>
      <c r="D25" s="707"/>
      <c r="E25" s="707"/>
      <c r="F25" s="707"/>
      <c r="G25" s="707"/>
      <c r="H25" s="707"/>
      <c r="J25" s="574"/>
    </row>
    <row r="26" spans="1:12" s="683" customFormat="1" ht="32.1" customHeight="1">
      <c r="A26" s="682" t="s">
        <v>2</v>
      </c>
      <c r="B26" s="682" t="s">
        <v>942</v>
      </c>
      <c r="C26" s="682" t="s">
        <v>943</v>
      </c>
      <c r="D26" s="682" t="s">
        <v>944</v>
      </c>
      <c r="E26" s="682" t="s">
        <v>945</v>
      </c>
      <c r="F26" s="682" t="s">
        <v>946</v>
      </c>
      <c r="G26" s="682"/>
      <c r="H26" s="682" t="s">
        <v>948</v>
      </c>
      <c r="J26" s="574"/>
    </row>
    <row r="27" spans="1:12" s="683" customFormat="1" ht="15" customHeight="1">
      <c r="A27" s="685"/>
      <c r="B27" s="685" t="s">
        <v>955</v>
      </c>
      <c r="C27" s="685" t="s">
        <v>955</v>
      </c>
      <c r="D27" s="685" t="s">
        <v>955</v>
      </c>
      <c r="E27" s="685" t="s">
        <v>955</v>
      </c>
      <c r="F27" s="685" t="s">
        <v>955</v>
      </c>
      <c r="G27" s="685" t="s">
        <v>955</v>
      </c>
      <c r="H27" s="685" t="s">
        <v>955</v>
      </c>
      <c r="J27" s="574"/>
    </row>
    <row r="28" spans="1:12" s="683" customFormat="1" ht="15" customHeight="1">
      <c r="A28" s="708" t="s">
        <v>736</v>
      </c>
      <c r="B28" s="709"/>
      <c r="C28" s="709"/>
      <c r="D28" s="709"/>
      <c r="E28" s="709"/>
      <c r="F28" s="709">
        <f>'[2]chi tiết cầu'!D145</f>
        <v>707.61</v>
      </c>
      <c r="G28" s="709"/>
      <c r="H28" s="709">
        <f>F28</f>
        <v>707.61</v>
      </c>
      <c r="J28" s="574"/>
    </row>
    <row r="29" spans="1:12" s="683" customFormat="1" ht="15" customHeight="1">
      <c r="A29" s="690" t="s">
        <v>730</v>
      </c>
      <c r="B29" s="710"/>
      <c r="C29" s="710"/>
      <c r="D29" s="710"/>
      <c r="E29" s="710">
        <f>'[2]chi tiết cầu'!D107</f>
        <v>1013.6199999999997</v>
      </c>
      <c r="F29" s="710"/>
      <c r="G29" s="710"/>
      <c r="H29" s="710">
        <f>E29</f>
        <v>1013.6199999999997</v>
      </c>
      <c r="J29" s="574"/>
    </row>
    <row r="30" spans="1:12" s="683" customFormat="1" ht="15" customHeight="1">
      <c r="A30" s="690" t="s">
        <v>721</v>
      </c>
      <c r="B30" s="710"/>
      <c r="C30" s="711">
        <f>'[2]chi tiết cầu'!D43</f>
        <v>163.63999999999999</v>
      </c>
      <c r="D30" s="710"/>
      <c r="E30" s="710"/>
      <c r="F30" s="710"/>
      <c r="G30" s="710"/>
      <c r="H30" s="710">
        <f>C30</f>
        <v>163.63999999999999</v>
      </c>
      <c r="J30" s="574"/>
    </row>
    <row r="31" spans="1:12" s="683" customFormat="1" ht="15" customHeight="1">
      <c r="A31" s="690" t="s">
        <v>722</v>
      </c>
      <c r="B31" s="710"/>
      <c r="C31" s="710">
        <f>'[2]chi tiết cầu'!D47</f>
        <v>693.83999999999992</v>
      </c>
      <c r="D31" s="710"/>
      <c r="E31" s="710"/>
      <c r="F31" s="710"/>
      <c r="G31" s="710"/>
      <c r="H31" s="710">
        <f>C31</f>
        <v>693.83999999999992</v>
      </c>
      <c r="J31" s="574"/>
    </row>
    <row r="32" spans="1:12" s="683" customFormat="1" ht="15" customHeight="1">
      <c r="A32" s="690" t="s">
        <v>709</v>
      </c>
      <c r="B32" s="710">
        <f>'[2]chi tiết cầu'!D5</f>
        <v>255.04000000000002</v>
      </c>
      <c r="C32" s="710"/>
      <c r="D32" s="710"/>
      <c r="E32" s="710"/>
      <c r="F32" s="710"/>
      <c r="G32" s="710"/>
      <c r="H32" s="710">
        <f>B32</f>
        <v>255.04000000000002</v>
      </c>
      <c r="J32" s="574"/>
    </row>
    <row r="33" spans="1:12" s="683" customFormat="1" ht="15" customHeight="1">
      <c r="A33" s="690" t="s">
        <v>727</v>
      </c>
      <c r="B33" s="710"/>
      <c r="C33" s="710"/>
      <c r="D33" s="710">
        <f>'[2]chi tiết cầu'!D80</f>
        <v>212.84</v>
      </c>
      <c r="E33" s="710"/>
      <c r="F33" s="710"/>
      <c r="G33" s="710"/>
      <c r="H33" s="710">
        <f>D33</f>
        <v>212.84</v>
      </c>
      <c r="J33" s="574"/>
    </row>
    <row r="34" spans="1:12" s="683" customFormat="1" ht="15" customHeight="1">
      <c r="A34" s="690" t="s">
        <v>728</v>
      </c>
      <c r="B34" s="710"/>
      <c r="C34" s="710"/>
      <c r="D34" s="710">
        <f>'[2]chi tiết cầu'!D87</f>
        <v>906.19999999999993</v>
      </c>
      <c r="E34" s="710"/>
      <c r="F34" s="710"/>
      <c r="G34" s="710"/>
      <c r="H34" s="710">
        <f>D34</f>
        <v>906.19999999999993</v>
      </c>
      <c r="J34" s="574"/>
    </row>
    <row r="35" spans="1:12" s="683" customFormat="1" ht="15" customHeight="1">
      <c r="A35" s="690" t="s">
        <v>710</v>
      </c>
      <c r="B35" s="710">
        <f>'[2]chi tiết cầu'!D13</f>
        <v>860.90000000000032</v>
      </c>
      <c r="C35" s="710"/>
      <c r="D35" s="710"/>
      <c r="E35" s="710"/>
      <c r="F35" s="710"/>
      <c r="G35" s="710"/>
      <c r="H35" s="710">
        <f>B35</f>
        <v>860.90000000000032</v>
      </c>
      <c r="J35" s="574"/>
    </row>
    <row r="36" spans="1:12" s="683" customFormat="1" ht="15" customHeight="1">
      <c r="A36" s="690" t="s">
        <v>723</v>
      </c>
      <c r="B36" s="710"/>
      <c r="C36" s="710">
        <f>'[2]chi tiết cầu'!D58</f>
        <v>941.25000000000011</v>
      </c>
      <c r="D36" s="710"/>
      <c r="E36" s="710"/>
      <c r="F36" s="710"/>
      <c r="G36" s="710"/>
      <c r="H36" s="710">
        <f>C36</f>
        <v>941.25000000000011</v>
      </c>
      <c r="J36" s="574"/>
    </row>
    <row r="37" spans="1:12" s="683" customFormat="1" ht="15" customHeight="1">
      <c r="A37" s="690" t="s">
        <v>713</v>
      </c>
      <c r="B37" s="710">
        <f>'[2]chi tiết cầu'!D35</f>
        <v>164</v>
      </c>
      <c r="C37" s="710"/>
      <c r="D37" s="710"/>
      <c r="E37" s="710"/>
      <c r="F37" s="710"/>
      <c r="G37" s="710"/>
      <c r="H37" s="710">
        <f>B37</f>
        <v>164</v>
      </c>
      <c r="J37" s="574"/>
    </row>
    <row r="38" spans="1:12" s="683" customFormat="1" ht="15" customHeight="1">
      <c r="A38" s="690" t="s">
        <v>734</v>
      </c>
      <c r="B38" s="710"/>
      <c r="C38" s="710"/>
      <c r="D38" s="710"/>
      <c r="E38" s="710">
        <f>'[2]chi tiết cầu'!D138</f>
        <v>259</v>
      </c>
      <c r="F38" s="710"/>
      <c r="G38" s="710"/>
      <c r="H38" s="710">
        <f>E38</f>
        <v>259</v>
      </c>
      <c r="J38" s="574"/>
    </row>
    <row r="39" spans="1:12" s="683" customFormat="1" ht="15" customHeight="1">
      <c r="A39" s="690" t="s">
        <v>951</v>
      </c>
      <c r="B39" s="710">
        <f>'[2]chi tiết cầu'!D40</f>
        <v>111.2</v>
      </c>
      <c r="C39" s="710"/>
      <c r="D39" s="710"/>
      <c r="E39" s="710"/>
      <c r="F39" s="710"/>
      <c r="G39" s="710"/>
      <c r="H39" s="710">
        <f>B39</f>
        <v>111.2</v>
      </c>
      <c r="J39" s="574"/>
      <c r="L39" s="574"/>
    </row>
    <row r="40" spans="1:12" s="683" customFormat="1" ht="15" customHeight="1">
      <c r="A40" s="690" t="s">
        <v>956</v>
      </c>
      <c r="B40" s="710">
        <v>98</v>
      </c>
      <c r="C40" s="710"/>
      <c r="D40" s="710"/>
      <c r="E40" s="710"/>
      <c r="F40" s="710"/>
      <c r="G40" s="710"/>
      <c r="H40" s="710">
        <f>B40</f>
        <v>98</v>
      </c>
      <c r="J40" s="574"/>
    </row>
    <row r="41" spans="1:12" s="683" customFormat="1" ht="15" customHeight="1">
      <c r="A41" s="704" t="s">
        <v>731</v>
      </c>
      <c r="B41" s="712"/>
      <c r="C41" s="712"/>
      <c r="D41" s="712"/>
      <c r="E41" s="712">
        <f>'[2]chi tiết cầu'!D126</f>
        <v>502.58</v>
      </c>
      <c r="F41" s="712"/>
      <c r="G41" s="712"/>
      <c r="H41" s="712">
        <f>E41</f>
        <v>502.58</v>
      </c>
      <c r="J41" s="574"/>
    </row>
    <row r="42" spans="1:12" s="683" customFormat="1" ht="15" customHeight="1">
      <c r="A42" s="705" t="s">
        <v>948</v>
      </c>
      <c r="B42" s="713">
        <f>SUM(B28:B41)</f>
        <v>1489.1400000000003</v>
      </c>
      <c r="C42" s="713">
        <f>SUM(C28:C41)</f>
        <v>1798.73</v>
      </c>
      <c r="D42" s="713">
        <f>SUM(D28:D41)</f>
        <v>1119.04</v>
      </c>
      <c r="E42" s="713">
        <f>SUM(E28:E41)</f>
        <v>1775.1999999999996</v>
      </c>
      <c r="F42" s="713">
        <f>SUM(F28:F41)</f>
        <v>707.61</v>
      </c>
      <c r="G42" s="713"/>
      <c r="H42" s="714">
        <f>SUM(H28:H41)</f>
        <v>6889.7199999999993</v>
      </c>
      <c r="J42" s="574"/>
    </row>
    <row r="43" spans="1:12" s="683" customFormat="1" ht="15" customHeight="1">
      <c r="A43" s="720"/>
      <c r="B43" s="721"/>
      <c r="C43" s="721"/>
      <c r="D43" s="721"/>
      <c r="E43" s="721"/>
      <c r="F43" s="721"/>
      <c r="G43" s="721"/>
      <c r="H43" s="722"/>
      <c r="J43" s="574"/>
    </row>
    <row r="44" spans="1:12" s="683" customFormat="1" ht="15" customHeight="1">
      <c r="A44" s="681"/>
      <c r="B44" s="715"/>
      <c r="C44" s="716"/>
      <c r="E44" s="1331" t="s">
        <v>960</v>
      </c>
      <c r="F44" s="1331"/>
      <c r="G44" s="1331"/>
      <c r="H44" s="1331"/>
      <c r="J44" s="574"/>
    </row>
    <row r="45" spans="1:12" s="683" customFormat="1" ht="15" customHeight="1">
      <c r="A45" s="681"/>
      <c r="B45" s="681"/>
      <c r="C45" s="681"/>
      <c r="D45" s="681"/>
      <c r="E45" s="1317" t="s">
        <v>957</v>
      </c>
      <c r="F45" s="1317"/>
      <c r="G45" s="1317"/>
      <c r="H45" s="1317"/>
      <c r="J45" s="574"/>
    </row>
    <row r="46" spans="1:12" s="683" customFormat="1" ht="15" customHeight="1">
      <c r="A46" s="681"/>
      <c r="B46" s="681"/>
      <c r="C46" s="715"/>
      <c r="D46" s="681"/>
      <c r="E46" s="717"/>
      <c r="F46" s="717"/>
      <c r="G46" s="717"/>
      <c r="H46" s="717"/>
      <c r="J46" s="574"/>
    </row>
    <row r="47" spans="1:12" s="683" customFormat="1" ht="15" customHeight="1">
      <c r="A47" s="681"/>
      <c r="B47" s="681"/>
      <c r="C47" s="715"/>
      <c r="D47" s="681"/>
      <c r="E47" s="717"/>
      <c r="F47" s="717"/>
      <c r="G47" s="717"/>
      <c r="H47" s="717"/>
      <c r="J47" s="574"/>
    </row>
    <row r="48" spans="1:12" s="683" customFormat="1" ht="15" customHeight="1">
      <c r="A48" s="681"/>
      <c r="B48" s="681"/>
      <c r="C48" s="715"/>
      <c r="D48" s="681"/>
      <c r="E48" s="717"/>
      <c r="F48" s="717"/>
      <c r="G48" s="717"/>
      <c r="H48" s="717"/>
      <c r="J48" s="574"/>
    </row>
    <row r="49" spans="1:10" s="683" customFormat="1" ht="15" customHeight="1">
      <c r="A49" s="681"/>
      <c r="B49" s="681"/>
      <c r="C49" s="681"/>
      <c r="D49" s="681"/>
      <c r="E49" s="717"/>
      <c r="F49" s="717"/>
      <c r="G49" s="717"/>
      <c r="H49" s="717"/>
      <c r="J49" s="574"/>
    </row>
    <row r="50" spans="1:10" s="683" customFormat="1" ht="15" customHeight="1">
      <c r="E50" s="1317" t="s">
        <v>877</v>
      </c>
      <c r="F50" s="1317"/>
      <c r="G50" s="1317"/>
      <c r="H50" s="1317"/>
      <c r="J50" s="574"/>
    </row>
    <row r="51" spans="1:10">
      <c r="A51" s="683"/>
      <c r="B51" s="683"/>
      <c r="C51" s="683"/>
      <c r="D51" s="683"/>
      <c r="E51" s="683"/>
      <c r="F51" s="683"/>
      <c r="G51" s="683"/>
      <c r="H51" s="683"/>
    </row>
    <row r="52" spans="1:10">
      <c r="A52" s="683"/>
      <c r="B52" s="683"/>
      <c r="C52" s="683"/>
      <c r="D52" s="683"/>
      <c r="E52" s="683"/>
      <c r="F52" s="683"/>
      <c r="G52" s="683"/>
      <c r="H52" s="683"/>
    </row>
    <row r="53" spans="1:10">
      <c r="A53" s="683"/>
      <c r="B53" s="683"/>
      <c r="C53" s="683"/>
      <c r="D53" s="683"/>
      <c r="E53" s="683"/>
      <c r="F53" s="683"/>
      <c r="G53" s="683"/>
      <c r="H53" s="683"/>
    </row>
    <row r="54" spans="1:10">
      <c r="A54" s="683"/>
      <c r="B54" s="683"/>
      <c r="C54" s="683"/>
      <c r="D54" s="683"/>
      <c r="E54" s="683"/>
      <c r="F54" s="683"/>
      <c r="G54" s="683"/>
      <c r="H54" s="683"/>
    </row>
    <row r="55" spans="1:10">
      <c r="A55" s="683"/>
      <c r="B55" s="683"/>
      <c r="C55" s="683"/>
      <c r="D55" s="683"/>
      <c r="E55" s="683"/>
      <c r="F55" s="683"/>
      <c r="G55" s="683"/>
      <c r="H55" s="683"/>
    </row>
    <row r="56" spans="1:10">
      <c r="A56" s="683"/>
      <c r="B56" s="683"/>
      <c r="C56" s="683"/>
      <c r="D56" s="683"/>
      <c r="E56" s="683"/>
      <c r="F56" s="683"/>
      <c r="G56" s="683"/>
      <c r="H56" s="683"/>
    </row>
    <row r="57" spans="1:10">
      <c r="A57" s="683"/>
      <c r="B57" s="683"/>
      <c r="C57" s="683"/>
      <c r="D57" s="683"/>
      <c r="E57" s="683"/>
      <c r="F57" s="683"/>
      <c r="G57" s="683"/>
      <c r="H57" s="683"/>
    </row>
    <row r="58" spans="1:10">
      <c r="A58" s="683"/>
      <c r="B58" s="683"/>
      <c r="C58" s="683"/>
      <c r="D58" s="683"/>
      <c r="E58" s="683"/>
      <c r="F58" s="683"/>
      <c r="G58" s="683"/>
      <c r="H58" s="683"/>
    </row>
    <row r="59" spans="1:10">
      <c r="A59" s="683"/>
      <c r="B59" s="683"/>
      <c r="C59" s="683"/>
      <c r="D59" s="683"/>
      <c r="E59" s="683"/>
      <c r="F59" s="683"/>
      <c r="G59" s="683"/>
      <c r="H59" s="683"/>
    </row>
    <row r="60" spans="1:10">
      <c r="A60" s="683"/>
      <c r="B60" s="683"/>
      <c r="C60" s="683"/>
      <c r="D60" s="683"/>
      <c r="E60" s="683"/>
      <c r="F60" s="683"/>
      <c r="G60" s="683"/>
      <c r="H60" s="683"/>
    </row>
    <row r="61" spans="1:10">
      <c r="A61" s="683"/>
      <c r="B61" s="683"/>
      <c r="C61" s="683"/>
      <c r="D61" s="683"/>
      <c r="E61" s="683"/>
      <c r="F61" s="683"/>
      <c r="G61" s="683"/>
      <c r="H61" s="683"/>
    </row>
    <row r="62" spans="1:10">
      <c r="A62" s="683"/>
      <c r="B62" s="683"/>
      <c r="C62" s="683"/>
      <c r="D62" s="683"/>
      <c r="E62" s="683"/>
      <c r="F62" s="683"/>
      <c r="G62" s="683"/>
      <c r="H62" s="683"/>
    </row>
    <row r="63" spans="1:10">
      <c r="A63" s="683"/>
      <c r="B63" s="683"/>
      <c r="C63" s="683"/>
      <c r="D63" s="683"/>
      <c r="E63" s="683"/>
      <c r="F63" s="683"/>
      <c r="G63" s="683"/>
      <c r="H63" s="683"/>
    </row>
  </sheetData>
  <mergeCells count="5">
    <mergeCell ref="E50:H50"/>
    <mergeCell ref="A1:H1"/>
    <mergeCell ref="A24:H24"/>
    <mergeCell ref="E44:H44"/>
    <mergeCell ref="E45:H45"/>
  </mergeCells>
  <phoneticPr fontId="60" type="noConversion"/>
  <pageMargins left="0.7" right="0.7" top="0.45" bottom="0.38" header="0.3" footer="0.24"/>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3"/>
  <sheetViews>
    <sheetView zoomScaleNormal="100" workbookViewId="0">
      <pane xSplit="8" ySplit="6" topLeftCell="I109" activePane="bottomRight" state="frozen"/>
      <selection activeCell="H5" sqref="H5"/>
      <selection pane="topRight" activeCell="H5" sqref="H5"/>
      <selection pane="bottomLeft" activeCell="H5" sqref="H5"/>
      <selection pane="bottomRight" activeCell="H5" sqref="H5"/>
    </sheetView>
  </sheetViews>
  <sheetFormatPr defaultColWidth="8.90625" defaultRowHeight="15.6"/>
  <cols>
    <col min="1" max="1" width="6.1796875" style="574" customWidth="1"/>
    <col min="2" max="2" width="18.81640625" style="574" customWidth="1"/>
    <col min="3" max="5" width="8.81640625" style="574" customWidth="1"/>
    <col min="6" max="7" width="8.81640625" style="970" customWidth="1"/>
    <col min="8" max="8" width="8.81640625" style="574" customWidth="1"/>
    <col min="9" max="9" width="4.6328125" style="574" customWidth="1"/>
    <col min="10" max="10" width="3.90625" style="574" customWidth="1"/>
    <col min="11" max="16384" width="8.90625" style="574"/>
  </cols>
  <sheetData>
    <row r="1" spans="1:8" ht="17.399999999999999">
      <c r="A1" s="1369" t="s">
        <v>1005</v>
      </c>
      <c r="B1" s="1369"/>
      <c r="C1" s="1369"/>
      <c r="D1" s="1369"/>
      <c r="E1" s="1369"/>
      <c r="F1" s="1369"/>
      <c r="G1" s="1369"/>
      <c r="H1" s="1369"/>
    </row>
    <row r="2" spans="1:8">
      <c r="A2" s="1370"/>
      <c r="B2" s="1370"/>
      <c r="C2" s="1370"/>
      <c r="D2" s="1370"/>
      <c r="E2" s="1370"/>
      <c r="F2" s="1370"/>
      <c r="G2" s="1370"/>
      <c r="H2" s="1370"/>
    </row>
    <row r="3" spans="1:8">
      <c r="A3" s="922"/>
      <c r="B3" s="922"/>
      <c r="C3" s="922"/>
      <c r="D3" s="922"/>
      <c r="E3" s="922"/>
      <c r="F3" s="923"/>
      <c r="G3" s="923"/>
      <c r="H3" s="922"/>
    </row>
    <row r="4" spans="1:8" ht="34.5" customHeight="1">
      <c r="A4" s="1371" t="s">
        <v>14</v>
      </c>
      <c r="B4" s="1374" t="s">
        <v>529</v>
      </c>
      <c r="C4" s="1374" t="s">
        <v>530</v>
      </c>
      <c r="D4" s="1374"/>
      <c r="E4" s="1374"/>
      <c r="F4" s="1374" t="s">
        <v>994</v>
      </c>
      <c r="G4" s="1374"/>
      <c r="H4" s="1374"/>
    </row>
    <row r="5" spans="1:8" ht="26.25" customHeight="1">
      <c r="A5" s="1372"/>
      <c r="B5" s="1374"/>
      <c r="C5" s="1374" t="s">
        <v>1002</v>
      </c>
      <c r="D5" s="1375" t="s">
        <v>998</v>
      </c>
      <c r="E5" s="1374" t="s">
        <v>218</v>
      </c>
      <c r="F5" s="1374" t="s">
        <v>1003</v>
      </c>
      <c r="G5" s="1375" t="s">
        <v>998</v>
      </c>
      <c r="H5" s="1374" t="s">
        <v>531</v>
      </c>
    </row>
    <row r="6" spans="1:8" ht="13.5" customHeight="1">
      <c r="A6" s="1373"/>
      <c r="B6" s="1374"/>
      <c r="C6" s="1374"/>
      <c r="D6" s="1376"/>
      <c r="E6" s="1374"/>
      <c r="F6" s="1374"/>
      <c r="G6" s="1376"/>
      <c r="H6" s="1374"/>
    </row>
    <row r="7" spans="1:8" s="926" customFormat="1" ht="18" customHeight="1">
      <c r="A7" s="1378" t="s">
        <v>942</v>
      </c>
      <c r="B7" s="1378"/>
      <c r="C7" s="924"/>
      <c r="D7" s="924"/>
      <c r="E7" s="925">
        <f>E8+E16+E40+E45+E46</f>
        <v>6934.6</v>
      </c>
      <c r="F7" s="925"/>
      <c r="G7" s="925"/>
      <c r="H7" s="925">
        <f>H8+H16+H40+H45+H46</f>
        <v>640</v>
      </c>
    </row>
    <row r="8" spans="1:8" ht="18" customHeight="1">
      <c r="A8" s="1377" t="s">
        <v>537</v>
      </c>
      <c r="B8" s="1377"/>
      <c r="C8" s="927"/>
      <c r="D8" s="927"/>
      <c r="E8" s="928">
        <f>SUM(E9:E15)</f>
        <v>1020</v>
      </c>
      <c r="F8" s="928"/>
      <c r="G8" s="928"/>
      <c r="H8" s="928">
        <f>SUM(H9:H15)</f>
        <v>88</v>
      </c>
    </row>
    <row r="9" spans="1:8" ht="18" customHeight="1">
      <c r="A9" s="929">
        <v>1</v>
      </c>
      <c r="B9" s="644" t="s">
        <v>538</v>
      </c>
      <c r="C9" s="930">
        <v>56.7</v>
      </c>
      <c r="D9" s="930">
        <v>4</v>
      </c>
      <c r="E9" s="931">
        <f>C9*D9</f>
        <v>226.8</v>
      </c>
      <c r="F9" s="932">
        <v>4</v>
      </c>
      <c r="G9" s="930">
        <v>4</v>
      </c>
      <c r="H9" s="933">
        <f>F9*G9</f>
        <v>16</v>
      </c>
    </row>
    <row r="10" spans="1:8" ht="18" customHeight="1">
      <c r="A10" s="929">
        <v>2</v>
      </c>
      <c r="B10" s="644" t="s">
        <v>539</v>
      </c>
      <c r="C10" s="930">
        <v>38.299999999999997</v>
      </c>
      <c r="D10" s="930">
        <v>4</v>
      </c>
      <c r="E10" s="931">
        <f t="shared" ref="E10:E15" si="0">C10*D10</f>
        <v>153.19999999999999</v>
      </c>
      <c r="F10" s="932">
        <v>4</v>
      </c>
      <c r="G10" s="930">
        <v>4</v>
      </c>
      <c r="H10" s="933">
        <f t="shared" ref="H10:H15" si="1">F10*G10</f>
        <v>16</v>
      </c>
    </row>
    <row r="11" spans="1:8" ht="18" customHeight="1">
      <c r="A11" s="929">
        <v>3</v>
      </c>
      <c r="B11" s="644" t="s">
        <v>540</v>
      </c>
      <c r="C11" s="930">
        <v>38.299999999999997</v>
      </c>
      <c r="D11" s="930">
        <v>4</v>
      </c>
      <c r="E11" s="931">
        <f t="shared" si="0"/>
        <v>153.19999999999999</v>
      </c>
      <c r="F11" s="932">
        <v>4</v>
      </c>
      <c r="G11" s="930">
        <v>4</v>
      </c>
      <c r="H11" s="933">
        <f t="shared" si="1"/>
        <v>16</v>
      </c>
    </row>
    <row r="12" spans="1:8" ht="18" customHeight="1">
      <c r="A12" s="929">
        <v>4</v>
      </c>
      <c r="B12" s="644" t="s">
        <v>541</v>
      </c>
      <c r="C12" s="930">
        <v>25.5</v>
      </c>
      <c r="D12" s="930">
        <v>4</v>
      </c>
      <c r="E12" s="931">
        <f t="shared" si="0"/>
        <v>102</v>
      </c>
      <c r="F12" s="932">
        <v>2</v>
      </c>
      <c r="G12" s="930">
        <v>4</v>
      </c>
      <c r="H12" s="933">
        <f t="shared" si="1"/>
        <v>8</v>
      </c>
    </row>
    <row r="13" spans="1:8" ht="18" customHeight="1">
      <c r="A13" s="929">
        <v>5</v>
      </c>
      <c r="B13" s="644" t="s">
        <v>542</v>
      </c>
      <c r="C13" s="930">
        <v>38.700000000000003</v>
      </c>
      <c r="D13" s="930">
        <v>4</v>
      </c>
      <c r="E13" s="931">
        <f t="shared" si="0"/>
        <v>154.80000000000001</v>
      </c>
      <c r="F13" s="932">
        <v>4</v>
      </c>
      <c r="G13" s="930">
        <v>4</v>
      </c>
      <c r="H13" s="933">
        <f t="shared" si="1"/>
        <v>16</v>
      </c>
    </row>
    <row r="14" spans="1:8" ht="18" customHeight="1">
      <c r="A14" s="929">
        <v>6</v>
      </c>
      <c r="B14" s="644" t="s">
        <v>543</v>
      </c>
      <c r="C14" s="930">
        <v>25.7</v>
      </c>
      <c r="D14" s="930">
        <v>4</v>
      </c>
      <c r="E14" s="931">
        <f t="shared" si="0"/>
        <v>102.8</v>
      </c>
      <c r="F14" s="932">
        <v>2</v>
      </c>
      <c r="G14" s="930">
        <v>4</v>
      </c>
      <c r="H14" s="933">
        <f t="shared" si="1"/>
        <v>8</v>
      </c>
    </row>
    <row r="15" spans="1:8" ht="18" customHeight="1">
      <c r="A15" s="929">
        <v>7</v>
      </c>
      <c r="B15" s="644" t="s">
        <v>544</v>
      </c>
      <c r="C15" s="930">
        <v>31.8</v>
      </c>
      <c r="D15" s="930">
        <v>4</v>
      </c>
      <c r="E15" s="931">
        <f t="shared" si="0"/>
        <v>127.2</v>
      </c>
      <c r="F15" s="932">
        <v>2</v>
      </c>
      <c r="G15" s="930">
        <v>4</v>
      </c>
      <c r="H15" s="933">
        <f t="shared" si="1"/>
        <v>8</v>
      </c>
    </row>
    <row r="16" spans="1:8" ht="18" customHeight="1">
      <c r="A16" s="1377" t="s">
        <v>545</v>
      </c>
      <c r="B16" s="1377"/>
      <c r="C16" s="927"/>
      <c r="D16" s="927"/>
      <c r="E16" s="928">
        <f>SUM(E17:E39)</f>
        <v>4458.5</v>
      </c>
      <c r="F16" s="928"/>
      <c r="G16" s="927"/>
      <c r="H16" s="928">
        <f>SUM(H17:H39)</f>
        <v>450</v>
      </c>
    </row>
    <row r="17" spans="1:8" ht="18" customHeight="1">
      <c r="A17" s="929">
        <v>1</v>
      </c>
      <c r="B17" s="934" t="s">
        <v>546</v>
      </c>
      <c r="C17" s="930">
        <v>56</v>
      </c>
      <c r="D17" s="930">
        <v>5</v>
      </c>
      <c r="E17" s="931">
        <f>C17*D17</f>
        <v>280</v>
      </c>
      <c r="F17" s="932">
        <v>4</v>
      </c>
      <c r="G17" s="930">
        <v>5</v>
      </c>
      <c r="H17" s="935">
        <f>F17*G17</f>
        <v>20</v>
      </c>
    </row>
    <row r="18" spans="1:8" ht="18" customHeight="1">
      <c r="A18" s="929">
        <v>2</v>
      </c>
      <c r="B18" s="934" t="s">
        <v>711</v>
      </c>
      <c r="C18" s="930">
        <v>56</v>
      </c>
      <c r="D18" s="930">
        <v>5</v>
      </c>
      <c r="E18" s="931">
        <f t="shared" ref="E18:E39" si="2">C18*D18</f>
        <v>280</v>
      </c>
      <c r="F18" s="932">
        <v>4</v>
      </c>
      <c r="G18" s="930">
        <v>5</v>
      </c>
      <c r="H18" s="935">
        <f t="shared" ref="H18:H39" si="3">F18*G18</f>
        <v>20</v>
      </c>
    </row>
    <row r="19" spans="1:8" ht="18" customHeight="1">
      <c r="A19" s="929">
        <v>3</v>
      </c>
      <c r="B19" s="934" t="s">
        <v>547</v>
      </c>
      <c r="C19" s="930">
        <v>56</v>
      </c>
      <c r="D19" s="930">
        <v>5</v>
      </c>
      <c r="E19" s="931">
        <f t="shared" si="2"/>
        <v>280</v>
      </c>
      <c r="F19" s="932">
        <v>4</v>
      </c>
      <c r="G19" s="930">
        <v>5</v>
      </c>
      <c r="H19" s="935">
        <f t="shared" si="3"/>
        <v>20</v>
      </c>
    </row>
    <row r="20" spans="1:8" ht="18" customHeight="1">
      <c r="A20" s="929">
        <v>4</v>
      </c>
      <c r="B20" s="934" t="s">
        <v>548</v>
      </c>
      <c r="C20" s="930">
        <v>37.700000000000003</v>
      </c>
      <c r="D20" s="930">
        <v>5</v>
      </c>
      <c r="E20" s="931">
        <f t="shared" si="2"/>
        <v>188.5</v>
      </c>
      <c r="F20" s="932">
        <v>4</v>
      </c>
      <c r="G20" s="930">
        <v>5</v>
      </c>
      <c r="H20" s="935">
        <f t="shared" si="3"/>
        <v>20</v>
      </c>
    </row>
    <row r="21" spans="1:8" ht="18" customHeight="1">
      <c r="A21" s="929">
        <v>5</v>
      </c>
      <c r="B21" s="934" t="s">
        <v>549</v>
      </c>
      <c r="C21" s="936">
        <v>56</v>
      </c>
      <c r="D21" s="930">
        <v>5</v>
      </c>
      <c r="E21" s="931">
        <f t="shared" si="2"/>
        <v>280</v>
      </c>
      <c r="F21" s="932">
        <v>4</v>
      </c>
      <c r="G21" s="930">
        <v>5</v>
      </c>
      <c r="H21" s="935">
        <f t="shared" si="3"/>
        <v>20</v>
      </c>
    </row>
    <row r="22" spans="1:8" ht="18" customHeight="1">
      <c r="A22" s="929">
        <v>6</v>
      </c>
      <c r="B22" s="934" t="s">
        <v>550</v>
      </c>
      <c r="C22" s="936">
        <v>37.700000000000003</v>
      </c>
      <c r="D22" s="930">
        <v>5</v>
      </c>
      <c r="E22" s="931">
        <f t="shared" si="2"/>
        <v>188.5</v>
      </c>
      <c r="F22" s="932">
        <v>4</v>
      </c>
      <c r="G22" s="930">
        <v>5</v>
      </c>
      <c r="H22" s="935">
        <f t="shared" si="3"/>
        <v>20</v>
      </c>
    </row>
    <row r="23" spans="1:8" ht="18" customHeight="1">
      <c r="A23" s="929">
        <v>7</v>
      </c>
      <c r="B23" s="934" t="s">
        <v>551</v>
      </c>
      <c r="C23" s="936">
        <v>56</v>
      </c>
      <c r="D23" s="930">
        <v>5</v>
      </c>
      <c r="E23" s="931">
        <f t="shared" si="2"/>
        <v>280</v>
      </c>
      <c r="F23" s="932">
        <v>4</v>
      </c>
      <c r="G23" s="930">
        <v>5</v>
      </c>
      <c r="H23" s="935">
        <f t="shared" si="3"/>
        <v>20</v>
      </c>
    </row>
    <row r="24" spans="1:8" ht="18" customHeight="1">
      <c r="A24" s="929">
        <v>8</v>
      </c>
      <c r="B24" s="934" t="s">
        <v>552</v>
      </c>
      <c r="C24" s="936">
        <v>36</v>
      </c>
      <c r="D24" s="930">
        <v>5</v>
      </c>
      <c r="E24" s="931">
        <f t="shared" si="2"/>
        <v>180</v>
      </c>
      <c r="F24" s="932">
        <v>4</v>
      </c>
      <c r="G24" s="930">
        <v>5</v>
      </c>
      <c r="H24" s="935">
        <f t="shared" si="3"/>
        <v>20</v>
      </c>
    </row>
    <row r="25" spans="1:8" ht="18" customHeight="1">
      <c r="A25" s="929">
        <v>9</v>
      </c>
      <c r="B25" s="934" t="s">
        <v>553</v>
      </c>
      <c r="C25" s="936">
        <v>30.2</v>
      </c>
      <c r="D25" s="930">
        <v>5</v>
      </c>
      <c r="E25" s="931">
        <f t="shared" si="2"/>
        <v>151</v>
      </c>
      <c r="F25" s="932">
        <v>4</v>
      </c>
      <c r="G25" s="930">
        <v>5</v>
      </c>
      <c r="H25" s="935">
        <f t="shared" si="3"/>
        <v>20</v>
      </c>
    </row>
    <row r="26" spans="1:8" ht="18" customHeight="1">
      <c r="A26" s="929">
        <v>10</v>
      </c>
      <c r="B26" s="934" t="s">
        <v>554</v>
      </c>
      <c r="C26" s="937">
        <v>30.2</v>
      </c>
      <c r="D26" s="930">
        <v>5</v>
      </c>
      <c r="E26" s="931">
        <f t="shared" si="2"/>
        <v>151</v>
      </c>
      <c r="F26" s="932">
        <v>4</v>
      </c>
      <c r="G26" s="930">
        <v>5</v>
      </c>
      <c r="H26" s="935">
        <f t="shared" si="3"/>
        <v>20</v>
      </c>
    </row>
    <row r="27" spans="1:8" ht="18" customHeight="1">
      <c r="A27" s="929">
        <v>11</v>
      </c>
      <c r="B27" s="934" t="s">
        <v>555</v>
      </c>
      <c r="C27" s="937">
        <v>56</v>
      </c>
      <c r="D27" s="930">
        <v>5</v>
      </c>
      <c r="E27" s="931">
        <f t="shared" si="2"/>
        <v>280</v>
      </c>
      <c r="F27" s="932">
        <v>4</v>
      </c>
      <c r="G27" s="930">
        <v>5</v>
      </c>
      <c r="H27" s="935">
        <f t="shared" si="3"/>
        <v>20</v>
      </c>
    </row>
    <row r="28" spans="1:8" ht="18" customHeight="1">
      <c r="A28" s="929">
        <v>12</v>
      </c>
      <c r="B28" s="934" t="s">
        <v>556</v>
      </c>
      <c r="C28" s="937">
        <v>37.700000000000003</v>
      </c>
      <c r="D28" s="930">
        <v>5</v>
      </c>
      <c r="E28" s="931">
        <f t="shared" si="2"/>
        <v>188.5</v>
      </c>
      <c r="F28" s="932">
        <v>4</v>
      </c>
      <c r="G28" s="930">
        <v>5</v>
      </c>
      <c r="H28" s="935">
        <f t="shared" si="3"/>
        <v>20</v>
      </c>
    </row>
    <row r="29" spans="1:8" ht="18" customHeight="1">
      <c r="A29" s="929">
        <v>13</v>
      </c>
      <c r="B29" s="934" t="s">
        <v>557</v>
      </c>
      <c r="C29" s="937">
        <v>30.2</v>
      </c>
      <c r="D29" s="930">
        <v>5</v>
      </c>
      <c r="E29" s="931">
        <f t="shared" si="2"/>
        <v>151</v>
      </c>
      <c r="F29" s="932">
        <v>4</v>
      </c>
      <c r="G29" s="930">
        <v>5</v>
      </c>
      <c r="H29" s="935">
        <f t="shared" si="3"/>
        <v>20</v>
      </c>
    </row>
    <row r="30" spans="1:8" ht="23.25" customHeight="1">
      <c r="A30" s="929">
        <v>14</v>
      </c>
      <c r="B30" s="934" t="s">
        <v>995</v>
      </c>
      <c r="C30" s="937">
        <v>27.2</v>
      </c>
      <c r="D30" s="930">
        <v>5</v>
      </c>
      <c r="E30" s="931">
        <f t="shared" si="2"/>
        <v>136</v>
      </c>
      <c r="F30" s="932">
        <v>4</v>
      </c>
      <c r="G30" s="930">
        <v>5</v>
      </c>
      <c r="H30" s="935">
        <f t="shared" si="3"/>
        <v>20</v>
      </c>
    </row>
    <row r="31" spans="1:8" ht="18" customHeight="1">
      <c r="A31" s="929">
        <v>15</v>
      </c>
      <c r="B31" s="934" t="s">
        <v>558</v>
      </c>
      <c r="C31" s="937">
        <v>37.700000000000003</v>
      </c>
      <c r="D31" s="930">
        <v>5</v>
      </c>
      <c r="E31" s="931">
        <f t="shared" si="2"/>
        <v>188.5</v>
      </c>
      <c r="F31" s="932">
        <v>4</v>
      </c>
      <c r="G31" s="930">
        <v>5</v>
      </c>
      <c r="H31" s="935">
        <f t="shared" si="3"/>
        <v>20</v>
      </c>
    </row>
    <row r="32" spans="1:8" ht="18" customHeight="1">
      <c r="A32" s="929">
        <v>16</v>
      </c>
      <c r="B32" s="934" t="s">
        <v>559</v>
      </c>
      <c r="C32" s="937">
        <v>62.8</v>
      </c>
      <c r="D32" s="930">
        <v>5</v>
      </c>
      <c r="E32" s="931">
        <f t="shared" si="2"/>
        <v>314</v>
      </c>
      <c r="F32" s="938">
        <v>6</v>
      </c>
      <c r="G32" s="930">
        <v>5</v>
      </c>
      <c r="H32" s="935">
        <f t="shared" si="3"/>
        <v>30</v>
      </c>
    </row>
    <row r="33" spans="1:8" ht="18" customHeight="1">
      <c r="A33" s="929">
        <v>17</v>
      </c>
      <c r="B33" s="934" t="s">
        <v>560</v>
      </c>
      <c r="C33" s="937">
        <v>37.700000000000003</v>
      </c>
      <c r="D33" s="930">
        <v>5</v>
      </c>
      <c r="E33" s="931">
        <f t="shared" si="2"/>
        <v>188.5</v>
      </c>
      <c r="F33" s="938">
        <v>4</v>
      </c>
      <c r="G33" s="930">
        <v>5</v>
      </c>
      <c r="H33" s="935">
        <f t="shared" si="3"/>
        <v>20</v>
      </c>
    </row>
    <row r="34" spans="1:8" ht="18" customHeight="1">
      <c r="A34" s="929">
        <v>18</v>
      </c>
      <c r="B34" s="934" t="s">
        <v>561</v>
      </c>
      <c r="C34" s="937">
        <v>37.700000000000003</v>
      </c>
      <c r="D34" s="930">
        <v>5</v>
      </c>
      <c r="E34" s="931">
        <f t="shared" si="2"/>
        <v>188.5</v>
      </c>
      <c r="F34" s="938">
        <v>4</v>
      </c>
      <c r="G34" s="930">
        <v>5</v>
      </c>
      <c r="H34" s="935">
        <f t="shared" si="3"/>
        <v>20</v>
      </c>
    </row>
    <row r="35" spans="1:8" ht="18" customHeight="1">
      <c r="A35" s="929">
        <v>19</v>
      </c>
      <c r="B35" s="934" t="s">
        <v>562</v>
      </c>
      <c r="C35" s="937">
        <v>27.7</v>
      </c>
      <c r="D35" s="930">
        <v>5</v>
      </c>
      <c r="E35" s="931">
        <f t="shared" si="2"/>
        <v>138.5</v>
      </c>
      <c r="F35" s="938">
        <v>4</v>
      </c>
      <c r="G35" s="930">
        <v>5</v>
      </c>
      <c r="H35" s="935">
        <f t="shared" si="3"/>
        <v>20</v>
      </c>
    </row>
    <row r="36" spans="1:8" ht="18" customHeight="1">
      <c r="A36" s="929">
        <v>20</v>
      </c>
      <c r="B36" s="934" t="s">
        <v>563</v>
      </c>
      <c r="C36" s="937">
        <v>27.2</v>
      </c>
      <c r="D36" s="930">
        <v>5</v>
      </c>
      <c r="E36" s="931">
        <f t="shared" si="2"/>
        <v>136</v>
      </c>
      <c r="F36" s="938">
        <v>4</v>
      </c>
      <c r="G36" s="930">
        <v>5</v>
      </c>
      <c r="H36" s="935">
        <f t="shared" si="3"/>
        <v>20</v>
      </c>
    </row>
    <row r="37" spans="1:8" ht="18" customHeight="1">
      <c r="A37" s="929">
        <v>21</v>
      </c>
      <c r="B37" s="934" t="s">
        <v>564</v>
      </c>
      <c r="C37" s="937">
        <v>27.2</v>
      </c>
      <c r="D37" s="930">
        <v>5</v>
      </c>
      <c r="E37" s="931">
        <f t="shared" si="2"/>
        <v>136</v>
      </c>
      <c r="F37" s="938">
        <v>4</v>
      </c>
      <c r="G37" s="930">
        <v>5</v>
      </c>
      <c r="H37" s="935">
        <f t="shared" si="3"/>
        <v>20</v>
      </c>
    </row>
    <row r="38" spans="1:8" ht="18" customHeight="1">
      <c r="A38" s="929">
        <v>22</v>
      </c>
      <c r="B38" s="939" t="s">
        <v>565</v>
      </c>
      <c r="C38" s="937">
        <v>18.7</v>
      </c>
      <c r="D38" s="930">
        <v>5</v>
      </c>
      <c r="E38" s="931">
        <f t="shared" si="2"/>
        <v>93.5</v>
      </c>
      <c r="F38" s="932">
        <v>2</v>
      </c>
      <c r="G38" s="930">
        <v>5</v>
      </c>
      <c r="H38" s="935">
        <f t="shared" si="3"/>
        <v>10</v>
      </c>
    </row>
    <row r="39" spans="1:8" ht="18" customHeight="1">
      <c r="A39" s="929">
        <v>23</v>
      </c>
      <c r="B39" s="939" t="s">
        <v>566</v>
      </c>
      <c r="C39" s="940">
        <v>12.1</v>
      </c>
      <c r="D39" s="930">
        <v>5</v>
      </c>
      <c r="E39" s="931">
        <f t="shared" si="2"/>
        <v>60.5</v>
      </c>
      <c r="F39" s="932">
        <v>2</v>
      </c>
      <c r="G39" s="930">
        <v>5</v>
      </c>
      <c r="H39" s="935">
        <f t="shared" si="3"/>
        <v>10</v>
      </c>
    </row>
    <row r="40" spans="1:8" ht="18" customHeight="1">
      <c r="A40" s="1377" t="s">
        <v>567</v>
      </c>
      <c r="B40" s="1377"/>
      <c r="C40" s="927"/>
      <c r="D40" s="927"/>
      <c r="E40" s="928">
        <f>SUM(E41:E44)</f>
        <v>272.5</v>
      </c>
      <c r="F40" s="928"/>
      <c r="G40" s="927"/>
      <c r="H40" s="928">
        <f>SUM(H41:H44)</f>
        <v>45</v>
      </c>
    </row>
    <row r="41" spans="1:8" ht="18" customHeight="1">
      <c r="A41" s="929">
        <v>1</v>
      </c>
      <c r="B41" s="939" t="s">
        <v>568</v>
      </c>
      <c r="C41" s="930">
        <v>24</v>
      </c>
      <c r="D41" s="930">
        <v>2.5</v>
      </c>
      <c r="E41" s="931">
        <f t="shared" ref="E41:E46" si="4">C41*D41</f>
        <v>60</v>
      </c>
      <c r="F41" s="932">
        <v>4</v>
      </c>
      <c r="G41" s="930">
        <v>2.5</v>
      </c>
      <c r="H41" s="935">
        <f>F41*G41</f>
        <v>10</v>
      </c>
    </row>
    <row r="42" spans="1:8" ht="18" customHeight="1">
      <c r="A42" s="929">
        <v>2</v>
      </c>
      <c r="B42" s="939" t="s">
        <v>569</v>
      </c>
      <c r="C42" s="930">
        <v>24</v>
      </c>
      <c r="D42" s="930">
        <v>2.5</v>
      </c>
      <c r="E42" s="931">
        <f t="shared" si="4"/>
        <v>60</v>
      </c>
      <c r="F42" s="932">
        <v>4</v>
      </c>
      <c r="G42" s="930">
        <v>2.5</v>
      </c>
      <c r="H42" s="935">
        <f>F42*G42</f>
        <v>10</v>
      </c>
    </row>
    <row r="43" spans="1:8" ht="18" customHeight="1">
      <c r="A43" s="929">
        <v>3</v>
      </c>
      <c r="B43" s="939" t="s">
        <v>570</v>
      </c>
      <c r="C43" s="930">
        <v>21</v>
      </c>
      <c r="D43" s="930">
        <v>2.5</v>
      </c>
      <c r="E43" s="931">
        <f t="shared" si="4"/>
        <v>52.5</v>
      </c>
      <c r="F43" s="932">
        <v>4</v>
      </c>
      <c r="G43" s="930">
        <v>2.5</v>
      </c>
      <c r="H43" s="935">
        <f>F43*G43</f>
        <v>10</v>
      </c>
    </row>
    <row r="44" spans="1:8" ht="18" customHeight="1">
      <c r="A44" s="929">
        <v>4</v>
      </c>
      <c r="B44" s="644" t="s">
        <v>571</v>
      </c>
      <c r="C44" s="930">
        <v>40</v>
      </c>
      <c r="D44" s="930">
        <v>2.5</v>
      </c>
      <c r="E44" s="931">
        <f t="shared" si="4"/>
        <v>100</v>
      </c>
      <c r="F44" s="932">
        <v>6</v>
      </c>
      <c r="G44" s="930">
        <v>2.5</v>
      </c>
      <c r="H44" s="935">
        <f>F44*G44</f>
        <v>15</v>
      </c>
    </row>
    <row r="45" spans="1:8" ht="18" customHeight="1">
      <c r="A45" s="971">
        <v>1</v>
      </c>
      <c r="B45" s="972" t="s">
        <v>572</v>
      </c>
      <c r="C45" s="973">
        <v>111.2</v>
      </c>
      <c r="D45" s="973">
        <v>8</v>
      </c>
      <c r="E45" s="974">
        <f t="shared" si="4"/>
        <v>889.6</v>
      </c>
      <c r="F45" s="975">
        <v>6</v>
      </c>
      <c r="G45" s="973">
        <v>8</v>
      </c>
      <c r="H45" s="976">
        <v>48</v>
      </c>
    </row>
    <row r="46" spans="1:8" ht="24.75" customHeight="1">
      <c r="A46" s="971">
        <v>1</v>
      </c>
      <c r="B46" s="972" t="s">
        <v>573</v>
      </c>
      <c r="C46" s="973">
        <v>98</v>
      </c>
      <c r="D46" s="973">
        <v>3</v>
      </c>
      <c r="E46" s="974">
        <f t="shared" si="4"/>
        <v>294</v>
      </c>
      <c r="F46" s="975">
        <v>3</v>
      </c>
      <c r="G46" s="973">
        <v>3</v>
      </c>
      <c r="H46" s="976">
        <v>9</v>
      </c>
    </row>
    <row r="47" spans="1:8" ht="18" customHeight="1">
      <c r="A47" s="1378" t="s">
        <v>943</v>
      </c>
      <c r="B47" s="1378"/>
      <c r="C47" s="941"/>
      <c r="D47" s="941"/>
      <c r="E47" s="942">
        <f>E48+E52+E63</f>
        <v>11490.458999999999</v>
      </c>
      <c r="F47" s="942"/>
      <c r="G47" s="941"/>
      <c r="H47" s="942">
        <f>H48+H52+H63</f>
        <v>897.54</v>
      </c>
    </row>
    <row r="48" spans="1:8" ht="18" customHeight="1">
      <c r="A48" s="1379" t="s">
        <v>574</v>
      </c>
      <c r="B48" s="1379"/>
      <c r="C48" s="943"/>
      <c r="D48" s="943"/>
      <c r="E48" s="944">
        <f>SUM(E49:E51)</f>
        <v>786.56</v>
      </c>
      <c r="F48" s="945"/>
      <c r="G48" s="943"/>
      <c r="H48" s="946">
        <f>SUM(H49:H51)</f>
        <v>60</v>
      </c>
    </row>
    <row r="49" spans="1:8" ht="18" customHeight="1">
      <c r="A49" s="929">
        <v>1</v>
      </c>
      <c r="B49" s="947" t="s">
        <v>575</v>
      </c>
      <c r="C49" s="940">
        <v>62.9</v>
      </c>
      <c r="D49" s="940">
        <v>4</v>
      </c>
      <c r="E49" s="948">
        <f>C49*D49</f>
        <v>251.6</v>
      </c>
      <c r="F49" s="949">
        <v>4</v>
      </c>
      <c r="G49" s="940">
        <v>4</v>
      </c>
      <c r="H49" s="950">
        <f>F49*G49</f>
        <v>16</v>
      </c>
    </row>
    <row r="50" spans="1:8" ht="18" customHeight="1">
      <c r="A50" s="929">
        <v>2</v>
      </c>
      <c r="B50" s="947" t="s">
        <v>576</v>
      </c>
      <c r="C50" s="940">
        <v>56.74</v>
      </c>
      <c r="D50" s="940">
        <v>4</v>
      </c>
      <c r="E50" s="948">
        <f>C50*D50</f>
        <v>226.96</v>
      </c>
      <c r="F50" s="949">
        <v>4</v>
      </c>
      <c r="G50" s="940">
        <v>4</v>
      </c>
      <c r="H50" s="950">
        <f>F50*G50</f>
        <v>16</v>
      </c>
    </row>
    <row r="51" spans="1:8" ht="18" customHeight="1">
      <c r="A51" s="929">
        <v>3</v>
      </c>
      <c r="B51" s="947" t="s">
        <v>577</v>
      </c>
      <c r="C51" s="940">
        <v>44</v>
      </c>
      <c r="D51" s="940">
        <v>7</v>
      </c>
      <c r="E51" s="948">
        <f>C51*D51</f>
        <v>308</v>
      </c>
      <c r="F51" s="949">
        <v>4</v>
      </c>
      <c r="G51" s="940">
        <v>7</v>
      </c>
      <c r="H51" s="950">
        <f>F51*G51</f>
        <v>28</v>
      </c>
    </row>
    <row r="52" spans="1:8" ht="18" customHeight="1">
      <c r="A52" s="1380" t="s">
        <v>578</v>
      </c>
      <c r="B52" s="1380"/>
      <c r="C52" s="951"/>
      <c r="D52" s="951"/>
      <c r="E52" s="952">
        <f>SUM(E53:E62)</f>
        <v>4360.3789999999999</v>
      </c>
      <c r="F52" s="952"/>
      <c r="G52" s="951"/>
      <c r="H52" s="952">
        <f>SUM(H53:H62)</f>
        <v>283.54000000000002</v>
      </c>
    </row>
    <row r="53" spans="1:8" ht="18" customHeight="1">
      <c r="A53" s="929">
        <v>1</v>
      </c>
      <c r="B53" s="644" t="s">
        <v>579</v>
      </c>
      <c r="C53" s="930">
        <v>169.55</v>
      </c>
      <c r="D53" s="930">
        <v>8</v>
      </c>
      <c r="E53" s="948">
        <f>C53*D53</f>
        <v>1356.4</v>
      </c>
      <c r="F53" s="950">
        <v>8</v>
      </c>
      <c r="G53" s="930">
        <v>8</v>
      </c>
      <c r="H53" s="953">
        <f>F53*G53</f>
        <v>64</v>
      </c>
    </row>
    <row r="54" spans="1:8" ht="18" customHeight="1">
      <c r="A54" s="929">
        <v>2</v>
      </c>
      <c r="B54" s="644" t="s">
        <v>580</v>
      </c>
      <c r="C54" s="930">
        <v>45.8</v>
      </c>
      <c r="D54" s="930">
        <v>5.6</v>
      </c>
      <c r="E54" s="948">
        <f t="shared" ref="E54:E62" si="5">C54*D54</f>
        <v>256.47999999999996</v>
      </c>
      <c r="F54" s="950">
        <v>4</v>
      </c>
      <c r="G54" s="930">
        <v>5.6</v>
      </c>
      <c r="H54" s="953">
        <f t="shared" ref="H54:H62" si="6">F54*G54</f>
        <v>22.4</v>
      </c>
    </row>
    <row r="55" spans="1:8" ht="18" customHeight="1">
      <c r="A55" s="929">
        <v>3</v>
      </c>
      <c r="B55" s="644" t="s">
        <v>581</v>
      </c>
      <c r="C55" s="930">
        <v>45.8</v>
      </c>
      <c r="D55" s="930">
        <v>5.24</v>
      </c>
      <c r="E55" s="948">
        <f t="shared" si="5"/>
        <v>239.99199999999999</v>
      </c>
      <c r="F55" s="950">
        <v>4</v>
      </c>
      <c r="G55" s="930">
        <v>5.24</v>
      </c>
      <c r="H55" s="953">
        <f t="shared" si="6"/>
        <v>20.96</v>
      </c>
    </row>
    <row r="56" spans="1:8" ht="18" customHeight="1">
      <c r="A56" s="929">
        <v>4</v>
      </c>
      <c r="B56" s="644" t="s">
        <v>582</v>
      </c>
      <c r="C56" s="930">
        <v>38.5</v>
      </c>
      <c r="D56" s="930">
        <v>4</v>
      </c>
      <c r="E56" s="948">
        <f t="shared" si="5"/>
        <v>154</v>
      </c>
      <c r="F56" s="950">
        <v>4</v>
      </c>
      <c r="G56" s="930">
        <v>4</v>
      </c>
      <c r="H56" s="953">
        <f t="shared" si="6"/>
        <v>16</v>
      </c>
    </row>
    <row r="57" spans="1:8" ht="18" customHeight="1">
      <c r="A57" s="929">
        <v>5</v>
      </c>
      <c r="B57" s="644" t="s">
        <v>583</v>
      </c>
      <c r="C57" s="930">
        <v>49</v>
      </c>
      <c r="D57" s="930">
        <v>5.6</v>
      </c>
      <c r="E57" s="948">
        <f t="shared" si="5"/>
        <v>274.39999999999998</v>
      </c>
      <c r="F57" s="950">
        <v>4</v>
      </c>
      <c r="G57" s="930">
        <v>5.6</v>
      </c>
      <c r="H57" s="953">
        <f t="shared" si="6"/>
        <v>22.4</v>
      </c>
    </row>
    <row r="58" spans="1:8" ht="18" customHeight="1">
      <c r="A58" s="929">
        <v>6</v>
      </c>
      <c r="B58" s="644" t="s">
        <v>584</v>
      </c>
      <c r="C58" s="930">
        <v>75.349999999999994</v>
      </c>
      <c r="D58" s="930">
        <v>6.34</v>
      </c>
      <c r="E58" s="948">
        <f t="shared" si="5"/>
        <v>477.71899999999994</v>
      </c>
      <c r="F58" s="950">
        <v>5</v>
      </c>
      <c r="G58" s="930">
        <v>6.34</v>
      </c>
      <c r="H58" s="953">
        <f t="shared" si="6"/>
        <v>31.7</v>
      </c>
    </row>
    <row r="59" spans="1:8" ht="18" customHeight="1">
      <c r="A59" s="929">
        <v>7</v>
      </c>
      <c r="B59" s="644" t="s">
        <v>585</v>
      </c>
      <c r="C59" s="930">
        <v>68.900000000000006</v>
      </c>
      <c r="D59" s="930">
        <v>6.34</v>
      </c>
      <c r="E59" s="948">
        <f t="shared" si="5"/>
        <v>436.82600000000002</v>
      </c>
      <c r="F59" s="950">
        <v>4</v>
      </c>
      <c r="G59" s="930">
        <v>6.34</v>
      </c>
      <c r="H59" s="953">
        <f t="shared" si="6"/>
        <v>25.36</v>
      </c>
    </row>
    <row r="60" spans="1:8" ht="18" customHeight="1">
      <c r="A60" s="929">
        <v>8</v>
      </c>
      <c r="B60" s="644" t="s">
        <v>586</v>
      </c>
      <c r="C60" s="930">
        <v>50.4</v>
      </c>
      <c r="D60" s="930">
        <v>6.34</v>
      </c>
      <c r="E60" s="948">
        <f t="shared" si="5"/>
        <v>319.536</v>
      </c>
      <c r="F60" s="950">
        <v>4</v>
      </c>
      <c r="G60" s="930">
        <v>6.34</v>
      </c>
      <c r="H60" s="953">
        <f t="shared" si="6"/>
        <v>25.36</v>
      </c>
    </row>
    <row r="61" spans="1:8" ht="18" customHeight="1">
      <c r="A61" s="929">
        <v>9</v>
      </c>
      <c r="B61" s="644" t="s">
        <v>587</v>
      </c>
      <c r="C61" s="930">
        <v>68.900000000000006</v>
      </c>
      <c r="D61" s="930">
        <v>6.34</v>
      </c>
      <c r="E61" s="948">
        <f t="shared" si="5"/>
        <v>436.82600000000002</v>
      </c>
      <c r="F61" s="950">
        <v>4</v>
      </c>
      <c r="G61" s="930">
        <v>6.34</v>
      </c>
      <c r="H61" s="953">
        <f t="shared" si="6"/>
        <v>25.36</v>
      </c>
    </row>
    <row r="62" spans="1:8" ht="18" customHeight="1">
      <c r="A62" s="929">
        <v>10</v>
      </c>
      <c r="B62" s="644" t="s">
        <v>588</v>
      </c>
      <c r="C62" s="930">
        <v>81.64</v>
      </c>
      <c r="D62" s="930">
        <v>5</v>
      </c>
      <c r="E62" s="948">
        <f t="shared" si="5"/>
        <v>408.2</v>
      </c>
      <c r="F62" s="950">
        <v>6</v>
      </c>
      <c r="G62" s="930">
        <v>5</v>
      </c>
      <c r="H62" s="953">
        <f t="shared" si="6"/>
        <v>30</v>
      </c>
    </row>
    <row r="63" spans="1:8" ht="18" customHeight="1">
      <c r="A63" s="1380" t="s">
        <v>589</v>
      </c>
      <c r="B63" s="1380"/>
      <c r="C63" s="951"/>
      <c r="D63" s="951"/>
      <c r="E63" s="952">
        <f>SUM(E64:E85)</f>
        <v>6343.5199999999995</v>
      </c>
      <c r="F63" s="952"/>
      <c r="G63" s="951"/>
      <c r="H63" s="952">
        <f>SUM(H64:H85)</f>
        <v>554</v>
      </c>
    </row>
    <row r="64" spans="1:8" ht="18" customHeight="1">
      <c r="A64" s="929">
        <v>1</v>
      </c>
      <c r="B64" s="947" t="s">
        <v>590</v>
      </c>
      <c r="C64" s="940">
        <v>37.5</v>
      </c>
      <c r="D64" s="940">
        <v>8</v>
      </c>
      <c r="E64" s="953">
        <f>C64*D64</f>
        <v>300</v>
      </c>
      <c r="F64" s="954">
        <v>4</v>
      </c>
      <c r="G64" s="940">
        <v>8</v>
      </c>
      <c r="H64" s="950">
        <f>F64*G64</f>
        <v>32</v>
      </c>
    </row>
    <row r="65" spans="1:8" ht="18" customHeight="1">
      <c r="A65" s="929">
        <v>2</v>
      </c>
      <c r="B65" s="947" t="s">
        <v>591</v>
      </c>
      <c r="C65" s="940">
        <v>37.5</v>
      </c>
      <c r="D65" s="940">
        <v>8</v>
      </c>
      <c r="E65" s="953">
        <f t="shared" ref="E65:E85" si="7">C65*D65</f>
        <v>300</v>
      </c>
      <c r="F65" s="954">
        <v>4</v>
      </c>
      <c r="G65" s="940">
        <v>8</v>
      </c>
      <c r="H65" s="950">
        <f t="shared" ref="H65:H85" si="8">F65*G65</f>
        <v>32</v>
      </c>
    </row>
    <row r="66" spans="1:8" ht="18" customHeight="1">
      <c r="A66" s="929">
        <v>3</v>
      </c>
      <c r="B66" s="947" t="s">
        <v>592</v>
      </c>
      <c r="C66" s="940">
        <v>37.5</v>
      </c>
      <c r="D66" s="940">
        <v>8</v>
      </c>
      <c r="E66" s="953">
        <f t="shared" si="7"/>
        <v>300</v>
      </c>
      <c r="F66" s="954">
        <v>4</v>
      </c>
      <c r="G66" s="940">
        <v>8</v>
      </c>
      <c r="H66" s="950">
        <f t="shared" si="8"/>
        <v>32</v>
      </c>
    </row>
    <row r="67" spans="1:8" ht="18" customHeight="1">
      <c r="A67" s="929">
        <v>4</v>
      </c>
      <c r="B67" s="644" t="s">
        <v>593</v>
      </c>
      <c r="C67" s="940">
        <v>99.2</v>
      </c>
      <c r="D67" s="940">
        <v>5.5</v>
      </c>
      <c r="E67" s="953">
        <f t="shared" si="7"/>
        <v>545.6</v>
      </c>
      <c r="F67" s="954">
        <v>4</v>
      </c>
      <c r="G67" s="940">
        <v>5.5</v>
      </c>
      <c r="H67" s="950">
        <f t="shared" si="8"/>
        <v>22</v>
      </c>
    </row>
    <row r="68" spans="1:8" ht="18" customHeight="1">
      <c r="A68" s="929">
        <v>5</v>
      </c>
      <c r="B68" s="644" t="s">
        <v>594</v>
      </c>
      <c r="C68" s="940">
        <v>43.6</v>
      </c>
      <c r="D68" s="940">
        <v>5</v>
      </c>
      <c r="E68" s="953">
        <f t="shared" si="7"/>
        <v>218</v>
      </c>
      <c r="F68" s="954">
        <v>4</v>
      </c>
      <c r="G68" s="940">
        <v>5</v>
      </c>
      <c r="H68" s="950">
        <f t="shared" si="8"/>
        <v>20</v>
      </c>
    </row>
    <row r="69" spans="1:8" ht="18" customHeight="1">
      <c r="A69" s="929">
        <v>6</v>
      </c>
      <c r="B69" s="644" t="s">
        <v>595</v>
      </c>
      <c r="C69" s="940">
        <v>43.6</v>
      </c>
      <c r="D69" s="940">
        <v>5</v>
      </c>
      <c r="E69" s="953">
        <f t="shared" si="7"/>
        <v>218</v>
      </c>
      <c r="F69" s="954">
        <v>4</v>
      </c>
      <c r="G69" s="940">
        <v>5</v>
      </c>
      <c r="H69" s="950">
        <f t="shared" si="8"/>
        <v>20</v>
      </c>
    </row>
    <row r="70" spans="1:8" ht="18" customHeight="1">
      <c r="A70" s="929">
        <v>7</v>
      </c>
      <c r="B70" s="644" t="s">
        <v>596</v>
      </c>
      <c r="C70" s="940">
        <v>37.5</v>
      </c>
      <c r="D70" s="940">
        <v>5</v>
      </c>
      <c r="E70" s="953">
        <f t="shared" si="7"/>
        <v>187.5</v>
      </c>
      <c r="F70" s="954">
        <v>4</v>
      </c>
      <c r="G70" s="940">
        <v>5</v>
      </c>
      <c r="H70" s="950">
        <f t="shared" si="8"/>
        <v>20</v>
      </c>
    </row>
    <row r="71" spans="1:8" ht="18" customHeight="1">
      <c r="A71" s="929">
        <v>8</v>
      </c>
      <c r="B71" s="644" t="s">
        <v>597</v>
      </c>
      <c r="C71" s="940">
        <v>37.5</v>
      </c>
      <c r="D71" s="940">
        <v>5</v>
      </c>
      <c r="E71" s="953">
        <f t="shared" si="7"/>
        <v>187.5</v>
      </c>
      <c r="F71" s="954">
        <v>4</v>
      </c>
      <c r="G71" s="940">
        <v>5</v>
      </c>
      <c r="H71" s="950">
        <f t="shared" si="8"/>
        <v>20</v>
      </c>
    </row>
    <row r="72" spans="1:8" ht="18" customHeight="1">
      <c r="A72" s="929">
        <v>9</v>
      </c>
      <c r="B72" s="644" t="s">
        <v>598</v>
      </c>
      <c r="C72" s="940">
        <v>37.5</v>
      </c>
      <c r="D72" s="940">
        <v>5</v>
      </c>
      <c r="E72" s="953">
        <f t="shared" si="7"/>
        <v>187.5</v>
      </c>
      <c r="F72" s="954">
        <v>4</v>
      </c>
      <c r="G72" s="940">
        <v>5</v>
      </c>
      <c r="H72" s="950">
        <f t="shared" si="8"/>
        <v>20</v>
      </c>
    </row>
    <row r="73" spans="1:8" ht="18" customHeight="1">
      <c r="A73" s="929">
        <v>10</v>
      </c>
      <c r="B73" s="644" t="s">
        <v>599</v>
      </c>
      <c r="C73" s="940">
        <v>37.5</v>
      </c>
      <c r="D73" s="940">
        <v>5</v>
      </c>
      <c r="E73" s="953">
        <f t="shared" si="7"/>
        <v>187.5</v>
      </c>
      <c r="F73" s="954">
        <v>4</v>
      </c>
      <c r="G73" s="940">
        <v>5</v>
      </c>
      <c r="H73" s="950">
        <f t="shared" si="8"/>
        <v>20</v>
      </c>
    </row>
    <row r="74" spans="1:8" ht="18" customHeight="1">
      <c r="A74" s="929">
        <v>11</v>
      </c>
      <c r="B74" s="939" t="s">
        <v>600</v>
      </c>
      <c r="C74" s="940">
        <v>24.04</v>
      </c>
      <c r="D74" s="940">
        <v>5.5</v>
      </c>
      <c r="E74" s="953">
        <f t="shared" si="7"/>
        <v>132.22</v>
      </c>
      <c r="F74" s="932">
        <v>2</v>
      </c>
      <c r="G74" s="940">
        <v>5.5</v>
      </c>
      <c r="H74" s="950">
        <f t="shared" si="8"/>
        <v>11</v>
      </c>
    </row>
    <row r="75" spans="1:8" ht="18" customHeight="1">
      <c r="A75" s="929">
        <v>12</v>
      </c>
      <c r="B75" s="939" t="s">
        <v>601</v>
      </c>
      <c r="C75" s="940">
        <v>18.02</v>
      </c>
      <c r="D75" s="940">
        <v>5.5</v>
      </c>
      <c r="E75" s="953">
        <f t="shared" si="7"/>
        <v>99.11</v>
      </c>
      <c r="F75" s="932">
        <v>2</v>
      </c>
      <c r="G75" s="940">
        <v>5.5</v>
      </c>
      <c r="H75" s="950">
        <f t="shared" si="8"/>
        <v>11</v>
      </c>
    </row>
    <row r="76" spans="1:8" ht="18" customHeight="1">
      <c r="A76" s="929">
        <v>13</v>
      </c>
      <c r="B76" s="644" t="s">
        <v>602</v>
      </c>
      <c r="C76" s="940">
        <v>132.11000000000001</v>
      </c>
      <c r="D76" s="940">
        <v>7</v>
      </c>
      <c r="E76" s="953">
        <f t="shared" si="7"/>
        <v>924.7700000000001</v>
      </c>
      <c r="F76" s="949">
        <v>6</v>
      </c>
      <c r="G76" s="940">
        <v>7</v>
      </c>
      <c r="H76" s="950">
        <f t="shared" si="8"/>
        <v>42</v>
      </c>
    </row>
    <row r="77" spans="1:8" ht="18" customHeight="1">
      <c r="A77" s="929">
        <v>14</v>
      </c>
      <c r="B77" s="644" t="s">
        <v>603</v>
      </c>
      <c r="C77" s="940">
        <v>37.700000000000003</v>
      </c>
      <c r="D77" s="940">
        <v>8</v>
      </c>
      <c r="E77" s="953">
        <f t="shared" si="7"/>
        <v>301.60000000000002</v>
      </c>
      <c r="F77" s="930">
        <v>4</v>
      </c>
      <c r="G77" s="940">
        <v>8</v>
      </c>
      <c r="H77" s="950">
        <f t="shared" si="8"/>
        <v>32</v>
      </c>
    </row>
    <row r="78" spans="1:8" ht="18" customHeight="1">
      <c r="A78" s="929">
        <v>15</v>
      </c>
      <c r="B78" s="644" t="s">
        <v>604</v>
      </c>
      <c r="C78" s="940">
        <v>43.5</v>
      </c>
      <c r="D78" s="940">
        <v>8</v>
      </c>
      <c r="E78" s="953">
        <f t="shared" si="7"/>
        <v>348</v>
      </c>
      <c r="F78" s="930">
        <v>4</v>
      </c>
      <c r="G78" s="940">
        <v>8</v>
      </c>
      <c r="H78" s="950">
        <f t="shared" si="8"/>
        <v>32</v>
      </c>
    </row>
    <row r="79" spans="1:8" ht="18" customHeight="1">
      <c r="A79" s="929">
        <v>16</v>
      </c>
      <c r="B79" s="644" t="s">
        <v>605</v>
      </c>
      <c r="C79" s="940">
        <v>43.8</v>
      </c>
      <c r="D79" s="940">
        <v>5</v>
      </c>
      <c r="E79" s="953">
        <f t="shared" si="7"/>
        <v>219</v>
      </c>
      <c r="F79" s="930">
        <v>4</v>
      </c>
      <c r="G79" s="940">
        <v>5</v>
      </c>
      <c r="H79" s="950">
        <f t="shared" si="8"/>
        <v>20</v>
      </c>
    </row>
    <row r="80" spans="1:8" ht="18" customHeight="1">
      <c r="A80" s="929">
        <v>17</v>
      </c>
      <c r="B80" s="644" t="s">
        <v>606</v>
      </c>
      <c r="C80" s="940">
        <v>37.700000000000003</v>
      </c>
      <c r="D80" s="940">
        <v>5</v>
      </c>
      <c r="E80" s="953">
        <f t="shared" si="7"/>
        <v>188.5</v>
      </c>
      <c r="F80" s="930">
        <v>4</v>
      </c>
      <c r="G80" s="940">
        <v>5</v>
      </c>
      <c r="H80" s="950">
        <f t="shared" si="8"/>
        <v>20</v>
      </c>
    </row>
    <row r="81" spans="1:12" ht="18" customHeight="1">
      <c r="A81" s="929">
        <v>18</v>
      </c>
      <c r="B81" s="644" t="s">
        <v>607</v>
      </c>
      <c r="C81" s="940">
        <v>27.2</v>
      </c>
      <c r="D81" s="940">
        <v>5</v>
      </c>
      <c r="E81" s="953">
        <f t="shared" si="7"/>
        <v>136</v>
      </c>
      <c r="F81" s="930">
        <v>4</v>
      </c>
      <c r="G81" s="940">
        <v>5</v>
      </c>
      <c r="H81" s="950">
        <f t="shared" si="8"/>
        <v>20</v>
      </c>
    </row>
    <row r="82" spans="1:12" ht="18" customHeight="1">
      <c r="A82" s="929">
        <v>19</v>
      </c>
      <c r="B82" s="947" t="s">
        <v>608</v>
      </c>
      <c r="C82" s="940">
        <v>37.5</v>
      </c>
      <c r="D82" s="940">
        <v>8</v>
      </c>
      <c r="E82" s="953">
        <f t="shared" si="7"/>
        <v>300</v>
      </c>
      <c r="F82" s="930">
        <v>4</v>
      </c>
      <c r="G82" s="940">
        <v>8</v>
      </c>
      <c r="H82" s="950">
        <f t="shared" si="8"/>
        <v>32</v>
      </c>
    </row>
    <row r="83" spans="1:12" ht="18" customHeight="1">
      <c r="A83" s="929">
        <v>20</v>
      </c>
      <c r="B83" s="947" t="s">
        <v>609</v>
      </c>
      <c r="C83" s="940">
        <v>51.74</v>
      </c>
      <c r="D83" s="940">
        <v>8</v>
      </c>
      <c r="E83" s="953">
        <f t="shared" si="7"/>
        <v>413.92</v>
      </c>
      <c r="F83" s="930">
        <v>4</v>
      </c>
      <c r="G83" s="940">
        <v>8</v>
      </c>
      <c r="H83" s="950">
        <f t="shared" si="8"/>
        <v>32</v>
      </c>
    </row>
    <row r="84" spans="1:12" ht="18" customHeight="1">
      <c r="A84" s="929">
        <v>21</v>
      </c>
      <c r="B84" s="947" t="s">
        <v>610</v>
      </c>
      <c r="C84" s="940">
        <v>37.5</v>
      </c>
      <c r="D84" s="940">
        <v>8</v>
      </c>
      <c r="E84" s="953">
        <f t="shared" si="7"/>
        <v>300</v>
      </c>
      <c r="F84" s="930">
        <v>4</v>
      </c>
      <c r="G84" s="940">
        <v>8</v>
      </c>
      <c r="H84" s="950">
        <f t="shared" si="8"/>
        <v>32</v>
      </c>
    </row>
    <row r="85" spans="1:12" ht="18" customHeight="1">
      <c r="A85" s="929">
        <v>22</v>
      </c>
      <c r="B85" s="947" t="s">
        <v>611</v>
      </c>
      <c r="C85" s="940">
        <v>43.6</v>
      </c>
      <c r="D85" s="940">
        <v>8</v>
      </c>
      <c r="E85" s="953">
        <f t="shared" si="7"/>
        <v>348.8</v>
      </c>
      <c r="F85" s="930">
        <v>4</v>
      </c>
      <c r="G85" s="940">
        <v>8</v>
      </c>
      <c r="H85" s="950">
        <f t="shared" si="8"/>
        <v>32</v>
      </c>
    </row>
    <row r="86" spans="1:12" ht="18" customHeight="1">
      <c r="A86" s="1378" t="s">
        <v>944</v>
      </c>
      <c r="B86" s="1378"/>
      <c r="C86" s="941"/>
      <c r="D86" s="941"/>
      <c r="E86" s="942">
        <f>E87+E97</f>
        <v>9381.2800000000007</v>
      </c>
      <c r="F86" s="942"/>
      <c r="G86" s="941"/>
      <c r="H86" s="942">
        <f>H87+H97</f>
        <v>790</v>
      </c>
    </row>
    <row r="87" spans="1:12" ht="18" customHeight="1">
      <c r="A87" s="1380" t="s">
        <v>612</v>
      </c>
      <c r="B87" s="1380"/>
      <c r="C87" s="951"/>
      <c r="D87" s="951"/>
      <c r="E87" s="945">
        <f>SUM(E88:E96)</f>
        <v>2345.9299999999998</v>
      </c>
      <c r="F87" s="955"/>
      <c r="G87" s="951"/>
      <c r="H87" s="956">
        <f>SUM(H88:H96)</f>
        <v>210</v>
      </c>
    </row>
    <row r="88" spans="1:12" ht="18" customHeight="1">
      <c r="A88" s="929">
        <v>1</v>
      </c>
      <c r="B88" s="939" t="s">
        <v>613</v>
      </c>
      <c r="C88" s="932">
        <v>15.7</v>
      </c>
      <c r="D88" s="932">
        <v>9.5</v>
      </c>
      <c r="E88" s="948">
        <f>C88*D88</f>
        <v>149.15</v>
      </c>
      <c r="F88" s="932">
        <v>2</v>
      </c>
      <c r="G88" s="932">
        <v>7</v>
      </c>
      <c r="H88" s="950">
        <f>F88*G88</f>
        <v>14</v>
      </c>
      <c r="L88" s="574" t="s">
        <v>1004</v>
      </c>
    </row>
    <row r="89" spans="1:12" ht="18" customHeight="1">
      <c r="A89" s="929">
        <v>2</v>
      </c>
      <c r="B89" s="939" t="s">
        <v>614</v>
      </c>
      <c r="C89" s="932">
        <v>12.7</v>
      </c>
      <c r="D89" s="932">
        <v>9.5</v>
      </c>
      <c r="E89" s="948">
        <f t="shared" ref="E89:E96" si="9">C89*D89</f>
        <v>120.64999999999999</v>
      </c>
      <c r="F89" s="932">
        <v>2</v>
      </c>
      <c r="G89" s="932">
        <v>7</v>
      </c>
      <c r="H89" s="950">
        <f t="shared" ref="H89:H96" si="10">F89*G89</f>
        <v>14</v>
      </c>
    </row>
    <row r="90" spans="1:12" ht="18" customHeight="1">
      <c r="A90" s="929">
        <v>3</v>
      </c>
      <c r="B90" s="644" t="s">
        <v>615</v>
      </c>
      <c r="C90" s="930">
        <v>30.2</v>
      </c>
      <c r="D90" s="932">
        <v>9.5</v>
      </c>
      <c r="E90" s="948">
        <f t="shared" si="9"/>
        <v>286.89999999999998</v>
      </c>
      <c r="F90" s="930">
        <v>4</v>
      </c>
      <c r="G90" s="932">
        <v>7</v>
      </c>
      <c r="H90" s="950">
        <f t="shared" si="10"/>
        <v>28</v>
      </c>
    </row>
    <row r="91" spans="1:12" ht="18" customHeight="1">
      <c r="A91" s="929">
        <v>4</v>
      </c>
      <c r="B91" s="644" t="s">
        <v>616</v>
      </c>
      <c r="C91" s="930">
        <v>38</v>
      </c>
      <c r="D91" s="932">
        <v>9.5</v>
      </c>
      <c r="E91" s="948">
        <f t="shared" si="9"/>
        <v>361</v>
      </c>
      <c r="F91" s="930">
        <v>4</v>
      </c>
      <c r="G91" s="932">
        <v>7</v>
      </c>
      <c r="H91" s="950">
        <f t="shared" si="10"/>
        <v>28</v>
      </c>
    </row>
    <row r="92" spans="1:12" ht="18" customHeight="1">
      <c r="A92" s="929">
        <v>5</v>
      </c>
      <c r="B92" s="644" t="s">
        <v>617</v>
      </c>
      <c r="C92" s="930">
        <v>20.8</v>
      </c>
      <c r="D92" s="932">
        <v>9.5</v>
      </c>
      <c r="E92" s="948">
        <f t="shared" si="9"/>
        <v>197.6</v>
      </c>
      <c r="F92" s="930">
        <v>4</v>
      </c>
      <c r="G92" s="932">
        <v>7</v>
      </c>
      <c r="H92" s="950">
        <f t="shared" si="10"/>
        <v>28</v>
      </c>
    </row>
    <row r="93" spans="1:12" ht="18" customHeight="1">
      <c r="A93" s="929">
        <v>6</v>
      </c>
      <c r="B93" s="644" t="s">
        <v>618</v>
      </c>
      <c r="C93" s="930">
        <v>38.64</v>
      </c>
      <c r="D93" s="932">
        <v>9.5</v>
      </c>
      <c r="E93" s="948">
        <f t="shared" si="9"/>
        <v>367.08</v>
      </c>
      <c r="F93" s="930">
        <v>4</v>
      </c>
      <c r="G93" s="932">
        <v>7</v>
      </c>
      <c r="H93" s="950">
        <f t="shared" si="10"/>
        <v>28</v>
      </c>
    </row>
    <row r="94" spans="1:12" ht="18" customHeight="1">
      <c r="A94" s="929">
        <v>7</v>
      </c>
      <c r="B94" s="939" t="s">
        <v>619</v>
      </c>
      <c r="C94" s="932">
        <v>15.7</v>
      </c>
      <c r="D94" s="932">
        <v>9.5</v>
      </c>
      <c r="E94" s="948">
        <f t="shared" si="9"/>
        <v>149.15</v>
      </c>
      <c r="F94" s="932">
        <v>2</v>
      </c>
      <c r="G94" s="932">
        <v>7</v>
      </c>
      <c r="H94" s="950">
        <f t="shared" si="10"/>
        <v>14</v>
      </c>
    </row>
    <row r="95" spans="1:12" ht="18" customHeight="1">
      <c r="A95" s="929">
        <v>8</v>
      </c>
      <c r="B95" s="644" t="s">
        <v>620</v>
      </c>
      <c r="C95" s="930">
        <v>44.4</v>
      </c>
      <c r="D95" s="932">
        <v>9.5</v>
      </c>
      <c r="E95" s="948">
        <f t="shared" si="9"/>
        <v>421.8</v>
      </c>
      <c r="F95" s="930">
        <v>4</v>
      </c>
      <c r="G95" s="932">
        <v>7</v>
      </c>
      <c r="H95" s="950">
        <f t="shared" si="10"/>
        <v>28</v>
      </c>
    </row>
    <row r="96" spans="1:12" ht="18" customHeight="1">
      <c r="A96" s="929">
        <v>9</v>
      </c>
      <c r="B96" s="644" t="s">
        <v>621</v>
      </c>
      <c r="C96" s="930">
        <v>30.8</v>
      </c>
      <c r="D96" s="932">
        <v>9.5</v>
      </c>
      <c r="E96" s="948">
        <f t="shared" si="9"/>
        <v>292.60000000000002</v>
      </c>
      <c r="F96" s="930">
        <v>4</v>
      </c>
      <c r="G96" s="932">
        <v>7</v>
      </c>
      <c r="H96" s="950">
        <f t="shared" si="10"/>
        <v>28</v>
      </c>
    </row>
    <row r="97" spans="1:8" ht="18" customHeight="1">
      <c r="A97" s="1380" t="s">
        <v>622</v>
      </c>
      <c r="B97" s="1380"/>
      <c r="C97" s="957"/>
      <c r="D97" s="957"/>
      <c r="E97" s="946">
        <f>SUM(E98:E122)</f>
        <v>7035.35</v>
      </c>
      <c r="F97" s="946"/>
      <c r="G97" s="946"/>
      <c r="H97" s="946">
        <f>SUM(H98:H122)</f>
        <v>580</v>
      </c>
    </row>
    <row r="98" spans="1:8" ht="18" customHeight="1">
      <c r="A98" s="929">
        <v>1</v>
      </c>
      <c r="B98" s="958" t="s">
        <v>623</v>
      </c>
      <c r="C98" s="959">
        <v>25</v>
      </c>
      <c r="D98" s="959">
        <v>7</v>
      </c>
      <c r="E98" s="950">
        <f>C98*D98</f>
        <v>175</v>
      </c>
      <c r="F98" s="950">
        <v>2</v>
      </c>
      <c r="G98" s="959">
        <v>7</v>
      </c>
      <c r="H98" s="950">
        <f>F98*G98</f>
        <v>14</v>
      </c>
    </row>
    <row r="99" spans="1:8" ht="18" customHeight="1">
      <c r="A99" s="929">
        <v>2</v>
      </c>
      <c r="B99" s="947" t="s">
        <v>624</v>
      </c>
      <c r="C99" s="930">
        <v>69</v>
      </c>
      <c r="D99" s="959">
        <v>7</v>
      </c>
      <c r="E99" s="950">
        <f t="shared" ref="E99:E122" si="11">C99*D99</f>
        <v>483</v>
      </c>
      <c r="F99" s="950">
        <v>6</v>
      </c>
      <c r="G99" s="959">
        <v>7</v>
      </c>
      <c r="H99" s="950">
        <f t="shared" ref="H99:H122" si="12">F99*G99</f>
        <v>42</v>
      </c>
    </row>
    <row r="100" spans="1:8" ht="18" customHeight="1">
      <c r="A100" s="929">
        <v>3</v>
      </c>
      <c r="B100" s="947" t="s">
        <v>625</v>
      </c>
      <c r="C100" s="930">
        <v>75.400000000000006</v>
      </c>
      <c r="D100" s="959">
        <v>7</v>
      </c>
      <c r="E100" s="950">
        <f t="shared" si="11"/>
        <v>527.80000000000007</v>
      </c>
      <c r="F100" s="950">
        <v>6</v>
      </c>
      <c r="G100" s="959">
        <v>7</v>
      </c>
      <c r="H100" s="950">
        <f t="shared" si="12"/>
        <v>42</v>
      </c>
    </row>
    <row r="101" spans="1:8" ht="18" customHeight="1">
      <c r="A101" s="929">
        <v>4</v>
      </c>
      <c r="B101" s="947" t="s">
        <v>626</v>
      </c>
      <c r="C101" s="930">
        <v>69</v>
      </c>
      <c r="D101" s="959">
        <v>7</v>
      </c>
      <c r="E101" s="950">
        <f t="shared" si="11"/>
        <v>483</v>
      </c>
      <c r="F101" s="950">
        <v>6</v>
      </c>
      <c r="G101" s="959">
        <v>7</v>
      </c>
      <c r="H101" s="950">
        <f t="shared" si="12"/>
        <v>42</v>
      </c>
    </row>
    <row r="102" spans="1:8" ht="18" customHeight="1">
      <c r="A102" s="929">
        <v>5</v>
      </c>
      <c r="B102" s="644" t="s">
        <v>627</v>
      </c>
      <c r="C102" s="930">
        <v>87.5</v>
      </c>
      <c r="D102" s="959">
        <v>7</v>
      </c>
      <c r="E102" s="950">
        <f t="shared" si="11"/>
        <v>612.5</v>
      </c>
      <c r="F102" s="950">
        <v>6</v>
      </c>
      <c r="G102" s="959">
        <v>7</v>
      </c>
      <c r="H102" s="950">
        <f t="shared" si="12"/>
        <v>42</v>
      </c>
    </row>
    <row r="103" spans="1:8" ht="18" customHeight="1">
      <c r="A103" s="929">
        <v>6</v>
      </c>
      <c r="B103" s="644" t="s">
        <v>628</v>
      </c>
      <c r="C103" s="930">
        <v>44.5</v>
      </c>
      <c r="D103" s="959">
        <v>7</v>
      </c>
      <c r="E103" s="950">
        <f t="shared" si="11"/>
        <v>311.5</v>
      </c>
      <c r="F103" s="950">
        <v>4</v>
      </c>
      <c r="G103" s="959">
        <v>7</v>
      </c>
      <c r="H103" s="950">
        <f t="shared" si="12"/>
        <v>28</v>
      </c>
    </row>
    <row r="104" spans="1:8" ht="18" customHeight="1">
      <c r="A104" s="929">
        <v>7</v>
      </c>
      <c r="B104" s="644" t="s">
        <v>629</v>
      </c>
      <c r="C104" s="930">
        <v>44.5</v>
      </c>
      <c r="D104" s="959">
        <v>7</v>
      </c>
      <c r="E104" s="950">
        <f t="shared" si="11"/>
        <v>311.5</v>
      </c>
      <c r="F104" s="950">
        <v>4</v>
      </c>
      <c r="G104" s="959">
        <v>7</v>
      </c>
      <c r="H104" s="950">
        <f t="shared" si="12"/>
        <v>28</v>
      </c>
    </row>
    <row r="105" spans="1:8" ht="18" customHeight="1">
      <c r="A105" s="929">
        <v>8</v>
      </c>
      <c r="B105" s="644" t="s">
        <v>630</v>
      </c>
      <c r="C105" s="930">
        <v>44.5</v>
      </c>
      <c r="D105" s="959">
        <v>7</v>
      </c>
      <c r="E105" s="950">
        <f t="shared" si="11"/>
        <v>311.5</v>
      </c>
      <c r="F105" s="950">
        <v>4</v>
      </c>
      <c r="G105" s="959">
        <v>7</v>
      </c>
      <c r="H105" s="950">
        <f t="shared" si="12"/>
        <v>28</v>
      </c>
    </row>
    <row r="106" spans="1:8" ht="18" customHeight="1">
      <c r="A106" s="929">
        <v>9</v>
      </c>
      <c r="B106" s="960" t="s">
        <v>631</v>
      </c>
      <c r="C106" s="936">
        <v>32</v>
      </c>
      <c r="D106" s="936">
        <v>2.5</v>
      </c>
      <c r="E106" s="950">
        <f t="shared" si="11"/>
        <v>80</v>
      </c>
      <c r="F106" s="950">
        <v>4</v>
      </c>
      <c r="G106" s="936">
        <v>2.5</v>
      </c>
      <c r="H106" s="950">
        <f t="shared" si="12"/>
        <v>10</v>
      </c>
    </row>
    <row r="107" spans="1:8" ht="18" customHeight="1">
      <c r="A107" s="929">
        <v>10</v>
      </c>
      <c r="B107" s="958" t="s">
        <v>632</v>
      </c>
      <c r="C107" s="959">
        <v>8.4</v>
      </c>
      <c r="D107" s="959">
        <v>2.5</v>
      </c>
      <c r="E107" s="950">
        <f t="shared" si="11"/>
        <v>21</v>
      </c>
      <c r="F107" s="950">
        <v>2</v>
      </c>
      <c r="G107" s="959">
        <v>2.5</v>
      </c>
      <c r="H107" s="950">
        <f t="shared" si="12"/>
        <v>5</v>
      </c>
    </row>
    <row r="108" spans="1:8" ht="18" customHeight="1">
      <c r="A108" s="929">
        <v>11</v>
      </c>
      <c r="B108" s="958" t="s">
        <v>633</v>
      </c>
      <c r="C108" s="959">
        <v>8</v>
      </c>
      <c r="D108" s="959">
        <v>2.5</v>
      </c>
      <c r="E108" s="950">
        <f t="shared" si="11"/>
        <v>20</v>
      </c>
      <c r="F108" s="950">
        <v>2</v>
      </c>
      <c r="G108" s="959">
        <v>2.5</v>
      </c>
      <c r="H108" s="950">
        <f t="shared" si="12"/>
        <v>5</v>
      </c>
    </row>
    <row r="109" spans="1:8" ht="18" customHeight="1">
      <c r="A109" s="929">
        <v>12</v>
      </c>
      <c r="B109" s="958" t="s">
        <v>634</v>
      </c>
      <c r="C109" s="959">
        <v>21.3</v>
      </c>
      <c r="D109" s="959">
        <v>4</v>
      </c>
      <c r="E109" s="950">
        <f t="shared" si="11"/>
        <v>85.2</v>
      </c>
      <c r="F109" s="950">
        <v>4</v>
      </c>
      <c r="G109" s="959">
        <v>4</v>
      </c>
      <c r="H109" s="950">
        <f t="shared" si="12"/>
        <v>16</v>
      </c>
    </row>
    <row r="110" spans="1:8" ht="18" customHeight="1">
      <c r="A110" s="929">
        <v>13</v>
      </c>
      <c r="B110" s="958" t="s">
        <v>635</v>
      </c>
      <c r="C110" s="959">
        <v>8</v>
      </c>
      <c r="D110" s="959">
        <v>2.5</v>
      </c>
      <c r="E110" s="950">
        <f t="shared" si="11"/>
        <v>20</v>
      </c>
      <c r="F110" s="950">
        <v>2</v>
      </c>
      <c r="G110" s="959">
        <v>2.5</v>
      </c>
      <c r="H110" s="950">
        <f t="shared" si="12"/>
        <v>5</v>
      </c>
    </row>
    <row r="111" spans="1:8" ht="18" customHeight="1">
      <c r="A111" s="929">
        <v>14</v>
      </c>
      <c r="B111" s="958" t="s">
        <v>636</v>
      </c>
      <c r="C111" s="959">
        <v>24.5</v>
      </c>
      <c r="D111" s="959">
        <v>2.5</v>
      </c>
      <c r="E111" s="950">
        <f t="shared" si="11"/>
        <v>61.25</v>
      </c>
      <c r="F111" s="950">
        <v>4</v>
      </c>
      <c r="G111" s="959">
        <v>2.5</v>
      </c>
      <c r="H111" s="950">
        <f t="shared" si="12"/>
        <v>10</v>
      </c>
    </row>
    <row r="112" spans="1:8" ht="18" customHeight="1">
      <c r="A112" s="929">
        <v>15</v>
      </c>
      <c r="B112" s="960" t="s">
        <v>637</v>
      </c>
      <c r="C112" s="936">
        <v>40.299999999999997</v>
      </c>
      <c r="D112" s="959">
        <v>2.5</v>
      </c>
      <c r="E112" s="950">
        <f t="shared" si="11"/>
        <v>100.75</v>
      </c>
      <c r="F112" s="950">
        <v>6</v>
      </c>
      <c r="G112" s="959">
        <v>2.5</v>
      </c>
      <c r="H112" s="950">
        <f t="shared" si="12"/>
        <v>15</v>
      </c>
    </row>
    <row r="113" spans="1:8" ht="18" customHeight="1">
      <c r="A113" s="929">
        <v>16</v>
      </c>
      <c r="B113" s="961" t="s">
        <v>638</v>
      </c>
      <c r="C113" s="936">
        <v>56</v>
      </c>
      <c r="D113" s="936">
        <v>7</v>
      </c>
      <c r="E113" s="950">
        <f t="shared" si="11"/>
        <v>392</v>
      </c>
      <c r="F113" s="950">
        <v>4</v>
      </c>
      <c r="G113" s="936">
        <v>7</v>
      </c>
      <c r="H113" s="950">
        <f t="shared" si="12"/>
        <v>28</v>
      </c>
    </row>
    <row r="114" spans="1:8" ht="18" customHeight="1">
      <c r="A114" s="929">
        <v>17</v>
      </c>
      <c r="B114" s="960" t="s">
        <v>639</v>
      </c>
      <c r="C114" s="936">
        <v>30.5</v>
      </c>
      <c r="D114" s="936">
        <v>2.5</v>
      </c>
      <c r="E114" s="950">
        <f t="shared" si="11"/>
        <v>76.25</v>
      </c>
      <c r="F114" s="950">
        <v>4</v>
      </c>
      <c r="G114" s="936">
        <v>2.5</v>
      </c>
      <c r="H114" s="950">
        <f t="shared" si="12"/>
        <v>10</v>
      </c>
    </row>
    <row r="115" spans="1:8" ht="18" customHeight="1">
      <c r="A115" s="929">
        <v>18</v>
      </c>
      <c r="B115" s="960" t="s">
        <v>640</v>
      </c>
      <c r="C115" s="936">
        <v>68</v>
      </c>
      <c r="D115" s="936">
        <v>7</v>
      </c>
      <c r="E115" s="950">
        <f t="shared" si="11"/>
        <v>476</v>
      </c>
      <c r="F115" s="950">
        <v>4</v>
      </c>
      <c r="G115" s="936">
        <v>7</v>
      </c>
      <c r="H115" s="950">
        <f t="shared" si="12"/>
        <v>28</v>
      </c>
    </row>
    <row r="116" spans="1:8" ht="18" customHeight="1">
      <c r="A116" s="929">
        <v>19</v>
      </c>
      <c r="B116" s="960" t="s">
        <v>641</v>
      </c>
      <c r="C116" s="936">
        <v>49</v>
      </c>
      <c r="D116" s="936">
        <v>7</v>
      </c>
      <c r="E116" s="950">
        <f t="shared" si="11"/>
        <v>343</v>
      </c>
      <c r="F116" s="950">
        <v>4</v>
      </c>
      <c r="G116" s="936">
        <v>7</v>
      </c>
      <c r="H116" s="950">
        <f t="shared" si="12"/>
        <v>28</v>
      </c>
    </row>
    <row r="117" spans="1:8" ht="18" customHeight="1">
      <c r="A117" s="929">
        <v>20</v>
      </c>
      <c r="B117" s="960" t="s">
        <v>642</v>
      </c>
      <c r="C117" s="936">
        <v>49</v>
      </c>
      <c r="D117" s="936">
        <v>7</v>
      </c>
      <c r="E117" s="950">
        <f t="shared" si="11"/>
        <v>343</v>
      </c>
      <c r="F117" s="950">
        <v>4</v>
      </c>
      <c r="G117" s="936">
        <v>7</v>
      </c>
      <c r="H117" s="950">
        <f t="shared" si="12"/>
        <v>28</v>
      </c>
    </row>
    <row r="118" spans="1:8" ht="18" customHeight="1">
      <c r="A118" s="929">
        <v>21</v>
      </c>
      <c r="B118" s="961" t="s">
        <v>643</v>
      </c>
      <c r="C118" s="936">
        <v>55.8</v>
      </c>
      <c r="D118" s="936">
        <v>7</v>
      </c>
      <c r="E118" s="950">
        <f t="shared" si="11"/>
        <v>390.59999999999997</v>
      </c>
      <c r="F118" s="950">
        <v>4</v>
      </c>
      <c r="G118" s="936">
        <v>7</v>
      </c>
      <c r="H118" s="950">
        <f t="shared" si="12"/>
        <v>28</v>
      </c>
    </row>
    <row r="119" spans="1:8" ht="18" customHeight="1">
      <c r="A119" s="929">
        <v>22</v>
      </c>
      <c r="B119" s="961" t="s">
        <v>644</v>
      </c>
      <c r="C119" s="936">
        <v>55.5</v>
      </c>
      <c r="D119" s="936">
        <v>7</v>
      </c>
      <c r="E119" s="950">
        <f t="shared" si="11"/>
        <v>388.5</v>
      </c>
      <c r="F119" s="950">
        <v>4</v>
      </c>
      <c r="G119" s="936">
        <v>7</v>
      </c>
      <c r="H119" s="950">
        <f t="shared" si="12"/>
        <v>28</v>
      </c>
    </row>
    <row r="120" spans="1:8" ht="18" customHeight="1">
      <c r="A120" s="929">
        <v>23</v>
      </c>
      <c r="B120" s="961" t="s">
        <v>645</v>
      </c>
      <c r="C120" s="936">
        <v>55.5</v>
      </c>
      <c r="D120" s="936">
        <v>7</v>
      </c>
      <c r="E120" s="950">
        <f t="shared" si="11"/>
        <v>388.5</v>
      </c>
      <c r="F120" s="950">
        <v>4</v>
      </c>
      <c r="G120" s="936">
        <v>7</v>
      </c>
      <c r="H120" s="950">
        <f t="shared" si="12"/>
        <v>28</v>
      </c>
    </row>
    <row r="121" spans="1:8" ht="18" customHeight="1">
      <c r="A121" s="929">
        <v>24</v>
      </c>
      <c r="B121" s="962" t="s">
        <v>646</v>
      </c>
      <c r="C121" s="959">
        <v>23</v>
      </c>
      <c r="D121" s="936">
        <v>7</v>
      </c>
      <c r="E121" s="950">
        <f t="shared" si="11"/>
        <v>161</v>
      </c>
      <c r="F121" s="950">
        <v>2</v>
      </c>
      <c r="G121" s="936">
        <v>7</v>
      </c>
      <c r="H121" s="950">
        <f t="shared" si="12"/>
        <v>14</v>
      </c>
    </row>
    <row r="122" spans="1:8" ht="18" customHeight="1">
      <c r="A122" s="929">
        <v>25</v>
      </c>
      <c r="B122" s="960" t="s">
        <v>647</v>
      </c>
      <c r="C122" s="936">
        <v>67.5</v>
      </c>
      <c r="D122" s="936">
        <v>7</v>
      </c>
      <c r="E122" s="950">
        <f t="shared" si="11"/>
        <v>472.5</v>
      </c>
      <c r="F122" s="950">
        <v>4</v>
      </c>
      <c r="G122" s="936">
        <v>7</v>
      </c>
      <c r="H122" s="950">
        <f t="shared" si="12"/>
        <v>28</v>
      </c>
    </row>
    <row r="123" spans="1:8" ht="18" customHeight="1">
      <c r="A123" s="1378" t="s">
        <v>945</v>
      </c>
      <c r="B123" s="1378"/>
      <c r="C123" s="941"/>
      <c r="D123" s="941"/>
      <c r="E123" s="942">
        <f>E124+E144+E156</f>
        <v>12254.463</v>
      </c>
      <c r="F123" s="942"/>
      <c r="G123" s="941"/>
      <c r="H123" s="942">
        <f>H124+H144+H156</f>
        <v>828.08</v>
      </c>
    </row>
    <row r="124" spans="1:8" ht="18" customHeight="1">
      <c r="A124" s="1380" t="s">
        <v>648</v>
      </c>
      <c r="B124" s="1380"/>
      <c r="C124" s="951"/>
      <c r="D124" s="951"/>
      <c r="E124" s="952">
        <f>SUM(E125:E143)</f>
        <v>5470.6099999999988</v>
      </c>
      <c r="F124" s="952"/>
      <c r="G124" s="951"/>
      <c r="H124" s="963">
        <f>SUM(H125:H143)</f>
        <v>428</v>
      </c>
    </row>
    <row r="125" spans="1:8" ht="18" customHeight="1">
      <c r="A125" s="929">
        <v>1</v>
      </c>
      <c r="B125" s="644" t="s">
        <v>580</v>
      </c>
      <c r="C125" s="930">
        <v>44.37</v>
      </c>
      <c r="D125" s="930">
        <v>8</v>
      </c>
      <c r="E125" s="964">
        <f>C125*D125</f>
        <v>354.96</v>
      </c>
      <c r="F125" s="937">
        <v>4</v>
      </c>
      <c r="G125" s="930">
        <v>8</v>
      </c>
      <c r="H125" s="937">
        <f>F125*G125</f>
        <v>32</v>
      </c>
    </row>
    <row r="126" spans="1:8" ht="18" customHeight="1">
      <c r="A126" s="929">
        <v>2</v>
      </c>
      <c r="B126" s="644" t="s">
        <v>581</v>
      </c>
      <c r="C126" s="930">
        <v>56.8</v>
      </c>
      <c r="D126" s="930">
        <v>5</v>
      </c>
      <c r="E126" s="964">
        <f t="shared" ref="E126:E143" si="13">C126*D126</f>
        <v>284</v>
      </c>
      <c r="F126" s="937">
        <v>4</v>
      </c>
      <c r="G126" s="930">
        <v>5</v>
      </c>
      <c r="H126" s="937">
        <f t="shared" ref="H126:H143" si="14">F126*G126</f>
        <v>20</v>
      </c>
    </row>
    <row r="127" spans="1:8" ht="18" customHeight="1">
      <c r="A127" s="929">
        <v>3</v>
      </c>
      <c r="B127" s="644" t="s">
        <v>649</v>
      </c>
      <c r="C127" s="930">
        <v>80.819999999999993</v>
      </c>
      <c r="D127" s="930">
        <v>5</v>
      </c>
      <c r="E127" s="964">
        <f t="shared" si="13"/>
        <v>404.09999999999997</v>
      </c>
      <c r="F127" s="937">
        <v>4</v>
      </c>
      <c r="G127" s="930">
        <v>5</v>
      </c>
      <c r="H127" s="937">
        <f t="shared" si="14"/>
        <v>20</v>
      </c>
    </row>
    <row r="128" spans="1:8" ht="18" customHeight="1">
      <c r="A128" s="929">
        <v>4</v>
      </c>
      <c r="B128" s="644" t="s">
        <v>650</v>
      </c>
      <c r="C128" s="930">
        <v>39</v>
      </c>
      <c r="D128" s="930">
        <v>5</v>
      </c>
      <c r="E128" s="964">
        <f t="shared" si="13"/>
        <v>195</v>
      </c>
      <c r="F128" s="937">
        <v>4</v>
      </c>
      <c r="G128" s="930">
        <v>5</v>
      </c>
      <c r="H128" s="937">
        <f t="shared" si="14"/>
        <v>20</v>
      </c>
    </row>
    <row r="129" spans="1:8" ht="18" customHeight="1">
      <c r="A129" s="929">
        <v>5</v>
      </c>
      <c r="B129" s="644" t="s">
        <v>625</v>
      </c>
      <c r="C129" s="930">
        <v>103.8</v>
      </c>
      <c r="D129" s="930">
        <v>5</v>
      </c>
      <c r="E129" s="964">
        <f t="shared" si="13"/>
        <v>519</v>
      </c>
      <c r="F129" s="937">
        <v>6</v>
      </c>
      <c r="G129" s="930">
        <v>5</v>
      </c>
      <c r="H129" s="937">
        <f t="shared" si="14"/>
        <v>30</v>
      </c>
    </row>
    <row r="130" spans="1:8" ht="18" customHeight="1">
      <c r="A130" s="929">
        <v>6</v>
      </c>
      <c r="B130" s="644" t="s">
        <v>651</v>
      </c>
      <c r="C130" s="930">
        <v>42.14</v>
      </c>
      <c r="D130" s="930">
        <v>5</v>
      </c>
      <c r="E130" s="964">
        <f t="shared" si="13"/>
        <v>210.7</v>
      </c>
      <c r="F130" s="937">
        <v>4</v>
      </c>
      <c r="G130" s="930">
        <v>5</v>
      </c>
      <c r="H130" s="937">
        <f t="shared" si="14"/>
        <v>20</v>
      </c>
    </row>
    <row r="131" spans="1:8" ht="18" customHeight="1">
      <c r="A131" s="929">
        <v>7</v>
      </c>
      <c r="B131" s="644" t="s">
        <v>652</v>
      </c>
      <c r="C131" s="930">
        <v>80.819999999999993</v>
      </c>
      <c r="D131" s="930">
        <v>5</v>
      </c>
      <c r="E131" s="964">
        <f t="shared" si="13"/>
        <v>404.09999999999997</v>
      </c>
      <c r="F131" s="937">
        <v>4</v>
      </c>
      <c r="G131" s="930">
        <v>5</v>
      </c>
      <c r="H131" s="937">
        <f t="shared" si="14"/>
        <v>20</v>
      </c>
    </row>
    <row r="132" spans="1:8" ht="18" customHeight="1">
      <c r="A132" s="929">
        <v>8</v>
      </c>
      <c r="B132" s="644" t="s">
        <v>653</v>
      </c>
      <c r="C132" s="930">
        <v>42.8</v>
      </c>
      <c r="D132" s="930">
        <v>7</v>
      </c>
      <c r="E132" s="964">
        <f t="shared" si="13"/>
        <v>299.59999999999997</v>
      </c>
      <c r="F132" s="937">
        <v>4</v>
      </c>
      <c r="G132" s="930">
        <v>7</v>
      </c>
      <c r="H132" s="937">
        <f t="shared" si="14"/>
        <v>28</v>
      </c>
    </row>
    <row r="133" spans="1:8" ht="18" customHeight="1">
      <c r="A133" s="929">
        <v>9</v>
      </c>
      <c r="B133" s="644" t="s">
        <v>654</v>
      </c>
      <c r="C133" s="930">
        <v>42.8</v>
      </c>
      <c r="D133" s="930">
        <v>7</v>
      </c>
      <c r="E133" s="964">
        <f t="shared" si="13"/>
        <v>299.59999999999997</v>
      </c>
      <c r="F133" s="937">
        <v>4</v>
      </c>
      <c r="G133" s="930">
        <v>7</v>
      </c>
      <c r="H133" s="937">
        <f t="shared" si="14"/>
        <v>28</v>
      </c>
    </row>
    <row r="134" spans="1:8" ht="18" customHeight="1">
      <c r="A134" s="929">
        <v>10</v>
      </c>
      <c r="B134" s="644" t="s">
        <v>655</v>
      </c>
      <c r="C134" s="930">
        <v>80.819999999999993</v>
      </c>
      <c r="D134" s="930">
        <v>5</v>
      </c>
      <c r="E134" s="964">
        <f t="shared" si="13"/>
        <v>404.09999999999997</v>
      </c>
      <c r="F134" s="937">
        <v>4</v>
      </c>
      <c r="G134" s="930">
        <v>5</v>
      </c>
      <c r="H134" s="937">
        <f t="shared" si="14"/>
        <v>20</v>
      </c>
    </row>
    <row r="135" spans="1:8" ht="18" customHeight="1">
      <c r="A135" s="929">
        <v>11</v>
      </c>
      <c r="B135" s="644" t="s">
        <v>656</v>
      </c>
      <c r="C135" s="930">
        <v>30.8</v>
      </c>
      <c r="D135" s="930">
        <v>5</v>
      </c>
      <c r="E135" s="964">
        <f t="shared" si="13"/>
        <v>154</v>
      </c>
      <c r="F135" s="937">
        <v>4</v>
      </c>
      <c r="G135" s="930">
        <v>5</v>
      </c>
      <c r="H135" s="937">
        <f t="shared" si="14"/>
        <v>20</v>
      </c>
    </row>
    <row r="136" spans="1:8" ht="18" customHeight="1">
      <c r="A136" s="929">
        <v>12</v>
      </c>
      <c r="B136" s="644" t="s">
        <v>657</v>
      </c>
      <c r="C136" s="930">
        <v>55.74</v>
      </c>
      <c r="D136" s="930">
        <v>5</v>
      </c>
      <c r="E136" s="964">
        <f t="shared" si="13"/>
        <v>278.7</v>
      </c>
      <c r="F136" s="937">
        <v>4</v>
      </c>
      <c r="G136" s="930">
        <v>5</v>
      </c>
      <c r="H136" s="937">
        <f t="shared" si="14"/>
        <v>20</v>
      </c>
    </row>
    <row r="137" spans="1:8" ht="18" customHeight="1">
      <c r="A137" s="929">
        <v>13</v>
      </c>
      <c r="B137" s="644" t="s">
        <v>658</v>
      </c>
      <c r="C137" s="930">
        <v>30.8</v>
      </c>
      <c r="D137" s="930">
        <v>5</v>
      </c>
      <c r="E137" s="964">
        <f t="shared" si="13"/>
        <v>154</v>
      </c>
      <c r="F137" s="937">
        <v>4</v>
      </c>
      <c r="G137" s="930">
        <v>5</v>
      </c>
      <c r="H137" s="937">
        <f t="shared" si="14"/>
        <v>20</v>
      </c>
    </row>
    <row r="138" spans="1:8" ht="18" customHeight="1">
      <c r="A138" s="929">
        <v>14</v>
      </c>
      <c r="B138" s="644" t="s">
        <v>659</v>
      </c>
      <c r="C138" s="930">
        <v>35.880000000000003</v>
      </c>
      <c r="D138" s="930">
        <v>5</v>
      </c>
      <c r="E138" s="964">
        <f t="shared" si="13"/>
        <v>179.4</v>
      </c>
      <c r="F138" s="937">
        <v>4</v>
      </c>
      <c r="G138" s="930">
        <v>5</v>
      </c>
      <c r="H138" s="937">
        <f t="shared" si="14"/>
        <v>20</v>
      </c>
    </row>
    <row r="139" spans="1:8" ht="18" customHeight="1">
      <c r="A139" s="929">
        <v>15</v>
      </c>
      <c r="B139" s="644" t="s">
        <v>660</v>
      </c>
      <c r="C139" s="930">
        <v>57.8</v>
      </c>
      <c r="D139" s="930">
        <v>5</v>
      </c>
      <c r="E139" s="964">
        <f t="shared" si="13"/>
        <v>289</v>
      </c>
      <c r="F139" s="937">
        <v>4</v>
      </c>
      <c r="G139" s="930">
        <v>5</v>
      </c>
      <c r="H139" s="937">
        <f t="shared" si="14"/>
        <v>20</v>
      </c>
    </row>
    <row r="140" spans="1:8" ht="18" customHeight="1">
      <c r="A140" s="929">
        <v>16</v>
      </c>
      <c r="B140" s="939" t="s">
        <v>661</v>
      </c>
      <c r="C140" s="932">
        <v>19.64</v>
      </c>
      <c r="D140" s="930">
        <v>5</v>
      </c>
      <c r="E140" s="964">
        <f t="shared" si="13"/>
        <v>98.2</v>
      </c>
      <c r="F140" s="937">
        <v>4</v>
      </c>
      <c r="G140" s="930">
        <v>5</v>
      </c>
      <c r="H140" s="937">
        <f t="shared" si="14"/>
        <v>20</v>
      </c>
    </row>
    <row r="141" spans="1:8" ht="18" customHeight="1">
      <c r="A141" s="929">
        <v>17</v>
      </c>
      <c r="B141" s="644" t="s">
        <v>594</v>
      </c>
      <c r="C141" s="930">
        <v>36.799999999999997</v>
      </c>
      <c r="D141" s="930">
        <v>5</v>
      </c>
      <c r="E141" s="964">
        <f t="shared" si="13"/>
        <v>184</v>
      </c>
      <c r="F141" s="937">
        <v>4</v>
      </c>
      <c r="G141" s="930">
        <v>5</v>
      </c>
      <c r="H141" s="937">
        <f t="shared" si="14"/>
        <v>20</v>
      </c>
    </row>
    <row r="142" spans="1:8" ht="18" customHeight="1">
      <c r="A142" s="929">
        <v>18</v>
      </c>
      <c r="B142" s="644" t="s">
        <v>662</v>
      </c>
      <c r="C142" s="930">
        <v>56.78</v>
      </c>
      <c r="D142" s="930">
        <v>5</v>
      </c>
      <c r="E142" s="964">
        <f t="shared" si="13"/>
        <v>283.89999999999998</v>
      </c>
      <c r="F142" s="937">
        <v>4</v>
      </c>
      <c r="G142" s="930">
        <v>5</v>
      </c>
      <c r="H142" s="937">
        <f t="shared" si="14"/>
        <v>20</v>
      </c>
    </row>
    <row r="143" spans="1:8" ht="18" customHeight="1">
      <c r="A143" s="929">
        <v>19</v>
      </c>
      <c r="B143" s="644" t="s">
        <v>663</v>
      </c>
      <c r="C143" s="930">
        <v>94.85</v>
      </c>
      <c r="D143" s="930">
        <v>5</v>
      </c>
      <c r="E143" s="964">
        <f t="shared" si="13"/>
        <v>474.25</v>
      </c>
      <c r="F143" s="937">
        <v>6</v>
      </c>
      <c r="G143" s="930">
        <v>5</v>
      </c>
      <c r="H143" s="937">
        <f t="shared" si="14"/>
        <v>30</v>
      </c>
    </row>
    <row r="144" spans="1:8" s="965" customFormat="1" ht="18" customHeight="1">
      <c r="A144" s="1382" t="s">
        <v>664</v>
      </c>
      <c r="B144" s="1382"/>
      <c r="C144" s="995"/>
      <c r="D144" s="995"/>
      <c r="E144" s="996">
        <f>SUM(E145:E155)</f>
        <v>4546.3530000000001</v>
      </c>
      <c r="F144" s="996"/>
      <c r="G144" s="995"/>
      <c r="H144" s="997">
        <f>SUM(H145:H155)</f>
        <v>269.08000000000004</v>
      </c>
    </row>
    <row r="145" spans="1:8" ht="18" customHeight="1">
      <c r="A145" s="929">
        <v>1</v>
      </c>
      <c r="B145" s="644" t="s">
        <v>665</v>
      </c>
      <c r="C145" s="959">
        <v>106.6</v>
      </c>
      <c r="D145" s="959">
        <v>7.5</v>
      </c>
      <c r="E145" s="935">
        <f>C145*D145</f>
        <v>799.5</v>
      </c>
      <c r="F145" s="932">
        <v>6</v>
      </c>
      <c r="G145" s="959">
        <v>7.5</v>
      </c>
      <c r="H145" s="964">
        <f>F145*G145</f>
        <v>45</v>
      </c>
    </row>
    <row r="146" spans="1:8" ht="18" customHeight="1">
      <c r="A146" s="929">
        <v>2</v>
      </c>
      <c r="B146" s="644" t="s">
        <v>666</v>
      </c>
      <c r="C146" s="959">
        <v>44.36</v>
      </c>
      <c r="D146" s="959">
        <v>7.7</v>
      </c>
      <c r="E146" s="935">
        <f t="shared" ref="E146:E155" si="15">C146*D146</f>
        <v>341.572</v>
      </c>
      <c r="F146" s="932">
        <v>4</v>
      </c>
      <c r="G146" s="959">
        <v>7.7</v>
      </c>
      <c r="H146" s="964">
        <f t="shared" ref="H146:H155" si="16">F146*G146</f>
        <v>30.8</v>
      </c>
    </row>
    <row r="147" spans="1:8" ht="18" customHeight="1">
      <c r="A147" s="929">
        <v>3</v>
      </c>
      <c r="B147" s="644" t="s">
        <v>667</v>
      </c>
      <c r="C147" s="959">
        <v>53.3</v>
      </c>
      <c r="D147" s="959">
        <v>7.7</v>
      </c>
      <c r="E147" s="935">
        <f t="shared" si="15"/>
        <v>410.40999999999997</v>
      </c>
      <c r="F147" s="932">
        <v>0</v>
      </c>
      <c r="G147" s="959">
        <v>7.7</v>
      </c>
      <c r="H147" s="964">
        <f t="shared" si="16"/>
        <v>0</v>
      </c>
    </row>
    <row r="148" spans="1:8" ht="18" customHeight="1">
      <c r="A148" s="929">
        <v>4</v>
      </c>
      <c r="B148" s="644" t="s">
        <v>668</v>
      </c>
      <c r="C148" s="959">
        <v>26.11</v>
      </c>
      <c r="D148" s="959">
        <v>11.9</v>
      </c>
      <c r="E148" s="935">
        <f t="shared" si="15"/>
        <v>310.709</v>
      </c>
      <c r="F148" s="932">
        <v>0</v>
      </c>
      <c r="G148" s="959">
        <v>11.9</v>
      </c>
      <c r="H148" s="964">
        <f t="shared" si="16"/>
        <v>0</v>
      </c>
    </row>
    <row r="149" spans="1:8" ht="18" customHeight="1">
      <c r="A149" s="929">
        <v>5</v>
      </c>
      <c r="B149" s="644" t="s">
        <v>669</v>
      </c>
      <c r="C149" s="959">
        <v>44.29</v>
      </c>
      <c r="D149" s="959">
        <v>9.4</v>
      </c>
      <c r="E149" s="935">
        <f t="shared" si="15"/>
        <v>416.32600000000002</v>
      </c>
      <c r="F149" s="932">
        <v>4</v>
      </c>
      <c r="G149" s="959">
        <v>9.4</v>
      </c>
      <c r="H149" s="964">
        <f t="shared" si="16"/>
        <v>37.6</v>
      </c>
    </row>
    <row r="150" spans="1:8" ht="18" customHeight="1">
      <c r="A150" s="929">
        <v>6</v>
      </c>
      <c r="B150" s="644" t="s">
        <v>670</v>
      </c>
      <c r="C150" s="959">
        <v>47</v>
      </c>
      <c r="D150" s="959">
        <v>7.4</v>
      </c>
      <c r="E150" s="935">
        <f t="shared" si="15"/>
        <v>347.8</v>
      </c>
      <c r="F150" s="932">
        <v>0</v>
      </c>
      <c r="G150" s="959">
        <v>7.4</v>
      </c>
      <c r="H150" s="964">
        <f t="shared" si="16"/>
        <v>0</v>
      </c>
    </row>
    <row r="151" spans="1:8" ht="18" customHeight="1">
      <c r="A151" s="929">
        <v>7</v>
      </c>
      <c r="B151" s="644" t="s">
        <v>671</v>
      </c>
      <c r="C151" s="959">
        <v>30.2</v>
      </c>
      <c r="D151" s="959">
        <v>7</v>
      </c>
      <c r="E151" s="935">
        <f t="shared" si="15"/>
        <v>211.4</v>
      </c>
      <c r="F151" s="932">
        <v>4</v>
      </c>
      <c r="G151" s="959">
        <v>7</v>
      </c>
      <c r="H151" s="964">
        <f t="shared" si="16"/>
        <v>28</v>
      </c>
    </row>
    <row r="152" spans="1:8" ht="18" customHeight="1">
      <c r="A152" s="929">
        <v>8</v>
      </c>
      <c r="B152" s="644" t="s">
        <v>672</v>
      </c>
      <c r="C152" s="959">
        <v>42.9</v>
      </c>
      <c r="D152" s="959">
        <v>5</v>
      </c>
      <c r="E152" s="935">
        <f t="shared" si="15"/>
        <v>214.5</v>
      </c>
      <c r="F152" s="932">
        <v>4</v>
      </c>
      <c r="G152" s="959">
        <v>5</v>
      </c>
      <c r="H152" s="964">
        <f t="shared" si="16"/>
        <v>20</v>
      </c>
    </row>
    <row r="153" spans="1:8" ht="18" customHeight="1">
      <c r="A153" s="929">
        <v>9</v>
      </c>
      <c r="B153" s="644" t="s">
        <v>673</v>
      </c>
      <c r="C153" s="959">
        <v>44.42</v>
      </c>
      <c r="D153" s="959">
        <v>12</v>
      </c>
      <c r="E153" s="935">
        <f t="shared" si="15"/>
        <v>533.04</v>
      </c>
      <c r="F153" s="932">
        <v>4</v>
      </c>
      <c r="G153" s="959">
        <v>12</v>
      </c>
      <c r="H153" s="964">
        <f t="shared" si="16"/>
        <v>48</v>
      </c>
    </row>
    <row r="154" spans="1:8" ht="18" customHeight="1">
      <c r="A154" s="929">
        <v>10</v>
      </c>
      <c r="B154" s="644" t="s">
        <v>594</v>
      </c>
      <c r="C154" s="930">
        <v>26.9</v>
      </c>
      <c r="D154" s="930">
        <v>13.84</v>
      </c>
      <c r="E154" s="935">
        <f t="shared" si="15"/>
        <v>372.29599999999999</v>
      </c>
      <c r="F154" s="932">
        <v>2</v>
      </c>
      <c r="G154" s="930">
        <v>13.84</v>
      </c>
      <c r="H154" s="964">
        <f t="shared" si="16"/>
        <v>27.68</v>
      </c>
    </row>
    <row r="155" spans="1:8" ht="18" customHeight="1">
      <c r="A155" s="929">
        <v>11</v>
      </c>
      <c r="B155" s="644" t="s">
        <v>675</v>
      </c>
      <c r="C155" s="930">
        <v>36.799999999999997</v>
      </c>
      <c r="D155" s="930">
        <v>16</v>
      </c>
      <c r="E155" s="935">
        <f t="shared" si="15"/>
        <v>588.79999999999995</v>
      </c>
      <c r="F155" s="932">
        <v>2</v>
      </c>
      <c r="G155" s="930">
        <v>16</v>
      </c>
      <c r="H155" s="964">
        <f t="shared" si="16"/>
        <v>32</v>
      </c>
    </row>
    <row r="156" spans="1:8" ht="18" customHeight="1">
      <c r="A156" s="990" t="s">
        <v>676</v>
      </c>
      <c r="B156" s="991"/>
      <c r="C156" s="992"/>
      <c r="D156" s="992"/>
      <c r="E156" s="993">
        <f>SUM(E157:E161)</f>
        <v>2237.5</v>
      </c>
      <c r="F156" s="993"/>
      <c r="G156" s="993"/>
      <c r="H156" s="994">
        <f>SUM(H157:H161)</f>
        <v>131</v>
      </c>
    </row>
    <row r="157" spans="1:8" ht="18" customHeight="1">
      <c r="A157" s="929">
        <v>1</v>
      </c>
      <c r="B157" s="644" t="s">
        <v>677</v>
      </c>
      <c r="C157" s="959">
        <v>56</v>
      </c>
      <c r="D157" s="959">
        <v>11.5</v>
      </c>
      <c r="E157" s="935">
        <f>C157*D157</f>
        <v>644</v>
      </c>
      <c r="F157" s="932">
        <v>4</v>
      </c>
      <c r="G157" s="959">
        <v>11.5</v>
      </c>
      <c r="H157" s="964">
        <f>F157*G157</f>
        <v>46</v>
      </c>
    </row>
    <row r="158" spans="1:8" ht="18" customHeight="1">
      <c r="A158" s="929">
        <v>2</v>
      </c>
      <c r="B158" s="644" t="s">
        <v>678</v>
      </c>
      <c r="C158" s="959">
        <v>99.2</v>
      </c>
      <c r="D158" s="959">
        <v>11.5</v>
      </c>
      <c r="E158" s="935">
        <f>C158*D158</f>
        <v>1140.8</v>
      </c>
      <c r="F158" s="932">
        <v>4</v>
      </c>
      <c r="G158" s="959">
        <v>11.5</v>
      </c>
      <c r="H158" s="964">
        <f>F158*G158</f>
        <v>46</v>
      </c>
    </row>
    <row r="159" spans="1:8" ht="18" customHeight="1">
      <c r="A159" s="929">
        <v>3</v>
      </c>
      <c r="B159" s="644" t="s">
        <v>679</v>
      </c>
      <c r="C159" s="959">
        <v>39</v>
      </c>
      <c r="D159" s="959">
        <v>2</v>
      </c>
      <c r="E159" s="935">
        <f>C159*D159</f>
        <v>78</v>
      </c>
      <c r="F159" s="932">
        <v>4</v>
      </c>
      <c r="G159" s="959">
        <v>2</v>
      </c>
      <c r="H159" s="964">
        <f>F159*G159</f>
        <v>8</v>
      </c>
    </row>
    <row r="160" spans="1:8" ht="18" customHeight="1">
      <c r="A160" s="929">
        <v>4</v>
      </c>
      <c r="B160" s="644" t="s">
        <v>680</v>
      </c>
      <c r="C160" s="959">
        <v>39</v>
      </c>
      <c r="D160" s="959">
        <v>2</v>
      </c>
      <c r="E160" s="935">
        <f>C160*D160</f>
        <v>78</v>
      </c>
      <c r="F160" s="932">
        <v>4</v>
      </c>
      <c r="G160" s="959">
        <v>2</v>
      </c>
      <c r="H160" s="964">
        <f>F160*G160</f>
        <v>8</v>
      </c>
    </row>
    <row r="161" spans="1:8" ht="18" customHeight="1">
      <c r="A161" s="929">
        <v>5</v>
      </c>
      <c r="B161" s="644" t="s">
        <v>681</v>
      </c>
      <c r="C161" s="959">
        <v>25.8</v>
      </c>
      <c r="D161" s="959">
        <v>11.5</v>
      </c>
      <c r="E161" s="935">
        <f>C161*D161</f>
        <v>296.7</v>
      </c>
      <c r="F161" s="932">
        <v>2</v>
      </c>
      <c r="G161" s="959">
        <v>11.5</v>
      </c>
      <c r="H161" s="964">
        <f>F161*G161</f>
        <v>23</v>
      </c>
    </row>
    <row r="162" spans="1:8" ht="18" customHeight="1">
      <c r="A162" s="1378" t="s">
        <v>946</v>
      </c>
      <c r="B162" s="1378"/>
      <c r="C162" s="941"/>
      <c r="D162" s="941"/>
      <c r="E162" s="942">
        <f>E163</f>
        <v>3613.55</v>
      </c>
      <c r="F162" s="942"/>
      <c r="G162" s="942"/>
      <c r="H162" s="942">
        <f>H163</f>
        <v>320</v>
      </c>
    </row>
    <row r="163" spans="1:8" ht="18" customHeight="1">
      <c r="A163" s="1379" t="s">
        <v>682</v>
      </c>
      <c r="B163" s="1379"/>
      <c r="C163" s="966"/>
      <c r="D163" s="966"/>
      <c r="E163" s="967">
        <f>SUM(E164:E179)</f>
        <v>3613.55</v>
      </c>
      <c r="F163" s="967"/>
      <c r="G163" s="967"/>
      <c r="H163" s="967">
        <f>SUM(H164:H179)</f>
        <v>320</v>
      </c>
    </row>
    <row r="164" spans="1:8" ht="18" customHeight="1">
      <c r="A164" s="929">
        <v>1</v>
      </c>
      <c r="B164" s="644" t="s">
        <v>683</v>
      </c>
      <c r="C164" s="930">
        <v>37.700000000000003</v>
      </c>
      <c r="D164" s="930">
        <v>5</v>
      </c>
      <c r="E164" s="948">
        <f>C164*D164</f>
        <v>188.5</v>
      </c>
      <c r="F164" s="950">
        <v>4</v>
      </c>
      <c r="G164" s="930">
        <v>5</v>
      </c>
      <c r="H164" s="950">
        <f>F164*G164</f>
        <v>20</v>
      </c>
    </row>
    <row r="165" spans="1:8" ht="18" customHeight="1">
      <c r="A165" s="929">
        <v>2</v>
      </c>
      <c r="B165" s="644" t="s">
        <v>684</v>
      </c>
      <c r="C165" s="930">
        <v>27</v>
      </c>
      <c r="D165" s="930">
        <v>5</v>
      </c>
      <c r="E165" s="948">
        <f t="shared" ref="E165:E179" si="17">C165*D165</f>
        <v>135</v>
      </c>
      <c r="F165" s="950">
        <v>4</v>
      </c>
      <c r="G165" s="930">
        <v>5</v>
      </c>
      <c r="H165" s="950">
        <f t="shared" ref="H165:H179" si="18">F165*G165</f>
        <v>20</v>
      </c>
    </row>
    <row r="166" spans="1:8" ht="18" customHeight="1">
      <c r="A166" s="929">
        <v>3</v>
      </c>
      <c r="B166" s="644" t="s">
        <v>685</v>
      </c>
      <c r="C166" s="930">
        <v>43.8</v>
      </c>
      <c r="D166" s="930">
        <v>5</v>
      </c>
      <c r="E166" s="948">
        <f t="shared" si="17"/>
        <v>219</v>
      </c>
      <c r="F166" s="950">
        <v>4</v>
      </c>
      <c r="G166" s="930">
        <v>5</v>
      </c>
      <c r="H166" s="950">
        <f t="shared" si="18"/>
        <v>20</v>
      </c>
    </row>
    <row r="167" spans="1:8" ht="18" customHeight="1">
      <c r="A167" s="929">
        <v>4</v>
      </c>
      <c r="B167" s="644" t="s">
        <v>686</v>
      </c>
      <c r="C167" s="930">
        <v>37.700000000000003</v>
      </c>
      <c r="D167" s="930">
        <v>5</v>
      </c>
      <c r="E167" s="948">
        <f t="shared" si="17"/>
        <v>188.5</v>
      </c>
      <c r="F167" s="950">
        <v>4</v>
      </c>
      <c r="G167" s="930">
        <v>5</v>
      </c>
      <c r="H167" s="950">
        <f t="shared" si="18"/>
        <v>20</v>
      </c>
    </row>
    <row r="168" spans="1:8" ht="18" customHeight="1">
      <c r="A168" s="929">
        <v>5</v>
      </c>
      <c r="B168" s="644" t="s">
        <v>687</v>
      </c>
      <c r="C168" s="930">
        <v>56</v>
      </c>
      <c r="D168" s="930">
        <v>5</v>
      </c>
      <c r="E168" s="948">
        <f t="shared" si="17"/>
        <v>280</v>
      </c>
      <c r="F168" s="950">
        <v>4</v>
      </c>
      <c r="G168" s="930">
        <v>5</v>
      </c>
      <c r="H168" s="950">
        <f t="shared" si="18"/>
        <v>20</v>
      </c>
    </row>
    <row r="169" spans="1:8" ht="18" customHeight="1">
      <c r="A169" s="929">
        <v>6</v>
      </c>
      <c r="B169" s="939" t="s">
        <v>688</v>
      </c>
      <c r="C169" s="932">
        <v>15.1</v>
      </c>
      <c r="D169" s="930">
        <v>5</v>
      </c>
      <c r="E169" s="948">
        <f t="shared" si="17"/>
        <v>75.5</v>
      </c>
      <c r="F169" s="950">
        <v>2</v>
      </c>
      <c r="G169" s="930">
        <v>5</v>
      </c>
      <c r="H169" s="950">
        <f t="shared" si="18"/>
        <v>10</v>
      </c>
    </row>
    <row r="170" spans="1:8" ht="18" customHeight="1">
      <c r="A170" s="929">
        <v>7</v>
      </c>
      <c r="B170" s="644" t="s">
        <v>689</v>
      </c>
      <c r="C170" s="930">
        <v>30.7</v>
      </c>
      <c r="D170" s="930">
        <v>5</v>
      </c>
      <c r="E170" s="948">
        <f t="shared" si="17"/>
        <v>153.5</v>
      </c>
      <c r="F170" s="950">
        <v>4</v>
      </c>
      <c r="G170" s="930">
        <v>5</v>
      </c>
      <c r="H170" s="950">
        <f t="shared" si="18"/>
        <v>20</v>
      </c>
    </row>
    <row r="171" spans="1:8" ht="18" customHeight="1">
      <c r="A171" s="929">
        <v>8</v>
      </c>
      <c r="B171" s="644" t="s">
        <v>690</v>
      </c>
      <c r="C171" s="930">
        <v>43.8</v>
      </c>
      <c r="D171" s="930">
        <v>5</v>
      </c>
      <c r="E171" s="948">
        <f t="shared" si="17"/>
        <v>219</v>
      </c>
      <c r="F171" s="950">
        <v>4</v>
      </c>
      <c r="G171" s="930">
        <v>5</v>
      </c>
      <c r="H171" s="950">
        <f t="shared" si="18"/>
        <v>20</v>
      </c>
    </row>
    <row r="172" spans="1:8" ht="18" customHeight="1">
      <c r="A172" s="929">
        <v>9</v>
      </c>
      <c r="B172" s="644" t="s">
        <v>691</v>
      </c>
      <c r="C172" s="930">
        <v>56</v>
      </c>
      <c r="D172" s="930">
        <v>5</v>
      </c>
      <c r="E172" s="948">
        <f t="shared" si="17"/>
        <v>280</v>
      </c>
      <c r="F172" s="950">
        <v>4</v>
      </c>
      <c r="G172" s="930">
        <v>5</v>
      </c>
      <c r="H172" s="950">
        <f t="shared" si="18"/>
        <v>20</v>
      </c>
    </row>
    <row r="173" spans="1:8" ht="18" customHeight="1">
      <c r="A173" s="929">
        <v>10</v>
      </c>
      <c r="B173" s="644" t="s">
        <v>692</v>
      </c>
      <c r="C173" s="930">
        <v>43.8</v>
      </c>
      <c r="D173" s="930">
        <v>5</v>
      </c>
      <c r="E173" s="948">
        <f t="shared" si="17"/>
        <v>219</v>
      </c>
      <c r="F173" s="950">
        <v>4</v>
      </c>
      <c r="G173" s="930">
        <v>5</v>
      </c>
      <c r="H173" s="950">
        <f t="shared" si="18"/>
        <v>20</v>
      </c>
    </row>
    <row r="174" spans="1:8" ht="18" customHeight="1">
      <c r="A174" s="929">
        <v>11</v>
      </c>
      <c r="B174" s="644" t="s">
        <v>693</v>
      </c>
      <c r="C174" s="930">
        <v>43.8</v>
      </c>
      <c r="D174" s="930">
        <v>5</v>
      </c>
      <c r="E174" s="948">
        <f t="shared" si="17"/>
        <v>219</v>
      </c>
      <c r="F174" s="950">
        <v>4</v>
      </c>
      <c r="G174" s="930">
        <v>5</v>
      </c>
      <c r="H174" s="950">
        <f t="shared" si="18"/>
        <v>20</v>
      </c>
    </row>
    <row r="175" spans="1:8" ht="18" customHeight="1">
      <c r="A175" s="929">
        <v>12</v>
      </c>
      <c r="B175" s="644" t="s">
        <v>694</v>
      </c>
      <c r="C175" s="930">
        <v>56</v>
      </c>
      <c r="D175" s="930">
        <v>5</v>
      </c>
      <c r="E175" s="948">
        <f t="shared" si="17"/>
        <v>280</v>
      </c>
      <c r="F175" s="950">
        <v>4</v>
      </c>
      <c r="G175" s="930">
        <v>5</v>
      </c>
      <c r="H175" s="950">
        <f t="shared" si="18"/>
        <v>20</v>
      </c>
    </row>
    <row r="176" spans="1:8" ht="18" customHeight="1">
      <c r="A176" s="929">
        <v>13</v>
      </c>
      <c r="B176" s="644" t="s">
        <v>695</v>
      </c>
      <c r="C176" s="930">
        <v>93.81</v>
      </c>
      <c r="D176" s="930">
        <v>5</v>
      </c>
      <c r="E176" s="948">
        <f t="shared" si="17"/>
        <v>469.05</v>
      </c>
      <c r="F176" s="950">
        <v>6</v>
      </c>
      <c r="G176" s="930">
        <v>5</v>
      </c>
      <c r="H176" s="950">
        <f t="shared" si="18"/>
        <v>30</v>
      </c>
    </row>
    <row r="177" spans="1:8" ht="18" customHeight="1">
      <c r="A177" s="929">
        <v>14</v>
      </c>
      <c r="B177" s="644" t="s">
        <v>696</v>
      </c>
      <c r="C177" s="930">
        <v>56</v>
      </c>
      <c r="D177" s="930">
        <v>5</v>
      </c>
      <c r="E177" s="948">
        <f t="shared" si="17"/>
        <v>280</v>
      </c>
      <c r="F177" s="950">
        <v>4</v>
      </c>
      <c r="G177" s="930">
        <v>5</v>
      </c>
      <c r="H177" s="950">
        <f t="shared" si="18"/>
        <v>20</v>
      </c>
    </row>
    <row r="178" spans="1:8" ht="18" customHeight="1">
      <c r="A178" s="929">
        <v>15</v>
      </c>
      <c r="B178" s="644" t="s">
        <v>697</v>
      </c>
      <c r="C178" s="930">
        <v>37.700000000000003</v>
      </c>
      <c r="D178" s="930">
        <v>5</v>
      </c>
      <c r="E178" s="948">
        <f t="shared" si="17"/>
        <v>188.5</v>
      </c>
      <c r="F178" s="950">
        <v>4</v>
      </c>
      <c r="G178" s="930">
        <v>5</v>
      </c>
      <c r="H178" s="950">
        <f t="shared" si="18"/>
        <v>20</v>
      </c>
    </row>
    <row r="179" spans="1:8" ht="18" customHeight="1">
      <c r="A179" s="929">
        <v>16</v>
      </c>
      <c r="B179" s="644" t="s">
        <v>698</v>
      </c>
      <c r="C179" s="930">
        <v>43.8</v>
      </c>
      <c r="D179" s="930">
        <v>5</v>
      </c>
      <c r="E179" s="948">
        <f t="shared" si="17"/>
        <v>219</v>
      </c>
      <c r="F179" s="950">
        <v>4</v>
      </c>
      <c r="G179" s="930">
        <v>5</v>
      </c>
      <c r="H179" s="950">
        <f t="shared" si="18"/>
        <v>20</v>
      </c>
    </row>
    <row r="180" spans="1:8" ht="16.5" customHeight="1">
      <c r="A180" s="1381" t="s">
        <v>948</v>
      </c>
      <c r="B180" s="1381"/>
      <c r="C180" s="1381"/>
      <c r="D180" s="968"/>
      <c r="E180" s="969">
        <f>E7+E47+E86+E123+E162</f>
        <v>43674.351999999999</v>
      </c>
      <c r="F180" s="969"/>
      <c r="G180" s="969"/>
      <c r="H180" s="969">
        <f>H7+H47+H86+H123+H162</f>
        <v>3475.62</v>
      </c>
    </row>
    <row r="181" spans="1:8">
      <c r="F181" s="574"/>
      <c r="G181" s="574"/>
    </row>
    <row r="182" spans="1:8">
      <c r="E182" s="1331" t="s">
        <v>960</v>
      </c>
      <c r="F182" s="1331"/>
      <c r="G182" s="1331"/>
      <c r="H182" s="1331"/>
    </row>
    <row r="183" spans="1:8" ht="16.8">
      <c r="E183" s="1317" t="s">
        <v>957</v>
      </c>
      <c r="F183" s="1317"/>
      <c r="G183" s="1317"/>
      <c r="H183" s="1317"/>
    </row>
    <row r="184" spans="1:8" ht="16.8">
      <c r="E184" s="717"/>
      <c r="F184" s="717"/>
      <c r="G184" s="717"/>
      <c r="H184" s="717"/>
    </row>
    <row r="185" spans="1:8" ht="16.8">
      <c r="E185" s="717"/>
      <c r="F185" s="717"/>
      <c r="G185" s="717"/>
      <c r="H185" s="717"/>
    </row>
    <row r="186" spans="1:8" ht="16.8">
      <c r="E186" s="717"/>
      <c r="F186" s="717"/>
      <c r="G186" s="717"/>
      <c r="H186" s="717"/>
    </row>
    <row r="187" spans="1:8" ht="16.8">
      <c r="E187" s="717"/>
      <c r="F187" s="717"/>
      <c r="G187" s="717"/>
      <c r="H187" s="717"/>
    </row>
    <row r="188" spans="1:8" ht="16.8">
      <c r="E188" s="1317" t="s">
        <v>877</v>
      </c>
      <c r="F188" s="1317"/>
      <c r="G188" s="1317"/>
      <c r="H188" s="1317"/>
    </row>
    <row r="189" spans="1:8">
      <c r="F189" s="574"/>
      <c r="G189" s="574"/>
    </row>
    <row r="190" spans="1:8">
      <c r="F190" s="574"/>
      <c r="G190" s="574"/>
    </row>
    <row r="191" spans="1:8">
      <c r="F191" s="574"/>
      <c r="G191" s="574"/>
    </row>
    <row r="192" spans="1:8">
      <c r="F192" s="574"/>
      <c r="G192" s="574"/>
    </row>
    <row r="193" spans="6:7">
      <c r="F193" s="574"/>
      <c r="G193" s="574"/>
    </row>
    <row r="194" spans="6:7">
      <c r="F194" s="574"/>
      <c r="G194" s="574"/>
    </row>
    <row r="195" spans="6:7">
      <c r="F195" s="574"/>
      <c r="G195" s="574"/>
    </row>
    <row r="196" spans="6:7">
      <c r="F196" s="574"/>
      <c r="G196" s="574"/>
    </row>
    <row r="197" spans="6:7">
      <c r="F197" s="574"/>
      <c r="G197" s="574"/>
    </row>
    <row r="198" spans="6:7">
      <c r="F198" s="574"/>
      <c r="G198" s="574"/>
    </row>
    <row r="199" spans="6:7">
      <c r="F199" s="574"/>
      <c r="G199" s="574"/>
    </row>
    <row r="200" spans="6:7">
      <c r="F200" s="574"/>
      <c r="G200" s="574"/>
    </row>
    <row r="201" spans="6:7">
      <c r="F201" s="574"/>
      <c r="G201" s="574"/>
    </row>
    <row r="202" spans="6:7">
      <c r="F202" s="574"/>
      <c r="G202" s="574"/>
    </row>
    <row r="203" spans="6:7">
      <c r="F203" s="574"/>
      <c r="G203" s="574"/>
    </row>
  </sheetData>
  <mergeCells count="32">
    <mergeCell ref="A87:B87"/>
    <mergeCell ref="A97:B97"/>
    <mergeCell ref="A123:B123"/>
    <mergeCell ref="E188:H188"/>
    <mergeCell ref="A180:C180"/>
    <mergeCell ref="A124:B124"/>
    <mergeCell ref="A144:B144"/>
    <mergeCell ref="E182:H182"/>
    <mergeCell ref="E183:H183"/>
    <mergeCell ref="A162:B162"/>
    <mergeCell ref="A163:B163"/>
    <mergeCell ref="A47:B47"/>
    <mergeCell ref="A48:B48"/>
    <mergeCell ref="A52:B52"/>
    <mergeCell ref="A63:B63"/>
    <mergeCell ref="A86:B86"/>
    <mergeCell ref="A16:B16"/>
    <mergeCell ref="A40:B40"/>
    <mergeCell ref="F5:F6"/>
    <mergeCell ref="H5:H6"/>
    <mergeCell ref="A7:B7"/>
    <mergeCell ref="A8:B8"/>
    <mergeCell ref="C5:C6"/>
    <mergeCell ref="E5:E6"/>
    <mergeCell ref="A1:H1"/>
    <mergeCell ref="A2:H2"/>
    <mergeCell ref="A4:A6"/>
    <mergeCell ref="B4:B6"/>
    <mergeCell ref="C4:E4"/>
    <mergeCell ref="F4:H4"/>
    <mergeCell ref="D5:D6"/>
    <mergeCell ref="G5:G6"/>
  </mergeCells>
  <phoneticPr fontId="60" type="noConversion"/>
  <pageMargins left="0.66" right="0.16" top="0.54" bottom="0.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8"/>
  <sheetViews>
    <sheetView zoomScale="106" zoomScaleNormal="106" workbookViewId="0">
      <pane xSplit="23" ySplit="7" topLeftCell="X17" activePane="bottomRight" state="frozen"/>
      <selection activeCell="H5" sqref="H5"/>
      <selection pane="topRight" activeCell="H5" sqref="H5"/>
      <selection pane="bottomLeft" activeCell="H5" sqref="H5"/>
      <selection pane="bottomRight" activeCell="H5" sqref="H5"/>
    </sheetView>
  </sheetViews>
  <sheetFormatPr defaultColWidth="8.90625" defaultRowHeight="13.2"/>
  <cols>
    <col min="1" max="1" width="3.1796875" style="852" customWidth="1"/>
    <col min="2" max="2" width="11.54296875" style="583" customWidth="1"/>
    <col min="3" max="3" width="4.1796875" style="571" customWidth="1"/>
    <col min="4" max="4" width="4" style="571" customWidth="1"/>
    <col min="5" max="5" width="6.08984375" style="571" customWidth="1"/>
    <col min="6" max="6" width="5" style="571" customWidth="1"/>
    <col min="7" max="7" width="4" style="571" customWidth="1"/>
    <col min="8" max="8" width="5.6328125" style="571" customWidth="1"/>
    <col min="9" max="9" width="6.453125" style="571" customWidth="1"/>
    <col min="10" max="10" width="4.453125" style="982" customWidth="1"/>
    <col min="11" max="11" width="4" style="571" customWidth="1"/>
    <col min="12" max="12" width="6.36328125" style="571" customWidth="1"/>
    <col min="13" max="13" width="4.08984375" style="982" customWidth="1"/>
    <col min="14" max="14" width="4.1796875" style="571" customWidth="1"/>
    <col min="15" max="15" width="6" style="571" customWidth="1"/>
    <col min="16" max="16" width="4" style="982" customWidth="1"/>
    <col min="17" max="17" width="4.08984375" style="571" customWidth="1"/>
    <col min="18" max="18" width="6.90625" style="571" customWidth="1"/>
    <col min="19" max="19" width="3.54296875" style="982" customWidth="1"/>
    <col min="20" max="20" width="4.453125" style="571" customWidth="1"/>
    <col min="21" max="21" width="5.81640625" style="571" customWidth="1"/>
    <col min="22" max="22" width="6.54296875" style="571" customWidth="1"/>
    <col min="23" max="23" width="5.08984375" style="571" customWidth="1"/>
    <col min="24" max="24" width="9.36328125" style="571" bestFit="1" customWidth="1"/>
    <col min="25" max="25" width="7.90625" style="571" customWidth="1"/>
    <col min="26" max="26" width="3.90625" style="571" customWidth="1"/>
    <col min="27" max="16384" width="8.90625" style="571"/>
  </cols>
  <sheetData>
    <row r="1" spans="1:25" ht="17.399999999999999">
      <c r="A1" s="1369" t="s">
        <v>1006</v>
      </c>
      <c r="B1" s="1369"/>
      <c r="C1" s="1369"/>
      <c r="D1" s="1369"/>
      <c r="E1" s="1369"/>
      <c r="F1" s="1369"/>
      <c r="G1" s="1369"/>
      <c r="H1" s="1369"/>
      <c r="I1" s="1369"/>
      <c r="J1" s="1369"/>
      <c r="K1" s="1369"/>
      <c r="L1" s="1369"/>
      <c r="M1" s="1369"/>
      <c r="N1" s="1369"/>
      <c r="O1" s="1369"/>
      <c r="P1" s="1369"/>
      <c r="Q1" s="1369"/>
      <c r="R1" s="1369"/>
      <c r="S1" s="1369"/>
      <c r="T1" s="1369"/>
      <c r="U1" s="1369"/>
      <c r="V1" s="1369"/>
      <c r="W1" s="1369"/>
    </row>
    <row r="2" spans="1:25">
      <c r="A2" s="1388"/>
      <c r="B2" s="1388"/>
      <c r="C2" s="1388"/>
      <c r="D2" s="1388"/>
      <c r="E2" s="1388"/>
      <c r="F2" s="1388"/>
      <c r="G2" s="1388"/>
      <c r="H2" s="1388"/>
      <c r="I2" s="1388"/>
      <c r="J2" s="1388"/>
      <c r="K2" s="1388"/>
      <c r="L2" s="1388"/>
      <c r="M2" s="1388"/>
      <c r="N2" s="1388"/>
      <c r="O2" s="1388"/>
      <c r="P2" s="1388"/>
      <c r="Q2" s="1388"/>
      <c r="R2" s="1388"/>
      <c r="S2" s="1388"/>
      <c r="T2" s="1388"/>
      <c r="U2" s="1388"/>
      <c r="V2" s="1388"/>
      <c r="W2" s="1388"/>
    </row>
    <row r="3" spans="1:25">
      <c r="A3" s="849"/>
      <c r="B3" s="901"/>
      <c r="C3" s="572"/>
      <c r="D3" s="572"/>
      <c r="E3" s="572"/>
      <c r="F3" s="572"/>
      <c r="G3" s="572"/>
      <c r="H3" s="572"/>
      <c r="I3" s="572"/>
      <c r="J3" s="977"/>
      <c r="K3" s="572"/>
      <c r="L3" s="572"/>
      <c r="M3" s="977"/>
      <c r="N3" s="572"/>
      <c r="O3" s="572"/>
      <c r="P3" s="977"/>
      <c r="Q3" s="572"/>
      <c r="R3" s="572"/>
      <c r="S3" s="977"/>
      <c r="T3" s="572"/>
      <c r="U3" s="572"/>
      <c r="V3" s="572"/>
      <c r="W3" s="572"/>
    </row>
    <row r="4" spans="1:25" ht="34.5" customHeight="1">
      <c r="A4" s="1389" t="s">
        <v>14</v>
      </c>
      <c r="B4" s="1392" t="s">
        <v>529</v>
      </c>
      <c r="C4" s="1395" t="s">
        <v>1035</v>
      </c>
      <c r="D4" s="1396"/>
      <c r="E4" s="1396"/>
      <c r="F4" s="1396"/>
      <c r="G4" s="1396"/>
      <c r="H4" s="1396"/>
      <c r="I4" s="1397"/>
      <c r="J4" s="1395" t="s">
        <v>1001</v>
      </c>
      <c r="K4" s="1396"/>
      <c r="L4" s="1396"/>
      <c r="M4" s="1396"/>
      <c r="N4" s="1396"/>
      <c r="O4" s="1396"/>
      <c r="P4" s="1396"/>
      <c r="Q4" s="1396"/>
      <c r="R4" s="1396"/>
      <c r="S4" s="1396"/>
      <c r="T4" s="1396"/>
      <c r="U4" s="1396"/>
      <c r="V4" s="1397"/>
      <c r="W4" s="1093" t="s">
        <v>528</v>
      </c>
      <c r="X4" s="1126">
        <f>THKP!I53</f>
        <v>7139083979.3707371</v>
      </c>
    </row>
    <row r="5" spans="1:25" ht="34.5" customHeight="1">
      <c r="A5" s="1390"/>
      <c r="B5" s="1393"/>
      <c r="C5" s="1395" t="s">
        <v>532</v>
      </c>
      <c r="D5" s="1396"/>
      <c r="E5" s="1397"/>
      <c r="F5" s="1398" t="s">
        <v>533</v>
      </c>
      <c r="G5" s="1398"/>
      <c r="H5" s="1094"/>
      <c r="I5" s="1392" t="s">
        <v>534</v>
      </c>
      <c r="J5" s="1403" t="s">
        <v>532</v>
      </c>
      <c r="K5" s="1404"/>
      <c r="L5" s="1404"/>
      <c r="M5" s="1404"/>
      <c r="N5" s="1404"/>
      <c r="O5" s="1405"/>
      <c r="P5" s="1395" t="s">
        <v>533</v>
      </c>
      <c r="Q5" s="1396"/>
      <c r="R5" s="1396"/>
      <c r="S5" s="1396"/>
      <c r="T5" s="1396"/>
      <c r="U5" s="1397"/>
      <c r="V5" s="1392" t="s">
        <v>534</v>
      </c>
      <c r="W5" s="1093"/>
    </row>
    <row r="6" spans="1:25" ht="35.25" customHeight="1">
      <c r="A6" s="1391"/>
      <c r="B6" s="1394"/>
      <c r="C6" s="1093" t="s">
        <v>997</v>
      </c>
      <c r="D6" s="1093" t="s">
        <v>998</v>
      </c>
      <c r="E6" s="1093" t="s">
        <v>5</v>
      </c>
      <c r="F6" s="1093" t="s">
        <v>997</v>
      </c>
      <c r="G6" s="1093" t="s">
        <v>998</v>
      </c>
      <c r="H6" s="1093" t="s">
        <v>5</v>
      </c>
      <c r="I6" s="1394"/>
      <c r="J6" s="1398" t="s">
        <v>999</v>
      </c>
      <c r="K6" s="1398"/>
      <c r="L6" s="1398"/>
      <c r="M6" s="1398" t="s">
        <v>1000</v>
      </c>
      <c r="N6" s="1398"/>
      <c r="O6" s="1398"/>
      <c r="P6" s="1395" t="s">
        <v>999</v>
      </c>
      <c r="Q6" s="1396"/>
      <c r="R6" s="1397"/>
      <c r="S6" s="1395" t="s">
        <v>1000</v>
      </c>
      <c r="T6" s="1396"/>
      <c r="U6" s="1397"/>
      <c r="V6" s="1394"/>
      <c r="W6" s="1093"/>
    </row>
    <row r="7" spans="1:25" ht="35.25" customHeight="1">
      <c r="A7" s="1095"/>
      <c r="B7" s="1097"/>
      <c r="C7" s="1093"/>
      <c r="D7" s="1093"/>
      <c r="E7" s="1093"/>
      <c r="F7" s="1093"/>
      <c r="G7" s="1093"/>
      <c r="H7" s="1093"/>
      <c r="I7" s="1096"/>
      <c r="J7" s="1098" t="s">
        <v>997</v>
      </c>
      <c r="K7" s="1096" t="s">
        <v>998</v>
      </c>
      <c r="L7" s="1093" t="s">
        <v>1036</v>
      </c>
      <c r="M7" s="1098" t="s">
        <v>997</v>
      </c>
      <c r="N7" s="1096" t="s">
        <v>998</v>
      </c>
      <c r="O7" s="1093" t="s">
        <v>1036</v>
      </c>
      <c r="P7" s="1098" t="s">
        <v>997</v>
      </c>
      <c r="Q7" s="1096" t="s">
        <v>998</v>
      </c>
      <c r="R7" s="1093" t="s">
        <v>1036</v>
      </c>
      <c r="S7" s="1098" t="s">
        <v>997</v>
      </c>
      <c r="T7" s="1096" t="s">
        <v>998</v>
      </c>
      <c r="U7" s="1093" t="s">
        <v>1036</v>
      </c>
      <c r="V7" s="1099"/>
      <c r="W7" s="1092"/>
      <c r="Y7" s="1100" t="s">
        <v>1037</v>
      </c>
    </row>
    <row r="8" spans="1:25" s="850" customFormat="1" ht="14.1" customHeight="1">
      <c r="A8" s="1399" t="s">
        <v>942</v>
      </c>
      <c r="B8" s="1399"/>
      <c r="C8" s="870"/>
      <c r="D8" s="870"/>
      <c r="E8" s="870">
        <f>E9+E17+E41+E46+E47</f>
        <v>1068.5</v>
      </c>
      <c r="F8" s="870"/>
      <c r="G8" s="870"/>
      <c r="H8" s="870">
        <f>H9+H17+H41+H46+H47</f>
        <v>1076.5999999999999</v>
      </c>
      <c r="I8" s="870">
        <f t="shared" ref="I8:I71" si="0">E8+H8</f>
        <v>2145.1</v>
      </c>
      <c r="J8" s="978"/>
      <c r="K8" s="870"/>
      <c r="L8" s="870">
        <f>L9+L17+L41+L46+L47</f>
        <v>380.85</v>
      </c>
      <c r="M8" s="978"/>
      <c r="N8" s="870"/>
      <c r="O8" s="870">
        <f>O9+O17+O41+O46+O47</f>
        <v>380.85</v>
      </c>
      <c r="P8" s="978"/>
      <c r="Q8" s="870"/>
      <c r="R8" s="870">
        <f>R9+R17+R41+R46+R47</f>
        <v>364.2</v>
      </c>
      <c r="S8" s="978"/>
      <c r="T8" s="870"/>
      <c r="U8" s="870">
        <f>U9+U17+U41+U46+U47</f>
        <v>364.2</v>
      </c>
      <c r="V8" s="871">
        <f t="shared" ref="V8:V71" si="1">L8+O8+R8+U8</f>
        <v>1490.1000000000001</v>
      </c>
      <c r="W8" s="872"/>
      <c r="X8" s="1101"/>
      <c r="Y8" s="1101">
        <f>V8*2</f>
        <v>2980.2000000000003</v>
      </c>
    </row>
    <row r="9" spans="1:25" ht="14.1" customHeight="1">
      <c r="A9" s="1400" t="s">
        <v>537</v>
      </c>
      <c r="B9" s="1401"/>
      <c r="C9" s="883"/>
      <c r="D9" s="883"/>
      <c r="E9" s="883">
        <f>SUM(E10:E16)</f>
        <v>62</v>
      </c>
      <c r="F9" s="883"/>
      <c r="G9" s="883"/>
      <c r="H9" s="883">
        <f>SUM(H10:H16)</f>
        <v>73.599999999999994</v>
      </c>
      <c r="I9" s="883">
        <f t="shared" si="0"/>
        <v>135.6</v>
      </c>
      <c r="J9" s="979"/>
      <c r="K9" s="883"/>
      <c r="L9" s="883">
        <f>SUM(L10:L16)</f>
        <v>30.1</v>
      </c>
      <c r="M9" s="979"/>
      <c r="N9" s="883"/>
      <c r="O9" s="883">
        <f>SUM(O10:O16)</f>
        <v>30.1</v>
      </c>
      <c r="P9" s="979"/>
      <c r="Q9" s="883"/>
      <c r="R9" s="883">
        <f>SUM(R10:R16)</f>
        <v>34.65</v>
      </c>
      <c r="S9" s="979"/>
      <c r="T9" s="883"/>
      <c r="U9" s="883">
        <f>SUM(U10:U16)</f>
        <v>34.65</v>
      </c>
      <c r="V9" s="883">
        <f t="shared" si="1"/>
        <v>129.5</v>
      </c>
      <c r="W9" s="884"/>
      <c r="Y9" s="1102">
        <f>V9*2</f>
        <v>259</v>
      </c>
    </row>
    <row r="10" spans="1:25" ht="14.1" customHeight="1">
      <c r="A10" s="900">
        <v>1</v>
      </c>
      <c r="B10" s="902" t="s">
        <v>538</v>
      </c>
      <c r="C10" s="885">
        <v>4</v>
      </c>
      <c r="D10" s="885">
        <v>4.7</v>
      </c>
      <c r="E10" s="885">
        <f t="shared" ref="E10:E16" si="2">C10*D10</f>
        <v>18.8</v>
      </c>
      <c r="F10" s="885">
        <v>4</v>
      </c>
      <c r="G10" s="885">
        <v>4.7</v>
      </c>
      <c r="H10" s="885">
        <f>F10*G10</f>
        <v>18.8</v>
      </c>
      <c r="I10" s="886">
        <f t="shared" si="0"/>
        <v>37.6</v>
      </c>
      <c r="J10" s="1103">
        <v>5</v>
      </c>
      <c r="K10" s="885">
        <v>4.7</v>
      </c>
      <c r="L10" s="885">
        <f>J10*K10/2</f>
        <v>11.75</v>
      </c>
      <c r="M10" s="1103">
        <v>5</v>
      </c>
      <c r="N10" s="885">
        <v>4.7</v>
      </c>
      <c r="O10" s="885">
        <f>M10*N10/2</f>
        <v>11.75</v>
      </c>
      <c r="P10" s="1103">
        <v>5</v>
      </c>
      <c r="Q10" s="885">
        <v>4.7</v>
      </c>
      <c r="R10" s="885">
        <f>P10*Q10/2</f>
        <v>11.75</v>
      </c>
      <c r="S10" s="1103">
        <v>5</v>
      </c>
      <c r="T10" s="885">
        <v>4.7</v>
      </c>
      <c r="U10" s="885">
        <f>S10*T10/2</f>
        <v>11.75</v>
      </c>
      <c r="V10" s="886">
        <f t="shared" si="1"/>
        <v>47</v>
      </c>
      <c r="W10" s="887"/>
    </row>
    <row r="11" spans="1:25" ht="14.1" customHeight="1">
      <c r="A11" s="900">
        <v>2</v>
      </c>
      <c r="B11" s="902" t="s">
        <v>539</v>
      </c>
      <c r="C11" s="885">
        <v>4</v>
      </c>
      <c r="D11" s="885">
        <v>1</v>
      </c>
      <c r="E11" s="885">
        <f t="shared" si="2"/>
        <v>4</v>
      </c>
      <c r="F11" s="885">
        <v>4</v>
      </c>
      <c r="G11" s="885">
        <v>1</v>
      </c>
      <c r="H11" s="885">
        <f t="shared" ref="H11:H16" si="3">F11*G11</f>
        <v>4</v>
      </c>
      <c r="I11" s="886">
        <f t="shared" si="0"/>
        <v>8</v>
      </c>
      <c r="J11" s="1103">
        <v>3</v>
      </c>
      <c r="K11" s="885">
        <v>1</v>
      </c>
      <c r="L11" s="885">
        <f t="shared" ref="L11:L16" si="4">J11*K11/2</f>
        <v>1.5</v>
      </c>
      <c r="M11" s="1103">
        <v>3</v>
      </c>
      <c r="N11" s="885">
        <v>1</v>
      </c>
      <c r="O11" s="885">
        <f t="shared" ref="O11:O16" si="5">M11*N11/2</f>
        <v>1.5</v>
      </c>
      <c r="P11" s="1103">
        <v>3</v>
      </c>
      <c r="Q11" s="885">
        <v>1</v>
      </c>
      <c r="R11" s="885">
        <f t="shared" ref="R11:R16" si="6">P11*Q11/2</f>
        <v>1.5</v>
      </c>
      <c r="S11" s="1103">
        <v>3</v>
      </c>
      <c r="T11" s="885">
        <v>1</v>
      </c>
      <c r="U11" s="885">
        <f t="shared" ref="U11:U16" si="7">S11*T11/2</f>
        <v>1.5</v>
      </c>
      <c r="V11" s="886">
        <f t="shared" si="1"/>
        <v>6</v>
      </c>
      <c r="W11" s="887"/>
    </row>
    <row r="12" spans="1:25" ht="14.1" customHeight="1">
      <c r="A12" s="900">
        <v>3</v>
      </c>
      <c r="B12" s="902" t="s">
        <v>540</v>
      </c>
      <c r="C12" s="885">
        <v>4</v>
      </c>
      <c r="D12" s="885">
        <v>2.2999999999999998</v>
      </c>
      <c r="E12" s="885">
        <f t="shared" si="2"/>
        <v>9.1999999999999993</v>
      </c>
      <c r="F12" s="885">
        <v>4</v>
      </c>
      <c r="G12" s="885">
        <v>2.7</v>
      </c>
      <c r="H12" s="885">
        <f t="shared" si="3"/>
        <v>10.8</v>
      </c>
      <c r="I12" s="886">
        <f t="shared" si="0"/>
        <v>20</v>
      </c>
      <c r="J12" s="1103">
        <v>4</v>
      </c>
      <c r="K12" s="885">
        <v>2.2999999999999998</v>
      </c>
      <c r="L12" s="885">
        <f t="shared" si="4"/>
        <v>4.5999999999999996</v>
      </c>
      <c r="M12" s="1103">
        <v>4</v>
      </c>
      <c r="N12" s="885">
        <v>2.2999999999999998</v>
      </c>
      <c r="O12" s="885">
        <f t="shared" si="5"/>
        <v>4.5999999999999996</v>
      </c>
      <c r="P12" s="1103">
        <v>4</v>
      </c>
      <c r="Q12" s="885">
        <v>2.7</v>
      </c>
      <c r="R12" s="885">
        <f t="shared" si="6"/>
        <v>5.4</v>
      </c>
      <c r="S12" s="1103">
        <v>4</v>
      </c>
      <c r="T12" s="885">
        <v>2.7</v>
      </c>
      <c r="U12" s="885">
        <f t="shared" si="7"/>
        <v>5.4</v>
      </c>
      <c r="V12" s="886">
        <f t="shared" si="1"/>
        <v>20</v>
      </c>
      <c r="W12" s="887"/>
    </row>
    <row r="13" spans="1:25" ht="14.1" customHeight="1">
      <c r="A13" s="900">
        <v>4</v>
      </c>
      <c r="B13" s="902" t="s">
        <v>541</v>
      </c>
      <c r="C13" s="885">
        <v>4</v>
      </c>
      <c r="D13" s="885">
        <v>1.5</v>
      </c>
      <c r="E13" s="885">
        <f t="shared" si="2"/>
        <v>6</v>
      </c>
      <c r="F13" s="885">
        <v>4</v>
      </c>
      <c r="G13" s="885">
        <v>3</v>
      </c>
      <c r="H13" s="885">
        <f t="shared" si="3"/>
        <v>12</v>
      </c>
      <c r="I13" s="886">
        <f t="shared" si="0"/>
        <v>18</v>
      </c>
      <c r="J13" s="1103">
        <v>3</v>
      </c>
      <c r="K13" s="885">
        <v>1.5</v>
      </c>
      <c r="L13" s="885">
        <f t="shared" si="4"/>
        <v>2.25</v>
      </c>
      <c r="M13" s="1103">
        <v>3</v>
      </c>
      <c r="N13" s="885">
        <v>1.5</v>
      </c>
      <c r="O13" s="885">
        <f t="shared" si="5"/>
        <v>2.25</v>
      </c>
      <c r="P13" s="1103">
        <v>3</v>
      </c>
      <c r="Q13" s="885">
        <v>3</v>
      </c>
      <c r="R13" s="885">
        <f t="shared" si="6"/>
        <v>4.5</v>
      </c>
      <c r="S13" s="1103">
        <v>3</v>
      </c>
      <c r="T13" s="885">
        <v>3</v>
      </c>
      <c r="U13" s="885">
        <f t="shared" si="7"/>
        <v>4.5</v>
      </c>
      <c r="V13" s="886">
        <f t="shared" si="1"/>
        <v>13.5</v>
      </c>
      <c r="W13" s="887"/>
    </row>
    <row r="14" spans="1:25" ht="14.1" customHeight="1">
      <c r="A14" s="900">
        <v>5</v>
      </c>
      <c r="B14" s="902" t="s">
        <v>542</v>
      </c>
      <c r="C14" s="885">
        <v>4</v>
      </c>
      <c r="D14" s="885">
        <v>2</v>
      </c>
      <c r="E14" s="885">
        <f t="shared" si="2"/>
        <v>8</v>
      </c>
      <c r="F14" s="885">
        <v>4</v>
      </c>
      <c r="G14" s="885">
        <v>3</v>
      </c>
      <c r="H14" s="885">
        <f t="shared" si="3"/>
        <v>12</v>
      </c>
      <c r="I14" s="886">
        <f t="shared" si="0"/>
        <v>20</v>
      </c>
      <c r="J14" s="1103">
        <v>3</v>
      </c>
      <c r="K14" s="885">
        <v>2</v>
      </c>
      <c r="L14" s="885">
        <f t="shared" si="4"/>
        <v>3</v>
      </c>
      <c r="M14" s="1103">
        <v>3</v>
      </c>
      <c r="N14" s="885">
        <v>2</v>
      </c>
      <c r="O14" s="885">
        <f t="shared" si="5"/>
        <v>3</v>
      </c>
      <c r="P14" s="1103">
        <v>3</v>
      </c>
      <c r="Q14" s="885">
        <v>3</v>
      </c>
      <c r="R14" s="885">
        <f t="shared" si="6"/>
        <v>4.5</v>
      </c>
      <c r="S14" s="1103">
        <v>3</v>
      </c>
      <c r="T14" s="885">
        <v>3</v>
      </c>
      <c r="U14" s="885">
        <f t="shared" si="7"/>
        <v>4.5</v>
      </c>
      <c r="V14" s="886">
        <f t="shared" si="1"/>
        <v>15</v>
      </c>
      <c r="W14" s="887"/>
    </row>
    <row r="15" spans="1:25" ht="14.1" customHeight="1">
      <c r="A15" s="900">
        <v>6</v>
      </c>
      <c r="B15" s="902" t="s">
        <v>543</v>
      </c>
      <c r="C15" s="885">
        <v>4</v>
      </c>
      <c r="D15" s="885">
        <v>2</v>
      </c>
      <c r="E15" s="885">
        <f t="shared" si="2"/>
        <v>8</v>
      </c>
      <c r="F15" s="885">
        <v>4</v>
      </c>
      <c r="G15" s="885">
        <v>2</v>
      </c>
      <c r="H15" s="885">
        <f t="shared" si="3"/>
        <v>8</v>
      </c>
      <c r="I15" s="886">
        <f t="shared" si="0"/>
        <v>16</v>
      </c>
      <c r="J15" s="1103">
        <v>3</v>
      </c>
      <c r="K15" s="885">
        <v>2</v>
      </c>
      <c r="L15" s="885">
        <f t="shared" si="4"/>
        <v>3</v>
      </c>
      <c r="M15" s="1103">
        <v>3</v>
      </c>
      <c r="N15" s="885">
        <v>2</v>
      </c>
      <c r="O15" s="885">
        <f t="shared" si="5"/>
        <v>3</v>
      </c>
      <c r="P15" s="1103">
        <v>3</v>
      </c>
      <c r="Q15" s="885">
        <v>2</v>
      </c>
      <c r="R15" s="885">
        <f t="shared" si="6"/>
        <v>3</v>
      </c>
      <c r="S15" s="1103">
        <v>3</v>
      </c>
      <c r="T15" s="885">
        <v>2</v>
      </c>
      <c r="U15" s="885">
        <f t="shared" si="7"/>
        <v>3</v>
      </c>
      <c r="V15" s="886">
        <f t="shared" si="1"/>
        <v>12</v>
      </c>
      <c r="W15" s="887"/>
    </row>
    <row r="16" spans="1:25" ht="14.1" customHeight="1">
      <c r="A16" s="900">
        <v>7</v>
      </c>
      <c r="B16" s="902" t="s">
        <v>544</v>
      </c>
      <c r="C16" s="885">
        <v>4</v>
      </c>
      <c r="D16" s="885">
        <v>2</v>
      </c>
      <c r="E16" s="885">
        <f t="shared" si="2"/>
        <v>8</v>
      </c>
      <c r="F16" s="885">
        <v>4</v>
      </c>
      <c r="G16" s="885">
        <v>2</v>
      </c>
      <c r="H16" s="885">
        <f t="shared" si="3"/>
        <v>8</v>
      </c>
      <c r="I16" s="886">
        <f t="shared" si="0"/>
        <v>16</v>
      </c>
      <c r="J16" s="1103">
        <v>4</v>
      </c>
      <c r="K16" s="885">
        <v>2</v>
      </c>
      <c r="L16" s="885">
        <f t="shared" si="4"/>
        <v>4</v>
      </c>
      <c r="M16" s="1103">
        <v>4</v>
      </c>
      <c r="N16" s="885">
        <v>2</v>
      </c>
      <c r="O16" s="885">
        <f t="shared" si="5"/>
        <v>4</v>
      </c>
      <c r="P16" s="1103">
        <v>4</v>
      </c>
      <c r="Q16" s="885">
        <v>2</v>
      </c>
      <c r="R16" s="885">
        <f t="shared" si="6"/>
        <v>4</v>
      </c>
      <c r="S16" s="1103">
        <v>4</v>
      </c>
      <c r="T16" s="885">
        <v>2</v>
      </c>
      <c r="U16" s="885">
        <f t="shared" si="7"/>
        <v>4</v>
      </c>
      <c r="V16" s="886">
        <f t="shared" si="1"/>
        <v>16</v>
      </c>
      <c r="W16" s="887"/>
    </row>
    <row r="17" spans="1:25" s="909" customFormat="1" ht="14.1" customHeight="1">
      <c r="A17" s="1402" t="s">
        <v>545</v>
      </c>
      <c r="B17" s="1402"/>
      <c r="C17" s="873"/>
      <c r="D17" s="873"/>
      <c r="E17" s="873">
        <f>SUM(E18:E40)</f>
        <v>937.5</v>
      </c>
      <c r="F17" s="873"/>
      <c r="G17" s="873"/>
      <c r="H17" s="873">
        <f>SUM(H18:H40)</f>
        <v>934</v>
      </c>
      <c r="I17" s="873">
        <f t="shared" si="0"/>
        <v>1871.5</v>
      </c>
      <c r="J17" s="980"/>
      <c r="K17" s="873"/>
      <c r="L17" s="873">
        <f>SUM(L18:L40)</f>
        <v>325.75</v>
      </c>
      <c r="M17" s="980"/>
      <c r="N17" s="873"/>
      <c r="O17" s="873">
        <f>SUM(O18:O40)</f>
        <v>325.75</v>
      </c>
      <c r="P17" s="980"/>
      <c r="Q17" s="873"/>
      <c r="R17" s="873">
        <f>SUM(R18:R40)</f>
        <v>300.55</v>
      </c>
      <c r="S17" s="980"/>
      <c r="T17" s="873"/>
      <c r="U17" s="873">
        <f>SUM(U18:U40)</f>
        <v>300.55</v>
      </c>
      <c r="V17" s="873">
        <f t="shared" si="1"/>
        <v>1252.5999999999999</v>
      </c>
      <c r="W17" s="907"/>
      <c r="X17" s="909">
        <f>V17*2</f>
        <v>2505.1999999999998</v>
      </c>
      <c r="Y17" s="1102">
        <f>V17*2</f>
        <v>2505.1999999999998</v>
      </c>
    </row>
    <row r="18" spans="1:25" ht="14.1" customHeight="1">
      <c r="A18" s="900">
        <v>1</v>
      </c>
      <c r="B18" s="903" t="s">
        <v>546</v>
      </c>
      <c r="C18" s="885">
        <v>5</v>
      </c>
      <c r="D18" s="885">
        <v>10.6</v>
      </c>
      <c r="E18" s="885">
        <f>C18*D18</f>
        <v>53</v>
      </c>
      <c r="F18" s="885">
        <v>5</v>
      </c>
      <c r="G18" s="885">
        <v>11</v>
      </c>
      <c r="H18" s="885">
        <f>F18*G18</f>
        <v>55</v>
      </c>
      <c r="I18" s="886">
        <f t="shared" si="0"/>
        <v>108</v>
      </c>
      <c r="J18" s="1103">
        <v>5</v>
      </c>
      <c r="K18" s="885">
        <v>8</v>
      </c>
      <c r="L18" s="885">
        <f>J18*K18/2</f>
        <v>20</v>
      </c>
      <c r="M18" s="1103">
        <v>5</v>
      </c>
      <c r="N18" s="885">
        <v>8</v>
      </c>
      <c r="O18" s="885">
        <f>M18*N18/2</f>
        <v>20</v>
      </c>
      <c r="P18" s="1103">
        <v>1</v>
      </c>
      <c r="Q18" s="885">
        <v>8</v>
      </c>
      <c r="R18" s="885">
        <f>P18*Q18/2</f>
        <v>4</v>
      </c>
      <c r="S18" s="1103">
        <v>1</v>
      </c>
      <c r="T18" s="885">
        <v>8</v>
      </c>
      <c r="U18" s="885">
        <f>S18*T18/2</f>
        <v>4</v>
      </c>
      <c r="V18" s="886">
        <f t="shared" si="1"/>
        <v>48</v>
      </c>
      <c r="W18" s="887"/>
    </row>
    <row r="19" spans="1:25" ht="14.1" customHeight="1">
      <c r="A19" s="900">
        <v>2</v>
      </c>
      <c r="B19" s="903" t="s">
        <v>711</v>
      </c>
      <c r="C19" s="885">
        <v>5</v>
      </c>
      <c r="D19" s="885">
        <v>4</v>
      </c>
      <c r="E19" s="885">
        <f t="shared" ref="E19:E40" si="8">C19*D19</f>
        <v>20</v>
      </c>
      <c r="F19" s="885">
        <v>5</v>
      </c>
      <c r="G19" s="885">
        <v>4</v>
      </c>
      <c r="H19" s="885">
        <f t="shared" ref="H19:H40" si="9">F19*G19</f>
        <v>20</v>
      </c>
      <c r="I19" s="886">
        <f t="shared" si="0"/>
        <v>40</v>
      </c>
      <c r="J19" s="1103">
        <v>6</v>
      </c>
      <c r="K19" s="885">
        <v>4</v>
      </c>
      <c r="L19" s="885">
        <f t="shared" ref="L19:L40" si="10">J19*K19/2</f>
        <v>12</v>
      </c>
      <c r="M19" s="1103">
        <v>6</v>
      </c>
      <c r="N19" s="885">
        <v>4</v>
      </c>
      <c r="O19" s="885">
        <f t="shared" ref="O19:O40" si="11">M19*N19/2</f>
        <v>12</v>
      </c>
      <c r="P19" s="1103">
        <v>6</v>
      </c>
      <c r="Q19" s="885">
        <v>4</v>
      </c>
      <c r="R19" s="885">
        <f t="shared" ref="R19:R40" si="12">P19*Q19/2</f>
        <v>12</v>
      </c>
      <c r="S19" s="1103">
        <v>6</v>
      </c>
      <c r="T19" s="885">
        <v>4</v>
      </c>
      <c r="U19" s="885">
        <f t="shared" ref="U19:U40" si="13">S19*T19/2</f>
        <v>12</v>
      </c>
      <c r="V19" s="886">
        <f t="shared" si="1"/>
        <v>48</v>
      </c>
      <c r="W19" s="887"/>
    </row>
    <row r="20" spans="1:25" ht="14.1" customHeight="1">
      <c r="A20" s="900">
        <v>3</v>
      </c>
      <c r="B20" s="903" t="s">
        <v>547</v>
      </c>
      <c r="C20" s="885">
        <v>5</v>
      </c>
      <c r="D20" s="885">
        <v>9.4</v>
      </c>
      <c r="E20" s="885">
        <f t="shared" si="8"/>
        <v>47</v>
      </c>
      <c r="F20" s="885">
        <v>5</v>
      </c>
      <c r="G20" s="885">
        <v>9</v>
      </c>
      <c r="H20" s="885">
        <f t="shared" si="9"/>
        <v>45</v>
      </c>
      <c r="I20" s="886">
        <f t="shared" si="0"/>
        <v>92</v>
      </c>
      <c r="J20" s="1103">
        <v>6</v>
      </c>
      <c r="K20" s="885">
        <v>7</v>
      </c>
      <c r="L20" s="885">
        <f t="shared" si="10"/>
        <v>21</v>
      </c>
      <c r="M20" s="1103">
        <v>6</v>
      </c>
      <c r="N20" s="885">
        <v>7</v>
      </c>
      <c r="O20" s="885">
        <f t="shared" si="11"/>
        <v>21</v>
      </c>
      <c r="P20" s="1103">
        <v>5</v>
      </c>
      <c r="Q20" s="885">
        <v>7</v>
      </c>
      <c r="R20" s="885">
        <f t="shared" si="12"/>
        <v>17.5</v>
      </c>
      <c r="S20" s="1103">
        <v>5</v>
      </c>
      <c r="T20" s="885">
        <v>7</v>
      </c>
      <c r="U20" s="885">
        <f t="shared" si="13"/>
        <v>17.5</v>
      </c>
      <c r="V20" s="886">
        <f t="shared" si="1"/>
        <v>77</v>
      </c>
      <c r="W20" s="887"/>
    </row>
    <row r="21" spans="1:25" ht="14.1" customHeight="1">
      <c r="A21" s="900">
        <v>4</v>
      </c>
      <c r="B21" s="903" t="s">
        <v>548</v>
      </c>
      <c r="C21" s="885">
        <v>5</v>
      </c>
      <c r="D21" s="885">
        <v>6.7</v>
      </c>
      <c r="E21" s="885">
        <f t="shared" si="8"/>
        <v>33.5</v>
      </c>
      <c r="F21" s="885">
        <v>5</v>
      </c>
      <c r="G21" s="885">
        <v>6.5</v>
      </c>
      <c r="H21" s="885">
        <f t="shared" si="9"/>
        <v>32.5</v>
      </c>
      <c r="I21" s="886">
        <f t="shared" si="0"/>
        <v>66</v>
      </c>
      <c r="J21" s="1103">
        <v>5</v>
      </c>
      <c r="K21" s="885">
        <v>6</v>
      </c>
      <c r="L21" s="885">
        <f t="shared" si="10"/>
        <v>15</v>
      </c>
      <c r="M21" s="1103">
        <v>5</v>
      </c>
      <c r="N21" s="885">
        <v>6</v>
      </c>
      <c r="O21" s="885">
        <f t="shared" si="11"/>
        <v>15</v>
      </c>
      <c r="P21" s="1103">
        <v>4</v>
      </c>
      <c r="Q21" s="885">
        <v>6</v>
      </c>
      <c r="R21" s="885">
        <f t="shared" si="12"/>
        <v>12</v>
      </c>
      <c r="S21" s="1103">
        <v>4</v>
      </c>
      <c r="T21" s="885">
        <v>6</v>
      </c>
      <c r="U21" s="885">
        <f t="shared" si="13"/>
        <v>12</v>
      </c>
      <c r="V21" s="886">
        <f t="shared" si="1"/>
        <v>54</v>
      </c>
      <c r="W21" s="887"/>
    </row>
    <row r="22" spans="1:25" ht="14.1" customHeight="1">
      <c r="A22" s="900">
        <v>5</v>
      </c>
      <c r="B22" s="903" t="s">
        <v>549</v>
      </c>
      <c r="C22" s="885">
        <v>5</v>
      </c>
      <c r="D22" s="885">
        <v>9.3000000000000007</v>
      </c>
      <c r="E22" s="885">
        <f t="shared" si="8"/>
        <v>46.5</v>
      </c>
      <c r="F22" s="885">
        <v>5</v>
      </c>
      <c r="G22" s="885">
        <v>9.5</v>
      </c>
      <c r="H22" s="885">
        <f t="shared" si="9"/>
        <v>47.5</v>
      </c>
      <c r="I22" s="886">
        <f t="shared" si="0"/>
        <v>94</v>
      </c>
      <c r="J22" s="1103">
        <v>5</v>
      </c>
      <c r="K22" s="885">
        <v>8</v>
      </c>
      <c r="L22" s="885">
        <f t="shared" si="10"/>
        <v>20</v>
      </c>
      <c r="M22" s="1103">
        <v>5</v>
      </c>
      <c r="N22" s="885">
        <v>8</v>
      </c>
      <c r="O22" s="885">
        <f t="shared" si="11"/>
        <v>20</v>
      </c>
      <c r="P22" s="1103">
        <v>5</v>
      </c>
      <c r="Q22" s="885">
        <v>8</v>
      </c>
      <c r="R22" s="885">
        <f t="shared" si="12"/>
        <v>20</v>
      </c>
      <c r="S22" s="1103">
        <v>5</v>
      </c>
      <c r="T22" s="885">
        <v>8</v>
      </c>
      <c r="U22" s="885">
        <f t="shared" si="13"/>
        <v>20</v>
      </c>
      <c r="V22" s="886">
        <f t="shared" si="1"/>
        <v>80</v>
      </c>
      <c r="W22" s="887"/>
    </row>
    <row r="23" spans="1:25" ht="14.1" customHeight="1">
      <c r="A23" s="900">
        <v>6</v>
      </c>
      <c r="B23" s="903" t="s">
        <v>550</v>
      </c>
      <c r="C23" s="885">
        <v>5</v>
      </c>
      <c r="D23" s="885">
        <v>9.6999999999999993</v>
      </c>
      <c r="E23" s="885">
        <f t="shared" si="8"/>
        <v>48.5</v>
      </c>
      <c r="F23" s="885">
        <v>5</v>
      </c>
      <c r="G23" s="885">
        <v>10</v>
      </c>
      <c r="H23" s="885">
        <f t="shared" si="9"/>
        <v>50</v>
      </c>
      <c r="I23" s="886">
        <f t="shared" si="0"/>
        <v>98.5</v>
      </c>
      <c r="J23" s="1103">
        <v>5</v>
      </c>
      <c r="K23" s="885">
        <v>8</v>
      </c>
      <c r="L23" s="885">
        <f t="shared" si="10"/>
        <v>20</v>
      </c>
      <c r="M23" s="1103">
        <v>5</v>
      </c>
      <c r="N23" s="885">
        <v>8</v>
      </c>
      <c r="O23" s="885">
        <f t="shared" si="11"/>
        <v>20</v>
      </c>
      <c r="P23" s="1103">
        <v>5</v>
      </c>
      <c r="Q23" s="885">
        <v>8</v>
      </c>
      <c r="R23" s="885">
        <f t="shared" si="12"/>
        <v>20</v>
      </c>
      <c r="S23" s="1103">
        <v>5</v>
      </c>
      <c r="T23" s="885">
        <v>8</v>
      </c>
      <c r="U23" s="885">
        <f t="shared" si="13"/>
        <v>20</v>
      </c>
      <c r="V23" s="886">
        <f t="shared" si="1"/>
        <v>80</v>
      </c>
      <c r="W23" s="887"/>
    </row>
    <row r="24" spans="1:25" ht="14.1" customHeight="1">
      <c r="A24" s="900">
        <v>7</v>
      </c>
      <c r="B24" s="903" t="s">
        <v>551</v>
      </c>
      <c r="C24" s="885">
        <v>5</v>
      </c>
      <c r="D24" s="885">
        <v>8.6999999999999993</v>
      </c>
      <c r="E24" s="885">
        <f t="shared" si="8"/>
        <v>43.5</v>
      </c>
      <c r="F24" s="885">
        <v>5</v>
      </c>
      <c r="G24" s="885">
        <v>9.4</v>
      </c>
      <c r="H24" s="885">
        <f t="shared" si="9"/>
        <v>47</v>
      </c>
      <c r="I24" s="886">
        <f t="shared" si="0"/>
        <v>90.5</v>
      </c>
      <c r="J24" s="1103">
        <v>5</v>
      </c>
      <c r="K24" s="885">
        <v>8</v>
      </c>
      <c r="L24" s="885">
        <f t="shared" si="10"/>
        <v>20</v>
      </c>
      <c r="M24" s="1103">
        <v>5</v>
      </c>
      <c r="N24" s="885">
        <v>8</v>
      </c>
      <c r="O24" s="885">
        <f t="shared" si="11"/>
        <v>20</v>
      </c>
      <c r="P24" s="1103">
        <v>5</v>
      </c>
      <c r="Q24" s="885">
        <v>8</v>
      </c>
      <c r="R24" s="885">
        <f t="shared" si="12"/>
        <v>20</v>
      </c>
      <c r="S24" s="1103">
        <v>5</v>
      </c>
      <c r="T24" s="885">
        <v>8</v>
      </c>
      <c r="U24" s="885">
        <f t="shared" si="13"/>
        <v>20</v>
      </c>
      <c r="V24" s="886">
        <f t="shared" si="1"/>
        <v>80</v>
      </c>
      <c r="W24" s="887"/>
    </row>
    <row r="25" spans="1:25" ht="14.1" customHeight="1">
      <c r="A25" s="900">
        <v>8</v>
      </c>
      <c r="B25" s="903" t="s">
        <v>552</v>
      </c>
      <c r="C25" s="885">
        <v>5</v>
      </c>
      <c r="D25" s="885">
        <v>7.5</v>
      </c>
      <c r="E25" s="885">
        <f t="shared" si="8"/>
        <v>37.5</v>
      </c>
      <c r="F25" s="885">
        <v>5</v>
      </c>
      <c r="G25" s="885">
        <v>5.7</v>
      </c>
      <c r="H25" s="885">
        <f t="shared" si="9"/>
        <v>28.5</v>
      </c>
      <c r="I25" s="886">
        <f t="shared" si="0"/>
        <v>66</v>
      </c>
      <c r="J25" s="1103">
        <v>4</v>
      </c>
      <c r="K25" s="885">
        <v>7</v>
      </c>
      <c r="L25" s="885">
        <f t="shared" si="10"/>
        <v>14</v>
      </c>
      <c r="M25" s="1103">
        <v>4</v>
      </c>
      <c r="N25" s="885">
        <v>7</v>
      </c>
      <c r="O25" s="885">
        <f t="shared" si="11"/>
        <v>14</v>
      </c>
      <c r="P25" s="1103">
        <v>3</v>
      </c>
      <c r="Q25" s="885">
        <v>5.7</v>
      </c>
      <c r="R25" s="885">
        <f t="shared" si="12"/>
        <v>8.5500000000000007</v>
      </c>
      <c r="S25" s="1103">
        <v>3</v>
      </c>
      <c r="T25" s="885">
        <v>5.7</v>
      </c>
      <c r="U25" s="885">
        <f t="shared" si="13"/>
        <v>8.5500000000000007</v>
      </c>
      <c r="V25" s="886">
        <f t="shared" si="1"/>
        <v>45.099999999999994</v>
      </c>
      <c r="W25" s="887"/>
    </row>
    <row r="26" spans="1:25" ht="14.1" customHeight="1">
      <c r="A26" s="900">
        <v>9</v>
      </c>
      <c r="B26" s="903" t="s">
        <v>553</v>
      </c>
      <c r="C26" s="885">
        <v>5</v>
      </c>
      <c r="D26" s="885">
        <v>8</v>
      </c>
      <c r="E26" s="885">
        <f t="shared" si="8"/>
        <v>40</v>
      </c>
      <c r="F26" s="885">
        <v>5</v>
      </c>
      <c r="G26" s="885">
        <v>7.8</v>
      </c>
      <c r="H26" s="885">
        <f t="shared" si="9"/>
        <v>39</v>
      </c>
      <c r="I26" s="886">
        <f t="shared" si="0"/>
        <v>79</v>
      </c>
      <c r="J26" s="1103">
        <v>5</v>
      </c>
      <c r="K26" s="885">
        <v>7</v>
      </c>
      <c r="L26" s="885">
        <f t="shared" si="10"/>
        <v>17.5</v>
      </c>
      <c r="M26" s="1103">
        <v>5</v>
      </c>
      <c r="N26" s="885">
        <v>7</v>
      </c>
      <c r="O26" s="885">
        <f t="shared" si="11"/>
        <v>17.5</v>
      </c>
      <c r="P26" s="1103">
        <v>5</v>
      </c>
      <c r="Q26" s="885">
        <v>7</v>
      </c>
      <c r="R26" s="885">
        <f t="shared" si="12"/>
        <v>17.5</v>
      </c>
      <c r="S26" s="1103">
        <v>5</v>
      </c>
      <c r="T26" s="885">
        <v>7</v>
      </c>
      <c r="U26" s="885">
        <f t="shared" si="13"/>
        <v>17.5</v>
      </c>
      <c r="V26" s="886">
        <f t="shared" si="1"/>
        <v>70</v>
      </c>
      <c r="W26" s="887"/>
    </row>
    <row r="27" spans="1:25" ht="14.1" customHeight="1">
      <c r="A27" s="900">
        <v>10</v>
      </c>
      <c r="B27" s="903" t="s">
        <v>554</v>
      </c>
      <c r="C27" s="885">
        <v>5</v>
      </c>
      <c r="D27" s="886">
        <v>8.3000000000000007</v>
      </c>
      <c r="E27" s="885">
        <f t="shared" si="8"/>
        <v>41.5</v>
      </c>
      <c r="F27" s="885">
        <v>5</v>
      </c>
      <c r="G27" s="886">
        <v>8.3000000000000007</v>
      </c>
      <c r="H27" s="885">
        <f t="shared" si="9"/>
        <v>41.5</v>
      </c>
      <c r="I27" s="886">
        <f t="shared" si="0"/>
        <v>83</v>
      </c>
      <c r="J27" s="1103">
        <v>3</v>
      </c>
      <c r="K27" s="886">
        <v>7</v>
      </c>
      <c r="L27" s="885">
        <f t="shared" si="10"/>
        <v>10.5</v>
      </c>
      <c r="M27" s="1103">
        <v>3</v>
      </c>
      <c r="N27" s="886">
        <v>7</v>
      </c>
      <c r="O27" s="885">
        <f t="shared" si="11"/>
        <v>10.5</v>
      </c>
      <c r="P27" s="1103">
        <v>3</v>
      </c>
      <c r="Q27" s="886">
        <v>7</v>
      </c>
      <c r="R27" s="885">
        <f t="shared" si="12"/>
        <v>10.5</v>
      </c>
      <c r="S27" s="1103">
        <v>3</v>
      </c>
      <c r="T27" s="886">
        <v>7</v>
      </c>
      <c r="U27" s="885">
        <f t="shared" si="13"/>
        <v>10.5</v>
      </c>
      <c r="V27" s="886">
        <f t="shared" si="1"/>
        <v>42</v>
      </c>
      <c r="W27" s="889"/>
    </row>
    <row r="28" spans="1:25" ht="14.1" customHeight="1">
      <c r="A28" s="900">
        <v>11</v>
      </c>
      <c r="B28" s="903" t="s">
        <v>555</v>
      </c>
      <c r="C28" s="885">
        <v>5</v>
      </c>
      <c r="D28" s="885">
        <v>7.3</v>
      </c>
      <c r="E28" s="885">
        <f t="shared" si="8"/>
        <v>36.5</v>
      </c>
      <c r="F28" s="885">
        <v>5</v>
      </c>
      <c r="G28" s="885">
        <v>8.6999999999999993</v>
      </c>
      <c r="H28" s="885">
        <f t="shared" si="9"/>
        <v>43.5</v>
      </c>
      <c r="I28" s="886">
        <f t="shared" si="0"/>
        <v>80</v>
      </c>
      <c r="J28" s="1103">
        <v>5</v>
      </c>
      <c r="K28" s="885">
        <v>7.3</v>
      </c>
      <c r="L28" s="885">
        <f t="shared" si="10"/>
        <v>18.25</v>
      </c>
      <c r="M28" s="1103">
        <v>5</v>
      </c>
      <c r="N28" s="885">
        <v>7.3</v>
      </c>
      <c r="O28" s="885">
        <f t="shared" si="11"/>
        <v>18.25</v>
      </c>
      <c r="P28" s="1103">
        <v>5</v>
      </c>
      <c r="Q28" s="885">
        <v>8.6999999999999993</v>
      </c>
      <c r="R28" s="885">
        <f t="shared" si="12"/>
        <v>21.75</v>
      </c>
      <c r="S28" s="1103">
        <v>5</v>
      </c>
      <c r="T28" s="885">
        <v>8.6999999999999993</v>
      </c>
      <c r="U28" s="885">
        <f t="shared" si="13"/>
        <v>21.75</v>
      </c>
      <c r="V28" s="886">
        <f t="shared" si="1"/>
        <v>80</v>
      </c>
      <c r="W28" s="887"/>
    </row>
    <row r="29" spans="1:25" ht="14.1" customHeight="1">
      <c r="A29" s="900">
        <v>12</v>
      </c>
      <c r="B29" s="903" t="s">
        <v>556</v>
      </c>
      <c r="C29" s="885">
        <v>5</v>
      </c>
      <c r="D29" s="885">
        <v>10.3</v>
      </c>
      <c r="E29" s="885">
        <f t="shared" si="8"/>
        <v>51.5</v>
      </c>
      <c r="F29" s="885">
        <v>5</v>
      </c>
      <c r="G29" s="885">
        <v>10.4</v>
      </c>
      <c r="H29" s="885">
        <f t="shared" si="9"/>
        <v>52</v>
      </c>
      <c r="I29" s="886">
        <f t="shared" si="0"/>
        <v>103.5</v>
      </c>
      <c r="J29" s="1103">
        <v>5</v>
      </c>
      <c r="K29" s="885">
        <v>8</v>
      </c>
      <c r="L29" s="885">
        <f t="shared" si="10"/>
        <v>20</v>
      </c>
      <c r="M29" s="1103">
        <v>5</v>
      </c>
      <c r="N29" s="885">
        <v>8</v>
      </c>
      <c r="O29" s="885">
        <f t="shared" si="11"/>
        <v>20</v>
      </c>
      <c r="P29" s="1103">
        <v>5</v>
      </c>
      <c r="Q29" s="885">
        <v>8</v>
      </c>
      <c r="R29" s="885">
        <f t="shared" si="12"/>
        <v>20</v>
      </c>
      <c r="S29" s="1103">
        <v>5</v>
      </c>
      <c r="T29" s="885">
        <v>8</v>
      </c>
      <c r="U29" s="885">
        <f t="shared" si="13"/>
        <v>20</v>
      </c>
      <c r="V29" s="886">
        <f t="shared" si="1"/>
        <v>80</v>
      </c>
      <c r="W29" s="887"/>
    </row>
    <row r="30" spans="1:25" ht="14.1" customHeight="1">
      <c r="A30" s="900">
        <v>13</v>
      </c>
      <c r="B30" s="903" t="s">
        <v>557</v>
      </c>
      <c r="C30" s="885">
        <v>5</v>
      </c>
      <c r="D30" s="885">
        <v>8</v>
      </c>
      <c r="E30" s="885">
        <f t="shared" si="8"/>
        <v>40</v>
      </c>
      <c r="F30" s="885">
        <v>5</v>
      </c>
      <c r="G30" s="885">
        <v>8</v>
      </c>
      <c r="H30" s="885">
        <f t="shared" si="9"/>
        <v>40</v>
      </c>
      <c r="I30" s="886">
        <f t="shared" si="0"/>
        <v>80</v>
      </c>
      <c r="J30" s="1103">
        <v>3</v>
      </c>
      <c r="K30" s="885">
        <v>8</v>
      </c>
      <c r="L30" s="885">
        <f t="shared" si="10"/>
        <v>12</v>
      </c>
      <c r="M30" s="1103">
        <v>3</v>
      </c>
      <c r="N30" s="885">
        <v>8</v>
      </c>
      <c r="O30" s="885">
        <f t="shared" si="11"/>
        <v>12</v>
      </c>
      <c r="P30" s="1103">
        <v>3</v>
      </c>
      <c r="Q30" s="885">
        <v>8</v>
      </c>
      <c r="R30" s="885">
        <f t="shared" si="12"/>
        <v>12</v>
      </c>
      <c r="S30" s="1103">
        <v>3</v>
      </c>
      <c r="T30" s="885">
        <v>8</v>
      </c>
      <c r="U30" s="885">
        <f t="shared" si="13"/>
        <v>12</v>
      </c>
      <c r="V30" s="886">
        <f t="shared" si="1"/>
        <v>48</v>
      </c>
      <c r="W30" s="887"/>
    </row>
    <row r="31" spans="1:25" ht="24.75" customHeight="1">
      <c r="A31" s="900">
        <v>14</v>
      </c>
      <c r="B31" s="903" t="s">
        <v>995</v>
      </c>
      <c r="C31" s="885">
        <v>5</v>
      </c>
      <c r="D31" s="885">
        <v>8.4</v>
      </c>
      <c r="E31" s="885">
        <f t="shared" si="8"/>
        <v>42</v>
      </c>
      <c r="F31" s="885">
        <v>5</v>
      </c>
      <c r="G31" s="885">
        <v>8.4</v>
      </c>
      <c r="H31" s="885">
        <f t="shared" si="9"/>
        <v>42</v>
      </c>
      <c r="I31" s="886">
        <f t="shared" si="0"/>
        <v>84</v>
      </c>
      <c r="J31" s="1103">
        <v>3</v>
      </c>
      <c r="K31" s="885">
        <v>7</v>
      </c>
      <c r="L31" s="885">
        <f t="shared" si="10"/>
        <v>10.5</v>
      </c>
      <c r="M31" s="1103">
        <v>3</v>
      </c>
      <c r="N31" s="885">
        <v>7</v>
      </c>
      <c r="O31" s="885">
        <f t="shared" si="11"/>
        <v>10.5</v>
      </c>
      <c r="P31" s="1103">
        <v>3</v>
      </c>
      <c r="Q31" s="885">
        <v>7</v>
      </c>
      <c r="R31" s="885">
        <f t="shared" si="12"/>
        <v>10.5</v>
      </c>
      <c r="S31" s="1103">
        <v>3</v>
      </c>
      <c r="T31" s="885">
        <v>7</v>
      </c>
      <c r="U31" s="885">
        <f t="shared" si="13"/>
        <v>10.5</v>
      </c>
      <c r="V31" s="886">
        <f t="shared" si="1"/>
        <v>42</v>
      </c>
      <c r="W31" s="887"/>
    </row>
    <row r="32" spans="1:25" ht="14.1" customHeight="1">
      <c r="A32" s="900">
        <v>15</v>
      </c>
      <c r="B32" s="903" t="s">
        <v>558</v>
      </c>
      <c r="C32" s="885">
        <v>5</v>
      </c>
      <c r="D32" s="885">
        <v>8.5</v>
      </c>
      <c r="E32" s="885">
        <f t="shared" si="8"/>
        <v>42.5</v>
      </c>
      <c r="F32" s="885">
        <v>5</v>
      </c>
      <c r="G32" s="885">
        <v>8.5</v>
      </c>
      <c r="H32" s="885">
        <f t="shared" si="9"/>
        <v>42.5</v>
      </c>
      <c r="I32" s="886">
        <f t="shared" si="0"/>
        <v>85</v>
      </c>
      <c r="J32" s="1103">
        <v>3</v>
      </c>
      <c r="K32" s="885">
        <v>7</v>
      </c>
      <c r="L32" s="885">
        <f t="shared" si="10"/>
        <v>10.5</v>
      </c>
      <c r="M32" s="1103">
        <v>3</v>
      </c>
      <c r="N32" s="885">
        <v>7</v>
      </c>
      <c r="O32" s="885">
        <f t="shared" si="11"/>
        <v>10.5</v>
      </c>
      <c r="P32" s="1103">
        <v>3</v>
      </c>
      <c r="Q32" s="885">
        <v>7</v>
      </c>
      <c r="R32" s="885">
        <f t="shared" si="12"/>
        <v>10.5</v>
      </c>
      <c r="S32" s="1103">
        <v>3</v>
      </c>
      <c r="T32" s="885">
        <v>7</v>
      </c>
      <c r="U32" s="885">
        <f t="shared" si="13"/>
        <v>10.5</v>
      </c>
      <c r="V32" s="886">
        <f t="shared" si="1"/>
        <v>42</v>
      </c>
      <c r="W32" s="887"/>
    </row>
    <row r="33" spans="1:25" ht="14.1" customHeight="1">
      <c r="A33" s="900">
        <v>16</v>
      </c>
      <c r="B33" s="903" t="s">
        <v>559</v>
      </c>
      <c r="C33" s="885">
        <v>5</v>
      </c>
      <c r="D33" s="885">
        <v>8.6</v>
      </c>
      <c r="E33" s="885">
        <f t="shared" si="8"/>
        <v>43</v>
      </c>
      <c r="F33" s="885">
        <v>5</v>
      </c>
      <c r="G33" s="885">
        <v>8.6</v>
      </c>
      <c r="H33" s="885">
        <f t="shared" si="9"/>
        <v>43</v>
      </c>
      <c r="I33" s="886">
        <f t="shared" si="0"/>
        <v>86</v>
      </c>
      <c r="J33" s="1103">
        <v>5</v>
      </c>
      <c r="K33" s="885">
        <v>7</v>
      </c>
      <c r="L33" s="885">
        <f t="shared" si="10"/>
        <v>17.5</v>
      </c>
      <c r="M33" s="1103">
        <v>5</v>
      </c>
      <c r="N33" s="885">
        <v>7</v>
      </c>
      <c r="O33" s="885">
        <f t="shared" si="11"/>
        <v>17.5</v>
      </c>
      <c r="P33" s="1103">
        <v>5</v>
      </c>
      <c r="Q33" s="885">
        <v>7</v>
      </c>
      <c r="R33" s="885">
        <f t="shared" si="12"/>
        <v>17.5</v>
      </c>
      <c r="S33" s="1103">
        <v>5</v>
      </c>
      <c r="T33" s="885">
        <v>7</v>
      </c>
      <c r="U33" s="885">
        <f t="shared" si="13"/>
        <v>17.5</v>
      </c>
      <c r="V33" s="886">
        <f t="shared" si="1"/>
        <v>70</v>
      </c>
      <c r="W33" s="887"/>
    </row>
    <row r="34" spans="1:25" ht="14.1" customHeight="1">
      <c r="A34" s="900">
        <v>17</v>
      </c>
      <c r="B34" s="903" t="s">
        <v>560</v>
      </c>
      <c r="C34" s="885">
        <v>5</v>
      </c>
      <c r="D34" s="885">
        <v>7</v>
      </c>
      <c r="E34" s="885">
        <f t="shared" si="8"/>
        <v>35</v>
      </c>
      <c r="F34" s="885">
        <v>5</v>
      </c>
      <c r="G34" s="885">
        <v>6.5</v>
      </c>
      <c r="H34" s="885">
        <f t="shared" si="9"/>
        <v>32.5</v>
      </c>
      <c r="I34" s="886">
        <f t="shared" si="0"/>
        <v>67.5</v>
      </c>
      <c r="J34" s="1103">
        <v>3</v>
      </c>
      <c r="K34" s="885">
        <v>7</v>
      </c>
      <c r="L34" s="885">
        <f t="shared" si="10"/>
        <v>10.5</v>
      </c>
      <c r="M34" s="1103">
        <v>3</v>
      </c>
      <c r="N34" s="885">
        <v>7</v>
      </c>
      <c r="O34" s="885">
        <f t="shared" si="11"/>
        <v>10.5</v>
      </c>
      <c r="P34" s="1103">
        <v>3</v>
      </c>
      <c r="Q34" s="885">
        <v>6.5</v>
      </c>
      <c r="R34" s="885">
        <f t="shared" si="12"/>
        <v>9.75</v>
      </c>
      <c r="S34" s="1103">
        <v>3</v>
      </c>
      <c r="T34" s="885">
        <v>6.5</v>
      </c>
      <c r="U34" s="885">
        <f t="shared" si="13"/>
        <v>9.75</v>
      </c>
      <c r="V34" s="886">
        <f t="shared" si="1"/>
        <v>40.5</v>
      </c>
      <c r="W34" s="887"/>
    </row>
    <row r="35" spans="1:25" ht="14.1" customHeight="1">
      <c r="A35" s="900">
        <v>18</v>
      </c>
      <c r="B35" s="903" t="s">
        <v>561</v>
      </c>
      <c r="C35" s="885">
        <v>5</v>
      </c>
      <c r="D35" s="885">
        <v>10.199999999999999</v>
      </c>
      <c r="E35" s="885">
        <f t="shared" si="8"/>
        <v>51</v>
      </c>
      <c r="F35" s="885">
        <v>5</v>
      </c>
      <c r="G35" s="885">
        <v>10.199999999999999</v>
      </c>
      <c r="H35" s="885">
        <f t="shared" si="9"/>
        <v>51</v>
      </c>
      <c r="I35" s="886">
        <f t="shared" si="0"/>
        <v>102</v>
      </c>
      <c r="J35" s="1103">
        <v>5</v>
      </c>
      <c r="K35" s="885">
        <v>8</v>
      </c>
      <c r="L35" s="885">
        <f t="shared" si="10"/>
        <v>20</v>
      </c>
      <c r="M35" s="1103">
        <v>5</v>
      </c>
      <c r="N35" s="885">
        <v>8</v>
      </c>
      <c r="O35" s="885">
        <f t="shared" si="11"/>
        <v>20</v>
      </c>
      <c r="P35" s="1103">
        <v>5</v>
      </c>
      <c r="Q35" s="885">
        <v>8</v>
      </c>
      <c r="R35" s="885">
        <f t="shared" si="12"/>
        <v>20</v>
      </c>
      <c r="S35" s="1103">
        <v>5</v>
      </c>
      <c r="T35" s="885">
        <v>8</v>
      </c>
      <c r="U35" s="885">
        <f t="shared" si="13"/>
        <v>20</v>
      </c>
      <c r="V35" s="886">
        <f t="shared" si="1"/>
        <v>80</v>
      </c>
      <c r="W35" s="887"/>
    </row>
    <row r="36" spans="1:25" ht="14.1" customHeight="1">
      <c r="A36" s="900">
        <v>19</v>
      </c>
      <c r="B36" s="903" t="s">
        <v>562</v>
      </c>
      <c r="C36" s="885">
        <v>5</v>
      </c>
      <c r="D36" s="885">
        <v>7.7</v>
      </c>
      <c r="E36" s="885">
        <f t="shared" si="8"/>
        <v>38.5</v>
      </c>
      <c r="F36" s="885">
        <v>5</v>
      </c>
      <c r="G36" s="885">
        <v>7</v>
      </c>
      <c r="H36" s="885">
        <f t="shared" si="9"/>
        <v>35</v>
      </c>
      <c r="I36" s="886">
        <f t="shared" si="0"/>
        <v>73.5</v>
      </c>
      <c r="J36" s="1103">
        <v>3</v>
      </c>
      <c r="K36" s="885">
        <v>7</v>
      </c>
      <c r="L36" s="885">
        <f t="shared" si="10"/>
        <v>10.5</v>
      </c>
      <c r="M36" s="1103">
        <v>3</v>
      </c>
      <c r="N36" s="885">
        <v>7</v>
      </c>
      <c r="O36" s="885">
        <f t="shared" si="11"/>
        <v>10.5</v>
      </c>
      <c r="P36" s="1103">
        <v>3</v>
      </c>
      <c r="Q36" s="885">
        <v>7</v>
      </c>
      <c r="R36" s="885">
        <f t="shared" si="12"/>
        <v>10.5</v>
      </c>
      <c r="S36" s="1103">
        <v>3</v>
      </c>
      <c r="T36" s="885">
        <v>7</v>
      </c>
      <c r="U36" s="885">
        <f t="shared" si="13"/>
        <v>10.5</v>
      </c>
      <c r="V36" s="886">
        <f t="shared" si="1"/>
        <v>42</v>
      </c>
      <c r="W36" s="887"/>
    </row>
    <row r="37" spans="1:25" ht="14.1" customHeight="1">
      <c r="A37" s="900">
        <v>20</v>
      </c>
      <c r="B37" s="903" t="s">
        <v>563</v>
      </c>
      <c r="C37" s="885">
        <v>5</v>
      </c>
      <c r="D37" s="885">
        <v>8.5</v>
      </c>
      <c r="E37" s="885">
        <f t="shared" si="8"/>
        <v>42.5</v>
      </c>
      <c r="F37" s="885">
        <v>5</v>
      </c>
      <c r="G37" s="885">
        <v>8.5</v>
      </c>
      <c r="H37" s="885">
        <f t="shared" si="9"/>
        <v>42.5</v>
      </c>
      <c r="I37" s="886">
        <f t="shared" si="0"/>
        <v>85</v>
      </c>
      <c r="J37" s="1103">
        <v>2</v>
      </c>
      <c r="K37" s="885">
        <v>8</v>
      </c>
      <c r="L37" s="885">
        <f t="shared" si="10"/>
        <v>8</v>
      </c>
      <c r="M37" s="1103">
        <v>2</v>
      </c>
      <c r="N37" s="885">
        <v>8</v>
      </c>
      <c r="O37" s="885">
        <f t="shared" si="11"/>
        <v>8</v>
      </c>
      <c r="P37" s="1103">
        <v>2</v>
      </c>
      <c r="Q37" s="885">
        <v>8</v>
      </c>
      <c r="R37" s="885">
        <f t="shared" si="12"/>
        <v>8</v>
      </c>
      <c r="S37" s="1103">
        <v>2</v>
      </c>
      <c r="T37" s="885">
        <v>8</v>
      </c>
      <c r="U37" s="885">
        <f t="shared" si="13"/>
        <v>8</v>
      </c>
      <c r="V37" s="886">
        <f t="shared" si="1"/>
        <v>32</v>
      </c>
      <c r="W37" s="887"/>
    </row>
    <row r="38" spans="1:25" ht="14.1" customHeight="1">
      <c r="A38" s="900">
        <v>21</v>
      </c>
      <c r="B38" s="903" t="s">
        <v>564</v>
      </c>
      <c r="C38" s="885">
        <v>5</v>
      </c>
      <c r="D38" s="885">
        <v>8.1999999999999993</v>
      </c>
      <c r="E38" s="885">
        <f t="shared" si="8"/>
        <v>41</v>
      </c>
      <c r="F38" s="885">
        <v>5</v>
      </c>
      <c r="G38" s="885">
        <v>8.1999999999999993</v>
      </c>
      <c r="H38" s="885">
        <f t="shared" si="9"/>
        <v>41</v>
      </c>
      <c r="I38" s="886">
        <f t="shared" si="0"/>
        <v>82</v>
      </c>
      <c r="J38" s="1103">
        <v>2</v>
      </c>
      <c r="K38" s="885">
        <v>7</v>
      </c>
      <c r="L38" s="885">
        <f t="shared" si="10"/>
        <v>7</v>
      </c>
      <c r="M38" s="1103">
        <v>2</v>
      </c>
      <c r="N38" s="885">
        <v>7</v>
      </c>
      <c r="O38" s="885">
        <f t="shared" si="11"/>
        <v>7</v>
      </c>
      <c r="P38" s="1103">
        <v>2</v>
      </c>
      <c r="Q38" s="885">
        <v>7</v>
      </c>
      <c r="R38" s="885">
        <f t="shared" si="12"/>
        <v>7</v>
      </c>
      <c r="S38" s="1103">
        <v>2</v>
      </c>
      <c r="T38" s="885">
        <v>7</v>
      </c>
      <c r="U38" s="885">
        <f t="shared" si="13"/>
        <v>7</v>
      </c>
      <c r="V38" s="886">
        <f t="shared" si="1"/>
        <v>28</v>
      </c>
      <c r="W38" s="887"/>
    </row>
    <row r="39" spans="1:25" ht="14.1" customHeight="1">
      <c r="A39" s="900">
        <v>22</v>
      </c>
      <c r="B39" s="902" t="s">
        <v>565</v>
      </c>
      <c r="C39" s="885">
        <v>5</v>
      </c>
      <c r="D39" s="885">
        <v>7</v>
      </c>
      <c r="E39" s="885">
        <f t="shared" si="8"/>
        <v>35</v>
      </c>
      <c r="F39" s="885">
        <v>5</v>
      </c>
      <c r="G39" s="885">
        <v>7</v>
      </c>
      <c r="H39" s="885">
        <f t="shared" si="9"/>
        <v>35</v>
      </c>
      <c r="I39" s="886">
        <f t="shared" si="0"/>
        <v>70</v>
      </c>
      <c r="J39" s="1103">
        <v>2</v>
      </c>
      <c r="K39" s="885">
        <v>6</v>
      </c>
      <c r="L39" s="885">
        <f t="shared" si="10"/>
        <v>6</v>
      </c>
      <c r="M39" s="1103">
        <v>2</v>
      </c>
      <c r="N39" s="885">
        <v>6</v>
      </c>
      <c r="O39" s="885">
        <f t="shared" si="11"/>
        <v>6</v>
      </c>
      <c r="P39" s="1103">
        <v>2</v>
      </c>
      <c r="Q39" s="885">
        <v>6</v>
      </c>
      <c r="R39" s="885">
        <f t="shared" si="12"/>
        <v>6</v>
      </c>
      <c r="S39" s="1103">
        <v>2</v>
      </c>
      <c r="T39" s="885">
        <v>6</v>
      </c>
      <c r="U39" s="885">
        <f t="shared" si="13"/>
        <v>6</v>
      </c>
      <c r="V39" s="886">
        <f t="shared" si="1"/>
        <v>24</v>
      </c>
      <c r="W39" s="887"/>
    </row>
    <row r="40" spans="1:25" ht="14.1" customHeight="1">
      <c r="A40" s="900">
        <v>23</v>
      </c>
      <c r="B40" s="902" t="s">
        <v>566</v>
      </c>
      <c r="C40" s="885">
        <v>5</v>
      </c>
      <c r="D40" s="890">
        <v>5.6</v>
      </c>
      <c r="E40" s="885">
        <f t="shared" si="8"/>
        <v>28</v>
      </c>
      <c r="F40" s="885">
        <v>5</v>
      </c>
      <c r="G40" s="890">
        <v>5.6</v>
      </c>
      <c r="H40" s="885">
        <f t="shared" si="9"/>
        <v>28</v>
      </c>
      <c r="I40" s="886">
        <f t="shared" si="0"/>
        <v>56</v>
      </c>
      <c r="J40" s="1103">
        <v>2</v>
      </c>
      <c r="K40" s="890">
        <v>5</v>
      </c>
      <c r="L40" s="885">
        <f t="shared" si="10"/>
        <v>5</v>
      </c>
      <c r="M40" s="1103">
        <v>2</v>
      </c>
      <c r="N40" s="890">
        <v>5</v>
      </c>
      <c r="O40" s="885">
        <f t="shared" si="11"/>
        <v>5</v>
      </c>
      <c r="P40" s="1103">
        <v>2</v>
      </c>
      <c r="Q40" s="890">
        <v>5</v>
      </c>
      <c r="R40" s="885">
        <f t="shared" si="12"/>
        <v>5</v>
      </c>
      <c r="S40" s="1103">
        <v>2</v>
      </c>
      <c r="T40" s="890">
        <v>5</v>
      </c>
      <c r="U40" s="885">
        <f t="shared" si="13"/>
        <v>5</v>
      </c>
      <c r="V40" s="886">
        <f t="shared" si="1"/>
        <v>20</v>
      </c>
      <c r="W40" s="891"/>
    </row>
    <row r="41" spans="1:25" s="909" customFormat="1" ht="14.1" customHeight="1">
      <c r="A41" s="1402" t="s">
        <v>567</v>
      </c>
      <c r="B41" s="1402"/>
      <c r="C41" s="873"/>
      <c r="D41" s="873"/>
      <c r="E41" s="873">
        <f>SUM(E42:E45)</f>
        <v>5</v>
      </c>
      <c r="F41" s="873"/>
      <c r="G41" s="873"/>
      <c r="H41" s="873">
        <f>SUM(H42:H45)</f>
        <v>5</v>
      </c>
      <c r="I41" s="873">
        <f t="shared" si="0"/>
        <v>10</v>
      </c>
      <c r="J41" s="980"/>
      <c r="K41" s="873"/>
      <c r="L41" s="873">
        <f>SUM(L42:L45)</f>
        <v>1</v>
      </c>
      <c r="M41" s="980"/>
      <c r="N41" s="873"/>
      <c r="O41" s="873">
        <f>SUM(O42:O45)</f>
        <v>1</v>
      </c>
      <c r="P41" s="980"/>
      <c r="Q41" s="873"/>
      <c r="R41" s="873">
        <f>SUM(R42:R45)</f>
        <v>1</v>
      </c>
      <c r="S41" s="980"/>
      <c r="T41" s="873"/>
      <c r="U41" s="873">
        <f>SUM(U42:U45)</f>
        <v>1</v>
      </c>
      <c r="V41" s="873">
        <f t="shared" si="1"/>
        <v>4</v>
      </c>
      <c r="W41" s="907"/>
      <c r="X41" s="909">
        <f>V41*2</f>
        <v>8</v>
      </c>
      <c r="Y41" s="1102">
        <f>V41*2</f>
        <v>8</v>
      </c>
    </row>
    <row r="42" spans="1:25" ht="14.1" customHeight="1">
      <c r="A42" s="900">
        <v>1</v>
      </c>
      <c r="B42" s="902" t="s">
        <v>568</v>
      </c>
      <c r="C42" s="885">
        <v>2.5</v>
      </c>
      <c r="D42" s="885">
        <v>1</v>
      </c>
      <c r="E42" s="885">
        <f t="shared" ref="E42:E47" si="14">C42*D42</f>
        <v>2.5</v>
      </c>
      <c r="F42" s="885">
        <v>2.5</v>
      </c>
      <c r="G42" s="885">
        <v>1</v>
      </c>
      <c r="H42" s="885">
        <f t="shared" ref="H42:H47" si="15">F42*G42</f>
        <v>2.5</v>
      </c>
      <c r="I42" s="886">
        <f t="shared" si="0"/>
        <v>5</v>
      </c>
      <c r="J42" s="1103">
        <v>1</v>
      </c>
      <c r="K42" s="885">
        <v>1</v>
      </c>
      <c r="L42" s="885">
        <f t="shared" ref="L42:L47" si="16">J42*K42/2</f>
        <v>0.5</v>
      </c>
      <c r="M42" s="1103">
        <v>1</v>
      </c>
      <c r="N42" s="885">
        <v>1</v>
      </c>
      <c r="O42" s="885">
        <f t="shared" ref="O42:O47" si="17">M42*N42/2</f>
        <v>0.5</v>
      </c>
      <c r="P42" s="1103">
        <v>1</v>
      </c>
      <c r="Q42" s="885">
        <v>1</v>
      </c>
      <c r="R42" s="885">
        <f t="shared" ref="R42:R47" si="18">P42*Q42/2</f>
        <v>0.5</v>
      </c>
      <c r="S42" s="1103">
        <v>1</v>
      </c>
      <c r="T42" s="885">
        <v>1</v>
      </c>
      <c r="U42" s="885">
        <f t="shared" ref="U42:U47" si="19">S42*T42/2</f>
        <v>0.5</v>
      </c>
      <c r="V42" s="886">
        <f t="shared" si="1"/>
        <v>2</v>
      </c>
      <c r="W42" s="887"/>
    </row>
    <row r="43" spans="1:25" ht="14.1" customHeight="1">
      <c r="A43" s="900">
        <v>2</v>
      </c>
      <c r="B43" s="902" t="s">
        <v>569</v>
      </c>
      <c r="C43" s="885">
        <v>2.5</v>
      </c>
      <c r="D43" s="885">
        <v>1</v>
      </c>
      <c r="E43" s="885">
        <f t="shared" si="14"/>
        <v>2.5</v>
      </c>
      <c r="F43" s="885">
        <v>2.5</v>
      </c>
      <c r="G43" s="885">
        <v>1</v>
      </c>
      <c r="H43" s="885">
        <f t="shared" si="15"/>
        <v>2.5</v>
      </c>
      <c r="I43" s="886">
        <f t="shared" si="0"/>
        <v>5</v>
      </c>
      <c r="J43" s="1103">
        <v>1</v>
      </c>
      <c r="K43" s="885">
        <v>1</v>
      </c>
      <c r="L43" s="885">
        <f t="shared" si="16"/>
        <v>0.5</v>
      </c>
      <c r="M43" s="1103">
        <v>1</v>
      </c>
      <c r="N43" s="885">
        <v>1</v>
      </c>
      <c r="O43" s="885">
        <f t="shared" si="17"/>
        <v>0.5</v>
      </c>
      <c r="P43" s="1103">
        <v>1</v>
      </c>
      <c r="Q43" s="885">
        <v>1</v>
      </c>
      <c r="R43" s="885">
        <f t="shared" si="18"/>
        <v>0.5</v>
      </c>
      <c r="S43" s="1103">
        <v>1</v>
      </c>
      <c r="T43" s="885">
        <v>1</v>
      </c>
      <c r="U43" s="885">
        <f t="shared" si="19"/>
        <v>0.5</v>
      </c>
      <c r="V43" s="886">
        <f t="shared" si="1"/>
        <v>2</v>
      </c>
      <c r="W43" s="887"/>
    </row>
    <row r="44" spans="1:25" ht="14.1" customHeight="1">
      <c r="A44" s="900">
        <v>3</v>
      </c>
      <c r="B44" s="902" t="s">
        <v>570</v>
      </c>
      <c r="C44" s="885">
        <v>2.5</v>
      </c>
      <c r="D44" s="885">
        <v>0</v>
      </c>
      <c r="E44" s="885">
        <f t="shared" si="14"/>
        <v>0</v>
      </c>
      <c r="F44" s="885">
        <v>2.5</v>
      </c>
      <c r="G44" s="885">
        <v>0</v>
      </c>
      <c r="H44" s="885">
        <f t="shared" si="15"/>
        <v>0</v>
      </c>
      <c r="I44" s="886">
        <f t="shared" si="0"/>
        <v>0</v>
      </c>
      <c r="J44" s="1103">
        <v>0</v>
      </c>
      <c r="K44" s="885">
        <v>0</v>
      </c>
      <c r="L44" s="885">
        <f t="shared" si="16"/>
        <v>0</v>
      </c>
      <c r="M44" s="1103">
        <v>0</v>
      </c>
      <c r="N44" s="885">
        <v>0</v>
      </c>
      <c r="O44" s="885">
        <f t="shared" si="17"/>
        <v>0</v>
      </c>
      <c r="P44" s="1103">
        <v>0</v>
      </c>
      <c r="Q44" s="885">
        <v>0</v>
      </c>
      <c r="R44" s="885">
        <f t="shared" si="18"/>
        <v>0</v>
      </c>
      <c r="S44" s="1103">
        <v>0</v>
      </c>
      <c r="T44" s="885">
        <v>0</v>
      </c>
      <c r="U44" s="885">
        <f t="shared" si="19"/>
        <v>0</v>
      </c>
      <c r="V44" s="886">
        <f t="shared" si="1"/>
        <v>0</v>
      </c>
      <c r="W44" s="887"/>
    </row>
    <row r="45" spans="1:25" ht="14.1" customHeight="1">
      <c r="A45" s="900">
        <v>4</v>
      </c>
      <c r="B45" s="902" t="s">
        <v>571</v>
      </c>
      <c r="C45" s="885">
        <v>2.5</v>
      </c>
      <c r="D45" s="885">
        <v>0</v>
      </c>
      <c r="E45" s="885">
        <f t="shared" si="14"/>
        <v>0</v>
      </c>
      <c r="F45" s="885">
        <v>2.5</v>
      </c>
      <c r="G45" s="885">
        <v>0</v>
      </c>
      <c r="H45" s="885">
        <f t="shared" si="15"/>
        <v>0</v>
      </c>
      <c r="I45" s="886">
        <f t="shared" si="0"/>
        <v>0</v>
      </c>
      <c r="J45" s="1103">
        <v>0</v>
      </c>
      <c r="K45" s="885">
        <v>0</v>
      </c>
      <c r="L45" s="885">
        <f t="shared" si="16"/>
        <v>0</v>
      </c>
      <c r="M45" s="1103">
        <v>0</v>
      </c>
      <c r="N45" s="885">
        <v>0</v>
      </c>
      <c r="O45" s="885">
        <f t="shared" si="17"/>
        <v>0</v>
      </c>
      <c r="P45" s="1103">
        <v>0</v>
      </c>
      <c r="Q45" s="885">
        <v>0</v>
      </c>
      <c r="R45" s="885">
        <f t="shared" si="18"/>
        <v>0</v>
      </c>
      <c r="S45" s="1103">
        <v>0</v>
      </c>
      <c r="T45" s="885">
        <v>0</v>
      </c>
      <c r="U45" s="885">
        <f t="shared" si="19"/>
        <v>0</v>
      </c>
      <c r="V45" s="886">
        <f t="shared" si="1"/>
        <v>0</v>
      </c>
      <c r="W45" s="887"/>
    </row>
    <row r="46" spans="1:25" s="1108" customFormat="1" ht="14.1" customHeight="1">
      <c r="A46" s="1104">
        <v>1</v>
      </c>
      <c r="B46" s="1105" t="s">
        <v>572</v>
      </c>
      <c r="C46" s="1106">
        <v>8</v>
      </c>
      <c r="D46" s="1106">
        <v>8</v>
      </c>
      <c r="E46" s="1106">
        <f t="shared" si="14"/>
        <v>64</v>
      </c>
      <c r="F46" s="1106">
        <v>8</v>
      </c>
      <c r="G46" s="1106">
        <v>8</v>
      </c>
      <c r="H46" s="1106">
        <f t="shared" si="15"/>
        <v>64</v>
      </c>
      <c r="I46" s="1106">
        <f t="shared" si="0"/>
        <v>128</v>
      </c>
      <c r="J46" s="1107">
        <v>6</v>
      </c>
      <c r="K46" s="1106">
        <v>8</v>
      </c>
      <c r="L46" s="1106">
        <f t="shared" si="16"/>
        <v>24</v>
      </c>
      <c r="M46" s="1107">
        <v>6</v>
      </c>
      <c r="N46" s="1106">
        <v>8</v>
      </c>
      <c r="O46" s="1106">
        <f t="shared" si="17"/>
        <v>24</v>
      </c>
      <c r="P46" s="1107">
        <v>7</v>
      </c>
      <c r="Q46" s="1106">
        <v>8</v>
      </c>
      <c r="R46" s="1106">
        <f t="shared" si="18"/>
        <v>28</v>
      </c>
      <c r="S46" s="1107">
        <v>7</v>
      </c>
      <c r="T46" s="1106">
        <v>8</v>
      </c>
      <c r="U46" s="1106">
        <f t="shared" si="19"/>
        <v>28</v>
      </c>
      <c r="V46" s="1106">
        <f t="shared" si="1"/>
        <v>104</v>
      </c>
      <c r="W46" s="1107"/>
    </row>
    <row r="47" spans="1:25" s="1108" customFormat="1" ht="14.1" customHeight="1">
      <c r="A47" s="1104">
        <v>1</v>
      </c>
      <c r="B47" s="1105" t="s">
        <v>573</v>
      </c>
      <c r="C47" s="1106">
        <v>3</v>
      </c>
      <c r="D47" s="1106">
        <v>0</v>
      </c>
      <c r="E47" s="1106">
        <f t="shared" si="14"/>
        <v>0</v>
      </c>
      <c r="F47" s="1106">
        <v>3</v>
      </c>
      <c r="G47" s="1106">
        <v>0</v>
      </c>
      <c r="H47" s="1106">
        <f t="shared" si="15"/>
        <v>0</v>
      </c>
      <c r="I47" s="1106">
        <f t="shared" si="0"/>
        <v>0</v>
      </c>
      <c r="J47" s="1107">
        <v>0</v>
      </c>
      <c r="K47" s="1106">
        <v>0</v>
      </c>
      <c r="L47" s="1106">
        <f t="shared" si="16"/>
        <v>0</v>
      </c>
      <c r="M47" s="1107">
        <v>0</v>
      </c>
      <c r="N47" s="1106">
        <v>0</v>
      </c>
      <c r="O47" s="1106">
        <f t="shared" si="17"/>
        <v>0</v>
      </c>
      <c r="P47" s="1107">
        <v>0</v>
      </c>
      <c r="Q47" s="1106">
        <v>0</v>
      </c>
      <c r="R47" s="1106">
        <f t="shared" si="18"/>
        <v>0</v>
      </c>
      <c r="S47" s="1107">
        <v>0</v>
      </c>
      <c r="T47" s="1106">
        <v>0</v>
      </c>
      <c r="U47" s="1106">
        <f t="shared" si="19"/>
        <v>0</v>
      </c>
      <c r="V47" s="1106">
        <f t="shared" si="1"/>
        <v>0</v>
      </c>
      <c r="W47" s="1107"/>
    </row>
    <row r="48" spans="1:25" s="909" customFormat="1" ht="14.1" customHeight="1">
      <c r="A48" s="1385" t="s">
        <v>943</v>
      </c>
      <c r="B48" s="1385"/>
      <c r="C48" s="874"/>
      <c r="D48" s="874"/>
      <c r="E48" s="874">
        <f>E49+E53+E64</f>
        <v>949.54199999999992</v>
      </c>
      <c r="F48" s="874"/>
      <c r="G48" s="874"/>
      <c r="H48" s="874">
        <f>H49+H53+H64</f>
        <v>990.71799999999996</v>
      </c>
      <c r="I48" s="874">
        <f t="shared" si="0"/>
        <v>1940.2599999999998</v>
      </c>
      <c r="J48" s="980"/>
      <c r="K48" s="874"/>
      <c r="L48" s="874">
        <f>L49+L53+L64</f>
        <v>287.2</v>
      </c>
      <c r="M48" s="980"/>
      <c r="N48" s="874"/>
      <c r="O48" s="874">
        <f>O49+O53+O64</f>
        <v>287.2</v>
      </c>
      <c r="P48" s="980"/>
      <c r="Q48" s="874"/>
      <c r="R48" s="874">
        <f>R49+R53+R64</f>
        <v>299.35000000000002</v>
      </c>
      <c r="S48" s="980"/>
      <c r="T48" s="874"/>
      <c r="U48" s="874">
        <f>U49+U53+U64</f>
        <v>299.35000000000002</v>
      </c>
      <c r="V48" s="874">
        <f t="shared" si="1"/>
        <v>1173.0999999999999</v>
      </c>
      <c r="W48" s="910"/>
      <c r="X48" s="1102">
        <f>V48*2</f>
        <v>2346.1999999999998</v>
      </c>
    </row>
    <row r="49" spans="1:23" s="909" customFormat="1" ht="14.1" customHeight="1">
      <c r="A49" s="1387" t="s">
        <v>574</v>
      </c>
      <c r="B49" s="1387"/>
      <c r="C49" s="876"/>
      <c r="D49" s="876"/>
      <c r="E49" s="875">
        <f>SUM(E50:E52)</f>
        <v>50</v>
      </c>
      <c r="F49" s="875"/>
      <c r="G49" s="875"/>
      <c r="H49" s="875">
        <f>SUM(H50:H52)</f>
        <v>54</v>
      </c>
      <c r="I49" s="875">
        <f t="shared" si="0"/>
        <v>104</v>
      </c>
      <c r="J49" s="980"/>
      <c r="K49" s="875"/>
      <c r="L49" s="876">
        <f>SUM(L50:L52)</f>
        <v>22.5</v>
      </c>
      <c r="M49" s="980"/>
      <c r="N49" s="876"/>
      <c r="O49" s="875">
        <f>SUM(O50:O52)</f>
        <v>22.5</v>
      </c>
      <c r="P49" s="980"/>
      <c r="Q49" s="875"/>
      <c r="R49" s="875">
        <f>SUM(R50:R52)</f>
        <v>22.75</v>
      </c>
      <c r="S49" s="980"/>
      <c r="T49" s="875"/>
      <c r="U49" s="875">
        <f>SUM(U50:U52)</f>
        <v>22.75</v>
      </c>
      <c r="V49" s="875">
        <f t="shared" si="1"/>
        <v>90.5</v>
      </c>
      <c r="W49" s="908"/>
    </row>
    <row r="50" spans="1:23" ht="14.1" customHeight="1">
      <c r="A50" s="900">
        <v>1</v>
      </c>
      <c r="B50" s="904" t="s">
        <v>575</v>
      </c>
      <c r="C50" s="888">
        <v>4</v>
      </c>
      <c r="D50" s="888">
        <v>1</v>
      </c>
      <c r="E50" s="892">
        <f>C50*D50</f>
        <v>4</v>
      </c>
      <c r="F50" s="888">
        <v>4</v>
      </c>
      <c r="G50" s="892">
        <v>1</v>
      </c>
      <c r="H50" s="893">
        <f>F50*G50</f>
        <v>4</v>
      </c>
      <c r="I50" s="894">
        <f t="shared" si="0"/>
        <v>8</v>
      </c>
      <c r="J50" s="1103">
        <v>2</v>
      </c>
      <c r="K50" s="888">
        <v>1</v>
      </c>
      <c r="L50" s="895">
        <f>J50*K50/2</f>
        <v>1</v>
      </c>
      <c r="M50" s="1103">
        <v>2</v>
      </c>
      <c r="N50" s="888">
        <v>1</v>
      </c>
      <c r="O50" s="892">
        <f>M50*N50/2</f>
        <v>1</v>
      </c>
      <c r="P50" s="1103">
        <v>2</v>
      </c>
      <c r="Q50" s="892">
        <v>1</v>
      </c>
      <c r="R50" s="896">
        <f>P50*Q50/2</f>
        <v>1</v>
      </c>
      <c r="S50" s="1103">
        <v>2</v>
      </c>
      <c r="T50" s="892">
        <v>1</v>
      </c>
      <c r="U50" s="896">
        <f>S50*T50/2</f>
        <v>1</v>
      </c>
      <c r="V50" s="894">
        <f t="shared" si="1"/>
        <v>4</v>
      </c>
      <c r="W50" s="888"/>
    </row>
    <row r="51" spans="1:23" ht="14.1" customHeight="1">
      <c r="A51" s="900">
        <v>2</v>
      </c>
      <c r="B51" s="904" t="s">
        <v>576</v>
      </c>
      <c r="C51" s="888">
        <v>4</v>
      </c>
      <c r="D51" s="888">
        <v>4.5</v>
      </c>
      <c r="E51" s="892">
        <f>C51*D51</f>
        <v>18</v>
      </c>
      <c r="F51" s="888">
        <v>4</v>
      </c>
      <c r="G51" s="892">
        <v>5.5</v>
      </c>
      <c r="H51" s="893">
        <f>F51*G51</f>
        <v>22</v>
      </c>
      <c r="I51" s="894">
        <f t="shared" si="0"/>
        <v>40</v>
      </c>
      <c r="J51" s="1103">
        <v>6</v>
      </c>
      <c r="K51" s="888">
        <v>4.5</v>
      </c>
      <c r="L51" s="895">
        <f>J51*K51/2</f>
        <v>13.5</v>
      </c>
      <c r="M51" s="1103">
        <v>6</v>
      </c>
      <c r="N51" s="888">
        <v>4.5</v>
      </c>
      <c r="O51" s="892">
        <f>M51*N51/2</f>
        <v>13.5</v>
      </c>
      <c r="P51" s="1103">
        <v>5</v>
      </c>
      <c r="Q51" s="892">
        <v>5.5</v>
      </c>
      <c r="R51" s="896">
        <f>P51*Q51/2</f>
        <v>13.75</v>
      </c>
      <c r="S51" s="1103">
        <v>5</v>
      </c>
      <c r="T51" s="892">
        <v>5.5</v>
      </c>
      <c r="U51" s="896">
        <f>S51*T51/2</f>
        <v>13.75</v>
      </c>
      <c r="V51" s="894">
        <f t="shared" si="1"/>
        <v>54.5</v>
      </c>
      <c r="W51" s="888"/>
    </row>
    <row r="52" spans="1:23" ht="14.1" customHeight="1">
      <c r="A52" s="900">
        <v>3</v>
      </c>
      <c r="B52" s="904" t="s">
        <v>577</v>
      </c>
      <c r="C52" s="888">
        <v>7</v>
      </c>
      <c r="D52" s="888">
        <v>4</v>
      </c>
      <c r="E52" s="892">
        <f>C52*D52</f>
        <v>28</v>
      </c>
      <c r="F52" s="888">
        <v>7</v>
      </c>
      <c r="G52" s="892">
        <v>4</v>
      </c>
      <c r="H52" s="893">
        <f>F52*G52</f>
        <v>28</v>
      </c>
      <c r="I52" s="894">
        <f t="shared" si="0"/>
        <v>56</v>
      </c>
      <c r="J52" s="1103">
        <v>4</v>
      </c>
      <c r="K52" s="888">
        <v>4</v>
      </c>
      <c r="L52" s="895">
        <f>J52*K52/2</f>
        <v>8</v>
      </c>
      <c r="M52" s="1103">
        <v>4</v>
      </c>
      <c r="N52" s="888">
        <v>4</v>
      </c>
      <c r="O52" s="892">
        <f>M52*N52/2</f>
        <v>8</v>
      </c>
      <c r="P52" s="1103">
        <v>4</v>
      </c>
      <c r="Q52" s="892">
        <v>4</v>
      </c>
      <c r="R52" s="896">
        <f>P52*Q52/2</f>
        <v>8</v>
      </c>
      <c r="S52" s="1103">
        <v>4</v>
      </c>
      <c r="T52" s="892">
        <v>4</v>
      </c>
      <c r="U52" s="896">
        <f>S52*T52/2</f>
        <v>8</v>
      </c>
      <c r="V52" s="894">
        <f t="shared" si="1"/>
        <v>32</v>
      </c>
      <c r="W52" s="888"/>
    </row>
    <row r="53" spans="1:23" s="909" customFormat="1" ht="14.1" customHeight="1">
      <c r="A53" s="1384" t="s">
        <v>578</v>
      </c>
      <c r="B53" s="1384"/>
      <c r="C53" s="877"/>
      <c r="D53" s="877"/>
      <c r="E53" s="877">
        <f>SUM(E54:E63)</f>
        <v>196.54199999999997</v>
      </c>
      <c r="F53" s="877"/>
      <c r="G53" s="877"/>
      <c r="H53" s="877">
        <f>SUM(H54:H63)</f>
        <v>197.96799999999999</v>
      </c>
      <c r="I53" s="912">
        <f t="shared" si="0"/>
        <v>394.51</v>
      </c>
      <c r="J53" s="980"/>
      <c r="K53" s="912"/>
      <c r="L53" s="877">
        <f>SUM(L54:L63)</f>
        <v>64.7</v>
      </c>
      <c r="M53" s="980"/>
      <c r="N53" s="877"/>
      <c r="O53" s="877">
        <f>SUM(O54:O63)</f>
        <v>64.7</v>
      </c>
      <c r="P53" s="980"/>
      <c r="Q53" s="877"/>
      <c r="R53" s="877">
        <f>SUM(R54:R63)</f>
        <v>68.599999999999994</v>
      </c>
      <c r="S53" s="980"/>
      <c r="T53" s="877"/>
      <c r="U53" s="877">
        <f>SUM(U54:U63)</f>
        <v>68.599999999999994</v>
      </c>
      <c r="V53" s="912">
        <f t="shared" si="1"/>
        <v>266.60000000000002</v>
      </c>
      <c r="W53" s="877"/>
    </row>
    <row r="54" spans="1:23" ht="14.1" customHeight="1">
      <c r="A54" s="900">
        <v>1</v>
      </c>
      <c r="B54" s="902" t="s">
        <v>579</v>
      </c>
      <c r="C54" s="896">
        <v>8</v>
      </c>
      <c r="D54" s="920">
        <v>11</v>
      </c>
      <c r="E54" s="892">
        <f>C54*D54</f>
        <v>88</v>
      </c>
      <c r="F54" s="896">
        <v>8</v>
      </c>
      <c r="G54" s="920">
        <v>11</v>
      </c>
      <c r="H54" s="893">
        <f>F54*G54</f>
        <v>88</v>
      </c>
      <c r="I54" s="894">
        <f t="shared" si="0"/>
        <v>176</v>
      </c>
      <c r="J54" s="1103">
        <v>5</v>
      </c>
      <c r="K54" s="896">
        <v>11</v>
      </c>
      <c r="L54" s="895">
        <f>J54*K54/2</f>
        <v>27.5</v>
      </c>
      <c r="M54" s="1103">
        <v>5</v>
      </c>
      <c r="N54" s="896">
        <v>11</v>
      </c>
      <c r="O54" s="892">
        <f>M54*N54/2</f>
        <v>27.5</v>
      </c>
      <c r="P54" s="1103">
        <v>5</v>
      </c>
      <c r="Q54" s="892">
        <v>11</v>
      </c>
      <c r="R54" s="896">
        <f>P54*Q54/2</f>
        <v>27.5</v>
      </c>
      <c r="S54" s="1103">
        <v>5</v>
      </c>
      <c r="T54" s="892">
        <v>11</v>
      </c>
      <c r="U54" s="896">
        <f>S54*T54/2</f>
        <v>27.5</v>
      </c>
      <c r="V54" s="894">
        <f t="shared" si="1"/>
        <v>110</v>
      </c>
      <c r="W54" s="888"/>
    </row>
    <row r="55" spans="1:23" ht="14.1" customHeight="1">
      <c r="A55" s="900">
        <v>2</v>
      </c>
      <c r="B55" s="902" t="s">
        <v>580</v>
      </c>
      <c r="C55" s="896">
        <v>5.6</v>
      </c>
      <c r="D55" s="896">
        <v>1</v>
      </c>
      <c r="E55" s="892">
        <f t="shared" ref="E55:E63" si="20">C55*D55</f>
        <v>5.6</v>
      </c>
      <c r="F55" s="896">
        <v>5.6</v>
      </c>
      <c r="G55" s="892">
        <v>1</v>
      </c>
      <c r="H55" s="893">
        <f t="shared" ref="H55:H63" si="21">F55*G55</f>
        <v>5.6</v>
      </c>
      <c r="I55" s="894">
        <f t="shared" si="0"/>
        <v>11.2</v>
      </c>
      <c r="J55" s="1103">
        <v>1</v>
      </c>
      <c r="K55" s="896">
        <v>1</v>
      </c>
      <c r="L55" s="895">
        <f t="shared" ref="L55:L63" si="22">J55*K55/2</f>
        <v>0.5</v>
      </c>
      <c r="M55" s="1103">
        <v>1</v>
      </c>
      <c r="N55" s="896">
        <v>1</v>
      </c>
      <c r="O55" s="892">
        <f t="shared" ref="O55:O63" si="23">M55*N55/2</f>
        <v>0.5</v>
      </c>
      <c r="P55" s="1103">
        <v>1</v>
      </c>
      <c r="Q55" s="892">
        <v>1</v>
      </c>
      <c r="R55" s="896">
        <f t="shared" ref="R55:R63" si="24">P55*Q55/2</f>
        <v>0.5</v>
      </c>
      <c r="S55" s="1103">
        <v>1</v>
      </c>
      <c r="T55" s="892">
        <v>1</v>
      </c>
      <c r="U55" s="896">
        <f t="shared" ref="U55:U63" si="25">S55*T55/2</f>
        <v>0.5</v>
      </c>
      <c r="V55" s="894">
        <f t="shared" si="1"/>
        <v>2</v>
      </c>
      <c r="W55" s="888"/>
    </row>
    <row r="56" spans="1:23" ht="14.1" customHeight="1">
      <c r="A56" s="900">
        <v>3</v>
      </c>
      <c r="B56" s="902" t="s">
        <v>581</v>
      </c>
      <c r="C56" s="896">
        <v>5.24</v>
      </c>
      <c r="D56" s="896">
        <v>1</v>
      </c>
      <c r="E56" s="892">
        <f t="shared" si="20"/>
        <v>5.24</v>
      </c>
      <c r="F56" s="896">
        <v>5.24</v>
      </c>
      <c r="G56" s="892">
        <v>1</v>
      </c>
      <c r="H56" s="893">
        <f t="shared" si="21"/>
        <v>5.24</v>
      </c>
      <c r="I56" s="894">
        <f t="shared" si="0"/>
        <v>10.48</v>
      </c>
      <c r="J56" s="1103">
        <v>1</v>
      </c>
      <c r="K56" s="896">
        <v>1</v>
      </c>
      <c r="L56" s="895">
        <f t="shared" si="22"/>
        <v>0.5</v>
      </c>
      <c r="M56" s="1103">
        <v>1</v>
      </c>
      <c r="N56" s="896">
        <v>1</v>
      </c>
      <c r="O56" s="892">
        <f t="shared" si="23"/>
        <v>0.5</v>
      </c>
      <c r="P56" s="1103">
        <v>1</v>
      </c>
      <c r="Q56" s="892">
        <v>1</v>
      </c>
      <c r="R56" s="896">
        <f t="shared" si="24"/>
        <v>0.5</v>
      </c>
      <c r="S56" s="1103">
        <v>1</v>
      </c>
      <c r="T56" s="892">
        <v>1</v>
      </c>
      <c r="U56" s="896">
        <f t="shared" si="25"/>
        <v>0.5</v>
      </c>
      <c r="V56" s="894">
        <f t="shared" si="1"/>
        <v>2</v>
      </c>
      <c r="W56" s="888"/>
    </row>
    <row r="57" spans="1:23" ht="14.1" customHeight="1">
      <c r="A57" s="900">
        <v>4</v>
      </c>
      <c r="B57" s="902" t="s">
        <v>582</v>
      </c>
      <c r="C57" s="896">
        <v>4</v>
      </c>
      <c r="D57" s="896">
        <v>1</v>
      </c>
      <c r="E57" s="892">
        <f t="shared" si="20"/>
        <v>4</v>
      </c>
      <c r="F57" s="896">
        <v>4</v>
      </c>
      <c r="G57" s="892">
        <v>1</v>
      </c>
      <c r="H57" s="893">
        <f t="shared" si="21"/>
        <v>4</v>
      </c>
      <c r="I57" s="894">
        <f t="shared" si="0"/>
        <v>8</v>
      </c>
      <c r="J57" s="1103">
        <v>4</v>
      </c>
      <c r="K57" s="896">
        <v>1</v>
      </c>
      <c r="L57" s="895">
        <f t="shared" si="22"/>
        <v>2</v>
      </c>
      <c r="M57" s="1103">
        <v>4</v>
      </c>
      <c r="N57" s="896">
        <v>1</v>
      </c>
      <c r="O57" s="892">
        <f t="shared" si="23"/>
        <v>2</v>
      </c>
      <c r="P57" s="1103">
        <v>3</v>
      </c>
      <c r="Q57" s="892">
        <v>1</v>
      </c>
      <c r="R57" s="896">
        <f t="shared" si="24"/>
        <v>1.5</v>
      </c>
      <c r="S57" s="1103">
        <v>3</v>
      </c>
      <c r="T57" s="892">
        <v>1</v>
      </c>
      <c r="U57" s="896">
        <f t="shared" si="25"/>
        <v>1.5</v>
      </c>
      <c r="V57" s="894">
        <f t="shared" si="1"/>
        <v>7</v>
      </c>
      <c r="W57" s="888"/>
    </row>
    <row r="58" spans="1:23" ht="14.1" customHeight="1">
      <c r="A58" s="900">
        <v>5</v>
      </c>
      <c r="B58" s="902" t="s">
        <v>583</v>
      </c>
      <c r="C58" s="896">
        <v>5.6</v>
      </c>
      <c r="D58" s="896">
        <v>1.5</v>
      </c>
      <c r="E58" s="892">
        <f t="shared" si="20"/>
        <v>8.3999999999999986</v>
      </c>
      <c r="F58" s="896">
        <v>5.6</v>
      </c>
      <c r="G58" s="892">
        <v>3</v>
      </c>
      <c r="H58" s="893">
        <f t="shared" si="21"/>
        <v>16.799999999999997</v>
      </c>
      <c r="I58" s="894">
        <f t="shared" si="0"/>
        <v>25.199999999999996</v>
      </c>
      <c r="J58" s="1103">
        <v>2</v>
      </c>
      <c r="K58" s="896">
        <v>1.5</v>
      </c>
      <c r="L58" s="895">
        <f t="shared" si="22"/>
        <v>1.5</v>
      </c>
      <c r="M58" s="1103">
        <v>2</v>
      </c>
      <c r="N58" s="896">
        <v>1.5</v>
      </c>
      <c r="O58" s="892">
        <f t="shared" si="23"/>
        <v>1.5</v>
      </c>
      <c r="P58" s="1103">
        <v>6</v>
      </c>
      <c r="Q58" s="892">
        <v>3</v>
      </c>
      <c r="R58" s="896">
        <f t="shared" si="24"/>
        <v>9</v>
      </c>
      <c r="S58" s="1103">
        <v>6</v>
      </c>
      <c r="T58" s="892">
        <v>3</v>
      </c>
      <c r="U58" s="896">
        <f t="shared" si="25"/>
        <v>9</v>
      </c>
      <c r="V58" s="894">
        <f t="shared" si="1"/>
        <v>21</v>
      </c>
      <c r="W58" s="888"/>
    </row>
    <row r="59" spans="1:23" ht="14.1" customHeight="1">
      <c r="A59" s="900">
        <v>6</v>
      </c>
      <c r="B59" s="902" t="s">
        <v>584</v>
      </c>
      <c r="C59" s="896">
        <v>6.34</v>
      </c>
      <c r="D59" s="896">
        <v>2.2999999999999998</v>
      </c>
      <c r="E59" s="892">
        <f t="shared" si="20"/>
        <v>14.581999999999999</v>
      </c>
      <c r="F59" s="896">
        <v>6.34</v>
      </c>
      <c r="G59" s="892">
        <v>1.2</v>
      </c>
      <c r="H59" s="893">
        <f t="shared" si="21"/>
        <v>7.6079999999999997</v>
      </c>
      <c r="I59" s="894">
        <f t="shared" si="0"/>
        <v>22.189999999999998</v>
      </c>
      <c r="J59" s="1103">
        <v>3</v>
      </c>
      <c r="K59" s="896">
        <v>2.2999999999999998</v>
      </c>
      <c r="L59" s="895">
        <f t="shared" si="22"/>
        <v>3.4499999999999997</v>
      </c>
      <c r="M59" s="1103">
        <v>3</v>
      </c>
      <c r="N59" s="896">
        <v>2.2999999999999998</v>
      </c>
      <c r="O59" s="892">
        <f t="shared" si="23"/>
        <v>3.4499999999999997</v>
      </c>
      <c r="P59" s="1103">
        <v>1</v>
      </c>
      <c r="Q59" s="892">
        <v>1.2</v>
      </c>
      <c r="R59" s="896">
        <f t="shared" si="24"/>
        <v>0.6</v>
      </c>
      <c r="S59" s="1103">
        <v>1</v>
      </c>
      <c r="T59" s="892">
        <v>1.2</v>
      </c>
      <c r="U59" s="896">
        <f t="shared" si="25"/>
        <v>0.6</v>
      </c>
      <c r="V59" s="894">
        <f t="shared" si="1"/>
        <v>8.1</v>
      </c>
      <c r="W59" s="888"/>
    </row>
    <row r="60" spans="1:23" ht="14.1" customHeight="1">
      <c r="A60" s="900">
        <v>7</v>
      </c>
      <c r="B60" s="902" t="s">
        <v>585</v>
      </c>
      <c r="C60" s="896">
        <v>6.34</v>
      </c>
      <c r="D60" s="896">
        <v>3</v>
      </c>
      <c r="E60" s="892">
        <f t="shared" si="20"/>
        <v>19.02</v>
      </c>
      <c r="F60" s="896">
        <v>6.34</v>
      </c>
      <c r="G60" s="892">
        <v>3.5</v>
      </c>
      <c r="H60" s="893">
        <f t="shared" si="21"/>
        <v>22.189999999999998</v>
      </c>
      <c r="I60" s="894">
        <f t="shared" si="0"/>
        <v>41.209999999999994</v>
      </c>
      <c r="J60" s="1103">
        <v>4</v>
      </c>
      <c r="K60" s="896">
        <v>3</v>
      </c>
      <c r="L60" s="895">
        <f t="shared" si="22"/>
        <v>6</v>
      </c>
      <c r="M60" s="1103">
        <v>4</v>
      </c>
      <c r="N60" s="896">
        <v>3</v>
      </c>
      <c r="O60" s="892">
        <f t="shared" si="23"/>
        <v>6</v>
      </c>
      <c r="P60" s="1103">
        <v>4</v>
      </c>
      <c r="Q60" s="892">
        <v>3.5</v>
      </c>
      <c r="R60" s="896">
        <f t="shared" si="24"/>
        <v>7</v>
      </c>
      <c r="S60" s="1103">
        <v>4</v>
      </c>
      <c r="T60" s="892">
        <v>3.5</v>
      </c>
      <c r="U60" s="896">
        <f t="shared" si="25"/>
        <v>7</v>
      </c>
      <c r="V60" s="894">
        <f t="shared" si="1"/>
        <v>26</v>
      </c>
      <c r="W60" s="888"/>
    </row>
    <row r="61" spans="1:23" ht="14.1" customHeight="1">
      <c r="A61" s="900">
        <v>8</v>
      </c>
      <c r="B61" s="902" t="s">
        <v>586</v>
      </c>
      <c r="C61" s="896">
        <v>6.34</v>
      </c>
      <c r="D61" s="896">
        <v>2.5</v>
      </c>
      <c r="E61" s="892">
        <f t="shared" si="20"/>
        <v>15.85</v>
      </c>
      <c r="F61" s="896">
        <v>6.34</v>
      </c>
      <c r="G61" s="892">
        <v>2.5</v>
      </c>
      <c r="H61" s="893">
        <f t="shared" si="21"/>
        <v>15.85</v>
      </c>
      <c r="I61" s="894">
        <f t="shared" si="0"/>
        <v>31.7</v>
      </c>
      <c r="J61" s="1103">
        <v>4</v>
      </c>
      <c r="K61" s="896">
        <v>2.5</v>
      </c>
      <c r="L61" s="895">
        <f t="shared" si="22"/>
        <v>5</v>
      </c>
      <c r="M61" s="1103">
        <v>4</v>
      </c>
      <c r="N61" s="896">
        <v>2.5</v>
      </c>
      <c r="O61" s="892">
        <f t="shared" si="23"/>
        <v>5</v>
      </c>
      <c r="P61" s="1103">
        <v>4</v>
      </c>
      <c r="Q61" s="892">
        <v>2.5</v>
      </c>
      <c r="R61" s="896">
        <f t="shared" si="24"/>
        <v>5</v>
      </c>
      <c r="S61" s="1103">
        <v>4</v>
      </c>
      <c r="T61" s="892">
        <v>2.5</v>
      </c>
      <c r="U61" s="896">
        <f t="shared" si="25"/>
        <v>5</v>
      </c>
      <c r="V61" s="894">
        <f t="shared" si="1"/>
        <v>20</v>
      </c>
      <c r="W61" s="888"/>
    </row>
    <row r="62" spans="1:23" ht="14.1" customHeight="1">
      <c r="A62" s="900">
        <v>9</v>
      </c>
      <c r="B62" s="902" t="s">
        <v>587</v>
      </c>
      <c r="C62" s="896">
        <v>6.34</v>
      </c>
      <c r="D62" s="896">
        <v>2.5</v>
      </c>
      <c r="E62" s="892">
        <f t="shared" si="20"/>
        <v>15.85</v>
      </c>
      <c r="F62" s="896">
        <v>6.34</v>
      </c>
      <c r="G62" s="892">
        <v>2</v>
      </c>
      <c r="H62" s="893">
        <f t="shared" si="21"/>
        <v>12.68</v>
      </c>
      <c r="I62" s="894">
        <f t="shared" si="0"/>
        <v>28.53</v>
      </c>
      <c r="J62" s="1103">
        <v>5</v>
      </c>
      <c r="K62" s="896">
        <v>2.5</v>
      </c>
      <c r="L62" s="895">
        <f t="shared" si="22"/>
        <v>6.25</v>
      </c>
      <c r="M62" s="1103">
        <v>5</v>
      </c>
      <c r="N62" s="896">
        <v>2.5</v>
      </c>
      <c r="O62" s="892">
        <f t="shared" si="23"/>
        <v>6.25</v>
      </c>
      <c r="P62" s="1103">
        <v>5</v>
      </c>
      <c r="Q62" s="892">
        <v>2</v>
      </c>
      <c r="R62" s="896">
        <f t="shared" si="24"/>
        <v>5</v>
      </c>
      <c r="S62" s="1103">
        <v>5</v>
      </c>
      <c r="T62" s="892">
        <v>2</v>
      </c>
      <c r="U62" s="896">
        <f t="shared" si="25"/>
        <v>5</v>
      </c>
      <c r="V62" s="894">
        <f t="shared" si="1"/>
        <v>22.5</v>
      </c>
      <c r="W62" s="888"/>
    </row>
    <row r="63" spans="1:23" ht="14.1" customHeight="1">
      <c r="A63" s="900">
        <v>10</v>
      </c>
      <c r="B63" s="902" t="s">
        <v>588</v>
      </c>
      <c r="C63" s="896">
        <v>5</v>
      </c>
      <c r="D63" s="896">
        <v>4</v>
      </c>
      <c r="E63" s="892">
        <f t="shared" si="20"/>
        <v>20</v>
      </c>
      <c r="F63" s="896">
        <v>5</v>
      </c>
      <c r="G63" s="892">
        <v>4</v>
      </c>
      <c r="H63" s="893">
        <f t="shared" si="21"/>
        <v>20</v>
      </c>
      <c r="I63" s="894">
        <f t="shared" si="0"/>
        <v>40</v>
      </c>
      <c r="J63" s="1103">
        <v>6</v>
      </c>
      <c r="K63" s="896">
        <v>4</v>
      </c>
      <c r="L63" s="895">
        <f t="shared" si="22"/>
        <v>12</v>
      </c>
      <c r="M63" s="1103">
        <v>6</v>
      </c>
      <c r="N63" s="896">
        <v>4</v>
      </c>
      <c r="O63" s="892">
        <f t="shared" si="23"/>
        <v>12</v>
      </c>
      <c r="P63" s="1103">
        <v>6</v>
      </c>
      <c r="Q63" s="892">
        <v>4</v>
      </c>
      <c r="R63" s="896">
        <f t="shared" si="24"/>
        <v>12</v>
      </c>
      <c r="S63" s="1103">
        <v>6</v>
      </c>
      <c r="T63" s="892">
        <v>4</v>
      </c>
      <c r="U63" s="896">
        <f t="shared" si="25"/>
        <v>12</v>
      </c>
      <c r="V63" s="894">
        <f t="shared" si="1"/>
        <v>48</v>
      </c>
      <c r="W63" s="888"/>
    </row>
    <row r="64" spans="1:23" s="909" customFormat="1" ht="14.1" customHeight="1">
      <c r="A64" s="1384" t="s">
        <v>589</v>
      </c>
      <c r="B64" s="1384"/>
      <c r="C64" s="877"/>
      <c r="D64" s="877"/>
      <c r="E64" s="877">
        <f>SUM(E65:E86)</f>
        <v>703</v>
      </c>
      <c r="F64" s="877"/>
      <c r="G64" s="877"/>
      <c r="H64" s="877">
        <f>SUM(H65:H86)</f>
        <v>738.75</v>
      </c>
      <c r="I64" s="912">
        <f t="shared" si="0"/>
        <v>1441.75</v>
      </c>
      <c r="J64" s="980"/>
      <c r="K64" s="912"/>
      <c r="L64" s="877">
        <f>SUM(L65:L86)</f>
        <v>200</v>
      </c>
      <c r="M64" s="980"/>
      <c r="N64" s="877"/>
      <c r="O64" s="877">
        <f>SUM(O65:O86)</f>
        <v>200</v>
      </c>
      <c r="P64" s="980"/>
      <c r="Q64" s="877"/>
      <c r="R64" s="877">
        <f>SUM(R65:R86)</f>
        <v>208</v>
      </c>
      <c r="S64" s="980"/>
      <c r="T64" s="877"/>
      <c r="U64" s="877">
        <f>SUM(U65:U86)</f>
        <v>208</v>
      </c>
      <c r="V64" s="912">
        <f t="shared" si="1"/>
        <v>816</v>
      </c>
      <c r="W64" s="911"/>
    </row>
    <row r="65" spans="1:23" ht="14.1" customHeight="1">
      <c r="A65" s="900">
        <v>1</v>
      </c>
      <c r="B65" s="904" t="s">
        <v>590</v>
      </c>
      <c r="C65" s="888">
        <v>8</v>
      </c>
      <c r="D65" s="888">
        <v>5.5</v>
      </c>
      <c r="E65" s="896">
        <f>C65*D65</f>
        <v>44</v>
      </c>
      <c r="F65" s="888">
        <v>8</v>
      </c>
      <c r="G65" s="896">
        <v>5</v>
      </c>
      <c r="H65" s="896">
        <f>F65*G65</f>
        <v>40</v>
      </c>
      <c r="I65" s="894">
        <f t="shared" si="0"/>
        <v>84</v>
      </c>
      <c r="J65" s="1103">
        <v>4</v>
      </c>
      <c r="K65" s="888">
        <v>5</v>
      </c>
      <c r="L65" s="896">
        <f>J65*K65/2</f>
        <v>10</v>
      </c>
      <c r="M65" s="1103">
        <f>J65</f>
        <v>4</v>
      </c>
      <c r="N65" s="888">
        <v>5</v>
      </c>
      <c r="O65" s="896">
        <f>M65*N65/2</f>
        <v>10</v>
      </c>
      <c r="P65" s="1103">
        <f>J65</f>
        <v>4</v>
      </c>
      <c r="Q65" s="896">
        <v>5</v>
      </c>
      <c r="R65" s="896">
        <f>P65*Q65/2</f>
        <v>10</v>
      </c>
      <c r="S65" s="1103">
        <f>M65</f>
        <v>4</v>
      </c>
      <c r="T65" s="896">
        <v>5</v>
      </c>
      <c r="U65" s="896">
        <f>S65*T65/2</f>
        <v>10</v>
      </c>
      <c r="V65" s="894">
        <f t="shared" si="1"/>
        <v>40</v>
      </c>
      <c r="W65" s="888"/>
    </row>
    <row r="66" spans="1:23" ht="14.1" customHeight="1">
      <c r="A66" s="900">
        <v>2</v>
      </c>
      <c r="B66" s="904" t="s">
        <v>591</v>
      </c>
      <c r="C66" s="888">
        <v>8</v>
      </c>
      <c r="D66" s="888">
        <v>4</v>
      </c>
      <c r="E66" s="896">
        <f t="shared" ref="E66:E86" si="26">C66*D66</f>
        <v>32</v>
      </c>
      <c r="F66" s="888">
        <v>8</v>
      </c>
      <c r="G66" s="896">
        <v>5</v>
      </c>
      <c r="H66" s="896">
        <f t="shared" ref="H66:H86" si="27">F66*G66</f>
        <v>40</v>
      </c>
      <c r="I66" s="894">
        <f t="shared" si="0"/>
        <v>72</v>
      </c>
      <c r="J66" s="1103">
        <v>4</v>
      </c>
      <c r="K66" s="888">
        <v>4</v>
      </c>
      <c r="L66" s="896">
        <f t="shared" ref="L66:L86" si="28">J66*K66/2</f>
        <v>8</v>
      </c>
      <c r="M66" s="1103">
        <f t="shared" ref="M66:M86" si="29">J66</f>
        <v>4</v>
      </c>
      <c r="N66" s="888">
        <v>4</v>
      </c>
      <c r="O66" s="896">
        <f t="shared" ref="O66:O86" si="30">M66*N66/2</f>
        <v>8</v>
      </c>
      <c r="P66" s="1103">
        <f t="shared" ref="P66:P86" si="31">J66</f>
        <v>4</v>
      </c>
      <c r="Q66" s="896">
        <v>4</v>
      </c>
      <c r="R66" s="896">
        <f t="shared" ref="R66:R86" si="32">P66*Q66/2</f>
        <v>8</v>
      </c>
      <c r="S66" s="1103">
        <f t="shared" ref="S66:S86" si="33">M66</f>
        <v>4</v>
      </c>
      <c r="T66" s="896">
        <v>4</v>
      </c>
      <c r="U66" s="896">
        <f t="shared" ref="U66:U86" si="34">S66*T66/2</f>
        <v>8</v>
      </c>
      <c r="V66" s="894">
        <f t="shared" si="1"/>
        <v>32</v>
      </c>
      <c r="W66" s="888"/>
    </row>
    <row r="67" spans="1:23" ht="14.1" customHeight="1">
      <c r="A67" s="900">
        <v>3</v>
      </c>
      <c r="B67" s="904" t="s">
        <v>592</v>
      </c>
      <c r="C67" s="888">
        <v>8</v>
      </c>
      <c r="D67" s="888">
        <v>4.5</v>
      </c>
      <c r="E67" s="896">
        <f t="shared" si="26"/>
        <v>36</v>
      </c>
      <c r="F67" s="888">
        <v>8</v>
      </c>
      <c r="G67" s="896">
        <v>4.5</v>
      </c>
      <c r="H67" s="896">
        <f t="shared" si="27"/>
        <v>36</v>
      </c>
      <c r="I67" s="894">
        <f t="shared" si="0"/>
        <v>72</v>
      </c>
      <c r="J67" s="1103">
        <v>4</v>
      </c>
      <c r="K67" s="888">
        <v>4</v>
      </c>
      <c r="L67" s="896">
        <f t="shared" si="28"/>
        <v>8</v>
      </c>
      <c r="M67" s="1103">
        <f t="shared" si="29"/>
        <v>4</v>
      </c>
      <c r="N67" s="888">
        <v>4</v>
      </c>
      <c r="O67" s="896">
        <f t="shared" si="30"/>
        <v>8</v>
      </c>
      <c r="P67" s="1103">
        <f t="shared" si="31"/>
        <v>4</v>
      </c>
      <c r="Q67" s="896">
        <v>4</v>
      </c>
      <c r="R67" s="896">
        <f t="shared" si="32"/>
        <v>8</v>
      </c>
      <c r="S67" s="1103">
        <f t="shared" si="33"/>
        <v>4</v>
      </c>
      <c r="T67" s="896">
        <v>4</v>
      </c>
      <c r="U67" s="896">
        <f t="shared" si="34"/>
        <v>8</v>
      </c>
      <c r="V67" s="894">
        <f t="shared" si="1"/>
        <v>32</v>
      </c>
      <c r="W67" s="888"/>
    </row>
    <row r="68" spans="1:23" ht="14.1" customHeight="1">
      <c r="A68" s="900">
        <v>4</v>
      </c>
      <c r="B68" s="902" t="s">
        <v>593</v>
      </c>
      <c r="C68" s="888">
        <v>5.5</v>
      </c>
      <c r="D68" s="888">
        <v>4</v>
      </c>
      <c r="E68" s="896">
        <f t="shared" si="26"/>
        <v>22</v>
      </c>
      <c r="F68" s="888">
        <v>5.5</v>
      </c>
      <c r="G68" s="920">
        <v>10</v>
      </c>
      <c r="H68" s="896">
        <f t="shared" si="27"/>
        <v>55</v>
      </c>
      <c r="I68" s="894">
        <f t="shared" si="0"/>
        <v>77</v>
      </c>
      <c r="J68" s="1103">
        <v>4</v>
      </c>
      <c r="K68" s="888">
        <v>4</v>
      </c>
      <c r="L68" s="896">
        <f t="shared" si="28"/>
        <v>8</v>
      </c>
      <c r="M68" s="1103">
        <f t="shared" si="29"/>
        <v>4</v>
      </c>
      <c r="N68" s="888">
        <v>4</v>
      </c>
      <c r="O68" s="896">
        <f t="shared" si="30"/>
        <v>8</v>
      </c>
      <c r="P68" s="1103">
        <f t="shared" si="31"/>
        <v>4</v>
      </c>
      <c r="Q68" s="920">
        <v>8</v>
      </c>
      <c r="R68" s="896">
        <f t="shared" si="32"/>
        <v>16</v>
      </c>
      <c r="S68" s="1103">
        <f t="shared" si="33"/>
        <v>4</v>
      </c>
      <c r="T68" s="896">
        <v>8</v>
      </c>
      <c r="U68" s="896">
        <f t="shared" si="34"/>
        <v>16</v>
      </c>
      <c r="V68" s="894">
        <f t="shared" si="1"/>
        <v>48</v>
      </c>
      <c r="W68" s="888"/>
    </row>
    <row r="69" spans="1:23" ht="14.1" customHeight="1">
      <c r="A69" s="900">
        <v>5</v>
      </c>
      <c r="B69" s="902" t="s">
        <v>594</v>
      </c>
      <c r="C69" s="888">
        <v>5</v>
      </c>
      <c r="D69" s="888">
        <v>4.5</v>
      </c>
      <c r="E69" s="896">
        <f t="shared" si="26"/>
        <v>22.5</v>
      </c>
      <c r="F69" s="888">
        <v>5</v>
      </c>
      <c r="G69" s="896">
        <v>7</v>
      </c>
      <c r="H69" s="896">
        <f t="shared" si="27"/>
        <v>35</v>
      </c>
      <c r="I69" s="894">
        <f t="shared" si="0"/>
        <v>57.5</v>
      </c>
      <c r="J69" s="1103">
        <v>4</v>
      </c>
      <c r="K69" s="888">
        <v>4</v>
      </c>
      <c r="L69" s="896">
        <f t="shared" si="28"/>
        <v>8</v>
      </c>
      <c r="M69" s="1103">
        <f t="shared" si="29"/>
        <v>4</v>
      </c>
      <c r="N69" s="888">
        <v>4</v>
      </c>
      <c r="O69" s="896">
        <f t="shared" si="30"/>
        <v>8</v>
      </c>
      <c r="P69" s="1103">
        <f t="shared" si="31"/>
        <v>4</v>
      </c>
      <c r="Q69" s="896">
        <v>6</v>
      </c>
      <c r="R69" s="896">
        <f t="shared" si="32"/>
        <v>12</v>
      </c>
      <c r="S69" s="1103">
        <f t="shared" si="33"/>
        <v>4</v>
      </c>
      <c r="T69" s="896">
        <v>6</v>
      </c>
      <c r="U69" s="896">
        <f t="shared" si="34"/>
        <v>12</v>
      </c>
      <c r="V69" s="894">
        <f t="shared" si="1"/>
        <v>40</v>
      </c>
      <c r="W69" s="888"/>
    </row>
    <row r="70" spans="1:23" ht="14.1" customHeight="1">
      <c r="A70" s="900">
        <v>6</v>
      </c>
      <c r="B70" s="902" t="s">
        <v>595</v>
      </c>
      <c r="C70" s="888">
        <v>5</v>
      </c>
      <c r="D70" s="888">
        <v>5.5</v>
      </c>
      <c r="E70" s="896">
        <f t="shared" si="26"/>
        <v>27.5</v>
      </c>
      <c r="F70" s="888">
        <v>5</v>
      </c>
      <c r="G70" s="896">
        <v>6</v>
      </c>
      <c r="H70" s="896">
        <f t="shared" si="27"/>
        <v>30</v>
      </c>
      <c r="I70" s="894">
        <f t="shared" si="0"/>
        <v>57.5</v>
      </c>
      <c r="J70" s="1103">
        <v>4</v>
      </c>
      <c r="K70" s="888">
        <v>5</v>
      </c>
      <c r="L70" s="896">
        <f t="shared" si="28"/>
        <v>10</v>
      </c>
      <c r="M70" s="1103">
        <f t="shared" si="29"/>
        <v>4</v>
      </c>
      <c r="N70" s="888">
        <v>5</v>
      </c>
      <c r="O70" s="896">
        <f t="shared" si="30"/>
        <v>10</v>
      </c>
      <c r="P70" s="1103">
        <f t="shared" si="31"/>
        <v>4</v>
      </c>
      <c r="Q70" s="896">
        <v>5</v>
      </c>
      <c r="R70" s="896">
        <f t="shared" si="32"/>
        <v>10</v>
      </c>
      <c r="S70" s="1103">
        <f t="shared" si="33"/>
        <v>4</v>
      </c>
      <c r="T70" s="896">
        <v>5</v>
      </c>
      <c r="U70" s="896">
        <f t="shared" si="34"/>
        <v>10</v>
      </c>
      <c r="V70" s="894">
        <f t="shared" si="1"/>
        <v>40</v>
      </c>
      <c r="W70" s="888"/>
    </row>
    <row r="71" spans="1:23" ht="14.1" customHeight="1">
      <c r="A71" s="900">
        <v>7</v>
      </c>
      <c r="B71" s="902" t="s">
        <v>596</v>
      </c>
      <c r="C71" s="888">
        <v>5</v>
      </c>
      <c r="D71" s="888">
        <v>6.5</v>
      </c>
      <c r="E71" s="896">
        <f t="shared" si="26"/>
        <v>32.5</v>
      </c>
      <c r="F71" s="888">
        <v>5</v>
      </c>
      <c r="G71" s="896">
        <v>6</v>
      </c>
      <c r="H71" s="896">
        <f t="shared" si="27"/>
        <v>30</v>
      </c>
      <c r="I71" s="894">
        <f t="shared" si="0"/>
        <v>62.5</v>
      </c>
      <c r="J71" s="1103">
        <v>4</v>
      </c>
      <c r="K71" s="888">
        <v>5</v>
      </c>
      <c r="L71" s="896">
        <f t="shared" si="28"/>
        <v>10</v>
      </c>
      <c r="M71" s="1103">
        <f t="shared" si="29"/>
        <v>4</v>
      </c>
      <c r="N71" s="888">
        <v>5</v>
      </c>
      <c r="O71" s="896">
        <f t="shared" si="30"/>
        <v>10</v>
      </c>
      <c r="P71" s="1103">
        <f t="shared" si="31"/>
        <v>4</v>
      </c>
      <c r="Q71" s="896">
        <v>5</v>
      </c>
      <c r="R71" s="896">
        <f t="shared" si="32"/>
        <v>10</v>
      </c>
      <c r="S71" s="1103">
        <f t="shared" si="33"/>
        <v>4</v>
      </c>
      <c r="T71" s="896">
        <v>5</v>
      </c>
      <c r="U71" s="896">
        <f t="shared" si="34"/>
        <v>10</v>
      </c>
      <c r="V71" s="894">
        <f t="shared" si="1"/>
        <v>40</v>
      </c>
      <c r="W71" s="888"/>
    </row>
    <row r="72" spans="1:23" ht="14.1" customHeight="1">
      <c r="A72" s="900">
        <v>8</v>
      </c>
      <c r="B72" s="902" t="s">
        <v>597</v>
      </c>
      <c r="C72" s="888">
        <v>5</v>
      </c>
      <c r="D72" s="888">
        <v>6.5</v>
      </c>
      <c r="E72" s="896">
        <f t="shared" si="26"/>
        <v>32.5</v>
      </c>
      <c r="F72" s="888">
        <v>5</v>
      </c>
      <c r="G72" s="896">
        <v>6.5</v>
      </c>
      <c r="H72" s="896">
        <f t="shared" si="27"/>
        <v>32.5</v>
      </c>
      <c r="I72" s="894">
        <f t="shared" ref="I72:I135" si="35">E72+H72</f>
        <v>65</v>
      </c>
      <c r="J72" s="1103">
        <v>4</v>
      </c>
      <c r="K72" s="888">
        <v>5</v>
      </c>
      <c r="L72" s="896">
        <f t="shared" si="28"/>
        <v>10</v>
      </c>
      <c r="M72" s="1103">
        <f t="shared" si="29"/>
        <v>4</v>
      </c>
      <c r="N72" s="888">
        <v>5</v>
      </c>
      <c r="O72" s="896">
        <f t="shared" si="30"/>
        <v>10</v>
      </c>
      <c r="P72" s="1103">
        <f t="shared" si="31"/>
        <v>4</v>
      </c>
      <c r="Q72" s="896">
        <v>5</v>
      </c>
      <c r="R72" s="896">
        <f t="shared" si="32"/>
        <v>10</v>
      </c>
      <c r="S72" s="1103">
        <f t="shared" si="33"/>
        <v>4</v>
      </c>
      <c r="T72" s="896">
        <v>5</v>
      </c>
      <c r="U72" s="896">
        <f t="shared" si="34"/>
        <v>10</v>
      </c>
      <c r="V72" s="894">
        <f t="shared" ref="V72:V135" si="36">L72+O72+R72+U72</f>
        <v>40</v>
      </c>
      <c r="W72" s="888"/>
    </row>
    <row r="73" spans="1:23" ht="14.1" customHeight="1">
      <c r="A73" s="900">
        <v>9</v>
      </c>
      <c r="B73" s="902" t="s">
        <v>598</v>
      </c>
      <c r="C73" s="888">
        <v>5</v>
      </c>
      <c r="D73" s="888">
        <v>7.5</v>
      </c>
      <c r="E73" s="896">
        <f t="shared" si="26"/>
        <v>37.5</v>
      </c>
      <c r="F73" s="888">
        <v>5</v>
      </c>
      <c r="G73" s="896">
        <v>6.5</v>
      </c>
      <c r="H73" s="896">
        <f t="shared" si="27"/>
        <v>32.5</v>
      </c>
      <c r="I73" s="894">
        <f t="shared" si="35"/>
        <v>70</v>
      </c>
      <c r="J73" s="1103">
        <v>4</v>
      </c>
      <c r="K73" s="888">
        <v>6</v>
      </c>
      <c r="L73" s="896">
        <f t="shared" si="28"/>
        <v>12</v>
      </c>
      <c r="M73" s="1103">
        <f t="shared" si="29"/>
        <v>4</v>
      </c>
      <c r="N73" s="888">
        <v>6</v>
      </c>
      <c r="O73" s="896">
        <f t="shared" si="30"/>
        <v>12</v>
      </c>
      <c r="P73" s="1103">
        <f t="shared" si="31"/>
        <v>4</v>
      </c>
      <c r="Q73" s="896">
        <v>5</v>
      </c>
      <c r="R73" s="896">
        <f t="shared" si="32"/>
        <v>10</v>
      </c>
      <c r="S73" s="1103">
        <f t="shared" si="33"/>
        <v>4</v>
      </c>
      <c r="T73" s="896">
        <v>5</v>
      </c>
      <c r="U73" s="896">
        <f t="shared" si="34"/>
        <v>10</v>
      </c>
      <c r="V73" s="894">
        <f t="shared" si="36"/>
        <v>44</v>
      </c>
      <c r="W73" s="888"/>
    </row>
    <row r="74" spans="1:23" ht="14.1" customHeight="1">
      <c r="A74" s="900">
        <v>10</v>
      </c>
      <c r="B74" s="902" t="s">
        <v>599</v>
      </c>
      <c r="C74" s="888">
        <v>5</v>
      </c>
      <c r="D74" s="888">
        <v>6.5</v>
      </c>
      <c r="E74" s="896">
        <f t="shared" si="26"/>
        <v>32.5</v>
      </c>
      <c r="F74" s="888">
        <v>5</v>
      </c>
      <c r="G74" s="896">
        <v>6.5</v>
      </c>
      <c r="H74" s="896">
        <f t="shared" si="27"/>
        <v>32.5</v>
      </c>
      <c r="I74" s="894">
        <f t="shared" si="35"/>
        <v>65</v>
      </c>
      <c r="J74" s="1103">
        <v>4</v>
      </c>
      <c r="K74" s="888">
        <v>5</v>
      </c>
      <c r="L74" s="896">
        <f t="shared" si="28"/>
        <v>10</v>
      </c>
      <c r="M74" s="1103">
        <f t="shared" si="29"/>
        <v>4</v>
      </c>
      <c r="N74" s="888">
        <v>5</v>
      </c>
      <c r="O74" s="896">
        <f t="shared" si="30"/>
        <v>10</v>
      </c>
      <c r="P74" s="1103">
        <f t="shared" si="31"/>
        <v>4</v>
      </c>
      <c r="Q74" s="896">
        <v>5</v>
      </c>
      <c r="R74" s="896">
        <f t="shared" si="32"/>
        <v>10</v>
      </c>
      <c r="S74" s="1103">
        <f t="shared" si="33"/>
        <v>4</v>
      </c>
      <c r="T74" s="896">
        <v>5</v>
      </c>
      <c r="U74" s="896">
        <f t="shared" si="34"/>
        <v>10</v>
      </c>
      <c r="V74" s="894">
        <f t="shared" si="36"/>
        <v>40</v>
      </c>
      <c r="W74" s="888"/>
    </row>
    <row r="75" spans="1:23" ht="14.1" customHeight="1">
      <c r="A75" s="900">
        <v>11</v>
      </c>
      <c r="B75" s="902" t="s">
        <v>600</v>
      </c>
      <c r="C75" s="888">
        <v>5.5</v>
      </c>
      <c r="D75" s="888">
        <v>4.5</v>
      </c>
      <c r="E75" s="896">
        <f t="shared" si="26"/>
        <v>24.75</v>
      </c>
      <c r="F75" s="888">
        <v>5.5</v>
      </c>
      <c r="G75" s="896">
        <v>4.5</v>
      </c>
      <c r="H75" s="896">
        <f t="shared" si="27"/>
        <v>24.75</v>
      </c>
      <c r="I75" s="894">
        <f t="shared" si="35"/>
        <v>49.5</v>
      </c>
      <c r="J75" s="1103">
        <v>4</v>
      </c>
      <c r="K75" s="888">
        <v>4</v>
      </c>
      <c r="L75" s="896">
        <f t="shared" si="28"/>
        <v>8</v>
      </c>
      <c r="M75" s="1103">
        <f t="shared" si="29"/>
        <v>4</v>
      </c>
      <c r="N75" s="888">
        <v>4</v>
      </c>
      <c r="O75" s="896">
        <f t="shared" si="30"/>
        <v>8</v>
      </c>
      <c r="P75" s="1103">
        <f t="shared" si="31"/>
        <v>4</v>
      </c>
      <c r="Q75" s="896">
        <v>4</v>
      </c>
      <c r="R75" s="896">
        <f t="shared" si="32"/>
        <v>8</v>
      </c>
      <c r="S75" s="1103">
        <f t="shared" si="33"/>
        <v>4</v>
      </c>
      <c r="T75" s="896">
        <v>4</v>
      </c>
      <c r="U75" s="896">
        <f t="shared" si="34"/>
        <v>8</v>
      </c>
      <c r="V75" s="894">
        <f t="shared" si="36"/>
        <v>32</v>
      </c>
      <c r="W75" s="888"/>
    </row>
    <row r="76" spans="1:23" ht="14.1" customHeight="1">
      <c r="A76" s="900">
        <v>12</v>
      </c>
      <c r="B76" s="902" t="s">
        <v>601</v>
      </c>
      <c r="C76" s="888">
        <v>5.5</v>
      </c>
      <c r="D76" s="888">
        <v>3.5</v>
      </c>
      <c r="E76" s="896">
        <f t="shared" si="26"/>
        <v>19.25</v>
      </c>
      <c r="F76" s="888">
        <v>5.5</v>
      </c>
      <c r="G76" s="896">
        <v>4</v>
      </c>
      <c r="H76" s="896">
        <f t="shared" si="27"/>
        <v>22</v>
      </c>
      <c r="I76" s="894">
        <f t="shared" si="35"/>
        <v>41.25</v>
      </c>
      <c r="J76" s="1103">
        <v>4</v>
      </c>
      <c r="K76" s="888">
        <v>3.5</v>
      </c>
      <c r="L76" s="896">
        <f t="shared" si="28"/>
        <v>7</v>
      </c>
      <c r="M76" s="1103">
        <f t="shared" si="29"/>
        <v>4</v>
      </c>
      <c r="N76" s="888">
        <v>3.5</v>
      </c>
      <c r="O76" s="896">
        <f t="shared" si="30"/>
        <v>7</v>
      </c>
      <c r="P76" s="1103">
        <f t="shared" si="31"/>
        <v>4</v>
      </c>
      <c r="Q76" s="896">
        <v>4</v>
      </c>
      <c r="R76" s="896">
        <f t="shared" si="32"/>
        <v>8</v>
      </c>
      <c r="S76" s="1103">
        <f t="shared" si="33"/>
        <v>4</v>
      </c>
      <c r="T76" s="896">
        <v>4</v>
      </c>
      <c r="U76" s="896">
        <f t="shared" si="34"/>
        <v>8</v>
      </c>
      <c r="V76" s="894">
        <f t="shared" si="36"/>
        <v>30</v>
      </c>
      <c r="W76" s="888"/>
    </row>
    <row r="77" spans="1:23" ht="14.1" customHeight="1">
      <c r="A77" s="900">
        <v>13</v>
      </c>
      <c r="B77" s="902" t="s">
        <v>602</v>
      </c>
      <c r="C77" s="888">
        <v>7</v>
      </c>
      <c r="D77" s="888">
        <v>3</v>
      </c>
      <c r="E77" s="896">
        <f t="shared" si="26"/>
        <v>21</v>
      </c>
      <c r="F77" s="888">
        <v>7</v>
      </c>
      <c r="G77" s="896">
        <v>3</v>
      </c>
      <c r="H77" s="896">
        <f t="shared" si="27"/>
        <v>21</v>
      </c>
      <c r="I77" s="894">
        <f t="shared" si="35"/>
        <v>42</v>
      </c>
      <c r="J77" s="1103">
        <v>4</v>
      </c>
      <c r="K77" s="888">
        <v>3</v>
      </c>
      <c r="L77" s="896">
        <f t="shared" si="28"/>
        <v>6</v>
      </c>
      <c r="M77" s="1103">
        <f t="shared" si="29"/>
        <v>4</v>
      </c>
      <c r="N77" s="888">
        <v>3</v>
      </c>
      <c r="O77" s="896">
        <f t="shared" si="30"/>
        <v>6</v>
      </c>
      <c r="P77" s="1103">
        <f t="shared" si="31"/>
        <v>4</v>
      </c>
      <c r="Q77" s="896">
        <v>3</v>
      </c>
      <c r="R77" s="896">
        <f t="shared" si="32"/>
        <v>6</v>
      </c>
      <c r="S77" s="1103">
        <f t="shared" si="33"/>
        <v>4</v>
      </c>
      <c r="T77" s="896">
        <v>3</v>
      </c>
      <c r="U77" s="896">
        <f t="shared" si="34"/>
        <v>6</v>
      </c>
      <c r="V77" s="894">
        <f t="shared" si="36"/>
        <v>24</v>
      </c>
      <c r="W77" s="888"/>
    </row>
    <row r="78" spans="1:23" ht="14.1" customHeight="1">
      <c r="A78" s="900">
        <v>14</v>
      </c>
      <c r="B78" s="902" t="s">
        <v>603</v>
      </c>
      <c r="C78" s="888">
        <v>8</v>
      </c>
      <c r="D78" s="888">
        <v>4.5</v>
      </c>
      <c r="E78" s="896">
        <f t="shared" si="26"/>
        <v>36</v>
      </c>
      <c r="F78" s="888">
        <v>8</v>
      </c>
      <c r="G78" s="896">
        <v>4</v>
      </c>
      <c r="H78" s="896">
        <f t="shared" si="27"/>
        <v>32</v>
      </c>
      <c r="I78" s="894">
        <f t="shared" si="35"/>
        <v>68</v>
      </c>
      <c r="J78" s="1103">
        <v>4</v>
      </c>
      <c r="K78" s="888">
        <v>4.5</v>
      </c>
      <c r="L78" s="896">
        <f t="shared" si="28"/>
        <v>9</v>
      </c>
      <c r="M78" s="1103">
        <f t="shared" si="29"/>
        <v>4</v>
      </c>
      <c r="N78" s="888">
        <v>4.5</v>
      </c>
      <c r="O78" s="896">
        <f t="shared" si="30"/>
        <v>9</v>
      </c>
      <c r="P78" s="1103">
        <f t="shared" si="31"/>
        <v>4</v>
      </c>
      <c r="Q78" s="896">
        <v>4</v>
      </c>
      <c r="R78" s="896">
        <f t="shared" si="32"/>
        <v>8</v>
      </c>
      <c r="S78" s="1103">
        <f t="shared" si="33"/>
        <v>4</v>
      </c>
      <c r="T78" s="896">
        <v>4</v>
      </c>
      <c r="U78" s="896">
        <f t="shared" si="34"/>
        <v>8</v>
      </c>
      <c r="V78" s="894">
        <f t="shared" si="36"/>
        <v>34</v>
      </c>
      <c r="W78" s="888"/>
    </row>
    <row r="79" spans="1:23" ht="14.1" customHeight="1">
      <c r="A79" s="900">
        <v>15</v>
      </c>
      <c r="B79" s="902" t="s">
        <v>604</v>
      </c>
      <c r="C79" s="888">
        <v>8</v>
      </c>
      <c r="D79" s="888">
        <v>4</v>
      </c>
      <c r="E79" s="896">
        <f t="shared" si="26"/>
        <v>32</v>
      </c>
      <c r="F79" s="888">
        <v>8</v>
      </c>
      <c r="G79" s="896">
        <v>4</v>
      </c>
      <c r="H79" s="896">
        <f t="shared" si="27"/>
        <v>32</v>
      </c>
      <c r="I79" s="894">
        <f t="shared" si="35"/>
        <v>64</v>
      </c>
      <c r="J79" s="1103">
        <v>4</v>
      </c>
      <c r="K79" s="888">
        <v>4</v>
      </c>
      <c r="L79" s="896">
        <f t="shared" si="28"/>
        <v>8</v>
      </c>
      <c r="M79" s="1103">
        <f t="shared" si="29"/>
        <v>4</v>
      </c>
      <c r="N79" s="888">
        <v>4</v>
      </c>
      <c r="O79" s="896">
        <f t="shared" si="30"/>
        <v>8</v>
      </c>
      <c r="P79" s="1103">
        <f t="shared" si="31"/>
        <v>4</v>
      </c>
      <c r="Q79" s="896">
        <v>4</v>
      </c>
      <c r="R79" s="896">
        <f t="shared" si="32"/>
        <v>8</v>
      </c>
      <c r="S79" s="1103">
        <f t="shared" si="33"/>
        <v>4</v>
      </c>
      <c r="T79" s="896">
        <v>4</v>
      </c>
      <c r="U79" s="896">
        <f t="shared" si="34"/>
        <v>8</v>
      </c>
      <c r="V79" s="894">
        <f t="shared" si="36"/>
        <v>32</v>
      </c>
      <c r="W79" s="888"/>
    </row>
    <row r="80" spans="1:23" ht="14.1" customHeight="1">
      <c r="A80" s="900">
        <v>16</v>
      </c>
      <c r="B80" s="902" t="s">
        <v>605</v>
      </c>
      <c r="C80" s="888">
        <v>5</v>
      </c>
      <c r="D80" s="888">
        <v>7</v>
      </c>
      <c r="E80" s="896">
        <f t="shared" si="26"/>
        <v>35</v>
      </c>
      <c r="F80" s="888">
        <v>5</v>
      </c>
      <c r="G80" s="896">
        <v>7</v>
      </c>
      <c r="H80" s="896">
        <f t="shared" si="27"/>
        <v>35</v>
      </c>
      <c r="I80" s="894">
        <f t="shared" si="35"/>
        <v>70</v>
      </c>
      <c r="J80" s="1103">
        <v>4</v>
      </c>
      <c r="K80" s="888">
        <v>6</v>
      </c>
      <c r="L80" s="896">
        <f t="shared" si="28"/>
        <v>12</v>
      </c>
      <c r="M80" s="1103">
        <f t="shared" si="29"/>
        <v>4</v>
      </c>
      <c r="N80" s="888">
        <v>6</v>
      </c>
      <c r="O80" s="896">
        <f t="shared" si="30"/>
        <v>12</v>
      </c>
      <c r="P80" s="1103">
        <f t="shared" si="31"/>
        <v>4</v>
      </c>
      <c r="Q80" s="896">
        <v>6</v>
      </c>
      <c r="R80" s="896">
        <f t="shared" si="32"/>
        <v>12</v>
      </c>
      <c r="S80" s="1103">
        <f t="shared" si="33"/>
        <v>4</v>
      </c>
      <c r="T80" s="896">
        <v>6</v>
      </c>
      <c r="U80" s="896">
        <f t="shared" si="34"/>
        <v>12</v>
      </c>
      <c r="V80" s="894">
        <f t="shared" si="36"/>
        <v>48</v>
      </c>
      <c r="W80" s="888"/>
    </row>
    <row r="81" spans="1:24" ht="14.1" customHeight="1">
      <c r="A81" s="900">
        <v>17</v>
      </c>
      <c r="B81" s="902" t="s">
        <v>606</v>
      </c>
      <c r="C81" s="888">
        <v>5</v>
      </c>
      <c r="D81" s="888">
        <v>5.5</v>
      </c>
      <c r="E81" s="896">
        <f t="shared" si="26"/>
        <v>27.5</v>
      </c>
      <c r="F81" s="888">
        <v>5</v>
      </c>
      <c r="G81" s="896">
        <v>5</v>
      </c>
      <c r="H81" s="896">
        <f t="shared" si="27"/>
        <v>25</v>
      </c>
      <c r="I81" s="894">
        <f t="shared" si="35"/>
        <v>52.5</v>
      </c>
      <c r="J81" s="1103">
        <v>4</v>
      </c>
      <c r="K81" s="888">
        <v>5</v>
      </c>
      <c r="L81" s="896">
        <f t="shared" si="28"/>
        <v>10</v>
      </c>
      <c r="M81" s="1103">
        <f t="shared" si="29"/>
        <v>4</v>
      </c>
      <c r="N81" s="888">
        <v>5</v>
      </c>
      <c r="O81" s="896">
        <f t="shared" si="30"/>
        <v>10</v>
      </c>
      <c r="P81" s="1103">
        <f t="shared" si="31"/>
        <v>4</v>
      </c>
      <c r="Q81" s="896">
        <v>5</v>
      </c>
      <c r="R81" s="896">
        <f t="shared" si="32"/>
        <v>10</v>
      </c>
      <c r="S81" s="1103">
        <f t="shared" si="33"/>
        <v>4</v>
      </c>
      <c r="T81" s="896">
        <v>5</v>
      </c>
      <c r="U81" s="896">
        <f t="shared" si="34"/>
        <v>10</v>
      </c>
      <c r="V81" s="894">
        <f t="shared" si="36"/>
        <v>40</v>
      </c>
      <c r="W81" s="888"/>
    </row>
    <row r="82" spans="1:24" ht="14.1" customHeight="1">
      <c r="A82" s="900">
        <v>18</v>
      </c>
      <c r="B82" s="902" t="s">
        <v>607</v>
      </c>
      <c r="C82" s="888">
        <v>5</v>
      </c>
      <c r="D82" s="888">
        <v>6.5</v>
      </c>
      <c r="E82" s="896">
        <f t="shared" si="26"/>
        <v>32.5</v>
      </c>
      <c r="F82" s="888">
        <v>5</v>
      </c>
      <c r="G82" s="896">
        <v>5.5</v>
      </c>
      <c r="H82" s="896">
        <f t="shared" si="27"/>
        <v>27.5</v>
      </c>
      <c r="I82" s="894">
        <f t="shared" si="35"/>
        <v>60</v>
      </c>
      <c r="J82" s="1103">
        <v>4</v>
      </c>
      <c r="K82" s="888">
        <v>6</v>
      </c>
      <c r="L82" s="896">
        <f t="shared" si="28"/>
        <v>12</v>
      </c>
      <c r="M82" s="1103">
        <f t="shared" si="29"/>
        <v>4</v>
      </c>
      <c r="N82" s="888">
        <v>6</v>
      </c>
      <c r="O82" s="896">
        <f t="shared" si="30"/>
        <v>12</v>
      </c>
      <c r="P82" s="1103">
        <f t="shared" si="31"/>
        <v>4</v>
      </c>
      <c r="Q82" s="896">
        <v>5</v>
      </c>
      <c r="R82" s="896">
        <f t="shared" si="32"/>
        <v>10</v>
      </c>
      <c r="S82" s="1103">
        <f t="shared" si="33"/>
        <v>4</v>
      </c>
      <c r="T82" s="896">
        <v>5</v>
      </c>
      <c r="U82" s="896">
        <f t="shared" si="34"/>
        <v>10</v>
      </c>
      <c r="V82" s="894">
        <f t="shared" si="36"/>
        <v>44</v>
      </c>
      <c r="W82" s="888"/>
    </row>
    <row r="83" spans="1:24" ht="14.1" customHeight="1">
      <c r="A83" s="900">
        <v>19</v>
      </c>
      <c r="B83" s="904" t="s">
        <v>608</v>
      </c>
      <c r="C83" s="888">
        <v>8</v>
      </c>
      <c r="D83" s="888">
        <v>4.5</v>
      </c>
      <c r="E83" s="896">
        <f t="shared" si="26"/>
        <v>36</v>
      </c>
      <c r="F83" s="888">
        <v>8</v>
      </c>
      <c r="G83" s="896">
        <v>4.5</v>
      </c>
      <c r="H83" s="896">
        <f t="shared" si="27"/>
        <v>36</v>
      </c>
      <c r="I83" s="894">
        <f t="shared" si="35"/>
        <v>72</v>
      </c>
      <c r="J83" s="1103">
        <v>4</v>
      </c>
      <c r="K83" s="888">
        <v>4</v>
      </c>
      <c r="L83" s="896">
        <f t="shared" si="28"/>
        <v>8</v>
      </c>
      <c r="M83" s="1103">
        <f t="shared" si="29"/>
        <v>4</v>
      </c>
      <c r="N83" s="888">
        <v>4</v>
      </c>
      <c r="O83" s="896">
        <f t="shared" si="30"/>
        <v>8</v>
      </c>
      <c r="P83" s="1103">
        <f t="shared" si="31"/>
        <v>4</v>
      </c>
      <c r="Q83" s="896">
        <v>4</v>
      </c>
      <c r="R83" s="896">
        <f t="shared" si="32"/>
        <v>8</v>
      </c>
      <c r="S83" s="1103">
        <f t="shared" si="33"/>
        <v>4</v>
      </c>
      <c r="T83" s="896">
        <v>4</v>
      </c>
      <c r="U83" s="896">
        <f t="shared" si="34"/>
        <v>8</v>
      </c>
      <c r="V83" s="894">
        <f t="shared" si="36"/>
        <v>32</v>
      </c>
      <c r="W83" s="888"/>
    </row>
    <row r="84" spans="1:24" ht="14.1" customHeight="1">
      <c r="A84" s="900">
        <v>20</v>
      </c>
      <c r="B84" s="904" t="s">
        <v>609</v>
      </c>
      <c r="C84" s="888">
        <v>8</v>
      </c>
      <c r="D84" s="888">
        <v>6</v>
      </c>
      <c r="E84" s="896">
        <f t="shared" si="26"/>
        <v>48</v>
      </c>
      <c r="F84" s="888">
        <v>8</v>
      </c>
      <c r="G84" s="896">
        <v>6</v>
      </c>
      <c r="H84" s="896">
        <f t="shared" si="27"/>
        <v>48</v>
      </c>
      <c r="I84" s="894">
        <f t="shared" si="35"/>
        <v>96</v>
      </c>
      <c r="J84" s="1103">
        <v>4</v>
      </c>
      <c r="K84" s="888">
        <v>5</v>
      </c>
      <c r="L84" s="896">
        <f t="shared" si="28"/>
        <v>10</v>
      </c>
      <c r="M84" s="1103">
        <f t="shared" si="29"/>
        <v>4</v>
      </c>
      <c r="N84" s="888">
        <v>5</v>
      </c>
      <c r="O84" s="896">
        <f t="shared" si="30"/>
        <v>10</v>
      </c>
      <c r="P84" s="1103">
        <f t="shared" si="31"/>
        <v>4</v>
      </c>
      <c r="Q84" s="896">
        <v>5</v>
      </c>
      <c r="R84" s="896">
        <f t="shared" si="32"/>
        <v>10</v>
      </c>
      <c r="S84" s="1103">
        <f t="shared" si="33"/>
        <v>4</v>
      </c>
      <c r="T84" s="896">
        <v>5</v>
      </c>
      <c r="U84" s="896">
        <f t="shared" si="34"/>
        <v>10</v>
      </c>
      <c r="V84" s="894">
        <f t="shared" si="36"/>
        <v>40</v>
      </c>
      <c r="W84" s="888"/>
    </row>
    <row r="85" spans="1:24" ht="14.1" customHeight="1">
      <c r="A85" s="900">
        <v>21</v>
      </c>
      <c r="B85" s="904" t="s">
        <v>610</v>
      </c>
      <c r="C85" s="888">
        <v>8</v>
      </c>
      <c r="D85" s="888">
        <v>4</v>
      </c>
      <c r="E85" s="896">
        <f t="shared" si="26"/>
        <v>32</v>
      </c>
      <c r="F85" s="888">
        <v>8</v>
      </c>
      <c r="G85" s="896">
        <v>4</v>
      </c>
      <c r="H85" s="896">
        <f t="shared" si="27"/>
        <v>32</v>
      </c>
      <c r="I85" s="894">
        <f t="shared" si="35"/>
        <v>64</v>
      </c>
      <c r="J85" s="1103">
        <v>4</v>
      </c>
      <c r="K85" s="888">
        <v>4</v>
      </c>
      <c r="L85" s="896">
        <f t="shared" si="28"/>
        <v>8</v>
      </c>
      <c r="M85" s="1103">
        <f t="shared" si="29"/>
        <v>4</v>
      </c>
      <c r="N85" s="888">
        <v>4</v>
      </c>
      <c r="O85" s="896">
        <f t="shared" si="30"/>
        <v>8</v>
      </c>
      <c r="P85" s="1103">
        <f t="shared" si="31"/>
        <v>4</v>
      </c>
      <c r="Q85" s="896">
        <v>4</v>
      </c>
      <c r="R85" s="896">
        <f t="shared" si="32"/>
        <v>8</v>
      </c>
      <c r="S85" s="1103">
        <f t="shared" si="33"/>
        <v>4</v>
      </c>
      <c r="T85" s="896">
        <v>4</v>
      </c>
      <c r="U85" s="896">
        <f t="shared" si="34"/>
        <v>8</v>
      </c>
      <c r="V85" s="894">
        <f t="shared" si="36"/>
        <v>32</v>
      </c>
      <c r="W85" s="888"/>
    </row>
    <row r="86" spans="1:24" ht="14.1" customHeight="1">
      <c r="A86" s="900">
        <v>22</v>
      </c>
      <c r="B86" s="904" t="s">
        <v>611</v>
      </c>
      <c r="C86" s="888">
        <v>8</v>
      </c>
      <c r="D86" s="888">
        <v>5</v>
      </c>
      <c r="E86" s="896">
        <f t="shared" si="26"/>
        <v>40</v>
      </c>
      <c r="F86" s="888">
        <v>8</v>
      </c>
      <c r="G86" s="896">
        <v>5</v>
      </c>
      <c r="H86" s="896">
        <f t="shared" si="27"/>
        <v>40</v>
      </c>
      <c r="I86" s="894">
        <f t="shared" si="35"/>
        <v>80</v>
      </c>
      <c r="J86" s="1103">
        <v>4</v>
      </c>
      <c r="K86" s="888">
        <v>4</v>
      </c>
      <c r="L86" s="896">
        <f t="shared" si="28"/>
        <v>8</v>
      </c>
      <c r="M86" s="1103">
        <f t="shared" si="29"/>
        <v>4</v>
      </c>
      <c r="N86" s="888">
        <v>4</v>
      </c>
      <c r="O86" s="896">
        <f t="shared" si="30"/>
        <v>8</v>
      </c>
      <c r="P86" s="1103">
        <f t="shared" si="31"/>
        <v>4</v>
      </c>
      <c r="Q86" s="896">
        <v>4</v>
      </c>
      <c r="R86" s="896">
        <f t="shared" si="32"/>
        <v>8</v>
      </c>
      <c r="S86" s="1103">
        <f t="shared" si="33"/>
        <v>4</v>
      </c>
      <c r="T86" s="896">
        <v>4</v>
      </c>
      <c r="U86" s="896">
        <f t="shared" si="34"/>
        <v>8</v>
      </c>
      <c r="V86" s="894">
        <f t="shared" si="36"/>
        <v>32</v>
      </c>
      <c r="W86" s="888"/>
    </row>
    <row r="87" spans="1:24" s="909" customFormat="1" ht="14.1" customHeight="1">
      <c r="A87" s="1385" t="s">
        <v>944</v>
      </c>
      <c r="B87" s="1385"/>
      <c r="C87" s="874"/>
      <c r="D87" s="874"/>
      <c r="E87" s="874">
        <f>E88+E98</f>
        <v>923.95</v>
      </c>
      <c r="F87" s="874"/>
      <c r="G87" s="874"/>
      <c r="H87" s="874">
        <f>H88+H98</f>
        <v>912.75</v>
      </c>
      <c r="I87" s="912">
        <f t="shared" si="35"/>
        <v>1836.7</v>
      </c>
      <c r="J87" s="980"/>
      <c r="K87" s="912"/>
      <c r="L87" s="874">
        <f>L88+L98</f>
        <v>280.25</v>
      </c>
      <c r="M87" s="980"/>
      <c r="N87" s="874"/>
      <c r="O87" s="874">
        <f>O88+O98</f>
        <v>278.25</v>
      </c>
      <c r="P87" s="980"/>
      <c r="Q87" s="874"/>
      <c r="R87" s="874">
        <f>R88+R98</f>
        <v>279.75</v>
      </c>
      <c r="S87" s="980"/>
      <c r="T87" s="874"/>
      <c r="U87" s="874">
        <f>U88+U98</f>
        <v>279.75</v>
      </c>
      <c r="V87" s="912">
        <f t="shared" si="36"/>
        <v>1118</v>
      </c>
      <c r="W87" s="910"/>
      <c r="X87" s="1109">
        <f>V87*2</f>
        <v>2236</v>
      </c>
    </row>
    <row r="88" spans="1:24" s="909" customFormat="1" ht="14.1" customHeight="1">
      <c r="A88" s="1384" t="s">
        <v>612</v>
      </c>
      <c r="B88" s="1384"/>
      <c r="C88" s="879"/>
      <c r="D88" s="879"/>
      <c r="E88" s="878">
        <f>SUM(E89:E97)</f>
        <v>190</v>
      </c>
      <c r="F88" s="878"/>
      <c r="G88" s="878"/>
      <c r="H88" s="878">
        <f>SUM(H89:H97)</f>
        <v>190</v>
      </c>
      <c r="I88" s="912">
        <f t="shared" si="35"/>
        <v>380</v>
      </c>
      <c r="J88" s="980"/>
      <c r="K88" s="912"/>
      <c r="L88" s="878">
        <f>SUM(L89:L97)</f>
        <v>20</v>
      </c>
      <c r="M88" s="980"/>
      <c r="N88" s="878"/>
      <c r="O88" s="878">
        <f>SUM(O89:O97)</f>
        <v>20</v>
      </c>
      <c r="P88" s="980"/>
      <c r="Q88" s="878"/>
      <c r="R88" s="878">
        <f>SUM(R89:R97)</f>
        <v>20</v>
      </c>
      <c r="S88" s="980"/>
      <c r="T88" s="878"/>
      <c r="U88" s="878">
        <f>SUM(U89:U97)</f>
        <v>20</v>
      </c>
      <c r="V88" s="912">
        <f t="shared" si="36"/>
        <v>80</v>
      </c>
      <c r="W88" s="911"/>
    </row>
    <row r="89" spans="1:24" ht="14.1" customHeight="1">
      <c r="A89" s="900">
        <v>1</v>
      </c>
      <c r="B89" s="902" t="s">
        <v>613</v>
      </c>
      <c r="C89" s="888">
        <v>9.5</v>
      </c>
      <c r="D89" s="888">
        <v>1</v>
      </c>
      <c r="E89" s="896">
        <f>C89*D89</f>
        <v>9.5</v>
      </c>
      <c r="F89" s="888">
        <v>9.5</v>
      </c>
      <c r="G89" s="888">
        <v>1</v>
      </c>
      <c r="H89" s="896">
        <f>F89*G89</f>
        <v>9.5</v>
      </c>
      <c r="I89" s="894">
        <f t="shared" si="35"/>
        <v>19</v>
      </c>
      <c r="J89" s="1103">
        <v>2</v>
      </c>
      <c r="K89" s="888">
        <v>1</v>
      </c>
      <c r="L89" s="896">
        <f>J89*K89/2</f>
        <v>1</v>
      </c>
      <c r="M89" s="1103">
        <v>2</v>
      </c>
      <c r="N89" s="888">
        <v>1</v>
      </c>
      <c r="O89" s="896">
        <f>M89*N89/2</f>
        <v>1</v>
      </c>
      <c r="P89" s="1103">
        <v>2</v>
      </c>
      <c r="Q89" s="888">
        <v>1</v>
      </c>
      <c r="R89" s="888">
        <f>P89*Q89/2</f>
        <v>1</v>
      </c>
      <c r="S89" s="1103">
        <v>2</v>
      </c>
      <c r="T89" s="888">
        <v>1</v>
      </c>
      <c r="U89" s="896">
        <f>S89*T89/2</f>
        <v>1</v>
      </c>
      <c r="V89" s="894">
        <f t="shared" si="36"/>
        <v>4</v>
      </c>
      <c r="W89" s="888"/>
    </row>
    <row r="90" spans="1:24" ht="14.1" customHeight="1">
      <c r="A90" s="900">
        <v>2</v>
      </c>
      <c r="B90" s="902" t="s">
        <v>614</v>
      </c>
      <c r="C90" s="888">
        <v>9.5</v>
      </c>
      <c r="D90" s="888">
        <v>2</v>
      </c>
      <c r="E90" s="896">
        <f t="shared" ref="E90:E97" si="37">C90*D90</f>
        <v>19</v>
      </c>
      <c r="F90" s="888">
        <v>9.5</v>
      </c>
      <c r="G90" s="888">
        <v>2</v>
      </c>
      <c r="H90" s="896">
        <f t="shared" ref="H90:H97" si="38">F90*G90</f>
        <v>19</v>
      </c>
      <c r="I90" s="894">
        <f t="shared" si="35"/>
        <v>38</v>
      </c>
      <c r="J90" s="1103">
        <v>2</v>
      </c>
      <c r="K90" s="888">
        <v>2</v>
      </c>
      <c r="L90" s="896">
        <f t="shared" ref="L90:L97" si="39">J90*K90/2</f>
        <v>2</v>
      </c>
      <c r="M90" s="1103">
        <v>2</v>
      </c>
      <c r="N90" s="888">
        <v>2</v>
      </c>
      <c r="O90" s="896">
        <f t="shared" ref="O90:O97" si="40">M90*N90/2</f>
        <v>2</v>
      </c>
      <c r="P90" s="1103">
        <v>2</v>
      </c>
      <c r="Q90" s="888">
        <v>2</v>
      </c>
      <c r="R90" s="888">
        <f t="shared" ref="R90:R97" si="41">P90*Q90/2</f>
        <v>2</v>
      </c>
      <c r="S90" s="1103">
        <v>2</v>
      </c>
      <c r="T90" s="888">
        <v>2</v>
      </c>
      <c r="U90" s="896">
        <f t="shared" ref="U90:U97" si="42">S90*T90/2</f>
        <v>2</v>
      </c>
      <c r="V90" s="894">
        <f t="shared" si="36"/>
        <v>8</v>
      </c>
      <c r="W90" s="888"/>
    </row>
    <row r="91" spans="1:24" ht="14.1" customHeight="1">
      <c r="A91" s="900">
        <v>3</v>
      </c>
      <c r="B91" s="902" t="s">
        <v>615</v>
      </c>
      <c r="C91" s="888">
        <v>9.5</v>
      </c>
      <c r="D91" s="888">
        <v>3</v>
      </c>
      <c r="E91" s="896">
        <f t="shared" si="37"/>
        <v>28.5</v>
      </c>
      <c r="F91" s="888">
        <v>9.5</v>
      </c>
      <c r="G91" s="888">
        <v>3</v>
      </c>
      <c r="H91" s="896">
        <f t="shared" si="38"/>
        <v>28.5</v>
      </c>
      <c r="I91" s="894">
        <f t="shared" si="35"/>
        <v>57</v>
      </c>
      <c r="J91" s="1103">
        <v>2</v>
      </c>
      <c r="K91" s="888">
        <v>3</v>
      </c>
      <c r="L91" s="896">
        <f t="shared" si="39"/>
        <v>3</v>
      </c>
      <c r="M91" s="1103">
        <v>2</v>
      </c>
      <c r="N91" s="888">
        <v>3</v>
      </c>
      <c r="O91" s="896">
        <f t="shared" si="40"/>
        <v>3</v>
      </c>
      <c r="P91" s="1103">
        <v>2</v>
      </c>
      <c r="Q91" s="888">
        <v>3</v>
      </c>
      <c r="R91" s="888">
        <f t="shared" si="41"/>
        <v>3</v>
      </c>
      <c r="S91" s="1103">
        <v>2</v>
      </c>
      <c r="T91" s="888">
        <v>3</v>
      </c>
      <c r="U91" s="896">
        <f t="shared" si="42"/>
        <v>3</v>
      </c>
      <c r="V91" s="894">
        <f t="shared" si="36"/>
        <v>12</v>
      </c>
      <c r="W91" s="888"/>
    </row>
    <row r="92" spans="1:24" ht="14.1" customHeight="1">
      <c r="A92" s="900">
        <v>4</v>
      </c>
      <c r="B92" s="902" t="s">
        <v>616</v>
      </c>
      <c r="C92" s="888">
        <v>9.5</v>
      </c>
      <c r="D92" s="888">
        <v>2.5</v>
      </c>
      <c r="E92" s="896">
        <f t="shared" si="37"/>
        <v>23.75</v>
      </c>
      <c r="F92" s="888">
        <v>9.5</v>
      </c>
      <c r="G92" s="888">
        <v>2.5</v>
      </c>
      <c r="H92" s="896">
        <f t="shared" si="38"/>
        <v>23.75</v>
      </c>
      <c r="I92" s="894">
        <f t="shared" si="35"/>
        <v>47.5</v>
      </c>
      <c r="J92" s="1103">
        <v>2</v>
      </c>
      <c r="K92" s="888">
        <v>2.5</v>
      </c>
      <c r="L92" s="896">
        <f t="shared" si="39"/>
        <v>2.5</v>
      </c>
      <c r="M92" s="1103">
        <v>2</v>
      </c>
      <c r="N92" s="888">
        <v>2.5</v>
      </c>
      <c r="O92" s="896">
        <f t="shared" si="40"/>
        <v>2.5</v>
      </c>
      <c r="P92" s="1103">
        <v>2</v>
      </c>
      <c r="Q92" s="888">
        <v>2.5</v>
      </c>
      <c r="R92" s="888">
        <f t="shared" si="41"/>
        <v>2.5</v>
      </c>
      <c r="S92" s="1103">
        <v>2</v>
      </c>
      <c r="T92" s="888">
        <v>2.5</v>
      </c>
      <c r="U92" s="896">
        <f t="shared" si="42"/>
        <v>2.5</v>
      </c>
      <c r="V92" s="894">
        <f t="shared" si="36"/>
        <v>10</v>
      </c>
      <c r="W92" s="888"/>
    </row>
    <row r="93" spans="1:24" ht="14.1" customHeight="1">
      <c r="A93" s="900">
        <v>5</v>
      </c>
      <c r="B93" s="902" t="s">
        <v>617</v>
      </c>
      <c r="C93" s="888">
        <v>9.5</v>
      </c>
      <c r="D93" s="888">
        <v>3</v>
      </c>
      <c r="E93" s="896">
        <f t="shared" si="37"/>
        <v>28.5</v>
      </c>
      <c r="F93" s="888">
        <v>9.5</v>
      </c>
      <c r="G93" s="888">
        <v>3</v>
      </c>
      <c r="H93" s="896">
        <f t="shared" si="38"/>
        <v>28.5</v>
      </c>
      <c r="I93" s="894">
        <f t="shared" si="35"/>
        <v>57</v>
      </c>
      <c r="J93" s="1103">
        <v>2</v>
      </c>
      <c r="K93" s="888">
        <v>3</v>
      </c>
      <c r="L93" s="896">
        <f t="shared" si="39"/>
        <v>3</v>
      </c>
      <c r="M93" s="1103">
        <v>2</v>
      </c>
      <c r="N93" s="888">
        <v>3</v>
      </c>
      <c r="O93" s="896">
        <f t="shared" si="40"/>
        <v>3</v>
      </c>
      <c r="P93" s="1103">
        <v>2</v>
      </c>
      <c r="Q93" s="888">
        <v>3</v>
      </c>
      <c r="R93" s="888">
        <f t="shared" si="41"/>
        <v>3</v>
      </c>
      <c r="S93" s="1103">
        <v>2</v>
      </c>
      <c r="T93" s="888">
        <v>3</v>
      </c>
      <c r="U93" s="896">
        <f t="shared" si="42"/>
        <v>3</v>
      </c>
      <c r="V93" s="894">
        <f t="shared" si="36"/>
        <v>12</v>
      </c>
      <c r="W93" s="888"/>
    </row>
    <row r="94" spans="1:24" ht="14.1" customHeight="1">
      <c r="A94" s="900">
        <v>6</v>
      </c>
      <c r="B94" s="902" t="s">
        <v>618</v>
      </c>
      <c r="C94" s="888">
        <v>9.5</v>
      </c>
      <c r="D94" s="888">
        <v>2</v>
      </c>
      <c r="E94" s="896">
        <f t="shared" si="37"/>
        <v>19</v>
      </c>
      <c r="F94" s="888">
        <v>9.5</v>
      </c>
      <c r="G94" s="888">
        <v>2</v>
      </c>
      <c r="H94" s="896">
        <f t="shared" si="38"/>
        <v>19</v>
      </c>
      <c r="I94" s="894">
        <f t="shared" si="35"/>
        <v>38</v>
      </c>
      <c r="J94" s="1103">
        <v>2</v>
      </c>
      <c r="K94" s="888">
        <v>2</v>
      </c>
      <c r="L94" s="896">
        <f t="shared" si="39"/>
        <v>2</v>
      </c>
      <c r="M94" s="1103">
        <v>2</v>
      </c>
      <c r="N94" s="888">
        <v>2</v>
      </c>
      <c r="O94" s="896">
        <f t="shared" si="40"/>
        <v>2</v>
      </c>
      <c r="P94" s="1103">
        <v>2</v>
      </c>
      <c r="Q94" s="888">
        <v>2</v>
      </c>
      <c r="R94" s="888">
        <f t="shared" si="41"/>
        <v>2</v>
      </c>
      <c r="S94" s="1103">
        <v>2</v>
      </c>
      <c r="T94" s="888">
        <v>2</v>
      </c>
      <c r="U94" s="896">
        <f t="shared" si="42"/>
        <v>2</v>
      </c>
      <c r="V94" s="894">
        <f t="shared" si="36"/>
        <v>8</v>
      </c>
      <c r="W94" s="888"/>
    </row>
    <row r="95" spans="1:24" ht="14.1" customHeight="1">
      <c r="A95" s="900">
        <v>7</v>
      </c>
      <c r="B95" s="902" t="s">
        <v>619</v>
      </c>
      <c r="C95" s="888">
        <v>9.5</v>
      </c>
      <c r="D95" s="888">
        <v>2</v>
      </c>
      <c r="E95" s="896">
        <f t="shared" si="37"/>
        <v>19</v>
      </c>
      <c r="F95" s="888">
        <v>9.5</v>
      </c>
      <c r="G95" s="888">
        <v>2</v>
      </c>
      <c r="H95" s="896">
        <f t="shared" si="38"/>
        <v>19</v>
      </c>
      <c r="I95" s="894">
        <f t="shared" si="35"/>
        <v>38</v>
      </c>
      <c r="J95" s="1103">
        <v>2</v>
      </c>
      <c r="K95" s="888">
        <v>2</v>
      </c>
      <c r="L95" s="896">
        <f t="shared" si="39"/>
        <v>2</v>
      </c>
      <c r="M95" s="1103">
        <v>2</v>
      </c>
      <c r="N95" s="888">
        <v>2</v>
      </c>
      <c r="O95" s="896">
        <f t="shared" si="40"/>
        <v>2</v>
      </c>
      <c r="P95" s="1103">
        <v>2</v>
      </c>
      <c r="Q95" s="888">
        <v>2</v>
      </c>
      <c r="R95" s="888">
        <f t="shared" si="41"/>
        <v>2</v>
      </c>
      <c r="S95" s="1103">
        <v>2</v>
      </c>
      <c r="T95" s="888">
        <v>2</v>
      </c>
      <c r="U95" s="896">
        <f t="shared" si="42"/>
        <v>2</v>
      </c>
      <c r="V95" s="894">
        <f t="shared" si="36"/>
        <v>8</v>
      </c>
      <c r="W95" s="888"/>
    </row>
    <row r="96" spans="1:24" ht="14.1" customHeight="1">
      <c r="A96" s="900">
        <v>8</v>
      </c>
      <c r="B96" s="902" t="s">
        <v>620</v>
      </c>
      <c r="C96" s="888">
        <v>9.5</v>
      </c>
      <c r="D96" s="888">
        <v>3</v>
      </c>
      <c r="E96" s="896">
        <f t="shared" si="37"/>
        <v>28.5</v>
      </c>
      <c r="F96" s="888">
        <v>9.5</v>
      </c>
      <c r="G96" s="888">
        <v>3</v>
      </c>
      <c r="H96" s="896">
        <f t="shared" si="38"/>
        <v>28.5</v>
      </c>
      <c r="I96" s="894">
        <f t="shared" si="35"/>
        <v>57</v>
      </c>
      <c r="J96" s="1103">
        <v>2</v>
      </c>
      <c r="K96" s="888">
        <v>3</v>
      </c>
      <c r="L96" s="896">
        <f t="shared" si="39"/>
        <v>3</v>
      </c>
      <c r="M96" s="1103">
        <v>2</v>
      </c>
      <c r="N96" s="888">
        <v>3</v>
      </c>
      <c r="O96" s="896">
        <f t="shared" si="40"/>
        <v>3</v>
      </c>
      <c r="P96" s="1103">
        <v>2</v>
      </c>
      <c r="Q96" s="888">
        <v>3</v>
      </c>
      <c r="R96" s="888">
        <f t="shared" si="41"/>
        <v>3</v>
      </c>
      <c r="S96" s="1103">
        <v>2</v>
      </c>
      <c r="T96" s="888">
        <v>3</v>
      </c>
      <c r="U96" s="896">
        <f t="shared" si="42"/>
        <v>3</v>
      </c>
      <c r="V96" s="894">
        <f t="shared" si="36"/>
        <v>12</v>
      </c>
      <c r="W96" s="888"/>
    </row>
    <row r="97" spans="1:25" ht="14.1" customHeight="1">
      <c r="A97" s="900">
        <v>9</v>
      </c>
      <c r="B97" s="902" t="s">
        <v>621</v>
      </c>
      <c r="C97" s="888">
        <v>9.5</v>
      </c>
      <c r="D97" s="888">
        <v>1.5</v>
      </c>
      <c r="E97" s="896">
        <f t="shared" si="37"/>
        <v>14.25</v>
      </c>
      <c r="F97" s="888">
        <v>9.5</v>
      </c>
      <c r="G97" s="888">
        <v>1.5</v>
      </c>
      <c r="H97" s="896">
        <f t="shared" si="38"/>
        <v>14.25</v>
      </c>
      <c r="I97" s="894">
        <f t="shared" si="35"/>
        <v>28.5</v>
      </c>
      <c r="J97" s="1103">
        <v>2</v>
      </c>
      <c r="K97" s="888">
        <v>1.5</v>
      </c>
      <c r="L97" s="896">
        <f t="shared" si="39"/>
        <v>1.5</v>
      </c>
      <c r="M97" s="1103">
        <v>2</v>
      </c>
      <c r="N97" s="888">
        <v>1.5</v>
      </c>
      <c r="O97" s="896">
        <f t="shared" si="40"/>
        <v>1.5</v>
      </c>
      <c r="P97" s="1103">
        <v>2</v>
      </c>
      <c r="Q97" s="888">
        <v>1.5</v>
      </c>
      <c r="R97" s="888">
        <f t="shared" si="41"/>
        <v>1.5</v>
      </c>
      <c r="S97" s="1103">
        <v>2</v>
      </c>
      <c r="T97" s="888">
        <v>1.5</v>
      </c>
      <c r="U97" s="896">
        <f t="shared" si="42"/>
        <v>1.5</v>
      </c>
      <c r="V97" s="894">
        <f t="shared" si="36"/>
        <v>6</v>
      </c>
      <c r="W97" s="888"/>
    </row>
    <row r="98" spans="1:25" s="909" customFormat="1" ht="14.1" customHeight="1">
      <c r="A98" s="1384" t="s">
        <v>622</v>
      </c>
      <c r="B98" s="1384"/>
      <c r="C98" s="876"/>
      <c r="D98" s="876"/>
      <c r="E98" s="876">
        <f>SUM(E99:E123)</f>
        <v>733.95</v>
      </c>
      <c r="F98" s="876"/>
      <c r="G98" s="876"/>
      <c r="H98" s="876">
        <f>SUM(H99:H123)</f>
        <v>722.75</v>
      </c>
      <c r="I98" s="913">
        <f t="shared" si="35"/>
        <v>1456.7</v>
      </c>
      <c r="J98" s="980"/>
      <c r="K98" s="913"/>
      <c r="L98" s="876">
        <f>SUM(L99:L123)</f>
        <v>260.25</v>
      </c>
      <c r="M98" s="980"/>
      <c r="N98" s="876"/>
      <c r="O98" s="876">
        <f>SUM(O99:O123)</f>
        <v>258.25</v>
      </c>
      <c r="P98" s="980"/>
      <c r="Q98" s="876"/>
      <c r="R98" s="876">
        <f>SUM(R99:R123)</f>
        <v>259.75</v>
      </c>
      <c r="S98" s="980"/>
      <c r="T98" s="876"/>
      <c r="U98" s="876">
        <f>SUM(U99:U123)</f>
        <v>259.75</v>
      </c>
      <c r="V98" s="921">
        <f t="shared" si="36"/>
        <v>1038</v>
      </c>
      <c r="W98" s="880"/>
      <c r="X98" s="851"/>
    </row>
    <row r="99" spans="1:25" s="982" customFormat="1" ht="14.1" customHeight="1">
      <c r="A99" s="1110">
        <v>1</v>
      </c>
      <c r="B99" s="1111" t="s">
        <v>623</v>
      </c>
      <c r="C99" s="1112">
        <v>7</v>
      </c>
      <c r="D99" s="1112">
        <v>4.5</v>
      </c>
      <c r="E99" s="1112">
        <f>C99*D99</f>
        <v>31.5</v>
      </c>
      <c r="F99" s="1112">
        <v>7</v>
      </c>
      <c r="G99" s="1112">
        <v>4.5</v>
      </c>
      <c r="H99" s="1112">
        <f>F99*G99</f>
        <v>31.5</v>
      </c>
      <c r="I99" s="1113">
        <f t="shared" si="35"/>
        <v>63</v>
      </c>
      <c r="J99" s="1103">
        <v>4</v>
      </c>
      <c r="K99" s="1112">
        <v>4</v>
      </c>
      <c r="L99" s="1112">
        <f>J99*K99/2</f>
        <v>8</v>
      </c>
      <c r="M99" s="1103">
        <v>3</v>
      </c>
      <c r="N99" s="1112">
        <v>4</v>
      </c>
      <c r="O99" s="1112">
        <f>M99*N99/2</f>
        <v>6</v>
      </c>
      <c r="P99" s="1103">
        <v>3</v>
      </c>
      <c r="Q99" s="1112">
        <v>4</v>
      </c>
      <c r="R99" s="1112">
        <f>P99*Q99/2</f>
        <v>6</v>
      </c>
      <c r="S99" s="1103">
        <v>3</v>
      </c>
      <c r="T99" s="1112">
        <v>4</v>
      </c>
      <c r="U99" s="1112">
        <f>S99*T99/2</f>
        <v>6</v>
      </c>
      <c r="V99" s="1113">
        <f t="shared" si="36"/>
        <v>26</v>
      </c>
      <c r="W99" s="1112"/>
      <c r="Y99" s="1111" t="s">
        <v>623</v>
      </c>
    </row>
    <row r="100" spans="1:25" s="982" customFormat="1" ht="14.1" customHeight="1">
      <c r="A100" s="1110">
        <v>2</v>
      </c>
      <c r="B100" s="1114" t="s">
        <v>624</v>
      </c>
      <c r="C100" s="1112">
        <v>7</v>
      </c>
      <c r="D100" s="1112">
        <v>4.5</v>
      </c>
      <c r="E100" s="1112">
        <f t="shared" ref="E100:E123" si="43">C100*D100</f>
        <v>31.5</v>
      </c>
      <c r="F100" s="1112">
        <v>7</v>
      </c>
      <c r="G100" s="1112">
        <v>4.5</v>
      </c>
      <c r="H100" s="1112">
        <f t="shared" ref="H100:H123" si="44">F100*G100</f>
        <v>31.5</v>
      </c>
      <c r="I100" s="1113">
        <f t="shared" si="35"/>
        <v>63</v>
      </c>
      <c r="J100" s="1103">
        <v>5</v>
      </c>
      <c r="K100" s="1112">
        <v>5</v>
      </c>
      <c r="L100" s="1112">
        <f t="shared" ref="L100:L123" si="45">J100*K100/2</f>
        <v>12.5</v>
      </c>
      <c r="M100" s="1103">
        <v>5</v>
      </c>
      <c r="N100" s="1112">
        <v>5</v>
      </c>
      <c r="O100" s="1112">
        <f t="shared" ref="O100:O123" si="46">M100*N100/2</f>
        <v>12.5</v>
      </c>
      <c r="P100" s="1103">
        <v>5</v>
      </c>
      <c r="Q100" s="1112">
        <v>5</v>
      </c>
      <c r="R100" s="1112">
        <f t="shared" ref="R100:R123" si="47">P100*Q100/2</f>
        <v>12.5</v>
      </c>
      <c r="S100" s="1103">
        <v>5</v>
      </c>
      <c r="T100" s="1112">
        <v>5</v>
      </c>
      <c r="U100" s="1112">
        <f t="shared" ref="U100:U123" si="48">S100*T100/2</f>
        <v>12.5</v>
      </c>
      <c r="V100" s="1113">
        <f t="shared" si="36"/>
        <v>50</v>
      </c>
      <c r="W100" s="1112"/>
      <c r="Y100" s="1114" t="s">
        <v>624</v>
      </c>
    </row>
    <row r="101" spans="1:25" s="982" customFormat="1" ht="14.1" customHeight="1">
      <c r="A101" s="1110">
        <v>3</v>
      </c>
      <c r="B101" s="1114" t="s">
        <v>625</v>
      </c>
      <c r="C101" s="1112">
        <v>7</v>
      </c>
      <c r="D101" s="1112">
        <v>5.8</v>
      </c>
      <c r="E101" s="1112">
        <f t="shared" si="43"/>
        <v>40.6</v>
      </c>
      <c r="F101" s="1112">
        <v>7</v>
      </c>
      <c r="G101" s="1112">
        <v>5.5</v>
      </c>
      <c r="H101" s="1112">
        <f t="shared" si="44"/>
        <v>38.5</v>
      </c>
      <c r="I101" s="1113">
        <f t="shared" si="35"/>
        <v>79.099999999999994</v>
      </c>
      <c r="J101" s="1103">
        <v>5</v>
      </c>
      <c r="K101" s="1112">
        <v>5</v>
      </c>
      <c r="L101" s="1112">
        <f t="shared" si="45"/>
        <v>12.5</v>
      </c>
      <c r="M101" s="1103">
        <v>5</v>
      </c>
      <c r="N101" s="1112">
        <v>5</v>
      </c>
      <c r="O101" s="1112">
        <f t="shared" si="46"/>
        <v>12.5</v>
      </c>
      <c r="P101" s="1103">
        <v>5</v>
      </c>
      <c r="Q101" s="1112">
        <v>5</v>
      </c>
      <c r="R101" s="1112">
        <f t="shared" si="47"/>
        <v>12.5</v>
      </c>
      <c r="S101" s="1103">
        <v>5</v>
      </c>
      <c r="T101" s="1112">
        <v>5</v>
      </c>
      <c r="U101" s="1112">
        <f t="shared" si="48"/>
        <v>12.5</v>
      </c>
      <c r="V101" s="1113">
        <f t="shared" si="36"/>
        <v>50</v>
      </c>
      <c r="W101" s="1112"/>
      <c r="Y101" s="1114" t="s">
        <v>625</v>
      </c>
    </row>
    <row r="102" spans="1:25" ht="14.1" customHeight="1">
      <c r="A102" s="900">
        <v>4</v>
      </c>
      <c r="B102" s="904" t="s">
        <v>626</v>
      </c>
      <c r="C102" s="888">
        <v>7</v>
      </c>
      <c r="D102" s="888">
        <v>5</v>
      </c>
      <c r="E102" s="888">
        <f t="shared" si="43"/>
        <v>35</v>
      </c>
      <c r="F102" s="888">
        <v>7</v>
      </c>
      <c r="G102" s="888">
        <v>5</v>
      </c>
      <c r="H102" s="888">
        <f t="shared" si="44"/>
        <v>35</v>
      </c>
      <c r="I102" s="894">
        <f t="shared" si="35"/>
        <v>70</v>
      </c>
      <c r="J102" s="1103">
        <v>5</v>
      </c>
      <c r="K102" s="888">
        <v>5</v>
      </c>
      <c r="L102" s="888">
        <f t="shared" si="45"/>
        <v>12.5</v>
      </c>
      <c r="M102" s="1103">
        <v>5</v>
      </c>
      <c r="N102" s="888">
        <v>5</v>
      </c>
      <c r="O102" s="888">
        <f t="shared" si="46"/>
        <v>12.5</v>
      </c>
      <c r="P102" s="1103">
        <v>5</v>
      </c>
      <c r="Q102" s="888">
        <v>5</v>
      </c>
      <c r="R102" s="888">
        <f t="shared" si="47"/>
        <v>12.5</v>
      </c>
      <c r="S102" s="1103">
        <v>5</v>
      </c>
      <c r="T102" s="888">
        <v>5</v>
      </c>
      <c r="U102" s="888">
        <f t="shared" si="48"/>
        <v>12.5</v>
      </c>
      <c r="V102" s="894">
        <f t="shared" si="36"/>
        <v>50</v>
      </c>
      <c r="W102" s="888"/>
      <c r="Y102" s="904"/>
    </row>
    <row r="103" spans="1:25" ht="14.1" customHeight="1">
      <c r="A103" s="900">
        <v>5</v>
      </c>
      <c r="B103" s="902" t="s">
        <v>627</v>
      </c>
      <c r="C103" s="888">
        <v>7</v>
      </c>
      <c r="D103" s="888">
        <v>5</v>
      </c>
      <c r="E103" s="888">
        <f t="shared" si="43"/>
        <v>35</v>
      </c>
      <c r="F103" s="888">
        <v>7</v>
      </c>
      <c r="G103" s="888">
        <v>5</v>
      </c>
      <c r="H103" s="888">
        <f t="shared" si="44"/>
        <v>35</v>
      </c>
      <c r="I103" s="894">
        <f t="shared" si="35"/>
        <v>70</v>
      </c>
      <c r="J103" s="1103">
        <v>5</v>
      </c>
      <c r="K103" s="888">
        <v>5</v>
      </c>
      <c r="L103" s="888">
        <f t="shared" si="45"/>
        <v>12.5</v>
      </c>
      <c r="M103" s="1103">
        <v>5</v>
      </c>
      <c r="N103" s="888">
        <v>5</v>
      </c>
      <c r="O103" s="888">
        <f t="shared" si="46"/>
        <v>12.5</v>
      </c>
      <c r="P103" s="1103">
        <v>5</v>
      </c>
      <c r="Q103" s="888">
        <v>5</v>
      </c>
      <c r="R103" s="888">
        <f t="shared" si="47"/>
        <v>12.5</v>
      </c>
      <c r="S103" s="1103">
        <v>5</v>
      </c>
      <c r="T103" s="888">
        <v>5</v>
      </c>
      <c r="U103" s="888">
        <f t="shared" si="48"/>
        <v>12.5</v>
      </c>
      <c r="V103" s="894">
        <f t="shared" si="36"/>
        <v>50</v>
      </c>
      <c r="W103" s="888"/>
      <c r="Y103" s="902"/>
    </row>
    <row r="104" spans="1:25" s="982" customFormat="1" ht="14.1" customHeight="1">
      <c r="A104" s="1110">
        <v>6</v>
      </c>
      <c r="B104" s="1114" t="s">
        <v>628</v>
      </c>
      <c r="C104" s="1112">
        <v>7</v>
      </c>
      <c r="D104" s="1112">
        <v>5.8</v>
      </c>
      <c r="E104" s="1112">
        <f t="shared" si="43"/>
        <v>40.6</v>
      </c>
      <c r="F104" s="1112">
        <v>7</v>
      </c>
      <c r="G104" s="1112">
        <v>5</v>
      </c>
      <c r="H104" s="1112">
        <f t="shared" si="44"/>
        <v>35</v>
      </c>
      <c r="I104" s="1113">
        <f t="shared" si="35"/>
        <v>75.599999999999994</v>
      </c>
      <c r="J104" s="1103">
        <v>5</v>
      </c>
      <c r="K104" s="1112">
        <v>5</v>
      </c>
      <c r="L104" s="1112">
        <f t="shared" si="45"/>
        <v>12.5</v>
      </c>
      <c r="M104" s="1103">
        <v>5</v>
      </c>
      <c r="N104" s="1112">
        <v>5</v>
      </c>
      <c r="O104" s="1112">
        <f t="shared" si="46"/>
        <v>12.5</v>
      </c>
      <c r="P104" s="1103">
        <v>3</v>
      </c>
      <c r="Q104" s="1112">
        <v>5</v>
      </c>
      <c r="R104" s="1112">
        <f t="shared" si="47"/>
        <v>7.5</v>
      </c>
      <c r="S104" s="1103">
        <v>3</v>
      </c>
      <c r="T104" s="1112">
        <v>5</v>
      </c>
      <c r="U104" s="1112">
        <f t="shared" si="48"/>
        <v>7.5</v>
      </c>
      <c r="V104" s="1113">
        <f t="shared" si="36"/>
        <v>40</v>
      </c>
      <c r="W104" s="1112"/>
      <c r="Y104" s="1114" t="s">
        <v>628</v>
      </c>
    </row>
    <row r="105" spans="1:25" s="982" customFormat="1" ht="14.1" customHeight="1">
      <c r="A105" s="1110">
        <v>7</v>
      </c>
      <c r="B105" s="1114" t="s">
        <v>629</v>
      </c>
      <c r="C105" s="1112">
        <v>7</v>
      </c>
      <c r="D105" s="1112">
        <v>5.5</v>
      </c>
      <c r="E105" s="1112">
        <f t="shared" si="43"/>
        <v>38.5</v>
      </c>
      <c r="F105" s="1112">
        <v>7</v>
      </c>
      <c r="G105" s="1112">
        <v>5.5</v>
      </c>
      <c r="H105" s="1112">
        <f t="shared" si="44"/>
        <v>38.5</v>
      </c>
      <c r="I105" s="1113">
        <f t="shared" si="35"/>
        <v>77</v>
      </c>
      <c r="J105" s="1103">
        <v>5</v>
      </c>
      <c r="K105" s="1112">
        <v>5</v>
      </c>
      <c r="L105" s="1112">
        <f t="shared" si="45"/>
        <v>12.5</v>
      </c>
      <c r="M105" s="1103">
        <v>5</v>
      </c>
      <c r="N105" s="1112">
        <v>5</v>
      </c>
      <c r="O105" s="1112">
        <f t="shared" si="46"/>
        <v>12.5</v>
      </c>
      <c r="P105" s="1103">
        <v>4</v>
      </c>
      <c r="Q105" s="1112">
        <v>5</v>
      </c>
      <c r="R105" s="1112">
        <f t="shared" si="47"/>
        <v>10</v>
      </c>
      <c r="S105" s="1103">
        <v>4</v>
      </c>
      <c r="T105" s="1112">
        <v>5</v>
      </c>
      <c r="U105" s="1112">
        <f t="shared" si="48"/>
        <v>10</v>
      </c>
      <c r="V105" s="1113">
        <f t="shared" si="36"/>
        <v>45</v>
      </c>
      <c r="W105" s="1112"/>
      <c r="Y105" s="1114" t="s">
        <v>629</v>
      </c>
    </row>
    <row r="106" spans="1:25" s="982" customFormat="1" ht="14.1" customHeight="1">
      <c r="A106" s="1110">
        <v>8</v>
      </c>
      <c r="B106" s="1114" t="s">
        <v>630</v>
      </c>
      <c r="C106" s="1112">
        <v>7</v>
      </c>
      <c r="D106" s="1112">
        <v>5.5</v>
      </c>
      <c r="E106" s="1112">
        <f t="shared" si="43"/>
        <v>38.5</v>
      </c>
      <c r="F106" s="1112">
        <v>7</v>
      </c>
      <c r="G106" s="1112">
        <v>5.5</v>
      </c>
      <c r="H106" s="1112">
        <f t="shared" si="44"/>
        <v>38.5</v>
      </c>
      <c r="I106" s="1113">
        <f t="shared" si="35"/>
        <v>77</v>
      </c>
      <c r="J106" s="1103">
        <v>5</v>
      </c>
      <c r="K106" s="1112">
        <v>5</v>
      </c>
      <c r="L106" s="1112">
        <f t="shared" si="45"/>
        <v>12.5</v>
      </c>
      <c r="M106" s="1103">
        <v>5</v>
      </c>
      <c r="N106" s="1112">
        <v>5</v>
      </c>
      <c r="O106" s="1112">
        <f t="shared" si="46"/>
        <v>12.5</v>
      </c>
      <c r="P106" s="1103">
        <v>5</v>
      </c>
      <c r="Q106" s="1112">
        <v>5</v>
      </c>
      <c r="R106" s="1112">
        <f t="shared" si="47"/>
        <v>12.5</v>
      </c>
      <c r="S106" s="1103">
        <v>5</v>
      </c>
      <c r="T106" s="1112">
        <v>5</v>
      </c>
      <c r="U106" s="1112">
        <f t="shared" si="48"/>
        <v>12.5</v>
      </c>
      <c r="V106" s="1113">
        <f t="shared" si="36"/>
        <v>50</v>
      </c>
      <c r="W106" s="1112"/>
      <c r="Y106" s="1114" t="s">
        <v>630</v>
      </c>
    </row>
    <row r="107" spans="1:25" ht="14.1" customHeight="1">
      <c r="A107" s="900">
        <v>9</v>
      </c>
      <c r="B107" s="905" t="s">
        <v>631</v>
      </c>
      <c r="C107" s="888">
        <v>2.5</v>
      </c>
      <c r="D107" s="888">
        <v>1.5</v>
      </c>
      <c r="E107" s="888">
        <f t="shared" si="43"/>
        <v>3.75</v>
      </c>
      <c r="F107" s="888">
        <v>2.5</v>
      </c>
      <c r="G107" s="888">
        <v>1.5</v>
      </c>
      <c r="H107" s="888">
        <f t="shared" si="44"/>
        <v>3.75</v>
      </c>
      <c r="I107" s="894">
        <f t="shared" si="35"/>
        <v>7.5</v>
      </c>
      <c r="J107" s="1103">
        <v>3</v>
      </c>
      <c r="K107" s="888">
        <v>1.5</v>
      </c>
      <c r="L107" s="888">
        <f t="shared" si="45"/>
        <v>2.25</v>
      </c>
      <c r="M107" s="1103">
        <v>3</v>
      </c>
      <c r="N107" s="888">
        <v>1.5</v>
      </c>
      <c r="O107" s="888">
        <f t="shared" si="46"/>
        <v>2.25</v>
      </c>
      <c r="P107" s="1103">
        <v>3</v>
      </c>
      <c r="Q107" s="888">
        <v>1.5</v>
      </c>
      <c r="R107" s="888">
        <f t="shared" si="47"/>
        <v>2.25</v>
      </c>
      <c r="S107" s="1103">
        <v>3</v>
      </c>
      <c r="T107" s="888">
        <v>1.5</v>
      </c>
      <c r="U107" s="888">
        <f t="shared" si="48"/>
        <v>2.25</v>
      </c>
      <c r="V107" s="894">
        <f t="shared" si="36"/>
        <v>9</v>
      </c>
      <c r="W107" s="888"/>
      <c r="Y107" s="1111" t="s">
        <v>640</v>
      </c>
    </row>
    <row r="108" spans="1:25" ht="14.1" customHeight="1">
      <c r="A108" s="900">
        <v>10</v>
      </c>
      <c r="B108" s="905" t="s">
        <v>632</v>
      </c>
      <c r="C108" s="888">
        <v>2.5</v>
      </c>
      <c r="D108" s="888">
        <v>1</v>
      </c>
      <c r="E108" s="888">
        <f t="shared" si="43"/>
        <v>2.5</v>
      </c>
      <c r="F108" s="888">
        <v>2.5</v>
      </c>
      <c r="G108" s="888">
        <v>1</v>
      </c>
      <c r="H108" s="888">
        <f t="shared" si="44"/>
        <v>2.5</v>
      </c>
      <c r="I108" s="894">
        <f t="shared" si="35"/>
        <v>5</v>
      </c>
      <c r="J108" s="1103">
        <v>2</v>
      </c>
      <c r="K108" s="888">
        <v>1</v>
      </c>
      <c r="L108" s="888">
        <f t="shared" si="45"/>
        <v>1</v>
      </c>
      <c r="M108" s="1103">
        <v>2</v>
      </c>
      <c r="N108" s="888">
        <v>1</v>
      </c>
      <c r="O108" s="888">
        <f t="shared" si="46"/>
        <v>1</v>
      </c>
      <c r="P108" s="1103">
        <v>1</v>
      </c>
      <c r="Q108" s="888">
        <v>1</v>
      </c>
      <c r="R108" s="888">
        <f t="shared" si="47"/>
        <v>0.5</v>
      </c>
      <c r="S108" s="1103">
        <v>1</v>
      </c>
      <c r="T108" s="888">
        <v>1</v>
      </c>
      <c r="U108" s="888">
        <f t="shared" si="48"/>
        <v>0.5</v>
      </c>
      <c r="V108" s="894">
        <f t="shared" si="36"/>
        <v>3</v>
      </c>
      <c r="W108" s="888"/>
      <c r="Y108" s="1111" t="s">
        <v>641</v>
      </c>
    </row>
    <row r="109" spans="1:25" ht="14.1" customHeight="1">
      <c r="A109" s="900">
        <v>11</v>
      </c>
      <c r="B109" s="905" t="s">
        <v>633</v>
      </c>
      <c r="C109" s="888">
        <v>2.5</v>
      </c>
      <c r="D109" s="888">
        <v>1</v>
      </c>
      <c r="E109" s="888">
        <f t="shared" si="43"/>
        <v>2.5</v>
      </c>
      <c r="F109" s="888">
        <v>2.5</v>
      </c>
      <c r="G109" s="888">
        <v>1</v>
      </c>
      <c r="H109" s="888">
        <f t="shared" si="44"/>
        <v>2.5</v>
      </c>
      <c r="I109" s="894">
        <f t="shared" si="35"/>
        <v>5</v>
      </c>
      <c r="J109" s="1103">
        <v>1</v>
      </c>
      <c r="K109" s="888">
        <v>1</v>
      </c>
      <c r="L109" s="888">
        <f t="shared" si="45"/>
        <v>0.5</v>
      </c>
      <c r="M109" s="1103">
        <v>1</v>
      </c>
      <c r="N109" s="888">
        <v>1</v>
      </c>
      <c r="O109" s="888">
        <f t="shared" si="46"/>
        <v>0.5</v>
      </c>
      <c r="P109" s="1103">
        <v>1</v>
      </c>
      <c r="Q109" s="888">
        <v>1</v>
      </c>
      <c r="R109" s="888">
        <f t="shared" si="47"/>
        <v>0.5</v>
      </c>
      <c r="S109" s="1103">
        <v>1</v>
      </c>
      <c r="T109" s="888">
        <v>1</v>
      </c>
      <c r="U109" s="888">
        <f t="shared" si="48"/>
        <v>0.5</v>
      </c>
      <c r="V109" s="894">
        <f t="shared" si="36"/>
        <v>2</v>
      </c>
      <c r="W109" s="888"/>
      <c r="Y109" s="1111" t="s">
        <v>642</v>
      </c>
    </row>
    <row r="110" spans="1:25" ht="14.1" customHeight="1">
      <c r="A110" s="900">
        <v>12</v>
      </c>
      <c r="B110" s="905" t="s">
        <v>634</v>
      </c>
      <c r="C110" s="888">
        <v>4</v>
      </c>
      <c r="D110" s="888">
        <v>2</v>
      </c>
      <c r="E110" s="888">
        <f t="shared" si="43"/>
        <v>8</v>
      </c>
      <c r="F110" s="888">
        <v>4</v>
      </c>
      <c r="G110" s="888">
        <v>2</v>
      </c>
      <c r="H110" s="888">
        <f t="shared" si="44"/>
        <v>8</v>
      </c>
      <c r="I110" s="894">
        <f t="shared" si="35"/>
        <v>16</v>
      </c>
      <c r="J110" s="1103">
        <v>2</v>
      </c>
      <c r="K110" s="888">
        <v>2</v>
      </c>
      <c r="L110" s="888">
        <f t="shared" si="45"/>
        <v>2</v>
      </c>
      <c r="M110" s="1103">
        <v>2</v>
      </c>
      <c r="N110" s="888">
        <v>2</v>
      </c>
      <c r="O110" s="888">
        <f t="shared" si="46"/>
        <v>2</v>
      </c>
      <c r="P110" s="1103">
        <v>2</v>
      </c>
      <c r="Q110" s="888">
        <v>2</v>
      </c>
      <c r="R110" s="888">
        <f t="shared" si="47"/>
        <v>2</v>
      </c>
      <c r="S110" s="1103">
        <v>2</v>
      </c>
      <c r="T110" s="888">
        <v>2</v>
      </c>
      <c r="U110" s="888">
        <f t="shared" si="48"/>
        <v>2</v>
      </c>
      <c r="V110" s="894">
        <f t="shared" si="36"/>
        <v>8</v>
      </c>
      <c r="W110" s="888"/>
      <c r="Y110" s="1111" t="s">
        <v>643</v>
      </c>
    </row>
    <row r="111" spans="1:25" ht="14.1" customHeight="1">
      <c r="A111" s="900">
        <v>13</v>
      </c>
      <c r="B111" s="905" t="s">
        <v>635</v>
      </c>
      <c r="C111" s="888">
        <v>2.5</v>
      </c>
      <c r="D111" s="888">
        <v>1</v>
      </c>
      <c r="E111" s="888">
        <f t="shared" si="43"/>
        <v>2.5</v>
      </c>
      <c r="F111" s="888">
        <v>2.5</v>
      </c>
      <c r="G111" s="888">
        <v>1</v>
      </c>
      <c r="H111" s="888">
        <f t="shared" si="44"/>
        <v>2.5</v>
      </c>
      <c r="I111" s="894">
        <f t="shared" si="35"/>
        <v>5</v>
      </c>
      <c r="J111" s="1103">
        <v>0.5</v>
      </c>
      <c r="K111" s="888">
        <v>1</v>
      </c>
      <c r="L111" s="888">
        <f t="shared" si="45"/>
        <v>0.25</v>
      </c>
      <c r="M111" s="1103">
        <v>0.5</v>
      </c>
      <c r="N111" s="888">
        <v>1</v>
      </c>
      <c r="O111" s="888">
        <f t="shared" si="46"/>
        <v>0.25</v>
      </c>
      <c r="P111" s="1103">
        <v>0.5</v>
      </c>
      <c r="Q111" s="888">
        <v>1</v>
      </c>
      <c r="R111" s="888">
        <f t="shared" si="47"/>
        <v>0.25</v>
      </c>
      <c r="S111" s="1103">
        <v>0.5</v>
      </c>
      <c r="T111" s="888">
        <v>1</v>
      </c>
      <c r="U111" s="888">
        <f t="shared" si="48"/>
        <v>0.25</v>
      </c>
      <c r="V111" s="894">
        <f t="shared" si="36"/>
        <v>1</v>
      </c>
      <c r="W111" s="888"/>
      <c r="Y111" s="1111" t="s">
        <v>644</v>
      </c>
    </row>
    <row r="112" spans="1:25" ht="14.1" customHeight="1">
      <c r="A112" s="900">
        <v>14</v>
      </c>
      <c r="B112" s="905" t="s">
        <v>636</v>
      </c>
      <c r="C112" s="888">
        <v>2.5</v>
      </c>
      <c r="D112" s="888">
        <v>1</v>
      </c>
      <c r="E112" s="888">
        <f t="shared" si="43"/>
        <v>2.5</v>
      </c>
      <c r="F112" s="888">
        <v>2.5</v>
      </c>
      <c r="G112" s="888">
        <v>1</v>
      </c>
      <c r="H112" s="888">
        <f t="shared" si="44"/>
        <v>2.5</v>
      </c>
      <c r="I112" s="894">
        <f t="shared" si="35"/>
        <v>5</v>
      </c>
      <c r="J112" s="1103">
        <v>1</v>
      </c>
      <c r="K112" s="888">
        <v>1</v>
      </c>
      <c r="L112" s="888">
        <f t="shared" si="45"/>
        <v>0.5</v>
      </c>
      <c r="M112" s="1103">
        <v>1</v>
      </c>
      <c r="N112" s="888">
        <v>1</v>
      </c>
      <c r="O112" s="888">
        <f t="shared" si="46"/>
        <v>0.5</v>
      </c>
      <c r="P112" s="1103">
        <v>1</v>
      </c>
      <c r="Q112" s="888">
        <v>1</v>
      </c>
      <c r="R112" s="888">
        <f t="shared" si="47"/>
        <v>0.5</v>
      </c>
      <c r="S112" s="1103">
        <v>1</v>
      </c>
      <c r="T112" s="888">
        <v>1</v>
      </c>
      <c r="U112" s="888">
        <f t="shared" si="48"/>
        <v>0.5</v>
      </c>
      <c r="V112" s="894">
        <f t="shared" si="36"/>
        <v>2</v>
      </c>
      <c r="W112" s="888"/>
      <c r="Y112" s="1111" t="s">
        <v>645</v>
      </c>
    </row>
    <row r="113" spans="1:25" ht="14.1" customHeight="1">
      <c r="A113" s="900">
        <v>15</v>
      </c>
      <c r="B113" s="905" t="s">
        <v>637</v>
      </c>
      <c r="C113" s="888">
        <v>2.5</v>
      </c>
      <c r="D113" s="888">
        <v>1</v>
      </c>
      <c r="E113" s="888">
        <f t="shared" si="43"/>
        <v>2.5</v>
      </c>
      <c r="F113" s="888">
        <v>2.5</v>
      </c>
      <c r="G113" s="888">
        <v>1</v>
      </c>
      <c r="H113" s="888">
        <f t="shared" si="44"/>
        <v>2.5</v>
      </c>
      <c r="I113" s="894">
        <f t="shared" si="35"/>
        <v>5</v>
      </c>
      <c r="J113" s="1103">
        <v>1</v>
      </c>
      <c r="K113" s="888">
        <v>1</v>
      </c>
      <c r="L113" s="888">
        <f t="shared" si="45"/>
        <v>0.5</v>
      </c>
      <c r="M113" s="1103">
        <v>1</v>
      </c>
      <c r="N113" s="888">
        <v>1</v>
      </c>
      <c r="O113" s="888">
        <f t="shared" si="46"/>
        <v>0.5</v>
      </c>
      <c r="P113" s="1103">
        <v>1</v>
      </c>
      <c r="Q113" s="888">
        <v>1</v>
      </c>
      <c r="R113" s="888">
        <f t="shared" si="47"/>
        <v>0.5</v>
      </c>
      <c r="S113" s="1103">
        <v>1</v>
      </c>
      <c r="T113" s="888">
        <v>1</v>
      </c>
      <c r="U113" s="888">
        <f t="shared" si="48"/>
        <v>0.5</v>
      </c>
      <c r="V113" s="894">
        <f t="shared" si="36"/>
        <v>2</v>
      </c>
      <c r="W113" s="888"/>
      <c r="Y113" s="1111" t="s">
        <v>646</v>
      </c>
    </row>
    <row r="114" spans="1:25" ht="14.1" customHeight="1">
      <c r="A114" s="900">
        <v>16</v>
      </c>
      <c r="B114" s="906" t="s">
        <v>638</v>
      </c>
      <c r="C114" s="888">
        <v>7</v>
      </c>
      <c r="D114" s="888">
        <v>6.5</v>
      </c>
      <c r="E114" s="888">
        <f t="shared" si="43"/>
        <v>45.5</v>
      </c>
      <c r="F114" s="888">
        <v>7</v>
      </c>
      <c r="G114" s="888">
        <v>6.5</v>
      </c>
      <c r="H114" s="888">
        <f t="shared" si="44"/>
        <v>45.5</v>
      </c>
      <c r="I114" s="894">
        <f t="shared" si="35"/>
        <v>91</v>
      </c>
      <c r="J114" s="1103">
        <v>5</v>
      </c>
      <c r="K114" s="888">
        <v>6.5</v>
      </c>
      <c r="L114" s="888">
        <f t="shared" si="45"/>
        <v>16.25</v>
      </c>
      <c r="M114" s="1103">
        <v>5</v>
      </c>
      <c r="N114" s="888">
        <v>6.5</v>
      </c>
      <c r="O114" s="888">
        <f t="shared" si="46"/>
        <v>16.25</v>
      </c>
      <c r="P114" s="1103">
        <v>5</v>
      </c>
      <c r="Q114" s="888">
        <v>6.5</v>
      </c>
      <c r="R114" s="888">
        <f t="shared" si="47"/>
        <v>16.25</v>
      </c>
      <c r="S114" s="1103">
        <v>5</v>
      </c>
      <c r="T114" s="888">
        <v>6.5</v>
      </c>
      <c r="U114" s="888">
        <f t="shared" si="48"/>
        <v>16.25</v>
      </c>
      <c r="V114" s="894">
        <f t="shared" si="36"/>
        <v>65</v>
      </c>
      <c r="W114" s="888"/>
      <c r="Y114" s="1111" t="s">
        <v>647</v>
      </c>
    </row>
    <row r="115" spans="1:25" ht="14.1" customHeight="1">
      <c r="A115" s="900">
        <v>17</v>
      </c>
      <c r="B115" s="905" t="s">
        <v>639</v>
      </c>
      <c r="C115" s="888">
        <v>2.5</v>
      </c>
      <c r="D115" s="888">
        <v>1</v>
      </c>
      <c r="E115" s="888">
        <f t="shared" si="43"/>
        <v>2.5</v>
      </c>
      <c r="F115" s="888">
        <v>2.5</v>
      </c>
      <c r="G115" s="888">
        <v>1</v>
      </c>
      <c r="H115" s="888">
        <f t="shared" si="44"/>
        <v>2.5</v>
      </c>
      <c r="I115" s="894">
        <f t="shared" si="35"/>
        <v>5</v>
      </c>
      <c r="J115" s="1103">
        <v>1</v>
      </c>
      <c r="K115" s="888">
        <v>1</v>
      </c>
      <c r="L115" s="888">
        <f t="shared" si="45"/>
        <v>0.5</v>
      </c>
      <c r="M115" s="1103">
        <v>1</v>
      </c>
      <c r="N115" s="888">
        <v>1</v>
      </c>
      <c r="O115" s="888">
        <f t="shared" si="46"/>
        <v>0.5</v>
      </c>
      <c r="P115" s="1103">
        <v>1</v>
      </c>
      <c r="Q115" s="888">
        <v>1</v>
      </c>
      <c r="R115" s="888">
        <f t="shared" si="47"/>
        <v>0.5</v>
      </c>
      <c r="S115" s="1103">
        <v>1</v>
      </c>
      <c r="T115" s="888">
        <v>1</v>
      </c>
      <c r="U115" s="888">
        <f t="shared" si="48"/>
        <v>0.5</v>
      </c>
      <c r="V115" s="894">
        <f t="shared" si="36"/>
        <v>2</v>
      </c>
      <c r="W115" s="888"/>
    </row>
    <row r="116" spans="1:25" s="982" customFormat="1" ht="14.1" customHeight="1">
      <c r="A116" s="1110">
        <v>18</v>
      </c>
      <c r="B116" s="1111" t="s">
        <v>640</v>
      </c>
      <c r="C116" s="1112">
        <v>7</v>
      </c>
      <c r="D116" s="1112">
        <v>9</v>
      </c>
      <c r="E116" s="1112">
        <f t="shared" si="43"/>
        <v>63</v>
      </c>
      <c r="F116" s="1112">
        <v>7</v>
      </c>
      <c r="G116" s="1112">
        <v>8</v>
      </c>
      <c r="H116" s="1112">
        <f t="shared" si="44"/>
        <v>56</v>
      </c>
      <c r="I116" s="1113">
        <f t="shared" si="35"/>
        <v>119</v>
      </c>
      <c r="J116" s="1103">
        <v>7</v>
      </c>
      <c r="K116" s="1112">
        <v>8</v>
      </c>
      <c r="L116" s="1112">
        <f t="shared" si="45"/>
        <v>28</v>
      </c>
      <c r="M116" s="1103">
        <v>7</v>
      </c>
      <c r="N116" s="1112">
        <v>8</v>
      </c>
      <c r="O116" s="1112">
        <f t="shared" si="46"/>
        <v>28</v>
      </c>
      <c r="P116" s="1103">
        <v>7</v>
      </c>
      <c r="Q116" s="1112">
        <v>7</v>
      </c>
      <c r="R116" s="1112">
        <f t="shared" si="47"/>
        <v>24.5</v>
      </c>
      <c r="S116" s="1103">
        <v>7</v>
      </c>
      <c r="T116" s="1112">
        <v>7</v>
      </c>
      <c r="U116" s="1112">
        <f t="shared" si="48"/>
        <v>24.5</v>
      </c>
      <c r="V116" s="1113">
        <f t="shared" si="36"/>
        <v>105</v>
      </c>
      <c r="W116" s="1112"/>
    </row>
    <row r="117" spans="1:25" s="982" customFormat="1" ht="14.1" customHeight="1">
      <c r="A117" s="1110">
        <v>19</v>
      </c>
      <c r="B117" s="1111" t="s">
        <v>641</v>
      </c>
      <c r="C117" s="1112">
        <v>7</v>
      </c>
      <c r="D117" s="1112">
        <v>8</v>
      </c>
      <c r="E117" s="1112">
        <f t="shared" si="43"/>
        <v>56</v>
      </c>
      <c r="F117" s="1112">
        <v>7</v>
      </c>
      <c r="G117" s="1112">
        <v>8</v>
      </c>
      <c r="H117" s="1112">
        <f t="shared" si="44"/>
        <v>56</v>
      </c>
      <c r="I117" s="1113">
        <f t="shared" si="35"/>
        <v>112</v>
      </c>
      <c r="J117" s="1103">
        <v>6</v>
      </c>
      <c r="K117" s="1112">
        <v>7</v>
      </c>
      <c r="L117" s="1112">
        <f t="shared" si="45"/>
        <v>21</v>
      </c>
      <c r="M117" s="1103">
        <v>6</v>
      </c>
      <c r="N117" s="1112">
        <v>7</v>
      </c>
      <c r="O117" s="1112">
        <f t="shared" si="46"/>
        <v>21</v>
      </c>
      <c r="P117" s="1103">
        <v>7</v>
      </c>
      <c r="Q117" s="1112">
        <v>7</v>
      </c>
      <c r="R117" s="1112">
        <f t="shared" si="47"/>
        <v>24.5</v>
      </c>
      <c r="S117" s="1103">
        <v>7</v>
      </c>
      <c r="T117" s="1112">
        <v>7</v>
      </c>
      <c r="U117" s="1112">
        <f t="shared" si="48"/>
        <v>24.5</v>
      </c>
      <c r="V117" s="1113">
        <f t="shared" si="36"/>
        <v>91</v>
      </c>
      <c r="W117" s="1112"/>
    </row>
    <row r="118" spans="1:25" s="982" customFormat="1" ht="14.1" customHeight="1">
      <c r="A118" s="1110">
        <v>20</v>
      </c>
      <c r="B118" s="1111" t="s">
        <v>642</v>
      </c>
      <c r="C118" s="1112">
        <v>7</v>
      </c>
      <c r="D118" s="1112">
        <v>7.5</v>
      </c>
      <c r="E118" s="1112">
        <f t="shared" si="43"/>
        <v>52.5</v>
      </c>
      <c r="F118" s="1112">
        <v>7</v>
      </c>
      <c r="G118" s="1112">
        <v>7.5</v>
      </c>
      <c r="H118" s="1112">
        <f t="shared" si="44"/>
        <v>52.5</v>
      </c>
      <c r="I118" s="1113">
        <f t="shared" si="35"/>
        <v>105</v>
      </c>
      <c r="J118" s="1103">
        <v>7</v>
      </c>
      <c r="K118" s="1112">
        <v>7</v>
      </c>
      <c r="L118" s="1112">
        <f t="shared" si="45"/>
        <v>24.5</v>
      </c>
      <c r="M118" s="1103">
        <v>7</v>
      </c>
      <c r="N118" s="1112">
        <v>7</v>
      </c>
      <c r="O118" s="1112">
        <f t="shared" si="46"/>
        <v>24.5</v>
      </c>
      <c r="P118" s="1103">
        <v>7</v>
      </c>
      <c r="Q118" s="1112">
        <v>7</v>
      </c>
      <c r="R118" s="1112">
        <f t="shared" si="47"/>
        <v>24.5</v>
      </c>
      <c r="S118" s="1103">
        <v>7</v>
      </c>
      <c r="T118" s="1112">
        <v>7</v>
      </c>
      <c r="U118" s="1112">
        <f t="shared" si="48"/>
        <v>24.5</v>
      </c>
      <c r="V118" s="1113">
        <f t="shared" si="36"/>
        <v>98</v>
      </c>
      <c r="W118" s="1112"/>
    </row>
    <row r="119" spans="1:25" s="982" customFormat="1" ht="14.1" customHeight="1">
      <c r="A119" s="1110">
        <v>21</v>
      </c>
      <c r="B119" s="1111" t="s">
        <v>643</v>
      </c>
      <c r="C119" s="1112">
        <v>3</v>
      </c>
      <c r="D119" s="1112">
        <v>1</v>
      </c>
      <c r="E119" s="1112">
        <f t="shared" si="43"/>
        <v>3</v>
      </c>
      <c r="F119" s="1112">
        <v>3</v>
      </c>
      <c r="G119" s="1112">
        <v>1</v>
      </c>
      <c r="H119" s="1112">
        <f t="shared" si="44"/>
        <v>3</v>
      </c>
      <c r="I119" s="1113">
        <f t="shared" si="35"/>
        <v>6</v>
      </c>
      <c r="J119" s="1103">
        <v>4</v>
      </c>
      <c r="K119" s="1112">
        <v>1</v>
      </c>
      <c r="L119" s="1112">
        <f t="shared" si="45"/>
        <v>2</v>
      </c>
      <c r="M119" s="1103">
        <v>4</v>
      </c>
      <c r="N119" s="1112">
        <v>1</v>
      </c>
      <c r="O119" s="1112">
        <f t="shared" si="46"/>
        <v>2</v>
      </c>
      <c r="P119" s="1103">
        <v>4</v>
      </c>
      <c r="Q119" s="1112">
        <v>1</v>
      </c>
      <c r="R119" s="1112">
        <f t="shared" si="47"/>
        <v>2</v>
      </c>
      <c r="S119" s="1103">
        <v>4</v>
      </c>
      <c r="T119" s="1112">
        <v>1</v>
      </c>
      <c r="U119" s="1112">
        <f t="shared" si="48"/>
        <v>2</v>
      </c>
      <c r="V119" s="1113">
        <f t="shared" si="36"/>
        <v>8</v>
      </c>
      <c r="W119" s="1112"/>
    </row>
    <row r="120" spans="1:25" s="982" customFormat="1" ht="14.1" customHeight="1">
      <c r="A120" s="1110">
        <v>22</v>
      </c>
      <c r="B120" s="1111" t="s">
        <v>644</v>
      </c>
      <c r="C120" s="1112">
        <v>7</v>
      </c>
      <c r="D120" s="1112">
        <v>6.5</v>
      </c>
      <c r="E120" s="1112">
        <f t="shared" si="43"/>
        <v>45.5</v>
      </c>
      <c r="F120" s="1112">
        <v>7</v>
      </c>
      <c r="G120" s="1112">
        <v>8</v>
      </c>
      <c r="H120" s="1112">
        <f t="shared" si="44"/>
        <v>56</v>
      </c>
      <c r="I120" s="1113">
        <f t="shared" si="35"/>
        <v>101.5</v>
      </c>
      <c r="J120" s="1103">
        <v>5</v>
      </c>
      <c r="K120" s="1112">
        <v>6</v>
      </c>
      <c r="L120" s="1112">
        <f t="shared" si="45"/>
        <v>15</v>
      </c>
      <c r="M120" s="1103">
        <v>5</v>
      </c>
      <c r="N120" s="1112">
        <v>6</v>
      </c>
      <c r="O120" s="1112">
        <f t="shared" si="46"/>
        <v>15</v>
      </c>
      <c r="P120" s="1103">
        <v>6</v>
      </c>
      <c r="Q120" s="1112">
        <v>7</v>
      </c>
      <c r="R120" s="1112">
        <f t="shared" si="47"/>
        <v>21</v>
      </c>
      <c r="S120" s="1103">
        <v>6</v>
      </c>
      <c r="T120" s="1112">
        <v>7</v>
      </c>
      <c r="U120" s="1112">
        <f t="shared" si="48"/>
        <v>21</v>
      </c>
      <c r="V120" s="1113">
        <f t="shared" si="36"/>
        <v>72</v>
      </c>
      <c r="W120" s="1112"/>
    </row>
    <row r="121" spans="1:25" s="982" customFormat="1" ht="14.1" customHeight="1">
      <c r="A121" s="1110">
        <v>23</v>
      </c>
      <c r="B121" s="1111" t="s">
        <v>645</v>
      </c>
      <c r="C121" s="1112">
        <v>7</v>
      </c>
      <c r="D121" s="1112">
        <v>8</v>
      </c>
      <c r="E121" s="1112">
        <f t="shared" si="43"/>
        <v>56</v>
      </c>
      <c r="F121" s="1112">
        <v>7</v>
      </c>
      <c r="G121" s="1112">
        <v>7</v>
      </c>
      <c r="H121" s="1112">
        <f t="shared" si="44"/>
        <v>49</v>
      </c>
      <c r="I121" s="1113">
        <f t="shared" si="35"/>
        <v>105</v>
      </c>
      <c r="J121" s="1103">
        <v>5</v>
      </c>
      <c r="K121" s="1112">
        <v>7</v>
      </c>
      <c r="L121" s="1112">
        <f t="shared" si="45"/>
        <v>17.5</v>
      </c>
      <c r="M121" s="1103">
        <v>5</v>
      </c>
      <c r="N121" s="1112">
        <v>7</v>
      </c>
      <c r="O121" s="1112">
        <f t="shared" si="46"/>
        <v>17.5</v>
      </c>
      <c r="P121" s="1103">
        <v>6</v>
      </c>
      <c r="Q121" s="1112">
        <v>6</v>
      </c>
      <c r="R121" s="1112">
        <f t="shared" si="47"/>
        <v>18</v>
      </c>
      <c r="S121" s="1103">
        <v>6</v>
      </c>
      <c r="T121" s="1112">
        <v>6</v>
      </c>
      <c r="U121" s="1112">
        <f t="shared" si="48"/>
        <v>18</v>
      </c>
      <c r="V121" s="1113">
        <f t="shared" si="36"/>
        <v>71</v>
      </c>
      <c r="W121" s="1112"/>
    </row>
    <row r="122" spans="1:25" s="982" customFormat="1" ht="14.1" customHeight="1">
      <c r="A122" s="1110">
        <v>24</v>
      </c>
      <c r="B122" s="1111" t="s">
        <v>646</v>
      </c>
      <c r="C122" s="1112">
        <v>7</v>
      </c>
      <c r="D122" s="1112">
        <v>7</v>
      </c>
      <c r="E122" s="1112">
        <f t="shared" si="43"/>
        <v>49</v>
      </c>
      <c r="F122" s="1112">
        <v>7</v>
      </c>
      <c r="G122" s="1112">
        <v>7</v>
      </c>
      <c r="H122" s="1112">
        <f t="shared" si="44"/>
        <v>49</v>
      </c>
      <c r="I122" s="1113">
        <f t="shared" si="35"/>
        <v>98</v>
      </c>
      <c r="J122" s="1103">
        <v>5</v>
      </c>
      <c r="K122" s="1112">
        <v>6</v>
      </c>
      <c r="L122" s="1112">
        <f t="shared" si="45"/>
        <v>15</v>
      </c>
      <c r="M122" s="1103">
        <v>5</v>
      </c>
      <c r="N122" s="1112">
        <v>6</v>
      </c>
      <c r="O122" s="1112">
        <f t="shared" si="46"/>
        <v>15</v>
      </c>
      <c r="P122" s="1103">
        <v>6</v>
      </c>
      <c r="Q122" s="1112">
        <v>6</v>
      </c>
      <c r="R122" s="1112">
        <f t="shared" si="47"/>
        <v>18</v>
      </c>
      <c r="S122" s="1103">
        <v>6</v>
      </c>
      <c r="T122" s="1112">
        <v>6</v>
      </c>
      <c r="U122" s="1112">
        <f t="shared" si="48"/>
        <v>18</v>
      </c>
      <c r="V122" s="1113">
        <f t="shared" si="36"/>
        <v>66</v>
      </c>
      <c r="W122" s="1112"/>
      <c r="X122" s="1115"/>
    </row>
    <row r="123" spans="1:25" s="982" customFormat="1" ht="14.1" customHeight="1">
      <c r="A123" s="1110">
        <v>25</v>
      </c>
      <c r="B123" s="1111" t="s">
        <v>647</v>
      </c>
      <c r="C123" s="1112">
        <v>7</v>
      </c>
      <c r="D123" s="1112">
        <v>6.5</v>
      </c>
      <c r="E123" s="1112">
        <f t="shared" si="43"/>
        <v>45.5</v>
      </c>
      <c r="F123" s="1112">
        <v>7</v>
      </c>
      <c r="G123" s="1112">
        <v>6.5</v>
      </c>
      <c r="H123" s="1112">
        <f t="shared" si="44"/>
        <v>45.5</v>
      </c>
      <c r="I123" s="1113">
        <f t="shared" si="35"/>
        <v>91</v>
      </c>
      <c r="J123" s="1103">
        <v>6</v>
      </c>
      <c r="K123" s="1112">
        <v>6</v>
      </c>
      <c r="L123" s="1112">
        <f t="shared" si="45"/>
        <v>18</v>
      </c>
      <c r="M123" s="1103">
        <v>6</v>
      </c>
      <c r="N123" s="1112">
        <v>6</v>
      </c>
      <c r="O123" s="1112">
        <f t="shared" si="46"/>
        <v>18</v>
      </c>
      <c r="P123" s="1103">
        <v>6</v>
      </c>
      <c r="Q123" s="1112">
        <v>6</v>
      </c>
      <c r="R123" s="1112">
        <f t="shared" si="47"/>
        <v>18</v>
      </c>
      <c r="S123" s="1103">
        <v>6</v>
      </c>
      <c r="T123" s="1112">
        <v>6</v>
      </c>
      <c r="U123" s="1112">
        <f t="shared" si="48"/>
        <v>18</v>
      </c>
      <c r="V123" s="1113">
        <f t="shared" si="36"/>
        <v>72</v>
      </c>
      <c r="W123" s="1112"/>
    </row>
    <row r="124" spans="1:25" s="909" customFormat="1" ht="14.1" customHeight="1">
      <c r="A124" s="1385" t="s">
        <v>945</v>
      </c>
      <c r="B124" s="1385"/>
      <c r="C124" s="874"/>
      <c r="D124" s="874"/>
      <c r="E124" s="874">
        <f>E125+E145+E157</f>
        <v>644.79999999999995</v>
      </c>
      <c r="F124" s="874"/>
      <c r="G124" s="874"/>
      <c r="H124" s="874">
        <f>H125+H145+H157</f>
        <v>740.3</v>
      </c>
      <c r="I124" s="912">
        <f t="shared" si="35"/>
        <v>1385.1</v>
      </c>
      <c r="J124" s="980"/>
      <c r="K124" s="912"/>
      <c r="L124" s="874">
        <f>L125+L145+L157</f>
        <v>176.125</v>
      </c>
      <c r="M124" s="980"/>
      <c r="N124" s="874"/>
      <c r="O124" s="874">
        <f>O125+O145+O157</f>
        <v>176.125</v>
      </c>
      <c r="P124" s="980"/>
      <c r="Q124" s="874"/>
      <c r="R124" s="874">
        <f>R125+R145+R157</f>
        <v>196.92500000000001</v>
      </c>
      <c r="S124" s="980"/>
      <c r="T124" s="874"/>
      <c r="U124" s="874">
        <f>U125+U145+U157</f>
        <v>198.92500000000001</v>
      </c>
      <c r="V124" s="912">
        <f t="shared" si="36"/>
        <v>748.09999999999991</v>
      </c>
      <c r="W124" s="910"/>
      <c r="X124" s="1109"/>
    </row>
    <row r="125" spans="1:25" s="909" customFormat="1" ht="14.1" customHeight="1">
      <c r="A125" s="1384" t="s">
        <v>648</v>
      </c>
      <c r="B125" s="1384"/>
      <c r="C125" s="881"/>
      <c r="D125" s="881"/>
      <c r="E125" s="877">
        <f>SUM(E126:E144)</f>
        <v>376</v>
      </c>
      <c r="F125" s="877"/>
      <c r="G125" s="877"/>
      <c r="H125" s="877">
        <f>SUM(H126:H144)</f>
        <v>378</v>
      </c>
      <c r="I125" s="912">
        <f t="shared" si="35"/>
        <v>754</v>
      </c>
      <c r="J125" s="980"/>
      <c r="K125" s="912"/>
      <c r="L125" s="877">
        <f>SUM(L126:L144)</f>
        <v>114</v>
      </c>
      <c r="M125" s="980"/>
      <c r="N125" s="877"/>
      <c r="O125" s="877">
        <f>SUM(O126:O144)</f>
        <v>114</v>
      </c>
      <c r="P125" s="980"/>
      <c r="Q125" s="877"/>
      <c r="R125" s="877">
        <f>SUM(R126:R144)</f>
        <v>108.3</v>
      </c>
      <c r="S125" s="980"/>
      <c r="T125" s="877"/>
      <c r="U125" s="877">
        <f>SUM(U126:U144)</f>
        <v>110.3</v>
      </c>
      <c r="V125" s="912">
        <f t="shared" si="36"/>
        <v>446.6</v>
      </c>
      <c r="W125" s="911"/>
      <c r="X125" s="851"/>
    </row>
    <row r="126" spans="1:25" ht="14.1" customHeight="1">
      <c r="A126" s="900">
        <v>1</v>
      </c>
      <c r="B126" s="902" t="s">
        <v>580</v>
      </c>
      <c r="C126" s="887">
        <v>8</v>
      </c>
      <c r="D126" s="887">
        <v>3.5</v>
      </c>
      <c r="E126" s="897">
        <f>C126*D126</f>
        <v>28</v>
      </c>
      <c r="F126" s="887">
        <v>8</v>
      </c>
      <c r="G126" s="897">
        <v>5</v>
      </c>
      <c r="H126" s="897">
        <f>F126*G126</f>
        <v>40</v>
      </c>
      <c r="I126" s="894">
        <f t="shared" si="35"/>
        <v>68</v>
      </c>
      <c r="J126" s="1103">
        <v>3</v>
      </c>
      <c r="K126" s="887">
        <v>3.5</v>
      </c>
      <c r="L126" s="897">
        <f>J126*K126/2</f>
        <v>5.25</v>
      </c>
      <c r="M126" s="1103">
        <v>3</v>
      </c>
      <c r="N126" s="887">
        <v>3.5</v>
      </c>
      <c r="O126" s="897">
        <f>M126*N126/2</f>
        <v>5.25</v>
      </c>
      <c r="P126" s="1103">
        <v>4</v>
      </c>
      <c r="Q126" s="897">
        <v>5</v>
      </c>
      <c r="R126" s="897">
        <f>P126*Q126/2</f>
        <v>10</v>
      </c>
      <c r="S126" s="1103">
        <v>4</v>
      </c>
      <c r="T126" s="897">
        <v>5</v>
      </c>
      <c r="U126" s="897">
        <f>S126*T126/2</f>
        <v>10</v>
      </c>
      <c r="V126" s="894">
        <f t="shared" si="36"/>
        <v>30.5</v>
      </c>
      <c r="W126" s="887"/>
    </row>
    <row r="127" spans="1:25" ht="14.1" customHeight="1">
      <c r="A127" s="900">
        <v>2</v>
      </c>
      <c r="B127" s="902" t="s">
        <v>581</v>
      </c>
      <c r="C127" s="887">
        <v>5</v>
      </c>
      <c r="D127" s="887">
        <v>4</v>
      </c>
      <c r="E127" s="897">
        <f t="shared" ref="E127:E144" si="49">C127*D127</f>
        <v>20</v>
      </c>
      <c r="F127" s="887">
        <v>5</v>
      </c>
      <c r="G127" s="897">
        <v>3</v>
      </c>
      <c r="H127" s="897">
        <f t="shared" ref="H127:H144" si="50">F127*G127</f>
        <v>15</v>
      </c>
      <c r="I127" s="894">
        <f t="shared" si="35"/>
        <v>35</v>
      </c>
      <c r="J127" s="1103">
        <v>4</v>
      </c>
      <c r="K127" s="887">
        <v>4</v>
      </c>
      <c r="L127" s="897">
        <f t="shared" ref="L127:L144" si="51">J127*K127/2</f>
        <v>8</v>
      </c>
      <c r="M127" s="1103">
        <v>4</v>
      </c>
      <c r="N127" s="887">
        <v>4</v>
      </c>
      <c r="O127" s="897">
        <f t="shared" ref="O127:O144" si="52">M127*N127/2</f>
        <v>8</v>
      </c>
      <c r="P127" s="1103">
        <v>4</v>
      </c>
      <c r="Q127" s="897">
        <v>3</v>
      </c>
      <c r="R127" s="897">
        <f t="shared" ref="R127:R144" si="53">P127*Q127/2</f>
        <v>6</v>
      </c>
      <c r="S127" s="1103">
        <v>4</v>
      </c>
      <c r="T127" s="897">
        <v>4</v>
      </c>
      <c r="U127" s="897">
        <f t="shared" ref="U127:U144" si="54">S127*T127/2</f>
        <v>8</v>
      </c>
      <c r="V127" s="894">
        <f t="shared" si="36"/>
        <v>30</v>
      </c>
      <c r="W127" s="887"/>
    </row>
    <row r="128" spans="1:25" ht="14.1" customHeight="1">
      <c r="A128" s="900">
        <v>3</v>
      </c>
      <c r="B128" s="902" t="s">
        <v>649</v>
      </c>
      <c r="C128" s="887">
        <v>5</v>
      </c>
      <c r="D128" s="887">
        <v>4</v>
      </c>
      <c r="E128" s="897">
        <f t="shared" si="49"/>
        <v>20</v>
      </c>
      <c r="F128" s="887">
        <v>5</v>
      </c>
      <c r="G128" s="897">
        <v>3</v>
      </c>
      <c r="H128" s="897">
        <f t="shared" si="50"/>
        <v>15</v>
      </c>
      <c r="I128" s="894">
        <f t="shared" si="35"/>
        <v>35</v>
      </c>
      <c r="J128" s="1103">
        <v>4</v>
      </c>
      <c r="K128" s="887">
        <v>4</v>
      </c>
      <c r="L128" s="897">
        <f t="shared" si="51"/>
        <v>8</v>
      </c>
      <c r="M128" s="1103">
        <v>4</v>
      </c>
      <c r="N128" s="887">
        <v>4</v>
      </c>
      <c r="O128" s="897">
        <f t="shared" si="52"/>
        <v>8</v>
      </c>
      <c r="P128" s="1103">
        <v>4</v>
      </c>
      <c r="Q128" s="897">
        <v>3</v>
      </c>
      <c r="R128" s="897">
        <f t="shared" si="53"/>
        <v>6</v>
      </c>
      <c r="S128" s="1103">
        <v>4</v>
      </c>
      <c r="T128" s="897">
        <v>3</v>
      </c>
      <c r="U128" s="897">
        <f t="shared" si="54"/>
        <v>6</v>
      </c>
      <c r="V128" s="894">
        <f t="shared" si="36"/>
        <v>28</v>
      </c>
      <c r="W128" s="887"/>
    </row>
    <row r="129" spans="1:23" ht="14.1" customHeight="1">
      <c r="A129" s="900">
        <v>4</v>
      </c>
      <c r="B129" s="902" t="s">
        <v>650</v>
      </c>
      <c r="C129" s="887">
        <v>5</v>
      </c>
      <c r="D129" s="887">
        <v>3</v>
      </c>
      <c r="E129" s="897">
        <f t="shared" si="49"/>
        <v>15</v>
      </c>
      <c r="F129" s="887">
        <v>5</v>
      </c>
      <c r="G129" s="897">
        <v>3</v>
      </c>
      <c r="H129" s="897">
        <f t="shared" si="50"/>
        <v>15</v>
      </c>
      <c r="I129" s="894">
        <f t="shared" si="35"/>
        <v>30</v>
      </c>
      <c r="J129" s="1103">
        <v>2</v>
      </c>
      <c r="K129" s="887">
        <v>3</v>
      </c>
      <c r="L129" s="897">
        <f t="shared" si="51"/>
        <v>3</v>
      </c>
      <c r="M129" s="1103">
        <v>2</v>
      </c>
      <c r="N129" s="887">
        <v>3</v>
      </c>
      <c r="O129" s="897">
        <f t="shared" si="52"/>
        <v>3</v>
      </c>
      <c r="P129" s="1103">
        <v>2</v>
      </c>
      <c r="Q129" s="897">
        <v>3</v>
      </c>
      <c r="R129" s="897">
        <f t="shared" si="53"/>
        <v>3</v>
      </c>
      <c r="S129" s="1103">
        <v>2</v>
      </c>
      <c r="T129" s="897">
        <v>3</v>
      </c>
      <c r="U129" s="897">
        <f t="shared" si="54"/>
        <v>3</v>
      </c>
      <c r="V129" s="894">
        <f t="shared" si="36"/>
        <v>12</v>
      </c>
      <c r="W129" s="887"/>
    </row>
    <row r="130" spans="1:23" ht="14.1" customHeight="1">
      <c r="A130" s="900">
        <v>5</v>
      </c>
      <c r="B130" s="902" t="s">
        <v>625</v>
      </c>
      <c r="C130" s="887">
        <v>5</v>
      </c>
      <c r="D130" s="887">
        <v>3.5</v>
      </c>
      <c r="E130" s="897">
        <f t="shared" si="49"/>
        <v>17.5</v>
      </c>
      <c r="F130" s="887">
        <v>5</v>
      </c>
      <c r="G130" s="897">
        <v>5</v>
      </c>
      <c r="H130" s="897">
        <f t="shared" si="50"/>
        <v>25</v>
      </c>
      <c r="I130" s="894">
        <f t="shared" si="35"/>
        <v>42.5</v>
      </c>
      <c r="J130" s="1103">
        <v>5</v>
      </c>
      <c r="K130" s="887">
        <v>4</v>
      </c>
      <c r="L130" s="897">
        <f t="shared" si="51"/>
        <v>10</v>
      </c>
      <c r="M130" s="1103">
        <v>5</v>
      </c>
      <c r="N130" s="887">
        <v>4</v>
      </c>
      <c r="O130" s="897">
        <f t="shared" si="52"/>
        <v>10</v>
      </c>
      <c r="P130" s="1103">
        <v>1</v>
      </c>
      <c r="Q130" s="897">
        <v>5</v>
      </c>
      <c r="R130" s="897">
        <f t="shared" si="53"/>
        <v>2.5</v>
      </c>
      <c r="S130" s="1103">
        <v>1</v>
      </c>
      <c r="T130" s="897">
        <v>5</v>
      </c>
      <c r="U130" s="897">
        <f t="shared" si="54"/>
        <v>2.5</v>
      </c>
      <c r="V130" s="894">
        <f t="shared" si="36"/>
        <v>25</v>
      </c>
      <c r="W130" s="887"/>
    </row>
    <row r="131" spans="1:23" ht="14.1" customHeight="1">
      <c r="A131" s="900">
        <v>6</v>
      </c>
      <c r="B131" s="902" t="s">
        <v>651</v>
      </c>
      <c r="C131" s="887">
        <v>5</v>
      </c>
      <c r="D131" s="887">
        <v>2.5</v>
      </c>
      <c r="E131" s="897">
        <f t="shared" si="49"/>
        <v>12.5</v>
      </c>
      <c r="F131" s="887">
        <v>5</v>
      </c>
      <c r="G131" s="897">
        <v>2.5</v>
      </c>
      <c r="H131" s="897">
        <f t="shared" si="50"/>
        <v>12.5</v>
      </c>
      <c r="I131" s="894">
        <f t="shared" si="35"/>
        <v>25</v>
      </c>
      <c r="J131" s="1103">
        <v>5</v>
      </c>
      <c r="K131" s="887">
        <v>2.5</v>
      </c>
      <c r="L131" s="897">
        <f t="shared" si="51"/>
        <v>6.25</v>
      </c>
      <c r="M131" s="1103">
        <v>5</v>
      </c>
      <c r="N131" s="887">
        <v>2.5</v>
      </c>
      <c r="O131" s="897">
        <f t="shared" si="52"/>
        <v>6.25</v>
      </c>
      <c r="P131" s="1103">
        <v>1</v>
      </c>
      <c r="Q131" s="897">
        <v>2.5</v>
      </c>
      <c r="R131" s="897">
        <f t="shared" si="53"/>
        <v>1.25</v>
      </c>
      <c r="S131" s="1103">
        <v>1</v>
      </c>
      <c r="T131" s="897">
        <v>2.5</v>
      </c>
      <c r="U131" s="897">
        <f t="shared" si="54"/>
        <v>1.25</v>
      </c>
      <c r="V131" s="894">
        <f t="shared" si="36"/>
        <v>15</v>
      </c>
      <c r="W131" s="887"/>
    </row>
    <row r="132" spans="1:23" ht="14.1" customHeight="1">
      <c r="A132" s="900">
        <v>7</v>
      </c>
      <c r="B132" s="902" t="s">
        <v>652</v>
      </c>
      <c r="C132" s="887">
        <v>5</v>
      </c>
      <c r="D132" s="887">
        <v>3.5</v>
      </c>
      <c r="E132" s="897">
        <f t="shared" si="49"/>
        <v>17.5</v>
      </c>
      <c r="F132" s="887">
        <v>5</v>
      </c>
      <c r="G132" s="897">
        <v>4.5</v>
      </c>
      <c r="H132" s="897">
        <f t="shared" si="50"/>
        <v>22.5</v>
      </c>
      <c r="I132" s="894">
        <f t="shared" si="35"/>
        <v>40</v>
      </c>
      <c r="J132" s="1103">
        <v>6</v>
      </c>
      <c r="K132" s="887">
        <v>3.5</v>
      </c>
      <c r="L132" s="897">
        <f t="shared" si="51"/>
        <v>10.5</v>
      </c>
      <c r="M132" s="1103">
        <v>6</v>
      </c>
      <c r="N132" s="887">
        <v>3.5</v>
      </c>
      <c r="O132" s="897">
        <f t="shared" si="52"/>
        <v>10.5</v>
      </c>
      <c r="P132" s="1103">
        <v>6</v>
      </c>
      <c r="Q132" s="897">
        <v>4.5</v>
      </c>
      <c r="R132" s="897">
        <f t="shared" si="53"/>
        <v>13.5</v>
      </c>
      <c r="S132" s="1103">
        <v>6</v>
      </c>
      <c r="T132" s="897">
        <v>4.5</v>
      </c>
      <c r="U132" s="897">
        <f t="shared" si="54"/>
        <v>13.5</v>
      </c>
      <c r="V132" s="894">
        <f t="shared" si="36"/>
        <v>48</v>
      </c>
      <c r="W132" s="887"/>
    </row>
    <row r="133" spans="1:23" ht="14.1" customHeight="1">
      <c r="A133" s="900">
        <v>8</v>
      </c>
      <c r="B133" s="902" t="s">
        <v>653</v>
      </c>
      <c r="C133" s="887">
        <v>7</v>
      </c>
      <c r="D133" s="887">
        <v>9</v>
      </c>
      <c r="E133" s="897">
        <f t="shared" si="49"/>
        <v>63</v>
      </c>
      <c r="F133" s="887">
        <v>7</v>
      </c>
      <c r="G133" s="897">
        <v>9</v>
      </c>
      <c r="H133" s="897">
        <f t="shared" si="50"/>
        <v>63</v>
      </c>
      <c r="I133" s="894">
        <f t="shared" si="35"/>
        <v>126</v>
      </c>
      <c r="J133" s="1103">
        <v>3</v>
      </c>
      <c r="K133" s="887">
        <v>9</v>
      </c>
      <c r="L133" s="897">
        <f t="shared" si="51"/>
        <v>13.5</v>
      </c>
      <c r="M133" s="1103">
        <v>3</v>
      </c>
      <c r="N133" s="887">
        <v>9</v>
      </c>
      <c r="O133" s="897">
        <f t="shared" si="52"/>
        <v>13.5</v>
      </c>
      <c r="P133" s="1103">
        <v>3</v>
      </c>
      <c r="Q133" s="897">
        <v>9</v>
      </c>
      <c r="R133" s="897">
        <f t="shared" si="53"/>
        <v>13.5</v>
      </c>
      <c r="S133" s="1103">
        <v>3</v>
      </c>
      <c r="T133" s="897">
        <v>9</v>
      </c>
      <c r="U133" s="897">
        <f t="shared" si="54"/>
        <v>13.5</v>
      </c>
      <c r="V133" s="894">
        <f t="shared" si="36"/>
        <v>54</v>
      </c>
      <c r="W133" s="887"/>
    </row>
    <row r="134" spans="1:23" ht="14.1" customHeight="1">
      <c r="A134" s="900">
        <v>9</v>
      </c>
      <c r="B134" s="902" t="s">
        <v>654</v>
      </c>
      <c r="C134" s="887">
        <v>7</v>
      </c>
      <c r="D134" s="887">
        <v>10</v>
      </c>
      <c r="E134" s="897">
        <f t="shared" si="49"/>
        <v>70</v>
      </c>
      <c r="F134" s="887">
        <v>7</v>
      </c>
      <c r="G134" s="897">
        <v>8</v>
      </c>
      <c r="H134" s="897">
        <f t="shared" si="50"/>
        <v>56</v>
      </c>
      <c r="I134" s="894">
        <f t="shared" si="35"/>
        <v>126</v>
      </c>
      <c r="J134" s="1103">
        <v>1</v>
      </c>
      <c r="K134" s="887">
        <v>10</v>
      </c>
      <c r="L134" s="897">
        <f t="shared" si="51"/>
        <v>5</v>
      </c>
      <c r="M134" s="1103">
        <v>1</v>
      </c>
      <c r="N134" s="887">
        <v>10</v>
      </c>
      <c r="O134" s="897">
        <f t="shared" si="52"/>
        <v>5</v>
      </c>
      <c r="P134" s="1103">
        <v>2</v>
      </c>
      <c r="Q134" s="897">
        <v>8</v>
      </c>
      <c r="R134" s="897">
        <f t="shared" si="53"/>
        <v>8</v>
      </c>
      <c r="S134" s="1103">
        <v>2</v>
      </c>
      <c r="T134" s="897">
        <v>8</v>
      </c>
      <c r="U134" s="897">
        <f t="shared" si="54"/>
        <v>8</v>
      </c>
      <c r="V134" s="894">
        <f t="shared" si="36"/>
        <v>26</v>
      </c>
      <c r="W134" s="887"/>
    </row>
    <row r="135" spans="1:23" ht="14.1" customHeight="1">
      <c r="A135" s="900">
        <v>10</v>
      </c>
      <c r="B135" s="902" t="s">
        <v>655</v>
      </c>
      <c r="C135" s="887">
        <v>5</v>
      </c>
      <c r="D135" s="887">
        <v>2.5</v>
      </c>
      <c r="E135" s="897">
        <f t="shared" si="49"/>
        <v>12.5</v>
      </c>
      <c r="F135" s="887">
        <v>5</v>
      </c>
      <c r="G135" s="897">
        <v>3.3</v>
      </c>
      <c r="H135" s="897">
        <f t="shared" si="50"/>
        <v>16.5</v>
      </c>
      <c r="I135" s="894">
        <f t="shared" si="35"/>
        <v>29</v>
      </c>
      <c r="J135" s="1103">
        <v>3</v>
      </c>
      <c r="K135" s="887">
        <v>2.5</v>
      </c>
      <c r="L135" s="897">
        <f t="shared" si="51"/>
        <v>3.75</v>
      </c>
      <c r="M135" s="1103">
        <v>3</v>
      </c>
      <c r="N135" s="887">
        <v>2.5</v>
      </c>
      <c r="O135" s="897">
        <f t="shared" si="52"/>
        <v>3.75</v>
      </c>
      <c r="P135" s="1103">
        <v>3</v>
      </c>
      <c r="Q135" s="897">
        <v>3.3</v>
      </c>
      <c r="R135" s="897">
        <f t="shared" si="53"/>
        <v>4.9499999999999993</v>
      </c>
      <c r="S135" s="1103">
        <v>3</v>
      </c>
      <c r="T135" s="897">
        <v>3.3</v>
      </c>
      <c r="U135" s="897">
        <f t="shared" si="54"/>
        <v>4.9499999999999993</v>
      </c>
      <c r="V135" s="894">
        <f t="shared" si="36"/>
        <v>17.399999999999999</v>
      </c>
      <c r="W135" s="887"/>
    </row>
    <row r="136" spans="1:23" ht="14.1" customHeight="1">
      <c r="A136" s="900">
        <v>11</v>
      </c>
      <c r="B136" s="902" t="s">
        <v>656</v>
      </c>
      <c r="C136" s="887">
        <v>5</v>
      </c>
      <c r="D136" s="887">
        <v>2</v>
      </c>
      <c r="E136" s="897">
        <f t="shared" si="49"/>
        <v>10</v>
      </c>
      <c r="F136" s="887">
        <v>5</v>
      </c>
      <c r="G136" s="897">
        <v>2</v>
      </c>
      <c r="H136" s="897">
        <f t="shared" si="50"/>
        <v>10</v>
      </c>
      <c r="I136" s="894">
        <f t="shared" ref="I136:I180" si="55">E136+H136</f>
        <v>20</v>
      </c>
      <c r="J136" s="1103">
        <v>3</v>
      </c>
      <c r="K136" s="887">
        <v>2</v>
      </c>
      <c r="L136" s="897">
        <f t="shared" si="51"/>
        <v>3</v>
      </c>
      <c r="M136" s="1103">
        <v>3</v>
      </c>
      <c r="N136" s="887">
        <v>2</v>
      </c>
      <c r="O136" s="897">
        <f t="shared" si="52"/>
        <v>3</v>
      </c>
      <c r="P136" s="1103">
        <v>3</v>
      </c>
      <c r="Q136" s="897">
        <v>2</v>
      </c>
      <c r="R136" s="897">
        <f t="shared" si="53"/>
        <v>3</v>
      </c>
      <c r="S136" s="1103">
        <v>3</v>
      </c>
      <c r="T136" s="897">
        <v>2</v>
      </c>
      <c r="U136" s="897">
        <f t="shared" si="54"/>
        <v>3</v>
      </c>
      <c r="V136" s="894">
        <f t="shared" ref="V136:V180" si="56">L136+O136+R136+U136</f>
        <v>12</v>
      </c>
      <c r="W136" s="887"/>
    </row>
    <row r="137" spans="1:23" ht="14.1" customHeight="1">
      <c r="A137" s="900">
        <v>12</v>
      </c>
      <c r="B137" s="902" t="s">
        <v>657</v>
      </c>
      <c r="C137" s="887">
        <v>5</v>
      </c>
      <c r="D137" s="887">
        <v>2</v>
      </c>
      <c r="E137" s="897">
        <f t="shared" si="49"/>
        <v>10</v>
      </c>
      <c r="F137" s="887">
        <v>5</v>
      </c>
      <c r="G137" s="897">
        <v>2</v>
      </c>
      <c r="H137" s="897">
        <f t="shared" si="50"/>
        <v>10</v>
      </c>
      <c r="I137" s="894">
        <f t="shared" si="55"/>
        <v>20</v>
      </c>
      <c r="J137" s="1103">
        <v>3</v>
      </c>
      <c r="K137" s="887">
        <v>2</v>
      </c>
      <c r="L137" s="897">
        <f t="shared" si="51"/>
        <v>3</v>
      </c>
      <c r="M137" s="1103">
        <v>3</v>
      </c>
      <c r="N137" s="887">
        <v>2</v>
      </c>
      <c r="O137" s="897">
        <f t="shared" si="52"/>
        <v>3</v>
      </c>
      <c r="P137" s="1103">
        <v>3</v>
      </c>
      <c r="Q137" s="897">
        <v>2</v>
      </c>
      <c r="R137" s="897">
        <f t="shared" si="53"/>
        <v>3</v>
      </c>
      <c r="S137" s="1103">
        <v>3</v>
      </c>
      <c r="T137" s="897">
        <v>2</v>
      </c>
      <c r="U137" s="897">
        <f t="shared" si="54"/>
        <v>3</v>
      </c>
      <c r="V137" s="894">
        <f t="shared" si="56"/>
        <v>12</v>
      </c>
      <c r="W137" s="887"/>
    </row>
    <row r="138" spans="1:23" ht="14.1" customHeight="1">
      <c r="A138" s="900">
        <v>13</v>
      </c>
      <c r="B138" s="902" t="s">
        <v>658</v>
      </c>
      <c r="C138" s="887">
        <v>5</v>
      </c>
      <c r="D138" s="887">
        <v>3</v>
      </c>
      <c r="E138" s="897">
        <f t="shared" si="49"/>
        <v>15</v>
      </c>
      <c r="F138" s="887">
        <v>5</v>
      </c>
      <c r="G138" s="897">
        <v>2.7</v>
      </c>
      <c r="H138" s="897">
        <f t="shared" si="50"/>
        <v>13.5</v>
      </c>
      <c r="I138" s="894">
        <f t="shared" si="55"/>
        <v>28.5</v>
      </c>
      <c r="J138" s="1103">
        <v>5</v>
      </c>
      <c r="K138" s="887">
        <v>3</v>
      </c>
      <c r="L138" s="897">
        <f t="shared" si="51"/>
        <v>7.5</v>
      </c>
      <c r="M138" s="1103">
        <v>5</v>
      </c>
      <c r="N138" s="887">
        <v>3</v>
      </c>
      <c r="O138" s="897">
        <f t="shared" si="52"/>
        <v>7.5</v>
      </c>
      <c r="P138" s="1103">
        <v>5</v>
      </c>
      <c r="Q138" s="897">
        <v>2.7</v>
      </c>
      <c r="R138" s="897">
        <f t="shared" si="53"/>
        <v>6.75</v>
      </c>
      <c r="S138" s="1103">
        <v>5</v>
      </c>
      <c r="T138" s="897">
        <v>2.7</v>
      </c>
      <c r="U138" s="897">
        <f t="shared" si="54"/>
        <v>6.75</v>
      </c>
      <c r="V138" s="894">
        <f t="shared" si="56"/>
        <v>28.5</v>
      </c>
      <c r="W138" s="887"/>
    </row>
    <row r="139" spans="1:23" ht="14.1" customHeight="1">
      <c r="A139" s="900">
        <v>14</v>
      </c>
      <c r="B139" s="902" t="s">
        <v>659</v>
      </c>
      <c r="C139" s="887">
        <v>5</v>
      </c>
      <c r="D139" s="887">
        <v>3.5</v>
      </c>
      <c r="E139" s="897">
        <f t="shared" si="49"/>
        <v>17.5</v>
      </c>
      <c r="F139" s="887">
        <v>5</v>
      </c>
      <c r="G139" s="897">
        <v>3.5</v>
      </c>
      <c r="H139" s="897">
        <f t="shared" si="50"/>
        <v>17.5</v>
      </c>
      <c r="I139" s="894">
        <f t="shared" si="55"/>
        <v>35</v>
      </c>
      <c r="J139" s="1103">
        <v>5</v>
      </c>
      <c r="K139" s="887">
        <v>3.5</v>
      </c>
      <c r="L139" s="897">
        <f t="shared" si="51"/>
        <v>8.75</v>
      </c>
      <c r="M139" s="1103">
        <v>5</v>
      </c>
      <c r="N139" s="887">
        <v>3.5</v>
      </c>
      <c r="O139" s="897">
        <f t="shared" si="52"/>
        <v>8.75</v>
      </c>
      <c r="P139" s="1103">
        <v>5</v>
      </c>
      <c r="Q139" s="897">
        <v>3.5</v>
      </c>
      <c r="R139" s="897">
        <f t="shared" si="53"/>
        <v>8.75</v>
      </c>
      <c r="S139" s="1103">
        <v>5</v>
      </c>
      <c r="T139" s="897">
        <v>3.5</v>
      </c>
      <c r="U139" s="897">
        <f t="shared" si="54"/>
        <v>8.75</v>
      </c>
      <c r="V139" s="894">
        <f t="shared" si="56"/>
        <v>35</v>
      </c>
      <c r="W139" s="887"/>
    </row>
    <row r="140" spans="1:23" ht="14.1" customHeight="1">
      <c r="A140" s="900">
        <v>15</v>
      </c>
      <c r="B140" s="902" t="s">
        <v>660</v>
      </c>
      <c r="C140" s="887">
        <v>5</v>
      </c>
      <c r="D140" s="887">
        <v>3.5</v>
      </c>
      <c r="E140" s="897">
        <f t="shared" si="49"/>
        <v>17.5</v>
      </c>
      <c r="F140" s="887">
        <v>5</v>
      </c>
      <c r="G140" s="897">
        <v>3.3</v>
      </c>
      <c r="H140" s="897">
        <f t="shared" si="50"/>
        <v>16.5</v>
      </c>
      <c r="I140" s="894">
        <f t="shared" si="55"/>
        <v>34</v>
      </c>
      <c r="J140" s="1103">
        <v>4</v>
      </c>
      <c r="K140" s="887">
        <v>3.5</v>
      </c>
      <c r="L140" s="897">
        <f t="shared" si="51"/>
        <v>7</v>
      </c>
      <c r="M140" s="1103">
        <v>4</v>
      </c>
      <c r="N140" s="887">
        <v>3.5</v>
      </c>
      <c r="O140" s="897">
        <f t="shared" si="52"/>
        <v>7</v>
      </c>
      <c r="P140" s="1103">
        <v>4</v>
      </c>
      <c r="Q140" s="897">
        <v>3.3</v>
      </c>
      <c r="R140" s="897">
        <f t="shared" si="53"/>
        <v>6.6</v>
      </c>
      <c r="S140" s="1103">
        <v>4</v>
      </c>
      <c r="T140" s="897">
        <v>3.3</v>
      </c>
      <c r="U140" s="897">
        <f t="shared" si="54"/>
        <v>6.6</v>
      </c>
      <c r="V140" s="894">
        <f t="shared" si="56"/>
        <v>27.200000000000003</v>
      </c>
      <c r="W140" s="887"/>
    </row>
    <row r="141" spans="1:23" ht="14.1" customHeight="1">
      <c r="A141" s="900">
        <v>16</v>
      </c>
      <c r="B141" s="902" t="s">
        <v>661</v>
      </c>
      <c r="C141" s="887">
        <v>5</v>
      </c>
      <c r="D141" s="887">
        <v>1</v>
      </c>
      <c r="E141" s="897">
        <f t="shared" si="49"/>
        <v>5</v>
      </c>
      <c r="F141" s="887">
        <v>5</v>
      </c>
      <c r="G141" s="897">
        <v>1</v>
      </c>
      <c r="H141" s="897">
        <f t="shared" si="50"/>
        <v>5</v>
      </c>
      <c r="I141" s="894">
        <f t="shared" si="55"/>
        <v>10</v>
      </c>
      <c r="J141" s="1103">
        <v>4</v>
      </c>
      <c r="K141" s="887">
        <v>1</v>
      </c>
      <c r="L141" s="897">
        <f t="shared" si="51"/>
        <v>2</v>
      </c>
      <c r="M141" s="1103">
        <v>4</v>
      </c>
      <c r="N141" s="887">
        <v>1</v>
      </c>
      <c r="O141" s="897">
        <f t="shared" si="52"/>
        <v>2</v>
      </c>
      <c r="P141" s="1103">
        <v>4</v>
      </c>
      <c r="Q141" s="897">
        <v>1</v>
      </c>
      <c r="R141" s="897">
        <f t="shared" si="53"/>
        <v>2</v>
      </c>
      <c r="S141" s="1103">
        <v>4</v>
      </c>
      <c r="T141" s="897">
        <v>1</v>
      </c>
      <c r="U141" s="897">
        <f t="shared" si="54"/>
        <v>2</v>
      </c>
      <c r="V141" s="894">
        <f t="shared" si="56"/>
        <v>8</v>
      </c>
      <c r="W141" s="887"/>
    </row>
    <row r="142" spans="1:23" ht="14.1" customHeight="1">
      <c r="A142" s="900">
        <v>17</v>
      </c>
      <c r="B142" s="902" t="s">
        <v>594</v>
      </c>
      <c r="C142" s="887">
        <v>5</v>
      </c>
      <c r="D142" s="887">
        <v>3</v>
      </c>
      <c r="E142" s="897">
        <f t="shared" si="49"/>
        <v>15</v>
      </c>
      <c r="F142" s="887">
        <v>5</v>
      </c>
      <c r="G142" s="897">
        <v>3</v>
      </c>
      <c r="H142" s="897">
        <f t="shared" si="50"/>
        <v>15</v>
      </c>
      <c r="I142" s="894">
        <f t="shared" si="55"/>
        <v>30</v>
      </c>
      <c r="J142" s="1103">
        <v>4</v>
      </c>
      <c r="K142" s="887">
        <v>3</v>
      </c>
      <c r="L142" s="897">
        <f t="shared" si="51"/>
        <v>6</v>
      </c>
      <c r="M142" s="1103">
        <v>4</v>
      </c>
      <c r="N142" s="887">
        <v>3</v>
      </c>
      <c r="O142" s="897">
        <f t="shared" si="52"/>
        <v>6</v>
      </c>
      <c r="P142" s="1103">
        <v>4</v>
      </c>
      <c r="Q142" s="897">
        <v>3</v>
      </c>
      <c r="R142" s="897">
        <f t="shared" si="53"/>
        <v>6</v>
      </c>
      <c r="S142" s="1103">
        <v>4</v>
      </c>
      <c r="T142" s="897">
        <v>3</v>
      </c>
      <c r="U142" s="897">
        <f t="shared" si="54"/>
        <v>6</v>
      </c>
      <c r="V142" s="894">
        <f t="shared" si="56"/>
        <v>24</v>
      </c>
      <c r="W142" s="887"/>
    </row>
    <row r="143" spans="1:23" ht="14.1" customHeight="1">
      <c r="A143" s="900">
        <v>18</v>
      </c>
      <c r="B143" s="902" t="s">
        <v>662</v>
      </c>
      <c r="C143" s="887">
        <v>5</v>
      </c>
      <c r="D143" s="887">
        <v>1</v>
      </c>
      <c r="E143" s="897">
        <f t="shared" si="49"/>
        <v>5</v>
      </c>
      <c r="F143" s="887">
        <v>5</v>
      </c>
      <c r="G143" s="897">
        <v>1</v>
      </c>
      <c r="H143" s="897">
        <f t="shared" si="50"/>
        <v>5</v>
      </c>
      <c r="I143" s="894">
        <f t="shared" si="55"/>
        <v>10</v>
      </c>
      <c r="J143" s="1103">
        <v>4</v>
      </c>
      <c r="K143" s="887">
        <v>1</v>
      </c>
      <c r="L143" s="897">
        <f t="shared" si="51"/>
        <v>2</v>
      </c>
      <c r="M143" s="1103">
        <v>4</v>
      </c>
      <c r="N143" s="887">
        <v>1</v>
      </c>
      <c r="O143" s="897">
        <f t="shared" si="52"/>
        <v>2</v>
      </c>
      <c r="P143" s="1103">
        <v>4</v>
      </c>
      <c r="Q143" s="897">
        <v>1</v>
      </c>
      <c r="R143" s="897">
        <f t="shared" si="53"/>
        <v>2</v>
      </c>
      <c r="S143" s="1103">
        <v>4</v>
      </c>
      <c r="T143" s="897">
        <v>1</v>
      </c>
      <c r="U143" s="897">
        <f t="shared" si="54"/>
        <v>2</v>
      </c>
      <c r="V143" s="894">
        <f t="shared" si="56"/>
        <v>8</v>
      </c>
      <c r="W143" s="887"/>
    </row>
    <row r="144" spans="1:23" ht="14.1" customHeight="1">
      <c r="A144" s="900">
        <v>19</v>
      </c>
      <c r="B144" s="902" t="s">
        <v>663</v>
      </c>
      <c r="C144" s="887">
        <v>5</v>
      </c>
      <c r="D144" s="887">
        <v>1</v>
      </c>
      <c r="E144" s="897">
        <f t="shared" si="49"/>
        <v>5</v>
      </c>
      <c r="F144" s="887">
        <v>5</v>
      </c>
      <c r="G144" s="897">
        <v>1</v>
      </c>
      <c r="H144" s="897">
        <f t="shared" si="50"/>
        <v>5</v>
      </c>
      <c r="I144" s="894">
        <f t="shared" si="55"/>
        <v>10</v>
      </c>
      <c r="J144" s="1103">
        <v>3</v>
      </c>
      <c r="K144" s="887">
        <v>1</v>
      </c>
      <c r="L144" s="897">
        <f t="shared" si="51"/>
        <v>1.5</v>
      </c>
      <c r="M144" s="1103">
        <v>3</v>
      </c>
      <c r="N144" s="887">
        <v>1</v>
      </c>
      <c r="O144" s="897">
        <f t="shared" si="52"/>
        <v>1.5</v>
      </c>
      <c r="P144" s="1103">
        <v>3</v>
      </c>
      <c r="Q144" s="897">
        <v>1</v>
      </c>
      <c r="R144" s="897">
        <f t="shared" si="53"/>
        <v>1.5</v>
      </c>
      <c r="S144" s="1103">
        <v>3</v>
      </c>
      <c r="T144" s="897">
        <v>1</v>
      </c>
      <c r="U144" s="897">
        <f t="shared" si="54"/>
        <v>1.5</v>
      </c>
      <c r="V144" s="894">
        <f t="shared" si="56"/>
        <v>6</v>
      </c>
      <c r="W144" s="887"/>
    </row>
    <row r="145" spans="1:23" s="916" customFormat="1" ht="14.1" customHeight="1">
      <c r="A145" s="1386" t="s">
        <v>664</v>
      </c>
      <c r="B145" s="1386"/>
      <c r="C145" s="915"/>
      <c r="D145" s="915"/>
      <c r="E145" s="877">
        <f>SUM(E146:E156)</f>
        <v>96.3</v>
      </c>
      <c r="F145" s="877"/>
      <c r="G145" s="877"/>
      <c r="H145" s="877">
        <f>SUM(H146:H156)</f>
        <v>132.30000000000001</v>
      </c>
      <c r="I145" s="875">
        <f t="shared" si="55"/>
        <v>228.60000000000002</v>
      </c>
      <c r="J145" s="980"/>
      <c r="K145" s="875"/>
      <c r="L145" s="915">
        <f>SUM(L146:L156)</f>
        <v>20.25</v>
      </c>
      <c r="M145" s="980"/>
      <c r="N145" s="915"/>
      <c r="O145" s="877">
        <f>SUM(O146:O156)</f>
        <v>20.25</v>
      </c>
      <c r="P145" s="980"/>
      <c r="Q145" s="877"/>
      <c r="R145" s="877">
        <f>SUM(R146:R156)</f>
        <v>21.75</v>
      </c>
      <c r="S145" s="980"/>
      <c r="T145" s="877"/>
      <c r="U145" s="877">
        <f>SUM(U146:U156)</f>
        <v>21.75</v>
      </c>
      <c r="V145" s="875">
        <f t="shared" si="56"/>
        <v>84</v>
      </c>
      <c r="W145" s="914"/>
    </row>
    <row r="146" spans="1:23" ht="14.1" customHeight="1">
      <c r="A146" s="900">
        <v>1</v>
      </c>
      <c r="B146" s="902" t="s">
        <v>665</v>
      </c>
      <c r="C146" s="897">
        <v>7.5</v>
      </c>
      <c r="D146" s="897">
        <v>0</v>
      </c>
      <c r="E146" s="897">
        <f>C146*D146</f>
        <v>0</v>
      </c>
      <c r="F146" s="897">
        <v>7.5</v>
      </c>
      <c r="G146" s="897">
        <v>0</v>
      </c>
      <c r="H146" s="886">
        <f>F146*G146</f>
        <v>0</v>
      </c>
      <c r="I146" s="894">
        <f t="shared" si="55"/>
        <v>0</v>
      </c>
      <c r="J146" s="1103">
        <v>0</v>
      </c>
      <c r="K146" s="897">
        <v>0</v>
      </c>
      <c r="L146" s="897">
        <f>J146*K146/2</f>
        <v>0</v>
      </c>
      <c r="M146" s="1103">
        <v>0</v>
      </c>
      <c r="N146" s="897">
        <v>0</v>
      </c>
      <c r="O146" s="897">
        <f>M146*N146/2</f>
        <v>0</v>
      </c>
      <c r="P146" s="1103">
        <v>0</v>
      </c>
      <c r="Q146" s="897">
        <v>0</v>
      </c>
      <c r="R146" s="897">
        <f>P146*Q146/2</f>
        <v>0</v>
      </c>
      <c r="S146" s="1103">
        <v>0</v>
      </c>
      <c r="T146" s="897">
        <v>0</v>
      </c>
      <c r="U146" s="897">
        <f>S146*T146/2</f>
        <v>0</v>
      </c>
      <c r="V146" s="894">
        <f t="shared" si="56"/>
        <v>0</v>
      </c>
      <c r="W146" s="887"/>
    </row>
    <row r="147" spans="1:23" ht="14.1" customHeight="1">
      <c r="A147" s="900">
        <v>2</v>
      </c>
      <c r="B147" s="902" t="s">
        <v>666</v>
      </c>
      <c r="C147" s="897">
        <v>7.7</v>
      </c>
      <c r="D147" s="897">
        <v>0</v>
      </c>
      <c r="E147" s="897">
        <f t="shared" ref="E147:E156" si="57">C147*D147</f>
        <v>0</v>
      </c>
      <c r="F147" s="897">
        <v>7.7</v>
      </c>
      <c r="G147" s="897">
        <v>0</v>
      </c>
      <c r="H147" s="886">
        <f t="shared" ref="H147:H156" si="58">F147*G147</f>
        <v>0</v>
      </c>
      <c r="I147" s="894">
        <f t="shared" si="55"/>
        <v>0</v>
      </c>
      <c r="J147" s="1103">
        <v>0</v>
      </c>
      <c r="K147" s="897">
        <v>0</v>
      </c>
      <c r="L147" s="897">
        <f t="shared" ref="L147:L156" si="59">J147*K147/2</f>
        <v>0</v>
      </c>
      <c r="M147" s="1103">
        <v>0</v>
      </c>
      <c r="N147" s="897">
        <v>0</v>
      </c>
      <c r="O147" s="897">
        <f t="shared" ref="O147:O156" si="60">M147*N147/2</f>
        <v>0</v>
      </c>
      <c r="P147" s="1103">
        <v>0</v>
      </c>
      <c r="Q147" s="897">
        <v>0</v>
      </c>
      <c r="R147" s="897">
        <f t="shared" ref="R147:R156" si="61">P147*Q147/2</f>
        <v>0</v>
      </c>
      <c r="S147" s="1103">
        <v>0</v>
      </c>
      <c r="T147" s="897">
        <v>0</v>
      </c>
      <c r="U147" s="897">
        <f t="shared" ref="U147:U156" si="62">S147*T147/2</f>
        <v>0</v>
      </c>
      <c r="V147" s="894">
        <f t="shared" si="56"/>
        <v>0</v>
      </c>
      <c r="W147" s="887"/>
    </row>
    <row r="148" spans="1:23" ht="14.1" customHeight="1">
      <c r="A148" s="900">
        <v>3</v>
      </c>
      <c r="B148" s="902" t="s">
        <v>667</v>
      </c>
      <c r="C148" s="898">
        <v>7.7</v>
      </c>
      <c r="D148" s="898">
        <v>4</v>
      </c>
      <c r="E148" s="897">
        <f t="shared" si="57"/>
        <v>30.8</v>
      </c>
      <c r="F148" s="898">
        <v>7.7</v>
      </c>
      <c r="G148" s="898">
        <v>4</v>
      </c>
      <c r="H148" s="886">
        <f t="shared" si="58"/>
        <v>30.8</v>
      </c>
      <c r="I148" s="894">
        <f t="shared" si="55"/>
        <v>61.6</v>
      </c>
      <c r="J148" s="1103">
        <v>2</v>
      </c>
      <c r="K148" s="898">
        <v>4</v>
      </c>
      <c r="L148" s="897">
        <f t="shared" si="59"/>
        <v>4</v>
      </c>
      <c r="M148" s="1103">
        <v>2</v>
      </c>
      <c r="N148" s="898">
        <v>4</v>
      </c>
      <c r="O148" s="897">
        <f t="shared" si="60"/>
        <v>4</v>
      </c>
      <c r="P148" s="1103">
        <v>2</v>
      </c>
      <c r="Q148" s="898">
        <v>4</v>
      </c>
      <c r="R148" s="897">
        <f t="shared" si="61"/>
        <v>4</v>
      </c>
      <c r="S148" s="1103">
        <v>2</v>
      </c>
      <c r="T148" s="898">
        <v>4</v>
      </c>
      <c r="U148" s="897">
        <f t="shared" si="62"/>
        <v>4</v>
      </c>
      <c r="V148" s="894">
        <f t="shared" si="56"/>
        <v>16</v>
      </c>
      <c r="W148" s="887"/>
    </row>
    <row r="149" spans="1:23" ht="14.1" customHeight="1">
      <c r="A149" s="900">
        <v>4</v>
      </c>
      <c r="B149" s="902" t="s">
        <v>668</v>
      </c>
      <c r="C149" s="898">
        <v>11.9</v>
      </c>
      <c r="D149" s="898">
        <v>0</v>
      </c>
      <c r="E149" s="897">
        <f t="shared" si="57"/>
        <v>0</v>
      </c>
      <c r="F149" s="898">
        <v>11.9</v>
      </c>
      <c r="G149" s="898">
        <v>0</v>
      </c>
      <c r="H149" s="886">
        <f t="shared" si="58"/>
        <v>0</v>
      </c>
      <c r="I149" s="894">
        <f t="shared" si="55"/>
        <v>0</v>
      </c>
      <c r="J149" s="1103">
        <v>0</v>
      </c>
      <c r="K149" s="898">
        <v>0</v>
      </c>
      <c r="L149" s="897">
        <f t="shared" si="59"/>
        <v>0</v>
      </c>
      <c r="M149" s="1103">
        <v>0</v>
      </c>
      <c r="N149" s="898">
        <v>0</v>
      </c>
      <c r="O149" s="897">
        <f t="shared" si="60"/>
        <v>0</v>
      </c>
      <c r="P149" s="1103">
        <v>0</v>
      </c>
      <c r="Q149" s="898">
        <v>0</v>
      </c>
      <c r="R149" s="897">
        <f t="shared" si="61"/>
        <v>0</v>
      </c>
      <c r="S149" s="1103">
        <v>0</v>
      </c>
      <c r="T149" s="898">
        <v>0</v>
      </c>
      <c r="U149" s="897">
        <f t="shared" si="62"/>
        <v>0</v>
      </c>
      <c r="V149" s="894">
        <f t="shared" si="56"/>
        <v>0</v>
      </c>
      <c r="W149" s="887"/>
    </row>
    <row r="150" spans="1:23" ht="14.1" customHeight="1">
      <c r="A150" s="900">
        <v>5</v>
      </c>
      <c r="B150" s="902" t="s">
        <v>669</v>
      </c>
      <c r="C150" s="897">
        <v>9.4</v>
      </c>
      <c r="D150" s="897">
        <v>0</v>
      </c>
      <c r="E150" s="897">
        <f t="shared" si="57"/>
        <v>0</v>
      </c>
      <c r="F150" s="897">
        <v>9.4</v>
      </c>
      <c r="G150" s="897">
        <v>0</v>
      </c>
      <c r="H150" s="886">
        <f t="shared" si="58"/>
        <v>0</v>
      </c>
      <c r="I150" s="894">
        <f t="shared" si="55"/>
        <v>0</v>
      </c>
      <c r="J150" s="1103">
        <v>0</v>
      </c>
      <c r="K150" s="897">
        <v>0</v>
      </c>
      <c r="L150" s="897">
        <f t="shared" si="59"/>
        <v>0</v>
      </c>
      <c r="M150" s="1103">
        <v>0</v>
      </c>
      <c r="N150" s="897">
        <v>0</v>
      </c>
      <c r="O150" s="897">
        <f t="shared" si="60"/>
        <v>0</v>
      </c>
      <c r="P150" s="1103">
        <v>0</v>
      </c>
      <c r="Q150" s="897">
        <v>0</v>
      </c>
      <c r="R150" s="897">
        <f t="shared" si="61"/>
        <v>0</v>
      </c>
      <c r="S150" s="1103">
        <v>0</v>
      </c>
      <c r="T150" s="897">
        <v>0</v>
      </c>
      <c r="U150" s="897">
        <f t="shared" si="62"/>
        <v>0</v>
      </c>
      <c r="V150" s="894">
        <f t="shared" si="56"/>
        <v>0</v>
      </c>
      <c r="W150" s="887"/>
    </row>
    <row r="151" spans="1:23" ht="14.1" customHeight="1">
      <c r="A151" s="900">
        <v>6</v>
      </c>
      <c r="B151" s="902" t="s">
        <v>670</v>
      </c>
      <c r="C151" s="898">
        <v>7.4</v>
      </c>
      <c r="D151" s="898">
        <v>0</v>
      </c>
      <c r="E151" s="897">
        <f t="shared" si="57"/>
        <v>0</v>
      </c>
      <c r="F151" s="898">
        <v>7.4</v>
      </c>
      <c r="G151" s="898">
        <v>0</v>
      </c>
      <c r="H151" s="886">
        <f t="shared" si="58"/>
        <v>0</v>
      </c>
      <c r="I151" s="894">
        <f t="shared" si="55"/>
        <v>0</v>
      </c>
      <c r="J151" s="1103">
        <v>0</v>
      </c>
      <c r="K151" s="898">
        <v>0</v>
      </c>
      <c r="L151" s="897">
        <f t="shared" si="59"/>
        <v>0</v>
      </c>
      <c r="M151" s="1103">
        <v>0</v>
      </c>
      <c r="N151" s="898">
        <v>0</v>
      </c>
      <c r="O151" s="897">
        <f t="shared" si="60"/>
        <v>0</v>
      </c>
      <c r="P151" s="1103">
        <v>0</v>
      </c>
      <c r="Q151" s="898">
        <v>0</v>
      </c>
      <c r="R151" s="897">
        <f t="shared" si="61"/>
        <v>0</v>
      </c>
      <c r="S151" s="1103">
        <v>0</v>
      </c>
      <c r="T151" s="898">
        <v>0</v>
      </c>
      <c r="U151" s="897">
        <f t="shared" si="62"/>
        <v>0</v>
      </c>
      <c r="V151" s="894">
        <f t="shared" si="56"/>
        <v>0</v>
      </c>
      <c r="W151" s="887"/>
    </row>
    <row r="152" spans="1:23" ht="14.1" customHeight="1">
      <c r="A152" s="900">
        <v>7</v>
      </c>
      <c r="B152" s="902" t="s">
        <v>671</v>
      </c>
      <c r="C152" s="897">
        <v>7</v>
      </c>
      <c r="D152" s="897">
        <v>5.5</v>
      </c>
      <c r="E152" s="897">
        <f t="shared" si="57"/>
        <v>38.5</v>
      </c>
      <c r="F152" s="897">
        <v>7</v>
      </c>
      <c r="G152" s="897">
        <v>5.5</v>
      </c>
      <c r="H152" s="886">
        <f t="shared" si="58"/>
        <v>38.5</v>
      </c>
      <c r="I152" s="894">
        <f t="shared" si="55"/>
        <v>77</v>
      </c>
      <c r="J152" s="1103">
        <v>3</v>
      </c>
      <c r="K152" s="897">
        <v>5.5</v>
      </c>
      <c r="L152" s="897">
        <f t="shared" si="59"/>
        <v>8.25</v>
      </c>
      <c r="M152" s="1103">
        <v>3</v>
      </c>
      <c r="N152" s="897">
        <v>5.5</v>
      </c>
      <c r="O152" s="897">
        <f t="shared" si="60"/>
        <v>8.25</v>
      </c>
      <c r="P152" s="1103">
        <v>3</v>
      </c>
      <c r="Q152" s="897">
        <v>5.5</v>
      </c>
      <c r="R152" s="897">
        <f t="shared" si="61"/>
        <v>8.25</v>
      </c>
      <c r="S152" s="1103">
        <v>3</v>
      </c>
      <c r="T152" s="897">
        <v>5.5</v>
      </c>
      <c r="U152" s="897">
        <f t="shared" si="62"/>
        <v>8.25</v>
      </c>
      <c r="V152" s="894">
        <f t="shared" si="56"/>
        <v>33</v>
      </c>
      <c r="W152" s="887"/>
    </row>
    <row r="153" spans="1:23" ht="14.1" customHeight="1">
      <c r="A153" s="900">
        <v>8</v>
      </c>
      <c r="B153" s="902" t="s">
        <v>672</v>
      </c>
      <c r="C153" s="897">
        <v>5</v>
      </c>
      <c r="D153" s="897">
        <v>3</v>
      </c>
      <c r="E153" s="897">
        <f t="shared" si="57"/>
        <v>15</v>
      </c>
      <c r="F153" s="897">
        <v>5</v>
      </c>
      <c r="G153" s="897">
        <v>3</v>
      </c>
      <c r="H153" s="886">
        <f t="shared" si="58"/>
        <v>15</v>
      </c>
      <c r="I153" s="894">
        <f t="shared" si="55"/>
        <v>30</v>
      </c>
      <c r="J153" s="1103">
        <v>5</v>
      </c>
      <c r="K153" s="897">
        <v>3</v>
      </c>
      <c r="L153" s="897">
        <f t="shared" si="59"/>
        <v>7.5</v>
      </c>
      <c r="M153" s="1103">
        <v>5</v>
      </c>
      <c r="N153" s="897">
        <v>3</v>
      </c>
      <c r="O153" s="897">
        <f t="shared" si="60"/>
        <v>7.5</v>
      </c>
      <c r="P153" s="1103">
        <v>5</v>
      </c>
      <c r="Q153" s="897">
        <v>3</v>
      </c>
      <c r="R153" s="897">
        <f t="shared" si="61"/>
        <v>7.5</v>
      </c>
      <c r="S153" s="1103">
        <v>5</v>
      </c>
      <c r="T153" s="897">
        <v>3</v>
      </c>
      <c r="U153" s="897">
        <f t="shared" si="62"/>
        <v>7.5</v>
      </c>
      <c r="V153" s="894">
        <f t="shared" si="56"/>
        <v>30</v>
      </c>
      <c r="W153" s="887"/>
    </row>
    <row r="154" spans="1:23" ht="14.1" customHeight="1">
      <c r="A154" s="900">
        <v>9</v>
      </c>
      <c r="B154" s="902" t="s">
        <v>673</v>
      </c>
      <c r="C154" s="897">
        <v>12</v>
      </c>
      <c r="D154" s="897">
        <v>1</v>
      </c>
      <c r="E154" s="897">
        <f t="shared" si="57"/>
        <v>12</v>
      </c>
      <c r="F154" s="897">
        <v>12</v>
      </c>
      <c r="G154" s="897">
        <v>4</v>
      </c>
      <c r="H154" s="886">
        <f t="shared" si="58"/>
        <v>48</v>
      </c>
      <c r="I154" s="894">
        <f t="shared" si="55"/>
        <v>60</v>
      </c>
      <c r="J154" s="1116">
        <v>1</v>
      </c>
      <c r="K154" s="899">
        <v>1</v>
      </c>
      <c r="L154" s="897">
        <f t="shared" si="59"/>
        <v>0.5</v>
      </c>
      <c r="M154" s="1116">
        <v>1</v>
      </c>
      <c r="N154" s="897">
        <v>1</v>
      </c>
      <c r="O154" s="897">
        <f t="shared" si="60"/>
        <v>0.5</v>
      </c>
      <c r="P154" s="1103">
        <v>1</v>
      </c>
      <c r="Q154" s="897">
        <v>4</v>
      </c>
      <c r="R154" s="897">
        <f t="shared" si="61"/>
        <v>2</v>
      </c>
      <c r="S154" s="1103">
        <v>1</v>
      </c>
      <c r="T154" s="897">
        <v>4</v>
      </c>
      <c r="U154" s="897">
        <f t="shared" si="62"/>
        <v>2</v>
      </c>
      <c r="V154" s="894">
        <f t="shared" si="56"/>
        <v>5</v>
      </c>
      <c r="W154" s="887"/>
    </row>
    <row r="155" spans="1:23" ht="14.1" customHeight="1">
      <c r="A155" s="900">
        <v>10</v>
      </c>
      <c r="B155" s="902" t="s">
        <v>594</v>
      </c>
      <c r="C155" s="897">
        <v>13.84</v>
      </c>
      <c r="D155" s="897">
        <v>0</v>
      </c>
      <c r="E155" s="897">
        <f t="shared" si="57"/>
        <v>0</v>
      </c>
      <c r="F155" s="897">
        <v>13.84</v>
      </c>
      <c r="G155" s="897">
        <v>0</v>
      </c>
      <c r="H155" s="886">
        <f t="shared" si="58"/>
        <v>0</v>
      </c>
      <c r="I155" s="894">
        <f t="shared" si="55"/>
        <v>0</v>
      </c>
      <c r="J155" s="1103">
        <v>0</v>
      </c>
      <c r="K155" s="897">
        <v>0</v>
      </c>
      <c r="L155" s="897">
        <f t="shared" si="59"/>
        <v>0</v>
      </c>
      <c r="M155" s="1103">
        <v>0</v>
      </c>
      <c r="N155" s="897">
        <v>0</v>
      </c>
      <c r="O155" s="897">
        <f t="shared" si="60"/>
        <v>0</v>
      </c>
      <c r="P155" s="1103">
        <v>0</v>
      </c>
      <c r="Q155" s="897">
        <v>0</v>
      </c>
      <c r="R155" s="897">
        <f t="shared" si="61"/>
        <v>0</v>
      </c>
      <c r="S155" s="1103">
        <v>0</v>
      </c>
      <c r="T155" s="897">
        <v>0</v>
      </c>
      <c r="U155" s="897">
        <f t="shared" si="62"/>
        <v>0</v>
      </c>
      <c r="V155" s="894">
        <f t="shared" si="56"/>
        <v>0</v>
      </c>
      <c r="W155" s="887"/>
    </row>
    <row r="156" spans="1:23" ht="14.1" customHeight="1">
      <c r="A156" s="900">
        <v>11</v>
      </c>
      <c r="B156" s="902" t="s">
        <v>675</v>
      </c>
      <c r="C156" s="897">
        <v>16</v>
      </c>
      <c r="D156" s="897">
        <v>0</v>
      </c>
      <c r="E156" s="897">
        <f t="shared" si="57"/>
        <v>0</v>
      </c>
      <c r="F156" s="897">
        <v>16</v>
      </c>
      <c r="G156" s="897">
        <v>0</v>
      </c>
      <c r="H156" s="886">
        <f t="shared" si="58"/>
        <v>0</v>
      </c>
      <c r="I156" s="894">
        <f t="shared" si="55"/>
        <v>0</v>
      </c>
      <c r="J156" s="1103">
        <v>0</v>
      </c>
      <c r="K156" s="897">
        <v>0</v>
      </c>
      <c r="L156" s="897">
        <f t="shared" si="59"/>
        <v>0</v>
      </c>
      <c r="M156" s="1103">
        <v>0</v>
      </c>
      <c r="N156" s="897">
        <v>0</v>
      </c>
      <c r="O156" s="897">
        <f t="shared" si="60"/>
        <v>0</v>
      </c>
      <c r="P156" s="1103">
        <v>0</v>
      </c>
      <c r="Q156" s="897">
        <v>0</v>
      </c>
      <c r="R156" s="897">
        <f t="shared" si="61"/>
        <v>0</v>
      </c>
      <c r="S156" s="1103">
        <v>0</v>
      </c>
      <c r="T156" s="897">
        <v>0</v>
      </c>
      <c r="U156" s="897">
        <f t="shared" si="62"/>
        <v>0</v>
      </c>
      <c r="V156" s="894">
        <f t="shared" si="56"/>
        <v>0</v>
      </c>
      <c r="W156" s="887"/>
    </row>
    <row r="157" spans="1:23" s="909" customFormat="1" ht="14.1" customHeight="1">
      <c r="A157" s="1117" t="s">
        <v>676</v>
      </c>
      <c r="B157" s="1118"/>
      <c r="C157" s="882"/>
      <c r="D157" s="882"/>
      <c r="E157" s="873">
        <f>SUM(E158:E162)</f>
        <v>172.5</v>
      </c>
      <c r="F157" s="873"/>
      <c r="G157" s="873"/>
      <c r="H157" s="873">
        <f>SUM(H158:H162)</f>
        <v>230</v>
      </c>
      <c r="I157" s="912">
        <f t="shared" si="55"/>
        <v>402.5</v>
      </c>
      <c r="J157" s="980"/>
      <c r="K157" s="912"/>
      <c r="L157" s="882">
        <f>SUM(L158:L162)</f>
        <v>41.875</v>
      </c>
      <c r="M157" s="980"/>
      <c r="N157" s="882"/>
      <c r="O157" s="873">
        <f>SUM(O158:O162)</f>
        <v>41.875</v>
      </c>
      <c r="P157" s="980"/>
      <c r="Q157" s="873"/>
      <c r="R157" s="873">
        <f>SUM(R158:R162)</f>
        <v>66.875</v>
      </c>
      <c r="S157" s="980"/>
      <c r="T157" s="873"/>
      <c r="U157" s="873">
        <f>SUM(U158:U162)</f>
        <v>66.875</v>
      </c>
      <c r="V157" s="912">
        <f t="shared" si="56"/>
        <v>217.5</v>
      </c>
      <c r="W157" s="907"/>
    </row>
    <row r="158" spans="1:23" ht="14.1" customHeight="1">
      <c r="A158" s="900">
        <v>1</v>
      </c>
      <c r="B158" s="902" t="s">
        <v>677</v>
      </c>
      <c r="C158" s="897">
        <v>11.5</v>
      </c>
      <c r="D158" s="897">
        <v>5</v>
      </c>
      <c r="E158" s="897">
        <f>C158*D158</f>
        <v>57.5</v>
      </c>
      <c r="F158" s="897">
        <v>11.5</v>
      </c>
      <c r="G158" s="897">
        <v>5</v>
      </c>
      <c r="H158" s="886">
        <f>F158*G158</f>
        <v>57.5</v>
      </c>
      <c r="I158" s="894">
        <f t="shared" si="55"/>
        <v>115</v>
      </c>
      <c r="J158" s="1103">
        <v>5.75</v>
      </c>
      <c r="K158" s="897">
        <v>5</v>
      </c>
      <c r="L158" s="897">
        <f>J158*K158/2</f>
        <v>14.375</v>
      </c>
      <c r="M158" s="1103">
        <v>5.75</v>
      </c>
      <c r="N158" s="897">
        <v>5</v>
      </c>
      <c r="O158" s="897">
        <f>M158*N158/2</f>
        <v>14.375</v>
      </c>
      <c r="P158" s="1103">
        <v>5.75</v>
      </c>
      <c r="Q158" s="897">
        <v>5</v>
      </c>
      <c r="R158" s="897">
        <f>P158*Q158/2</f>
        <v>14.375</v>
      </c>
      <c r="S158" s="1103">
        <v>5.75</v>
      </c>
      <c r="T158" s="897">
        <v>5</v>
      </c>
      <c r="U158" s="897">
        <f>S158*T158/2</f>
        <v>14.375</v>
      </c>
      <c r="V158" s="894">
        <f t="shared" si="56"/>
        <v>57.5</v>
      </c>
      <c r="W158" s="887"/>
    </row>
    <row r="159" spans="1:23" ht="14.1" customHeight="1">
      <c r="A159" s="900">
        <v>2</v>
      </c>
      <c r="B159" s="902" t="s">
        <v>678</v>
      </c>
      <c r="C159" s="897">
        <v>11.5</v>
      </c>
      <c r="D159" s="897">
        <v>5</v>
      </c>
      <c r="E159" s="897">
        <f>C159*D159</f>
        <v>57.5</v>
      </c>
      <c r="F159" s="897">
        <v>11.5</v>
      </c>
      <c r="G159" s="897">
        <v>10</v>
      </c>
      <c r="H159" s="886">
        <f>F159*G159</f>
        <v>115</v>
      </c>
      <c r="I159" s="894">
        <f t="shared" si="55"/>
        <v>172.5</v>
      </c>
      <c r="J159" s="1103">
        <v>6</v>
      </c>
      <c r="K159" s="897">
        <v>5</v>
      </c>
      <c r="L159" s="897">
        <f>J159*K159/2</f>
        <v>15</v>
      </c>
      <c r="M159" s="1103">
        <v>6</v>
      </c>
      <c r="N159" s="897">
        <v>5</v>
      </c>
      <c r="O159" s="897">
        <f>M159*N159/2</f>
        <v>15</v>
      </c>
      <c r="P159" s="1103">
        <v>8</v>
      </c>
      <c r="Q159" s="897">
        <v>10</v>
      </c>
      <c r="R159" s="897">
        <f>P159*Q159/2</f>
        <v>40</v>
      </c>
      <c r="S159" s="1103">
        <v>8</v>
      </c>
      <c r="T159" s="897">
        <v>10</v>
      </c>
      <c r="U159" s="897">
        <f>S159*T159/2</f>
        <v>40</v>
      </c>
      <c r="V159" s="894">
        <f t="shared" si="56"/>
        <v>110</v>
      </c>
      <c r="W159" s="887"/>
    </row>
    <row r="160" spans="1:23" ht="14.1" customHeight="1">
      <c r="A160" s="900">
        <v>3</v>
      </c>
      <c r="B160" s="902" t="s">
        <v>679</v>
      </c>
      <c r="C160" s="898">
        <v>16</v>
      </c>
      <c r="D160" s="898">
        <v>0</v>
      </c>
      <c r="E160" s="897">
        <f>C160*D160</f>
        <v>0</v>
      </c>
      <c r="F160" s="898">
        <v>16</v>
      </c>
      <c r="G160" s="897">
        <v>0</v>
      </c>
      <c r="H160" s="886">
        <f>F160*G160</f>
        <v>0</v>
      </c>
      <c r="I160" s="894">
        <f t="shared" si="55"/>
        <v>0</v>
      </c>
      <c r="J160" s="1103">
        <v>0</v>
      </c>
      <c r="K160" s="898">
        <v>0</v>
      </c>
      <c r="L160" s="897">
        <f>J160*K160/2</f>
        <v>0</v>
      </c>
      <c r="M160" s="1103">
        <v>0</v>
      </c>
      <c r="N160" s="898">
        <v>0</v>
      </c>
      <c r="O160" s="897">
        <f>M160*N160/2</f>
        <v>0</v>
      </c>
      <c r="P160" s="1103">
        <v>0</v>
      </c>
      <c r="Q160" s="897">
        <v>0</v>
      </c>
      <c r="R160" s="897">
        <f>P160*Q160/2</f>
        <v>0</v>
      </c>
      <c r="S160" s="1103">
        <v>0</v>
      </c>
      <c r="T160" s="897">
        <v>0</v>
      </c>
      <c r="U160" s="897">
        <f>S160*T160/2</f>
        <v>0</v>
      </c>
      <c r="V160" s="894">
        <f t="shared" si="56"/>
        <v>0</v>
      </c>
      <c r="W160" s="887"/>
    </row>
    <row r="161" spans="1:24" ht="14.1" customHeight="1">
      <c r="A161" s="900">
        <v>4</v>
      </c>
      <c r="B161" s="902" t="s">
        <v>680</v>
      </c>
      <c r="C161" s="898">
        <v>16</v>
      </c>
      <c r="D161" s="898">
        <v>0</v>
      </c>
      <c r="E161" s="897">
        <f>C161*D161</f>
        <v>0</v>
      </c>
      <c r="F161" s="898">
        <v>16</v>
      </c>
      <c r="G161" s="897">
        <v>0</v>
      </c>
      <c r="H161" s="886">
        <f>F161*G161</f>
        <v>0</v>
      </c>
      <c r="I161" s="894">
        <f t="shared" si="55"/>
        <v>0</v>
      </c>
      <c r="J161" s="1103">
        <v>0</v>
      </c>
      <c r="K161" s="898">
        <v>0</v>
      </c>
      <c r="L161" s="897">
        <f>J161*K161/2</f>
        <v>0</v>
      </c>
      <c r="M161" s="1103">
        <v>0</v>
      </c>
      <c r="N161" s="898">
        <v>0</v>
      </c>
      <c r="O161" s="897">
        <f>M161*N161/2</f>
        <v>0</v>
      </c>
      <c r="P161" s="1103">
        <v>0</v>
      </c>
      <c r="Q161" s="897">
        <v>0</v>
      </c>
      <c r="R161" s="897">
        <f>P161*Q161/2</f>
        <v>0</v>
      </c>
      <c r="S161" s="1103">
        <v>0</v>
      </c>
      <c r="T161" s="897">
        <v>0</v>
      </c>
      <c r="U161" s="897">
        <f>S161*T161/2</f>
        <v>0</v>
      </c>
      <c r="V161" s="894">
        <f t="shared" si="56"/>
        <v>0</v>
      </c>
      <c r="W161" s="887"/>
    </row>
    <row r="162" spans="1:24" ht="14.1" customHeight="1">
      <c r="A162" s="900">
        <v>5</v>
      </c>
      <c r="B162" s="902" t="s">
        <v>681</v>
      </c>
      <c r="C162" s="897">
        <v>11.5</v>
      </c>
      <c r="D162" s="897">
        <v>5</v>
      </c>
      <c r="E162" s="897">
        <f>C162*D162</f>
        <v>57.5</v>
      </c>
      <c r="F162" s="897">
        <v>11.5</v>
      </c>
      <c r="G162" s="897">
        <v>5</v>
      </c>
      <c r="H162" s="886">
        <f>F162*G162</f>
        <v>57.5</v>
      </c>
      <c r="I162" s="894">
        <f t="shared" si="55"/>
        <v>115</v>
      </c>
      <c r="J162" s="1116">
        <v>5</v>
      </c>
      <c r="K162" s="899">
        <v>5</v>
      </c>
      <c r="L162" s="897">
        <f>J162*K162/2</f>
        <v>12.5</v>
      </c>
      <c r="M162" s="1116">
        <v>5</v>
      </c>
      <c r="N162" s="897">
        <v>5</v>
      </c>
      <c r="O162" s="897">
        <f>M162*N162/2</f>
        <v>12.5</v>
      </c>
      <c r="P162" s="1103">
        <v>5</v>
      </c>
      <c r="Q162" s="897">
        <v>5</v>
      </c>
      <c r="R162" s="897">
        <f>P162*Q162/2</f>
        <v>12.5</v>
      </c>
      <c r="S162" s="1103">
        <v>5</v>
      </c>
      <c r="T162" s="897">
        <v>5</v>
      </c>
      <c r="U162" s="897">
        <f>S162*T162/2</f>
        <v>12.5</v>
      </c>
      <c r="V162" s="894">
        <f t="shared" si="56"/>
        <v>50</v>
      </c>
      <c r="W162" s="887"/>
    </row>
    <row r="163" spans="1:24" s="909" customFormat="1" ht="14.1" customHeight="1">
      <c r="A163" s="1385" t="s">
        <v>946</v>
      </c>
      <c r="B163" s="1385"/>
      <c r="C163" s="874"/>
      <c r="D163" s="874"/>
      <c r="E163" s="874">
        <f>E164</f>
        <v>585</v>
      </c>
      <c r="F163" s="874"/>
      <c r="G163" s="874"/>
      <c r="H163" s="874">
        <f>H164</f>
        <v>564</v>
      </c>
      <c r="I163" s="917">
        <f t="shared" si="55"/>
        <v>1149</v>
      </c>
      <c r="J163" s="980"/>
      <c r="K163" s="917"/>
      <c r="L163" s="874">
        <f>L164</f>
        <v>195</v>
      </c>
      <c r="M163" s="980"/>
      <c r="N163" s="874"/>
      <c r="O163" s="874">
        <f>O164</f>
        <v>195</v>
      </c>
      <c r="P163" s="980"/>
      <c r="Q163" s="874"/>
      <c r="R163" s="874">
        <f>R164</f>
        <v>175.85</v>
      </c>
      <c r="S163" s="980"/>
      <c r="T163" s="874"/>
      <c r="U163" s="874">
        <f>U164</f>
        <v>175.85</v>
      </c>
      <c r="V163" s="917">
        <f t="shared" si="56"/>
        <v>741.7</v>
      </c>
      <c r="W163" s="910"/>
      <c r="X163" s="909">
        <f>V163*2</f>
        <v>1483.4</v>
      </c>
    </row>
    <row r="164" spans="1:24" s="909" customFormat="1" ht="14.1" customHeight="1">
      <c r="A164" s="1387" t="s">
        <v>682</v>
      </c>
      <c r="B164" s="1387"/>
      <c r="C164" s="918"/>
      <c r="D164" s="918"/>
      <c r="E164" s="918">
        <f>SUM(E165:E180)</f>
        <v>585</v>
      </c>
      <c r="F164" s="918"/>
      <c r="G164" s="918"/>
      <c r="H164" s="918">
        <f>SUM(H165:H180)</f>
        <v>564</v>
      </c>
      <c r="I164" s="917">
        <f t="shared" si="55"/>
        <v>1149</v>
      </c>
      <c r="J164" s="980"/>
      <c r="K164" s="917"/>
      <c r="L164" s="918">
        <f>SUM(L165:L180)</f>
        <v>195</v>
      </c>
      <c r="M164" s="980"/>
      <c r="N164" s="918"/>
      <c r="O164" s="918">
        <f>SUM(O165:O180)</f>
        <v>195</v>
      </c>
      <c r="P164" s="980"/>
      <c r="Q164" s="918"/>
      <c r="R164" s="918">
        <f>SUM(R165:R180)</f>
        <v>175.85</v>
      </c>
      <c r="S164" s="980"/>
      <c r="T164" s="918"/>
      <c r="U164" s="918">
        <f>SUM(U165:U180)</f>
        <v>175.85</v>
      </c>
      <c r="V164" s="917">
        <f t="shared" si="56"/>
        <v>741.7</v>
      </c>
      <c r="W164" s="880"/>
    </row>
    <row r="165" spans="1:24" ht="14.1" customHeight="1">
      <c r="A165" s="900">
        <v>1</v>
      </c>
      <c r="B165" s="902" t="s">
        <v>1038</v>
      </c>
      <c r="C165" s="888">
        <v>5</v>
      </c>
      <c r="D165" s="888">
        <v>7.5</v>
      </c>
      <c r="E165" s="892">
        <f>C165*D165</f>
        <v>37.5</v>
      </c>
      <c r="F165" s="888">
        <v>5</v>
      </c>
      <c r="G165" s="888">
        <v>7.5</v>
      </c>
      <c r="H165" s="893">
        <f>F165*G165</f>
        <v>37.5</v>
      </c>
      <c r="I165" s="894">
        <f t="shared" si="55"/>
        <v>75</v>
      </c>
      <c r="J165" s="1103">
        <v>3</v>
      </c>
      <c r="K165" s="888">
        <v>7.5</v>
      </c>
      <c r="L165" s="895">
        <f>J165*K165/2</f>
        <v>11.25</v>
      </c>
      <c r="M165" s="1103">
        <v>3</v>
      </c>
      <c r="N165" s="888">
        <v>7.5</v>
      </c>
      <c r="O165" s="892">
        <f>M165*N165/2</f>
        <v>11.25</v>
      </c>
      <c r="P165" s="1103">
        <v>3</v>
      </c>
      <c r="Q165" s="888">
        <v>7.5</v>
      </c>
      <c r="R165" s="896">
        <f>P165*Q165/2</f>
        <v>11.25</v>
      </c>
      <c r="S165" s="1103">
        <v>3</v>
      </c>
      <c r="T165" s="888">
        <v>7.5</v>
      </c>
      <c r="U165" s="896">
        <f>S165*T165/2</f>
        <v>11.25</v>
      </c>
      <c r="V165" s="894">
        <f t="shared" si="56"/>
        <v>45</v>
      </c>
      <c r="W165" s="888"/>
    </row>
    <row r="166" spans="1:24" ht="14.1" customHeight="1">
      <c r="A166" s="900">
        <v>2</v>
      </c>
      <c r="B166" s="902" t="s">
        <v>684</v>
      </c>
      <c r="C166" s="888">
        <v>5</v>
      </c>
      <c r="D166" s="888">
        <v>7</v>
      </c>
      <c r="E166" s="892">
        <f t="shared" ref="E166:E180" si="63">C166*D166</f>
        <v>35</v>
      </c>
      <c r="F166" s="888">
        <v>5</v>
      </c>
      <c r="G166" s="888">
        <v>7</v>
      </c>
      <c r="H166" s="893">
        <f t="shared" ref="H166:H180" si="64">F166*G166</f>
        <v>35</v>
      </c>
      <c r="I166" s="894">
        <f t="shared" si="55"/>
        <v>70</v>
      </c>
      <c r="J166" s="1103">
        <v>3</v>
      </c>
      <c r="K166" s="888">
        <v>7</v>
      </c>
      <c r="L166" s="895">
        <f t="shared" ref="L166:L180" si="65">J166*K166/2</f>
        <v>10.5</v>
      </c>
      <c r="M166" s="1103">
        <v>3</v>
      </c>
      <c r="N166" s="888">
        <v>7</v>
      </c>
      <c r="O166" s="892">
        <f t="shared" ref="O166:O180" si="66">M166*N166/2</f>
        <v>10.5</v>
      </c>
      <c r="P166" s="1103">
        <v>2</v>
      </c>
      <c r="Q166" s="888">
        <v>7</v>
      </c>
      <c r="R166" s="896">
        <f t="shared" ref="R166:R180" si="67">P166*Q166/2</f>
        <v>7</v>
      </c>
      <c r="S166" s="1103">
        <v>2</v>
      </c>
      <c r="T166" s="888">
        <v>7</v>
      </c>
      <c r="U166" s="896">
        <f t="shared" ref="U166:U180" si="68">S166*T166/2</f>
        <v>7</v>
      </c>
      <c r="V166" s="894">
        <f t="shared" si="56"/>
        <v>35</v>
      </c>
      <c r="W166" s="888"/>
    </row>
    <row r="167" spans="1:24" ht="14.1" customHeight="1">
      <c r="A167" s="900">
        <v>3</v>
      </c>
      <c r="B167" s="902" t="s">
        <v>685</v>
      </c>
      <c r="C167" s="888">
        <v>5</v>
      </c>
      <c r="D167" s="888">
        <v>10</v>
      </c>
      <c r="E167" s="892">
        <f t="shared" si="63"/>
        <v>50</v>
      </c>
      <c r="F167" s="888">
        <v>5</v>
      </c>
      <c r="G167" s="888">
        <v>7</v>
      </c>
      <c r="H167" s="893">
        <f t="shared" si="64"/>
        <v>35</v>
      </c>
      <c r="I167" s="894">
        <f t="shared" si="55"/>
        <v>85</v>
      </c>
      <c r="J167" s="1103">
        <v>4</v>
      </c>
      <c r="K167" s="888">
        <v>10</v>
      </c>
      <c r="L167" s="895">
        <f t="shared" si="65"/>
        <v>20</v>
      </c>
      <c r="M167" s="1103">
        <v>4</v>
      </c>
      <c r="N167" s="888">
        <v>10</v>
      </c>
      <c r="O167" s="892">
        <f t="shared" si="66"/>
        <v>20</v>
      </c>
      <c r="P167" s="1103">
        <v>2</v>
      </c>
      <c r="Q167" s="888">
        <v>7</v>
      </c>
      <c r="R167" s="896">
        <f t="shared" si="67"/>
        <v>7</v>
      </c>
      <c r="S167" s="1103">
        <v>2</v>
      </c>
      <c r="T167" s="888">
        <v>7</v>
      </c>
      <c r="U167" s="896">
        <f t="shared" si="68"/>
        <v>7</v>
      </c>
      <c r="V167" s="894">
        <f t="shared" si="56"/>
        <v>54</v>
      </c>
      <c r="W167" s="888"/>
    </row>
    <row r="168" spans="1:24" ht="14.1" customHeight="1">
      <c r="A168" s="900">
        <v>4</v>
      </c>
      <c r="B168" s="902" t="s">
        <v>686</v>
      </c>
      <c r="C168" s="888">
        <v>5</v>
      </c>
      <c r="D168" s="888">
        <v>7</v>
      </c>
      <c r="E168" s="892">
        <f t="shared" si="63"/>
        <v>35</v>
      </c>
      <c r="F168" s="888">
        <v>5</v>
      </c>
      <c r="G168" s="888">
        <v>7</v>
      </c>
      <c r="H168" s="893">
        <f t="shared" si="64"/>
        <v>35</v>
      </c>
      <c r="I168" s="894">
        <f t="shared" si="55"/>
        <v>70</v>
      </c>
      <c r="J168" s="1103">
        <v>3</v>
      </c>
      <c r="K168" s="888">
        <v>7</v>
      </c>
      <c r="L168" s="895">
        <f t="shared" si="65"/>
        <v>10.5</v>
      </c>
      <c r="M168" s="1103">
        <v>3</v>
      </c>
      <c r="N168" s="888">
        <v>7</v>
      </c>
      <c r="O168" s="892">
        <f t="shared" si="66"/>
        <v>10.5</v>
      </c>
      <c r="P168" s="1103">
        <v>4</v>
      </c>
      <c r="Q168" s="888">
        <v>7</v>
      </c>
      <c r="R168" s="896">
        <f t="shared" si="67"/>
        <v>14</v>
      </c>
      <c r="S168" s="1103">
        <v>4</v>
      </c>
      <c r="T168" s="888">
        <v>7</v>
      </c>
      <c r="U168" s="896">
        <f t="shared" si="68"/>
        <v>14</v>
      </c>
      <c r="V168" s="894">
        <f t="shared" si="56"/>
        <v>49</v>
      </c>
      <c r="W168" s="888"/>
    </row>
    <row r="169" spans="1:24" ht="14.1" customHeight="1">
      <c r="A169" s="900">
        <v>5</v>
      </c>
      <c r="B169" s="902" t="s">
        <v>687</v>
      </c>
      <c r="C169" s="888">
        <v>5</v>
      </c>
      <c r="D169" s="888">
        <v>8.5</v>
      </c>
      <c r="E169" s="892">
        <f t="shared" si="63"/>
        <v>42.5</v>
      </c>
      <c r="F169" s="888">
        <v>5</v>
      </c>
      <c r="G169" s="888">
        <v>8.5</v>
      </c>
      <c r="H169" s="893">
        <f t="shared" si="64"/>
        <v>42.5</v>
      </c>
      <c r="I169" s="894">
        <f t="shared" si="55"/>
        <v>85</v>
      </c>
      <c r="J169" s="1103">
        <v>4</v>
      </c>
      <c r="K169" s="888">
        <v>8.5</v>
      </c>
      <c r="L169" s="895">
        <f t="shared" si="65"/>
        <v>17</v>
      </c>
      <c r="M169" s="1103">
        <v>4</v>
      </c>
      <c r="N169" s="888">
        <v>8.5</v>
      </c>
      <c r="O169" s="892">
        <f t="shared" si="66"/>
        <v>17</v>
      </c>
      <c r="P169" s="1103">
        <v>4</v>
      </c>
      <c r="Q169" s="888">
        <v>8.5</v>
      </c>
      <c r="R169" s="896">
        <f t="shared" si="67"/>
        <v>17</v>
      </c>
      <c r="S169" s="1103">
        <v>4</v>
      </c>
      <c r="T169" s="888">
        <v>8.5</v>
      </c>
      <c r="U169" s="896">
        <f t="shared" si="68"/>
        <v>17</v>
      </c>
      <c r="V169" s="894">
        <f t="shared" si="56"/>
        <v>68</v>
      </c>
      <c r="W169" s="888"/>
    </row>
    <row r="170" spans="1:24" ht="14.1" customHeight="1">
      <c r="A170" s="900">
        <v>6</v>
      </c>
      <c r="B170" s="902" t="s">
        <v>688</v>
      </c>
      <c r="C170" s="888">
        <v>5</v>
      </c>
      <c r="D170" s="888">
        <v>6</v>
      </c>
      <c r="E170" s="892">
        <f t="shared" si="63"/>
        <v>30</v>
      </c>
      <c r="F170" s="888">
        <v>5</v>
      </c>
      <c r="G170" s="888">
        <v>6</v>
      </c>
      <c r="H170" s="893">
        <f t="shared" si="64"/>
        <v>30</v>
      </c>
      <c r="I170" s="894">
        <f t="shared" si="55"/>
        <v>60</v>
      </c>
      <c r="J170" s="1103">
        <v>4</v>
      </c>
      <c r="K170" s="888">
        <v>6</v>
      </c>
      <c r="L170" s="895">
        <f t="shared" si="65"/>
        <v>12</v>
      </c>
      <c r="M170" s="1103">
        <v>4</v>
      </c>
      <c r="N170" s="888">
        <v>6</v>
      </c>
      <c r="O170" s="892">
        <f t="shared" si="66"/>
        <v>12</v>
      </c>
      <c r="P170" s="1103">
        <v>4</v>
      </c>
      <c r="Q170" s="888">
        <v>6</v>
      </c>
      <c r="R170" s="896">
        <f t="shared" si="67"/>
        <v>12</v>
      </c>
      <c r="S170" s="1103">
        <v>4</v>
      </c>
      <c r="T170" s="888">
        <v>6</v>
      </c>
      <c r="U170" s="896">
        <f t="shared" si="68"/>
        <v>12</v>
      </c>
      <c r="V170" s="894">
        <f t="shared" si="56"/>
        <v>48</v>
      </c>
      <c r="W170" s="888"/>
    </row>
    <row r="171" spans="1:24" ht="14.1" customHeight="1">
      <c r="A171" s="900">
        <v>7</v>
      </c>
      <c r="B171" s="902" t="s">
        <v>689</v>
      </c>
      <c r="C171" s="888">
        <v>5</v>
      </c>
      <c r="D171" s="888">
        <v>8</v>
      </c>
      <c r="E171" s="892">
        <f t="shared" si="63"/>
        <v>40</v>
      </c>
      <c r="F171" s="888">
        <v>5</v>
      </c>
      <c r="G171" s="888">
        <v>8</v>
      </c>
      <c r="H171" s="893">
        <f t="shared" si="64"/>
        <v>40</v>
      </c>
      <c r="I171" s="894">
        <f t="shared" si="55"/>
        <v>80</v>
      </c>
      <c r="J171" s="1103">
        <v>3</v>
      </c>
      <c r="K171" s="888">
        <v>8</v>
      </c>
      <c r="L171" s="895">
        <f t="shared" si="65"/>
        <v>12</v>
      </c>
      <c r="M171" s="1103">
        <v>3</v>
      </c>
      <c r="N171" s="888">
        <v>8</v>
      </c>
      <c r="O171" s="892">
        <f t="shared" si="66"/>
        <v>12</v>
      </c>
      <c r="P171" s="1103">
        <v>3</v>
      </c>
      <c r="Q171" s="888">
        <v>8</v>
      </c>
      <c r="R171" s="896">
        <f t="shared" si="67"/>
        <v>12</v>
      </c>
      <c r="S171" s="1103">
        <v>3</v>
      </c>
      <c r="T171" s="888">
        <v>8</v>
      </c>
      <c r="U171" s="896">
        <f t="shared" si="68"/>
        <v>12</v>
      </c>
      <c r="V171" s="894">
        <f t="shared" si="56"/>
        <v>48</v>
      </c>
      <c r="W171" s="888"/>
    </row>
    <row r="172" spans="1:24" ht="14.1" customHeight="1">
      <c r="A172" s="900">
        <v>8</v>
      </c>
      <c r="B172" s="902" t="s">
        <v>690</v>
      </c>
      <c r="C172" s="888">
        <v>5</v>
      </c>
      <c r="D172" s="888">
        <v>8</v>
      </c>
      <c r="E172" s="892">
        <f t="shared" si="63"/>
        <v>40</v>
      </c>
      <c r="F172" s="888">
        <v>5</v>
      </c>
      <c r="G172" s="888">
        <v>8</v>
      </c>
      <c r="H172" s="893">
        <f t="shared" si="64"/>
        <v>40</v>
      </c>
      <c r="I172" s="894">
        <f t="shared" si="55"/>
        <v>80</v>
      </c>
      <c r="J172" s="1103">
        <v>3</v>
      </c>
      <c r="K172" s="888">
        <v>8</v>
      </c>
      <c r="L172" s="895">
        <f t="shared" si="65"/>
        <v>12</v>
      </c>
      <c r="M172" s="1103">
        <v>3</v>
      </c>
      <c r="N172" s="888">
        <v>8</v>
      </c>
      <c r="O172" s="892">
        <f t="shared" si="66"/>
        <v>12</v>
      </c>
      <c r="P172" s="1103">
        <v>3</v>
      </c>
      <c r="Q172" s="888">
        <v>8</v>
      </c>
      <c r="R172" s="896">
        <f t="shared" si="67"/>
        <v>12</v>
      </c>
      <c r="S172" s="1103">
        <v>3</v>
      </c>
      <c r="T172" s="888">
        <v>8</v>
      </c>
      <c r="U172" s="896">
        <f t="shared" si="68"/>
        <v>12</v>
      </c>
      <c r="V172" s="894">
        <f t="shared" si="56"/>
        <v>48</v>
      </c>
      <c r="W172" s="888"/>
    </row>
    <row r="173" spans="1:24" ht="14.1" customHeight="1">
      <c r="A173" s="900">
        <v>9</v>
      </c>
      <c r="B173" s="902" t="s">
        <v>691</v>
      </c>
      <c r="C173" s="888">
        <v>5</v>
      </c>
      <c r="D173" s="888">
        <v>8</v>
      </c>
      <c r="E173" s="892">
        <f t="shared" si="63"/>
        <v>40</v>
      </c>
      <c r="F173" s="888">
        <v>5</v>
      </c>
      <c r="G173" s="888">
        <v>8</v>
      </c>
      <c r="H173" s="893">
        <f t="shared" si="64"/>
        <v>40</v>
      </c>
      <c r="I173" s="894">
        <f t="shared" si="55"/>
        <v>80</v>
      </c>
      <c r="J173" s="1103">
        <v>3</v>
      </c>
      <c r="K173" s="888">
        <v>8</v>
      </c>
      <c r="L173" s="895">
        <f t="shared" si="65"/>
        <v>12</v>
      </c>
      <c r="M173" s="1103">
        <v>3</v>
      </c>
      <c r="N173" s="888">
        <v>8</v>
      </c>
      <c r="O173" s="892">
        <f t="shared" si="66"/>
        <v>12</v>
      </c>
      <c r="P173" s="1103">
        <v>3</v>
      </c>
      <c r="Q173" s="888">
        <v>8</v>
      </c>
      <c r="R173" s="896">
        <f t="shared" si="67"/>
        <v>12</v>
      </c>
      <c r="S173" s="1103">
        <v>3</v>
      </c>
      <c r="T173" s="888">
        <v>8</v>
      </c>
      <c r="U173" s="896">
        <f t="shared" si="68"/>
        <v>12</v>
      </c>
      <c r="V173" s="894">
        <f t="shared" si="56"/>
        <v>48</v>
      </c>
      <c r="W173" s="888"/>
    </row>
    <row r="174" spans="1:24" ht="14.1" customHeight="1">
      <c r="A174" s="900">
        <v>10</v>
      </c>
      <c r="B174" s="902" t="s">
        <v>692</v>
      </c>
      <c r="C174" s="888">
        <v>5</v>
      </c>
      <c r="D174" s="888">
        <v>6</v>
      </c>
      <c r="E174" s="892">
        <f t="shared" si="63"/>
        <v>30</v>
      </c>
      <c r="F174" s="888">
        <v>5</v>
      </c>
      <c r="G174" s="888">
        <v>6</v>
      </c>
      <c r="H174" s="893">
        <f t="shared" si="64"/>
        <v>30</v>
      </c>
      <c r="I174" s="894">
        <f t="shared" si="55"/>
        <v>60</v>
      </c>
      <c r="J174" s="1103">
        <v>3</v>
      </c>
      <c r="K174" s="888">
        <v>6</v>
      </c>
      <c r="L174" s="895">
        <f t="shared" si="65"/>
        <v>9</v>
      </c>
      <c r="M174" s="1103">
        <v>3</v>
      </c>
      <c r="N174" s="888">
        <v>6</v>
      </c>
      <c r="O174" s="892">
        <f t="shared" si="66"/>
        <v>9</v>
      </c>
      <c r="P174" s="1103">
        <v>3</v>
      </c>
      <c r="Q174" s="888">
        <v>6</v>
      </c>
      <c r="R174" s="896">
        <f t="shared" si="67"/>
        <v>9</v>
      </c>
      <c r="S174" s="1103">
        <v>3</v>
      </c>
      <c r="T174" s="888">
        <v>6</v>
      </c>
      <c r="U174" s="896">
        <f t="shared" si="68"/>
        <v>9</v>
      </c>
      <c r="V174" s="894">
        <f t="shared" si="56"/>
        <v>36</v>
      </c>
      <c r="W174" s="888"/>
    </row>
    <row r="175" spans="1:24" ht="14.1" customHeight="1">
      <c r="A175" s="900">
        <v>11</v>
      </c>
      <c r="B175" s="902" t="s">
        <v>693</v>
      </c>
      <c r="C175" s="888">
        <v>5</v>
      </c>
      <c r="D175" s="888">
        <v>7.5</v>
      </c>
      <c r="E175" s="892">
        <f t="shared" si="63"/>
        <v>37.5</v>
      </c>
      <c r="F175" s="888">
        <v>5</v>
      </c>
      <c r="G175" s="888">
        <v>7.5</v>
      </c>
      <c r="H175" s="893">
        <f t="shared" si="64"/>
        <v>37.5</v>
      </c>
      <c r="I175" s="894">
        <f t="shared" si="55"/>
        <v>75</v>
      </c>
      <c r="J175" s="1103">
        <v>2</v>
      </c>
      <c r="K175" s="888">
        <v>7.5</v>
      </c>
      <c r="L175" s="895">
        <f t="shared" si="65"/>
        <v>7.5</v>
      </c>
      <c r="M175" s="1103">
        <v>2</v>
      </c>
      <c r="N175" s="888">
        <v>7.5</v>
      </c>
      <c r="O175" s="892">
        <f t="shared" si="66"/>
        <v>7.5</v>
      </c>
      <c r="P175" s="1103">
        <v>2</v>
      </c>
      <c r="Q175" s="888">
        <v>7.5</v>
      </c>
      <c r="R175" s="896">
        <f t="shared" si="67"/>
        <v>7.5</v>
      </c>
      <c r="S175" s="1103">
        <v>2</v>
      </c>
      <c r="T175" s="888">
        <v>7.5</v>
      </c>
      <c r="U175" s="896">
        <f t="shared" si="68"/>
        <v>7.5</v>
      </c>
      <c r="V175" s="894">
        <f t="shared" si="56"/>
        <v>30</v>
      </c>
      <c r="W175" s="888"/>
    </row>
    <row r="176" spans="1:24" ht="14.1" customHeight="1">
      <c r="A176" s="900">
        <v>12</v>
      </c>
      <c r="B176" s="902" t="s">
        <v>694</v>
      </c>
      <c r="C176" s="888">
        <v>5</v>
      </c>
      <c r="D176" s="888">
        <v>7.5</v>
      </c>
      <c r="E176" s="892">
        <f t="shared" si="63"/>
        <v>37.5</v>
      </c>
      <c r="F176" s="888">
        <v>5</v>
      </c>
      <c r="G176" s="888">
        <v>7.5</v>
      </c>
      <c r="H176" s="893">
        <f t="shared" si="64"/>
        <v>37.5</v>
      </c>
      <c r="I176" s="894">
        <f t="shared" si="55"/>
        <v>75</v>
      </c>
      <c r="J176" s="1103">
        <v>3</v>
      </c>
      <c r="K176" s="888">
        <v>7.5</v>
      </c>
      <c r="L176" s="895">
        <f t="shared" si="65"/>
        <v>11.25</v>
      </c>
      <c r="M176" s="1103">
        <v>3</v>
      </c>
      <c r="N176" s="888">
        <v>7.5</v>
      </c>
      <c r="O176" s="892">
        <f t="shared" si="66"/>
        <v>11.25</v>
      </c>
      <c r="P176" s="1103">
        <v>2</v>
      </c>
      <c r="Q176" s="888">
        <v>7.5</v>
      </c>
      <c r="R176" s="896">
        <f t="shared" si="67"/>
        <v>7.5</v>
      </c>
      <c r="S176" s="1103">
        <v>2</v>
      </c>
      <c r="T176" s="888">
        <v>7.5</v>
      </c>
      <c r="U176" s="896">
        <f t="shared" si="68"/>
        <v>7.5</v>
      </c>
      <c r="V176" s="894">
        <f t="shared" si="56"/>
        <v>37.5</v>
      </c>
      <c r="W176" s="888"/>
    </row>
    <row r="177" spans="1:24" ht="14.1" customHeight="1">
      <c r="A177" s="900">
        <v>13</v>
      </c>
      <c r="B177" s="902" t="s">
        <v>695</v>
      </c>
      <c r="C177" s="888">
        <v>5</v>
      </c>
      <c r="D177" s="888">
        <v>2</v>
      </c>
      <c r="E177" s="892">
        <f t="shared" si="63"/>
        <v>10</v>
      </c>
      <c r="F177" s="888">
        <v>5</v>
      </c>
      <c r="G177" s="888">
        <v>2</v>
      </c>
      <c r="H177" s="893">
        <f t="shared" si="64"/>
        <v>10</v>
      </c>
      <c r="I177" s="894">
        <f t="shared" si="55"/>
        <v>20</v>
      </c>
      <c r="J177" s="1103">
        <v>2</v>
      </c>
      <c r="K177" s="888">
        <v>2</v>
      </c>
      <c r="L177" s="895">
        <f t="shared" si="65"/>
        <v>2</v>
      </c>
      <c r="M177" s="1103">
        <v>2</v>
      </c>
      <c r="N177" s="888">
        <v>2</v>
      </c>
      <c r="O177" s="892">
        <f t="shared" si="66"/>
        <v>2</v>
      </c>
      <c r="P177" s="1103">
        <v>2</v>
      </c>
      <c r="Q177" s="888">
        <v>2</v>
      </c>
      <c r="R177" s="896">
        <f t="shared" si="67"/>
        <v>2</v>
      </c>
      <c r="S177" s="1103">
        <v>2</v>
      </c>
      <c r="T177" s="888">
        <v>2</v>
      </c>
      <c r="U177" s="896">
        <f t="shared" si="68"/>
        <v>2</v>
      </c>
      <c r="V177" s="894">
        <f t="shared" si="56"/>
        <v>8</v>
      </c>
      <c r="W177" s="888"/>
    </row>
    <row r="178" spans="1:24" ht="14.1" customHeight="1">
      <c r="A178" s="900">
        <v>14</v>
      </c>
      <c r="B178" s="902" t="s">
        <v>696</v>
      </c>
      <c r="C178" s="888">
        <v>5</v>
      </c>
      <c r="D178" s="888">
        <v>7.5</v>
      </c>
      <c r="E178" s="892">
        <f t="shared" si="63"/>
        <v>37.5</v>
      </c>
      <c r="F178" s="888">
        <v>5</v>
      </c>
      <c r="G178" s="888">
        <v>7.5</v>
      </c>
      <c r="H178" s="893">
        <f t="shared" si="64"/>
        <v>37.5</v>
      </c>
      <c r="I178" s="894">
        <f t="shared" si="55"/>
        <v>75</v>
      </c>
      <c r="J178" s="1103">
        <v>4</v>
      </c>
      <c r="K178" s="888">
        <v>7.5</v>
      </c>
      <c r="L178" s="895">
        <f t="shared" si="65"/>
        <v>15</v>
      </c>
      <c r="M178" s="1103">
        <v>4</v>
      </c>
      <c r="N178" s="888">
        <v>7.5</v>
      </c>
      <c r="O178" s="892">
        <f t="shared" si="66"/>
        <v>15</v>
      </c>
      <c r="P178" s="1103">
        <v>3</v>
      </c>
      <c r="Q178" s="888">
        <v>7.5</v>
      </c>
      <c r="R178" s="896">
        <f t="shared" si="67"/>
        <v>11.25</v>
      </c>
      <c r="S178" s="1103">
        <v>3</v>
      </c>
      <c r="T178" s="888">
        <v>7.5</v>
      </c>
      <c r="U178" s="896">
        <f t="shared" si="68"/>
        <v>11.25</v>
      </c>
      <c r="V178" s="894">
        <f t="shared" si="56"/>
        <v>52.5</v>
      </c>
      <c r="W178" s="888"/>
    </row>
    <row r="179" spans="1:24" ht="14.1" customHeight="1">
      <c r="A179" s="900">
        <v>15</v>
      </c>
      <c r="B179" s="902" t="s">
        <v>697</v>
      </c>
      <c r="C179" s="888">
        <v>5</v>
      </c>
      <c r="D179" s="888">
        <v>7.5</v>
      </c>
      <c r="E179" s="892">
        <f t="shared" si="63"/>
        <v>37.5</v>
      </c>
      <c r="F179" s="888">
        <v>5</v>
      </c>
      <c r="G179" s="888">
        <v>7.5</v>
      </c>
      <c r="H179" s="893">
        <f t="shared" si="64"/>
        <v>37.5</v>
      </c>
      <c r="I179" s="894">
        <f t="shared" si="55"/>
        <v>75</v>
      </c>
      <c r="J179" s="1103">
        <v>4</v>
      </c>
      <c r="K179" s="888">
        <v>7.5</v>
      </c>
      <c r="L179" s="895">
        <f t="shared" si="65"/>
        <v>15</v>
      </c>
      <c r="M179" s="1103">
        <v>4</v>
      </c>
      <c r="N179" s="888">
        <v>7.5</v>
      </c>
      <c r="O179" s="892">
        <f t="shared" si="66"/>
        <v>15</v>
      </c>
      <c r="P179" s="1103">
        <v>5</v>
      </c>
      <c r="Q179" s="888">
        <v>7.5</v>
      </c>
      <c r="R179" s="896">
        <f t="shared" si="67"/>
        <v>18.75</v>
      </c>
      <c r="S179" s="1103">
        <v>5</v>
      </c>
      <c r="T179" s="888">
        <v>7.5</v>
      </c>
      <c r="U179" s="896">
        <f t="shared" si="68"/>
        <v>18.75</v>
      </c>
      <c r="V179" s="894">
        <f t="shared" si="56"/>
        <v>67.5</v>
      </c>
      <c r="W179" s="888"/>
    </row>
    <row r="180" spans="1:24" ht="14.1" customHeight="1">
      <c r="A180" s="900">
        <v>16</v>
      </c>
      <c r="B180" s="902" t="s">
        <v>698</v>
      </c>
      <c r="C180" s="888">
        <v>5</v>
      </c>
      <c r="D180" s="888">
        <v>9</v>
      </c>
      <c r="E180" s="892">
        <f t="shared" si="63"/>
        <v>45</v>
      </c>
      <c r="F180" s="888">
        <v>5</v>
      </c>
      <c r="G180" s="888">
        <v>7.8</v>
      </c>
      <c r="H180" s="893">
        <f t="shared" si="64"/>
        <v>39</v>
      </c>
      <c r="I180" s="894">
        <f t="shared" si="55"/>
        <v>84</v>
      </c>
      <c r="J180" s="1103">
        <v>4</v>
      </c>
      <c r="K180" s="888">
        <v>9</v>
      </c>
      <c r="L180" s="895">
        <f t="shared" si="65"/>
        <v>18</v>
      </c>
      <c r="M180" s="1103">
        <v>4</v>
      </c>
      <c r="N180" s="888">
        <v>9</v>
      </c>
      <c r="O180" s="892">
        <f t="shared" si="66"/>
        <v>18</v>
      </c>
      <c r="P180" s="1103">
        <v>4</v>
      </c>
      <c r="Q180" s="888">
        <v>7.8</v>
      </c>
      <c r="R180" s="896">
        <f t="shared" si="67"/>
        <v>15.6</v>
      </c>
      <c r="S180" s="1103">
        <v>4</v>
      </c>
      <c r="T180" s="888">
        <v>7.8</v>
      </c>
      <c r="U180" s="896">
        <f t="shared" si="68"/>
        <v>15.6</v>
      </c>
      <c r="V180" s="894">
        <f t="shared" si="56"/>
        <v>67.2</v>
      </c>
      <c r="W180" s="888"/>
    </row>
    <row r="181" spans="1:24" s="909" customFormat="1" ht="14.1" customHeight="1">
      <c r="A181" s="1383" t="s">
        <v>948</v>
      </c>
      <c r="B181" s="1383"/>
      <c r="C181" s="919"/>
      <c r="D181" s="919"/>
      <c r="E181" s="919"/>
      <c r="F181" s="919"/>
      <c r="G181" s="919"/>
      <c r="H181" s="919"/>
      <c r="I181" s="919">
        <f>I8+I48+I87+I124+I163</f>
        <v>8456.16</v>
      </c>
      <c r="J181" s="981"/>
      <c r="K181" s="919"/>
      <c r="L181" s="919"/>
      <c r="M181" s="981"/>
      <c r="N181" s="919"/>
      <c r="O181" s="919"/>
      <c r="P181" s="981"/>
      <c r="Q181" s="919"/>
      <c r="R181" s="919"/>
      <c r="S181" s="981"/>
      <c r="T181" s="919"/>
      <c r="U181" s="919"/>
      <c r="V181" s="919">
        <f>V8+V48+V87+V124+V163</f>
        <v>5270.9999999999991</v>
      </c>
      <c r="W181" s="919"/>
      <c r="X181" s="909">
        <f>V181*2</f>
        <v>10541.999999999998</v>
      </c>
    </row>
    <row r="182" spans="1:24" ht="15.6">
      <c r="R182" s="986" t="s">
        <v>960</v>
      </c>
      <c r="S182" s="986"/>
      <c r="T182" s="986"/>
      <c r="U182" s="986"/>
      <c r="X182" s="571">
        <v>11718.7</v>
      </c>
    </row>
    <row r="183" spans="1:24" ht="16.8">
      <c r="Q183" s="1317" t="s">
        <v>957</v>
      </c>
      <c r="R183" s="1317"/>
      <c r="S183" s="1317"/>
      <c r="T183" s="1317"/>
      <c r="U183" s="1317"/>
      <c r="V183" s="1317"/>
      <c r="W183" s="1317"/>
      <c r="X183" s="571">
        <f>X182-X181</f>
        <v>1176.7000000000025</v>
      </c>
    </row>
    <row r="184" spans="1:24" ht="16.8">
      <c r="R184" s="717"/>
      <c r="S184" s="717"/>
      <c r="T184" s="717"/>
      <c r="U184" s="717"/>
    </row>
    <row r="185" spans="1:24" ht="16.8">
      <c r="R185" s="717"/>
      <c r="S185" s="717"/>
      <c r="T185" s="717"/>
      <c r="U185" s="717"/>
    </row>
    <row r="186" spans="1:24" ht="16.8">
      <c r="R186" s="717"/>
      <c r="S186" s="717"/>
      <c r="T186" s="717"/>
      <c r="U186" s="717"/>
    </row>
    <row r="187" spans="1:24" ht="16.8">
      <c r="R187" s="717"/>
      <c r="S187" s="717"/>
      <c r="T187" s="717"/>
      <c r="U187" s="717"/>
    </row>
    <row r="188" spans="1:24" ht="16.8">
      <c r="Q188" s="1317" t="s">
        <v>877</v>
      </c>
      <c r="R188" s="1317"/>
      <c r="S188" s="1317"/>
      <c r="T188" s="1317"/>
      <c r="U188" s="1317"/>
      <c r="V188" s="1317"/>
      <c r="W188" s="1317"/>
    </row>
  </sheetData>
  <mergeCells count="35">
    <mergeCell ref="Q183:W183"/>
    <mergeCell ref="Q188:W188"/>
    <mergeCell ref="C5:E5"/>
    <mergeCell ref="F5:G5"/>
    <mergeCell ref="I5:I6"/>
    <mergeCell ref="J5:O5"/>
    <mergeCell ref="P6:R6"/>
    <mergeCell ref="S6:U6"/>
    <mergeCell ref="A49:B49"/>
    <mergeCell ref="A1:W1"/>
    <mergeCell ref="A2:W2"/>
    <mergeCell ref="A4:A6"/>
    <mergeCell ref="B4:B6"/>
    <mergeCell ref="C4:I4"/>
    <mergeCell ref="J4:V4"/>
    <mergeCell ref="P5:U5"/>
    <mergeCell ref="V5:V6"/>
    <mergeCell ref="J6:L6"/>
    <mergeCell ref="M6:O6"/>
    <mergeCell ref="A8:B8"/>
    <mergeCell ref="A9:B9"/>
    <mergeCell ref="A17:B17"/>
    <mergeCell ref="A41:B41"/>
    <mergeCell ref="A48:B48"/>
    <mergeCell ref="A181:B181"/>
    <mergeCell ref="A53:B53"/>
    <mergeCell ref="A64:B64"/>
    <mergeCell ref="A87:B87"/>
    <mergeCell ref="A88:B88"/>
    <mergeCell ref="A98:B98"/>
    <mergeCell ref="A125:B125"/>
    <mergeCell ref="A145:B145"/>
    <mergeCell ref="A163:B163"/>
    <mergeCell ref="A164:B164"/>
    <mergeCell ref="A124:B124"/>
  </mergeCells>
  <phoneticPr fontId="60" type="noConversion"/>
  <pageMargins left="0.45" right="0.3" top="0.54" bottom="0.37" header="0.3" footer="0.3"/>
  <pageSetup paperSize="9" orientation="landscape"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8"/>
  <sheetViews>
    <sheetView workbookViewId="0">
      <selection activeCell="H5" sqref="H5"/>
    </sheetView>
  </sheetViews>
  <sheetFormatPr defaultColWidth="8.90625" defaultRowHeight="16.8"/>
  <cols>
    <col min="1" max="1" width="8.90625" style="536"/>
    <col min="2" max="2" width="24.54296875" style="536" customWidth="1"/>
    <col min="3" max="3" width="10.6328125" style="536" customWidth="1"/>
    <col min="4" max="4" width="15.453125" style="554" customWidth="1"/>
    <col min="5" max="5" width="12.81640625" style="536" customWidth="1"/>
    <col min="6" max="8" width="8.90625" style="536"/>
    <col min="9" max="9" width="11" style="554" customWidth="1"/>
    <col min="10" max="10" width="9.1796875" style="536" bestFit="1" customWidth="1"/>
    <col min="11" max="16384" width="8.90625" style="536"/>
  </cols>
  <sheetData>
    <row r="2" spans="1:10" s="555" customFormat="1" ht="17.399999999999999">
      <c r="A2" s="1407" t="s">
        <v>520</v>
      </c>
      <c r="B2" s="1407"/>
      <c r="C2" s="1407"/>
      <c r="D2" s="1407"/>
      <c r="E2" s="1407"/>
      <c r="I2" s="556"/>
    </row>
    <row r="3" spans="1:10" s="555" customFormat="1">
      <c r="A3" s="557"/>
      <c r="B3" s="557"/>
      <c r="C3" s="557"/>
      <c r="D3" s="557"/>
      <c r="E3" s="557"/>
      <c r="I3" s="556"/>
    </row>
    <row r="4" spans="1:10">
      <c r="A4" s="558" t="s">
        <v>2</v>
      </c>
      <c r="B4" s="558" t="s">
        <v>521</v>
      </c>
      <c r="C4" s="558" t="s">
        <v>481</v>
      </c>
      <c r="D4" s="559" t="s">
        <v>522</v>
      </c>
      <c r="E4" s="558" t="s">
        <v>523</v>
      </c>
    </row>
    <row r="5" spans="1:10">
      <c r="A5" s="537">
        <v>1</v>
      </c>
      <c r="B5" s="538">
        <v>901</v>
      </c>
      <c r="C5" s="539" t="s">
        <v>218</v>
      </c>
      <c r="D5" s="540">
        <v>174.815</v>
      </c>
      <c r="E5" s="540"/>
      <c r="G5" s="541"/>
      <c r="J5" s="542"/>
    </row>
    <row r="6" spans="1:10">
      <c r="A6" s="543">
        <v>2</v>
      </c>
      <c r="B6" s="544">
        <v>902</v>
      </c>
      <c r="C6" s="545" t="s">
        <v>218</v>
      </c>
      <c r="D6" s="546">
        <v>120.38500000000001</v>
      </c>
      <c r="E6" s="546"/>
      <c r="G6" s="541"/>
      <c r="J6" s="542"/>
    </row>
    <row r="7" spans="1:10">
      <c r="A7" s="543">
        <v>3</v>
      </c>
      <c r="B7" s="544">
        <v>903</v>
      </c>
      <c r="C7" s="545" t="s">
        <v>218</v>
      </c>
      <c r="D7" s="546">
        <v>59.47</v>
      </c>
      <c r="E7" s="546"/>
      <c r="G7" s="541"/>
      <c r="J7" s="542"/>
    </row>
    <row r="8" spans="1:10">
      <c r="A8" s="543">
        <v>4</v>
      </c>
      <c r="B8" s="544">
        <v>904</v>
      </c>
      <c r="C8" s="545" t="s">
        <v>218</v>
      </c>
      <c r="D8" s="546">
        <v>108.61</v>
      </c>
      <c r="E8" s="546"/>
      <c r="G8" s="541"/>
      <c r="J8" s="542"/>
    </row>
    <row r="9" spans="1:10">
      <c r="A9" s="543">
        <v>5</v>
      </c>
      <c r="B9" s="544">
        <v>905</v>
      </c>
      <c r="C9" s="545" t="s">
        <v>218</v>
      </c>
      <c r="D9" s="546">
        <v>65.75</v>
      </c>
      <c r="E9" s="546"/>
      <c r="G9" s="541"/>
      <c r="J9" s="542"/>
    </row>
    <row r="10" spans="1:10">
      <c r="A10" s="543">
        <v>6</v>
      </c>
      <c r="B10" s="544">
        <v>906</v>
      </c>
      <c r="C10" s="545" t="s">
        <v>218</v>
      </c>
      <c r="D10" s="546">
        <v>73.59</v>
      </c>
      <c r="E10" s="546"/>
      <c r="G10" s="541"/>
      <c r="J10" s="542"/>
    </row>
    <row r="11" spans="1:10">
      <c r="A11" s="543">
        <v>7</v>
      </c>
      <c r="B11" s="544">
        <v>907</v>
      </c>
      <c r="C11" s="545" t="s">
        <v>218</v>
      </c>
      <c r="D11" s="546">
        <v>84.759</v>
      </c>
      <c r="E11" s="546"/>
      <c r="G11" s="541"/>
      <c r="J11" s="542"/>
    </row>
    <row r="12" spans="1:10">
      <c r="A12" s="543">
        <v>8</v>
      </c>
      <c r="B12" s="544">
        <v>908</v>
      </c>
      <c r="C12" s="545" t="s">
        <v>218</v>
      </c>
      <c r="D12" s="546">
        <v>77.349999999999994</v>
      </c>
      <c r="E12" s="546"/>
      <c r="G12" s="541"/>
      <c r="J12" s="542"/>
    </row>
    <row r="13" spans="1:10">
      <c r="A13" s="543">
        <v>9</v>
      </c>
      <c r="B13" s="544">
        <v>909</v>
      </c>
      <c r="C13" s="545" t="s">
        <v>218</v>
      </c>
      <c r="D13" s="546">
        <v>156.97900000000001</v>
      </c>
      <c r="E13" s="546"/>
      <c r="G13" s="541"/>
      <c r="J13" s="542"/>
    </row>
    <row r="14" spans="1:10">
      <c r="A14" s="543">
        <v>10</v>
      </c>
      <c r="B14" s="544">
        <v>910</v>
      </c>
      <c r="C14" s="545" t="s">
        <v>218</v>
      </c>
      <c r="D14" s="546">
        <v>68.328999999999994</v>
      </c>
      <c r="E14" s="546"/>
      <c r="G14" s="541"/>
      <c r="H14" s="547"/>
      <c r="J14" s="542"/>
    </row>
    <row r="15" spans="1:10">
      <c r="A15" s="548">
        <v>11</v>
      </c>
      <c r="B15" s="549" t="s">
        <v>524</v>
      </c>
      <c r="C15" s="550" t="s">
        <v>218</v>
      </c>
      <c r="D15" s="551">
        <v>300.28399999999999</v>
      </c>
      <c r="E15" s="551"/>
      <c r="G15" s="541"/>
      <c r="I15" s="556"/>
      <c r="J15" s="542"/>
    </row>
    <row r="16" spans="1:10">
      <c r="A16" s="1408" t="s">
        <v>239</v>
      </c>
      <c r="B16" s="1408"/>
      <c r="C16" s="1408"/>
      <c r="D16" s="552">
        <f>SUM(D5:D15)</f>
        <v>1290.3209999999999</v>
      </c>
      <c r="E16" s="553"/>
      <c r="G16" s="541"/>
      <c r="J16" s="542"/>
    </row>
    <row r="19" spans="3:6">
      <c r="C19" s="1409" t="s">
        <v>959</v>
      </c>
      <c r="D19" s="1409"/>
      <c r="E19" s="1409"/>
      <c r="F19" s="1409"/>
    </row>
    <row r="20" spans="3:6">
      <c r="C20" s="1406" t="s">
        <v>876</v>
      </c>
      <c r="D20" s="1406"/>
      <c r="E20" s="1406"/>
      <c r="F20" s="1406"/>
    </row>
    <row r="21" spans="3:6">
      <c r="C21" s="670"/>
      <c r="D21" s="670"/>
      <c r="E21" s="670"/>
      <c r="F21" s="670"/>
    </row>
    <row r="22" spans="3:6">
      <c r="C22" s="670"/>
      <c r="D22" s="670"/>
      <c r="E22" s="670"/>
      <c r="F22" s="670"/>
    </row>
    <row r="23" spans="3:6">
      <c r="C23" s="670"/>
      <c r="D23" s="670"/>
      <c r="E23" s="670"/>
      <c r="F23" s="670"/>
    </row>
    <row r="24" spans="3:6">
      <c r="C24" s="671"/>
      <c r="D24" s="671"/>
      <c r="E24" s="671"/>
      <c r="F24" s="671"/>
    </row>
    <row r="25" spans="3:6">
      <c r="C25" s="671"/>
      <c r="D25" s="671"/>
      <c r="E25" s="671"/>
      <c r="F25" s="671"/>
    </row>
    <row r="26" spans="3:6">
      <c r="C26" s="671"/>
      <c r="D26" s="671"/>
      <c r="E26" s="671"/>
      <c r="F26" s="671"/>
    </row>
    <row r="27" spans="3:6">
      <c r="C27" s="671"/>
      <c r="D27" s="671"/>
      <c r="E27" s="671"/>
      <c r="F27" s="671"/>
    </row>
    <row r="28" spans="3:6">
      <c r="C28" s="1406" t="s">
        <v>877</v>
      </c>
      <c r="D28" s="1406"/>
      <c r="E28" s="1406"/>
      <c r="F28" s="1406"/>
    </row>
  </sheetData>
  <mergeCells count="5">
    <mergeCell ref="C28:F28"/>
    <mergeCell ref="A2:E2"/>
    <mergeCell ref="A16:C16"/>
    <mergeCell ref="C19:F19"/>
    <mergeCell ref="C20:F20"/>
  </mergeCells>
  <phoneticPr fontId="60" type="noConversion"/>
  <pageMargins left="0.75" right="0.75" top="0.74" bottom="1" header="0.5" footer="0.5"/>
  <pageSetup paperSize="9" orientation="portrait"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L418"/>
  <sheetViews>
    <sheetView topLeftCell="A7" workbookViewId="0">
      <selection activeCell="C21" sqref="C21"/>
    </sheetView>
  </sheetViews>
  <sheetFormatPr defaultColWidth="8.90625" defaultRowHeight="13.8"/>
  <cols>
    <col min="1" max="1" width="2.90625" style="93" customWidth="1"/>
    <col min="2" max="2" width="9.54296875" style="36" customWidth="1"/>
    <col min="3" max="3" width="28.453125" style="36" customWidth="1"/>
    <col min="4" max="4" width="5.36328125" style="36" customWidth="1"/>
    <col min="5" max="5" width="7.6328125" style="94" customWidth="1"/>
    <col min="6" max="6" width="7.453125" style="95" customWidth="1"/>
    <col min="7" max="7" width="8" style="95" customWidth="1"/>
    <col min="8" max="8" width="7.6328125" style="95" customWidth="1"/>
    <col min="9" max="10" width="7.81640625" style="95" customWidth="1"/>
    <col min="11" max="11" width="9.6328125" style="95" customWidth="1"/>
    <col min="12" max="12" width="11.1796875" style="95" customWidth="1"/>
    <col min="13" max="86" width="6.81640625" style="36" customWidth="1"/>
    <col min="87" max="16384" width="8.90625" style="36"/>
  </cols>
  <sheetData>
    <row r="1" spans="1:12" ht="22.5" customHeight="1">
      <c r="A1" s="1410" t="s">
        <v>72</v>
      </c>
      <c r="B1" s="1410"/>
      <c r="C1" s="1410"/>
      <c r="D1" s="1410"/>
      <c r="E1" s="1410"/>
      <c r="F1" s="1410"/>
      <c r="G1" s="1410"/>
      <c r="H1" s="1410"/>
      <c r="I1" s="1410"/>
      <c r="J1" s="1410"/>
      <c r="K1" s="1410"/>
      <c r="L1" s="1410"/>
    </row>
    <row r="2" spans="1:12" s="37" customFormat="1" ht="15.9" customHeight="1">
      <c r="A2" s="1411" t="e">
        <f>#REF!</f>
        <v>#REF!</v>
      </c>
      <c r="B2" s="1411"/>
      <c r="C2" s="1411"/>
      <c r="D2" s="1411"/>
      <c r="E2" s="1411"/>
      <c r="F2" s="1411"/>
      <c r="G2" s="1411"/>
      <c r="H2" s="1411"/>
      <c r="I2" s="1411"/>
      <c r="J2" s="1411"/>
      <c r="K2" s="1411"/>
      <c r="L2" s="1411"/>
    </row>
    <row r="3" spans="1:12" s="37" customFormat="1" ht="15.9" customHeight="1">
      <c r="A3" s="1411" t="e">
        <f>#REF!</f>
        <v>#REF!</v>
      </c>
      <c r="B3" s="1411"/>
      <c r="C3" s="1411"/>
      <c r="D3" s="1411"/>
      <c r="E3" s="1411"/>
      <c r="F3" s="1411"/>
      <c r="G3" s="1411"/>
      <c r="H3" s="1411"/>
      <c r="I3" s="1411"/>
      <c r="J3" s="1411"/>
      <c r="K3" s="1411"/>
      <c r="L3" s="1411"/>
    </row>
    <row r="4" spans="1:12" ht="5.25" customHeight="1">
      <c r="A4" s="38"/>
      <c r="B4" s="38"/>
      <c r="C4" s="38"/>
      <c r="D4" s="38"/>
      <c r="E4" s="38"/>
      <c r="F4" s="38"/>
      <c r="G4" s="38"/>
      <c r="H4" s="38"/>
      <c r="I4" s="38"/>
      <c r="J4" s="38"/>
      <c r="K4" s="38"/>
      <c r="L4" s="38"/>
    </row>
    <row r="5" spans="1:12" s="40" customFormat="1" ht="17.100000000000001" customHeight="1">
      <c r="A5" s="39" t="s">
        <v>73</v>
      </c>
      <c r="E5" s="41"/>
      <c r="F5" s="42"/>
      <c r="G5" s="42"/>
      <c r="H5" s="42"/>
      <c r="I5" s="42"/>
      <c r="J5" s="42"/>
      <c r="K5" s="42"/>
      <c r="L5" s="42"/>
    </row>
    <row r="6" spans="1:12" s="40" customFormat="1" ht="15.9" customHeight="1">
      <c r="A6" s="43"/>
      <c r="B6" s="44" t="s">
        <v>74</v>
      </c>
      <c r="E6" s="41"/>
      <c r="F6" s="42"/>
      <c r="G6" s="42"/>
      <c r="H6" s="42"/>
      <c r="I6" s="42"/>
      <c r="J6" s="42"/>
      <c r="K6" s="42"/>
      <c r="L6" s="42"/>
    </row>
    <row r="7" spans="1:12" s="40" customFormat="1" ht="15.9" customHeight="1">
      <c r="A7" s="43"/>
      <c r="B7" s="44" t="s">
        <v>75</v>
      </c>
      <c r="E7" s="41"/>
      <c r="F7" s="42"/>
      <c r="G7" s="42"/>
      <c r="H7" s="42"/>
      <c r="I7" s="42"/>
      <c r="J7" s="42"/>
      <c r="K7" s="42"/>
      <c r="L7" s="42"/>
    </row>
    <row r="8" spans="1:12" s="40" customFormat="1" ht="15.9" customHeight="1">
      <c r="A8" s="45"/>
      <c r="B8" s="44" t="s">
        <v>76</v>
      </c>
      <c r="E8" s="41"/>
      <c r="F8" s="42"/>
      <c r="G8" s="42"/>
      <c r="H8" s="42"/>
      <c r="I8" s="42"/>
      <c r="J8" s="42"/>
      <c r="K8" s="42"/>
      <c r="L8" s="42"/>
    </row>
    <row r="9" spans="1:12" s="40" customFormat="1" ht="17.100000000000001" customHeight="1">
      <c r="A9" s="39" t="s">
        <v>77</v>
      </c>
      <c r="E9" s="46"/>
      <c r="F9" s="47"/>
      <c r="G9" s="42"/>
      <c r="H9" s="42"/>
      <c r="I9" s="42"/>
      <c r="J9" s="42"/>
      <c r="K9" s="42"/>
      <c r="L9" s="42"/>
    </row>
    <row r="10" spans="1:12" s="40" customFormat="1" ht="15.9" customHeight="1">
      <c r="A10" s="39"/>
      <c r="B10" s="44" t="s">
        <v>262</v>
      </c>
      <c r="E10" s="46"/>
      <c r="F10" s="46">
        <f>D11</f>
        <v>1</v>
      </c>
      <c r="G10" s="47" t="s">
        <v>78</v>
      </c>
      <c r="H10" s="42"/>
      <c r="I10" s="42"/>
      <c r="J10" s="42"/>
      <c r="K10" s="42"/>
      <c r="L10" s="42"/>
    </row>
    <row r="11" spans="1:12" s="49" customFormat="1" ht="15.9" customHeight="1">
      <c r="A11" s="48"/>
      <c r="B11" s="1412" t="s">
        <v>257</v>
      </c>
      <c r="C11" s="1412"/>
      <c r="D11" s="51">
        <f>500*20/10000</f>
        <v>1</v>
      </c>
      <c r="E11" s="48" t="s">
        <v>78</v>
      </c>
      <c r="G11" s="52"/>
      <c r="H11" s="53"/>
      <c r="I11" s="54"/>
      <c r="J11" s="52"/>
      <c r="K11" s="54"/>
      <c r="L11" s="54"/>
    </row>
    <row r="12" spans="1:12" s="49" customFormat="1" ht="15.9" hidden="1" customHeight="1">
      <c r="A12" s="48"/>
      <c r="B12" s="48" t="s">
        <v>101</v>
      </c>
      <c r="D12" s="51">
        <f>10*5*3/10000</f>
        <v>1.4999999999999999E-2</v>
      </c>
      <c r="E12" s="48" t="s">
        <v>78</v>
      </c>
      <c r="G12" s="52"/>
      <c r="H12" s="53"/>
      <c r="I12" s="54"/>
      <c r="J12" s="52"/>
      <c r="K12" s="54"/>
      <c r="L12" s="54"/>
    </row>
    <row r="13" spans="1:12" s="49" customFormat="1" ht="15.9" customHeight="1">
      <c r="A13" s="48"/>
      <c r="B13" s="44" t="s">
        <v>255</v>
      </c>
      <c r="D13" s="50"/>
      <c r="E13" s="51"/>
      <c r="F13" s="46">
        <f>D14</f>
        <v>60</v>
      </c>
      <c r="G13" s="47" t="s">
        <v>256</v>
      </c>
      <c r="H13" s="53"/>
      <c r="I13" s="54"/>
      <c r="J13" s="52"/>
      <c r="K13" s="54"/>
      <c r="L13" s="54"/>
    </row>
    <row r="14" spans="1:12" s="49" customFormat="1" ht="15.9" customHeight="1">
      <c r="A14" s="48"/>
      <c r="B14" s="1412" t="s">
        <v>258</v>
      </c>
      <c r="C14" s="1412"/>
      <c r="D14" s="51">
        <f>20*3</f>
        <v>60</v>
      </c>
      <c r="E14" s="48" t="s">
        <v>78</v>
      </c>
      <c r="G14" s="52"/>
      <c r="H14" s="53"/>
      <c r="I14" s="54"/>
      <c r="J14" s="52"/>
      <c r="K14" s="54"/>
      <c r="L14" s="54"/>
    </row>
    <row r="15" spans="1:12" s="40" customFormat="1" ht="17.100000000000001" customHeight="1">
      <c r="A15" s="39" t="s">
        <v>104</v>
      </c>
      <c r="E15" s="55"/>
      <c r="F15" s="56"/>
      <c r="G15" s="57"/>
      <c r="H15" s="55"/>
      <c r="I15" s="56"/>
      <c r="J15" s="58"/>
      <c r="K15" s="56"/>
      <c r="L15" s="42"/>
    </row>
    <row r="16" spans="1:12" s="40" customFormat="1" ht="3.75" customHeight="1">
      <c r="A16" s="43"/>
      <c r="B16" s="39"/>
      <c r="E16" s="41"/>
      <c r="F16" s="42"/>
      <c r="G16" s="42"/>
      <c r="H16" s="42"/>
      <c r="I16" s="42"/>
      <c r="J16" s="42"/>
      <c r="K16" s="42"/>
      <c r="L16" s="42"/>
    </row>
    <row r="17" spans="1:12" s="62" customFormat="1" ht="30" customHeight="1">
      <c r="A17" s="59" t="s">
        <v>14</v>
      </c>
      <c r="B17" s="60" t="s">
        <v>79</v>
      </c>
      <c r="C17" s="60" t="s">
        <v>7</v>
      </c>
      <c r="D17" s="60" t="s">
        <v>15</v>
      </c>
      <c r="E17" s="61" t="s">
        <v>13</v>
      </c>
      <c r="F17" s="60" t="s">
        <v>16</v>
      </c>
      <c r="G17" s="60" t="s">
        <v>80</v>
      </c>
      <c r="H17" s="60" t="s">
        <v>81</v>
      </c>
      <c r="I17" s="60" t="s">
        <v>82</v>
      </c>
      <c r="J17" s="60" t="s">
        <v>83</v>
      </c>
      <c r="K17" s="60" t="s">
        <v>84</v>
      </c>
      <c r="L17" s="60" t="s">
        <v>9</v>
      </c>
    </row>
    <row r="18" spans="1:12" s="62" customFormat="1" ht="17.100000000000001" customHeight="1">
      <c r="A18" s="63"/>
      <c r="B18" s="64"/>
      <c r="C18" s="65" t="s">
        <v>85</v>
      </c>
      <c r="D18" s="64"/>
      <c r="E18" s="66"/>
      <c r="F18" s="64"/>
      <c r="G18" s="64"/>
      <c r="H18" s="64"/>
      <c r="I18" s="64"/>
      <c r="J18" s="64"/>
      <c r="K18" s="64"/>
      <c r="L18" s="64"/>
    </row>
    <row r="19" spans="1:12" s="71" customFormat="1" ht="30" customHeight="1">
      <c r="A19" s="67">
        <v>1</v>
      </c>
      <c r="B19" s="68" t="s">
        <v>263</v>
      </c>
      <c r="C19" s="68" t="s">
        <v>264</v>
      </c>
      <c r="D19" s="67" t="s">
        <v>86</v>
      </c>
      <c r="E19" s="69">
        <f>F10/100</f>
        <v>0.01</v>
      </c>
      <c r="F19" s="70">
        <v>621000</v>
      </c>
      <c r="G19" s="70">
        <v>36055578</v>
      </c>
      <c r="H19" s="70">
        <v>1932737</v>
      </c>
      <c r="I19" s="70">
        <f>F19+(G19*3.972)+(H19*1.05)</f>
        <v>145863129.66599998</v>
      </c>
      <c r="J19" s="70">
        <f>G19*3.972*65%</f>
        <v>93088291.280399993</v>
      </c>
      <c r="K19" s="70">
        <f>(I19+J19)*1.06</f>
        <v>253288506.20318401</v>
      </c>
      <c r="L19" s="70">
        <f>K19*E19</f>
        <v>2532885.06203184</v>
      </c>
    </row>
    <row r="20" spans="1:12" s="71" customFormat="1" ht="27.9" customHeight="1">
      <c r="A20" s="67">
        <v>2</v>
      </c>
      <c r="B20" s="68" t="s">
        <v>253</v>
      </c>
      <c r="C20" s="68" t="s">
        <v>254</v>
      </c>
      <c r="D20" s="67" t="s">
        <v>117</v>
      </c>
      <c r="E20" s="69">
        <f>F13/100</f>
        <v>0.6</v>
      </c>
      <c r="F20" s="70">
        <v>41640</v>
      </c>
      <c r="G20" s="70">
        <v>181494</v>
      </c>
      <c r="H20" s="70">
        <v>6897</v>
      </c>
      <c r="I20" s="70">
        <f>F20+(G20*3.972)+(H20*1.05)</f>
        <v>769776.01799999992</v>
      </c>
      <c r="J20" s="70">
        <f>G20*3.972*65%</f>
        <v>468581.20919999998</v>
      </c>
      <c r="K20" s="70">
        <f>(I20+J20)*1.06</f>
        <v>1312658.660832</v>
      </c>
      <c r="L20" s="70">
        <f>K20*E20</f>
        <v>787595.19649919996</v>
      </c>
    </row>
    <row r="21" spans="1:12" s="40" customFormat="1" ht="17.100000000000001" customHeight="1">
      <c r="A21" s="72" t="s">
        <v>87</v>
      </c>
      <c r="B21" s="73"/>
      <c r="C21" s="74"/>
      <c r="D21" s="74"/>
      <c r="E21" s="75"/>
      <c r="F21" s="76"/>
      <c r="G21" s="76"/>
      <c r="H21" s="76"/>
      <c r="I21" s="76"/>
      <c r="J21" s="76"/>
      <c r="K21" s="76"/>
      <c r="L21" s="77">
        <f>SUM(L19:L20)</f>
        <v>3320480.25853104</v>
      </c>
    </row>
    <row r="22" spans="1:12" s="40" customFormat="1" ht="17.100000000000001" customHeight="1">
      <c r="A22" s="72" t="s">
        <v>88</v>
      </c>
      <c r="B22" s="74"/>
      <c r="C22" s="74"/>
      <c r="D22" s="74"/>
      <c r="E22" s="75"/>
      <c r="F22" s="76"/>
      <c r="G22" s="76"/>
      <c r="H22" s="76"/>
      <c r="I22" s="76"/>
      <c r="J22" s="76"/>
      <c r="K22" s="76"/>
      <c r="L22" s="77">
        <f>SUM(L23:L25)</f>
        <v>265638.42068248324</v>
      </c>
    </row>
    <row r="23" spans="1:12" s="40" customFormat="1" ht="15.9" customHeight="1">
      <c r="A23" s="78"/>
      <c r="B23" s="79" t="s">
        <v>89</v>
      </c>
      <c r="C23" s="74" t="s">
        <v>90</v>
      </c>
      <c r="D23" s="78" t="s">
        <v>4</v>
      </c>
      <c r="E23" s="74">
        <v>2</v>
      </c>
      <c r="F23" s="76"/>
      <c r="G23" s="76"/>
      <c r="H23" s="76"/>
      <c r="I23" s="76"/>
      <c r="J23" s="76"/>
      <c r="K23" s="76">
        <f>L21</f>
        <v>3320480.25853104</v>
      </c>
      <c r="L23" s="76">
        <f>+K23*E23%</f>
        <v>66409.605170620809</v>
      </c>
    </row>
    <row r="24" spans="1:12" s="40" customFormat="1" ht="15.9" customHeight="1">
      <c r="A24" s="78"/>
      <c r="B24" s="79" t="s">
        <v>89</v>
      </c>
      <c r="C24" s="74" t="s">
        <v>91</v>
      </c>
      <c r="D24" s="78" t="s">
        <v>4</v>
      </c>
      <c r="E24" s="74">
        <v>3</v>
      </c>
      <c r="F24" s="76"/>
      <c r="G24" s="76"/>
      <c r="H24" s="76"/>
      <c r="I24" s="76"/>
      <c r="J24" s="76"/>
      <c r="K24" s="76">
        <f>L21</f>
        <v>3320480.25853104</v>
      </c>
      <c r="L24" s="76">
        <f>+K24*E24%</f>
        <v>99614.407755931199</v>
      </c>
    </row>
    <row r="25" spans="1:12" s="40" customFormat="1" ht="15.9" customHeight="1">
      <c r="A25" s="78"/>
      <c r="B25" s="79" t="s">
        <v>89</v>
      </c>
      <c r="C25" s="74" t="s">
        <v>92</v>
      </c>
      <c r="D25" s="78" t="s">
        <v>4</v>
      </c>
      <c r="E25" s="74">
        <v>3</v>
      </c>
      <c r="F25" s="76"/>
      <c r="G25" s="76"/>
      <c r="H25" s="76"/>
      <c r="I25" s="76"/>
      <c r="J25" s="76"/>
      <c r="K25" s="76">
        <f>+L21</f>
        <v>3320480.25853104</v>
      </c>
      <c r="L25" s="76">
        <f>+K25*E25%</f>
        <v>99614.407755931199</v>
      </c>
    </row>
    <row r="26" spans="1:12" s="40" customFormat="1" ht="17.100000000000001" customHeight="1">
      <c r="A26" s="80" t="s">
        <v>93</v>
      </c>
      <c r="B26" s="81"/>
      <c r="C26" s="81"/>
      <c r="D26" s="81"/>
      <c r="E26" s="82"/>
      <c r="F26" s="83"/>
      <c r="G26" s="83"/>
      <c r="H26" s="83"/>
      <c r="I26" s="83"/>
      <c r="J26" s="83"/>
      <c r="K26" s="83"/>
      <c r="L26" s="84">
        <f>L21+L22</f>
        <v>3586118.6792135234</v>
      </c>
    </row>
    <row r="27" spans="1:12" s="40" customFormat="1" ht="17.100000000000001" customHeight="1">
      <c r="A27" s="85" t="s">
        <v>94</v>
      </c>
      <c r="B27" s="86"/>
      <c r="C27" s="86"/>
      <c r="D27" s="86"/>
      <c r="E27" s="87"/>
      <c r="F27" s="88"/>
      <c r="G27" s="88"/>
      <c r="H27" s="88"/>
      <c r="I27" s="89">
        <v>1.1000000000000001</v>
      </c>
      <c r="J27" s="90" t="s">
        <v>95</v>
      </c>
      <c r="K27" s="88">
        <f>L26</f>
        <v>3586118.6792135234</v>
      </c>
      <c r="L27" s="91">
        <f>L26*1.1</f>
        <v>3944730.5471348763</v>
      </c>
    </row>
    <row r="28" spans="1:12" s="40" customFormat="1" ht="4.5" customHeight="1">
      <c r="A28" s="43"/>
      <c r="E28" s="41"/>
      <c r="F28" s="42"/>
      <c r="G28" s="42"/>
      <c r="H28" s="42"/>
      <c r="I28" s="42"/>
      <c r="J28" s="42"/>
      <c r="K28" s="42"/>
      <c r="L28" s="42"/>
    </row>
    <row r="29" spans="1:12" s="40" customFormat="1" ht="15.9" customHeight="1">
      <c r="A29" s="43"/>
      <c r="B29" s="92" t="s">
        <v>96</v>
      </c>
      <c r="E29" s="41"/>
      <c r="F29" s="42"/>
      <c r="G29" s="42"/>
      <c r="H29" s="42"/>
      <c r="I29" s="42"/>
      <c r="J29" s="42"/>
      <c r="K29" s="42"/>
      <c r="L29" s="42"/>
    </row>
    <row r="30" spans="1:12" s="40" customFormat="1" ht="15.9" customHeight="1">
      <c r="A30" s="43"/>
      <c r="B30" s="40" t="s">
        <v>259</v>
      </c>
      <c r="D30" s="40" t="s">
        <v>260</v>
      </c>
      <c r="E30" s="41"/>
      <c r="F30" s="42"/>
      <c r="G30" s="42"/>
      <c r="H30" s="40" t="s">
        <v>97</v>
      </c>
      <c r="I30" s="42"/>
      <c r="J30" s="42"/>
      <c r="K30" s="42"/>
      <c r="L30" s="42"/>
    </row>
    <row r="31" spans="1:12" s="40" customFormat="1" ht="15.9" customHeight="1">
      <c r="A31" s="43"/>
      <c r="B31" s="40" t="s">
        <v>261</v>
      </c>
      <c r="C31" s="40" t="s">
        <v>98</v>
      </c>
      <c r="E31" s="41"/>
      <c r="F31" s="42"/>
      <c r="G31" s="42"/>
      <c r="H31" s="42"/>
      <c r="I31" s="42"/>
      <c r="J31" s="42"/>
      <c r="K31" s="42"/>
      <c r="L31" s="42"/>
    </row>
    <row r="32" spans="1:12" s="40" customFormat="1" ht="15.9" customHeight="1">
      <c r="A32" s="43"/>
      <c r="B32" s="40" t="s">
        <v>99</v>
      </c>
      <c r="C32" s="40" t="s">
        <v>100</v>
      </c>
      <c r="E32" s="41"/>
      <c r="F32" s="42"/>
      <c r="G32" s="42"/>
      <c r="H32" s="42"/>
      <c r="I32" s="42"/>
      <c r="J32" s="42"/>
      <c r="K32" s="42"/>
      <c r="L32" s="42"/>
    </row>
    <row r="33" spans="8:8" ht="17.100000000000001" customHeight="1"/>
    <row r="34" spans="8:8" ht="17.100000000000001" customHeight="1"/>
    <row r="35" spans="8:8" ht="17.100000000000001" customHeight="1"/>
    <row r="36" spans="8:8" ht="17.100000000000001" customHeight="1">
      <c r="H36" s="94"/>
    </row>
    <row r="37" spans="8:8" ht="17.100000000000001" customHeight="1"/>
    <row r="38" spans="8:8" ht="17.100000000000001" customHeight="1"/>
    <row r="39" spans="8:8" ht="17.100000000000001" customHeight="1"/>
    <row r="40" spans="8:8" ht="17.100000000000001" customHeight="1"/>
    <row r="41" spans="8:8" ht="17.100000000000001" customHeight="1"/>
    <row r="42" spans="8:8" ht="17.100000000000001" customHeight="1"/>
    <row r="43" spans="8:8" ht="17.100000000000001" customHeight="1"/>
    <row r="44" spans="8:8" ht="17.100000000000001" customHeight="1"/>
    <row r="45" spans="8:8" ht="17.100000000000001" customHeight="1"/>
    <row r="46" spans="8:8" ht="17.100000000000001" customHeight="1"/>
    <row r="47" spans="8:8" ht="17.100000000000001" customHeight="1"/>
    <row r="48" spans="8:8" ht="17.100000000000001" customHeight="1"/>
    <row r="49" ht="17.100000000000001" customHeight="1"/>
    <row r="50" ht="17.100000000000001" customHeight="1"/>
    <row r="51" ht="17.100000000000001" customHeight="1"/>
    <row r="52" ht="17.100000000000001" customHeight="1"/>
    <row r="53" ht="17.100000000000001" customHeight="1"/>
    <row r="54" ht="15.9" customHeight="1"/>
    <row r="55" ht="15.9" customHeight="1"/>
    <row r="56" ht="15.9" customHeight="1"/>
    <row r="57" ht="15.9" customHeight="1"/>
    <row r="58" ht="15.9" customHeight="1"/>
    <row r="59" ht="15.9" customHeight="1"/>
    <row r="60" ht="15.9" customHeight="1"/>
    <row r="61" ht="15.9" customHeight="1"/>
    <row r="62" ht="15.9" customHeight="1"/>
    <row r="63" ht="15.9" customHeight="1"/>
    <row r="64" ht="15.9" customHeight="1"/>
    <row r="65" ht="15.9" customHeight="1"/>
    <row r="66" ht="15.9" customHeight="1"/>
    <row r="67" ht="15.9" customHeight="1"/>
    <row r="68" ht="15.9" customHeight="1"/>
    <row r="69" ht="15.9" customHeight="1"/>
    <row r="70" ht="15.9" customHeight="1"/>
    <row r="71" ht="15.9" customHeight="1"/>
    <row r="72" ht="15.9" customHeight="1"/>
    <row r="73" ht="15.9" customHeight="1"/>
    <row r="74" ht="15.9" customHeight="1"/>
    <row r="75" ht="15.9" customHeight="1"/>
    <row r="76" ht="15.9" customHeight="1"/>
    <row r="77" ht="15.9" customHeight="1"/>
    <row r="78" ht="15.9" customHeight="1"/>
    <row r="79" ht="15.9" customHeight="1"/>
    <row r="80" ht="15.9" customHeight="1"/>
    <row r="81" ht="15.9" customHeight="1"/>
    <row r="82" ht="15.9" customHeight="1"/>
    <row r="83" ht="15.9" customHeight="1"/>
    <row r="84" ht="15.9" customHeight="1"/>
    <row r="85" ht="15.9" customHeight="1"/>
    <row r="86" ht="15.9" customHeight="1"/>
    <row r="87" ht="15.9" customHeight="1"/>
    <row r="88" ht="15.9" customHeight="1"/>
    <row r="89" ht="15.9" customHeight="1"/>
    <row r="90" ht="15.9" customHeight="1"/>
    <row r="91" ht="15.9" customHeight="1"/>
    <row r="92" ht="15.9" customHeight="1"/>
    <row r="93" ht="15.9" customHeight="1"/>
    <row r="94" ht="15.9" customHeight="1"/>
    <row r="95" ht="15.9" customHeight="1"/>
    <row r="96" ht="15.9" customHeight="1"/>
    <row r="97" ht="15.9" customHeight="1"/>
    <row r="98" ht="15.9" customHeight="1"/>
    <row r="99" ht="15.9" customHeight="1"/>
    <row r="100" ht="15.9" customHeight="1"/>
    <row r="101" ht="15.9" customHeight="1"/>
    <row r="102" ht="15.9" customHeight="1"/>
    <row r="103" ht="15.9" customHeight="1"/>
    <row r="104" ht="15.9" customHeight="1"/>
    <row r="105" ht="15.9" customHeight="1"/>
    <row r="106" ht="15.9" customHeight="1"/>
    <row r="107" ht="15.9" customHeight="1"/>
    <row r="108" ht="15.9" customHeight="1"/>
    <row r="109" ht="15.9" customHeight="1"/>
    <row r="110" ht="15.9" customHeight="1"/>
    <row r="111" ht="15.9" customHeight="1"/>
    <row r="112" ht="15.9" customHeight="1"/>
    <row r="113" ht="15.9" customHeight="1"/>
    <row r="114" ht="15.9" customHeight="1"/>
    <row r="115" ht="15.9" customHeight="1"/>
    <row r="116" ht="15.9" customHeight="1"/>
    <row r="117" ht="15.9" customHeight="1"/>
    <row r="118" ht="15.9" customHeight="1"/>
    <row r="119" ht="15.9" customHeight="1"/>
    <row r="120" ht="15.9" customHeight="1"/>
    <row r="121" ht="15.9" customHeight="1"/>
    <row r="122" ht="15.9" customHeight="1"/>
    <row r="123" ht="15.9" customHeight="1"/>
    <row r="124" ht="15.9" customHeight="1"/>
    <row r="125" ht="15.9" customHeight="1"/>
    <row r="126" ht="15.9" customHeight="1"/>
    <row r="127" ht="15.9" customHeight="1"/>
    <row r="128" ht="15.9" customHeight="1"/>
    <row r="129" ht="15.9" customHeight="1"/>
    <row r="130" ht="15.9" customHeight="1"/>
    <row r="131" ht="15.9" customHeight="1"/>
    <row r="132" ht="15.9" customHeight="1"/>
    <row r="133" ht="15.9" customHeight="1"/>
    <row r="134" ht="15.9" customHeight="1"/>
    <row r="135" ht="15.9" customHeight="1"/>
    <row r="136" ht="15.9" customHeight="1"/>
    <row r="137" ht="15.9" customHeight="1"/>
    <row r="138" ht="15.9" customHeight="1"/>
    <row r="139" ht="15.9" customHeight="1"/>
    <row r="140" ht="15.9" customHeight="1"/>
    <row r="141" ht="15.9" customHeight="1"/>
    <row r="142" ht="15.9" customHeight="1"/>
    <row r="143" ht="15.9" customHeight="1"/>
    <row r="144" ht="15.9"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row r="206" ht="14.1" customHeight="1"/>
    <row r="207" ht="14.1" customHeight="1"/>
    <row r="208" ht="14.1" customHeight="1"/>
    <row r="209" ht="14.1" customHeight="1"/>
    <row r="210" ht="14.1" customHeight="1"/>
    <row r="211" ht="14.1" customHeight="1"/>
    <row r="212" ht="14.1" customHeight="1"/>
    <row r="213" ht="14.1" customHeight="1"/>
    <row r="214" ht="14.1" customHeight="1"/>
    <row r="215" ht="14.1" customHeight="1"/>
    <row r="216" ht="14.1" customHeight="1"/>
    <row r="217" ht="14.1" customHeight="1"/>
    <row r="218" ht="14.1" customHeight="1"/>
    <row r="219" ht="14.1" customHeight="1"/>
    <row r="220" ht="14.1" customHeight="1"/>
    <row r="221" ht="14.1" customHeight="1"/>
    <row r="222" ht="14.1" customHeight="1"/>
    <row r="223" ht="14.1" customHeight="1"/>
    <row r="224" ht="14.1" customHeight="1"/>
    <row r="225" ht="14.1" customHeight="1"/>
    <row r="226" ht="14.1" customHeight="1"/>
    <row r="227" ht="14.1" customHeight="1"/>
    <row r="228" ht="14.1" customHeight="1"/>
    <row r="229" ht="14.1" customHeight="1"/>
    <row r="230" ht="14.1" customHeight="1"/>
    <row r="231" ht="14.1" customHeight="1"/>
    <row r="232" ht="14.1" customHeight="1"/>
    <row r="233" ht="14.1" customHeight="1"/>
    <row r="234" ht="14.1" customHeight="1"/>
    <row r="235" ht="14.1" customHeight="1"/>
    <row r="236" ht="14.1" customHeight="1"/>
    <row r="237" ht="14.1" customHeight="1"/>
    <row r="238" ht="14.1" customHeight="1"/>
    <row r="239" ht="14.1" customHeight="1"/>
    <row r="240" ht="14.1" customHeight="1"/>
    <row r="241" ht="14.1" customHeight="1"/>
    <row r="242" ht="14.1" customHeight="1"/>
    <row r="243" ht="14.1" customHeight="1"/>
    <row r="244" ht="14.1" customHeight="1"/>
    <row r="245" ht="14.1" customHeight="1"/>
    <row r="246" ht="14.1" customHeight="1"/>
    <row r="247" ht="14.1" customHeight="1"/>
    <row r="248" ht="14.1" customHeight="1"/>
    <row r="249" ht="14.1" customHeight="1"/>
    <row r="250" ht="14.1" customHeight="1"/>
    <row r="251" ht="14.1" customHeight="1"/>
    <row r="252" ht="14.1" customHeight="1"/>
    <row r="253" ht="14.1" customHeight="1"/>
    <row r="254" ht="14.1" customHeight="1"/>
    <row r="255" ht="14.1" customHeight="1"/>
    <row r="256" ht="14.1" customHeight="1"/>
    <row r="257" ht="14.1" customHeight="1"/>
    <row r="258" ht="14.1" customHeight="1"/>
    <row r="259" ht="14.1" customHeight="1"/>
    <row r="260" ht="14.1" customHeight="1"/>
    <row r="261" ht="14.1" customHeight="1"/>
    <row r="262" ht="14.1" customHeight="1"/>
    <row r="263" ht="14.1" customHeight="1"/>
    <row r="264" ht="14.1" customHeight="1"/>
    <row r="265" ht="14.1" customHeight="1"/>
    <row r="266" ht="14.1" customHeight="1"/>
    <row r="267" ht="14.1" customHeight="1"/>
    <row r="268" ht="14.1" customHeight="1"/>
    <row r="269" ht="14.1" customHeight="1"/>
    <row r="270" ht="14.1" customHeight="1"/>
    <row r="271" ht="14.1" customHeight="1"/>
    <row r="272" ht="14.1" customHeight="1"/>
    <row r="273" ht="14.1" customHeight="1"/>
    <row r="274" ht="14.1" customHeight="1"/>
    <row r="275" ht="14.1" customHeight="1"/>
    <row r="276" ht="14.1" customHeight="1"/>
    <row r="277" ht="14.1" customHeight="1"/>
    <row r="278" ht="14.1" customHeight="1"/>
    <row r="279" ht="14.1" customHeight="1"/>
    <row r="280" ht="14.1" customHeight="1"/>
    <row r="281" ht="14.1" customHeight="1"/>
    <row r="282" ht="14.1" customHeight="1"/>
    <row r="283" ht="14.1" customHeight="1"/>
    <row r="284" ht="14.1" customHeight="1"/>
    <row r="285" ht="14.1" customHeight="1"/>
    <row r="286" ht="14.1" customHeight="1"/>
    <row r="287" ht="14.1" customHeight="1"/>
    <row r="288" ht="14.1" customHeight="1"/>
    <row r="289" ht="14.1" customHeight="1"/>
    <row r="290" ht="14.1" customHeight="1"/>
    <row r="291" ht="14.1" customHeight="1"/>
    <row r="292" ht="14.1" customHeight="1"/>
    <row r="293" ht="14.1" customHeight="1"/>
    <row r="294" ht="14.1" customHeight="1"/>
    <row r="295" ht="14.1" customHeight="1"/>
    <row r="296" ht="14.1" customHeight="1"/>
    <row r="297" ht="14.1" customHeight="1"/>
    <row r="298" ht="14.1" customHeight="1"/>
    <row r="299" ht="14.1" customHeight="1"/>
    <row r="300" ht="14.1" customHeight="1"/>
    <row r="301" ht="14.1" customHeight="1"/>
    <row r="302" ht="14.1" customHeight="1"/>
    <row r="303" ht="14.1" customHeight="1"/>
    <row r="304" ht="14.1" customHeight="1"/>
    <row r="305" ht="14.1" customHeight="1"/>
    <row r="306" ht="14.1" customHeight="1"/>
    <row r="307" ht="14.1" customHeight="1"/>
    <row r="308" ht="14.1" customHeight="1"/>
    <row r="309" ht="14.1" customHeight="1"/>
    <row r="310" ht="14.1" customHeight="1"/>
    <row r="311" ht="14.1" customHeight="1"/>
    <row r="312" ht="14.1" customHeight="1"/>
    <row r="313" ht="14.1" customHeight="1"/>
    <row r="314" ht="14.1" customHeight="1"/>
    <row r="315" ht="14.1" customHeight="1"/>
    <row r="316" ht="14.1" customHeight="1"/>
    <row r="317" ht="14.1" customHeight="1"/>
    <row r="318" ht="14.1" customHeight="1"/>
    <row r="319" ht="14.1" customHeight="1"/>
    <row r="320" ht="14.1" customHeight="1"/>
    <row r="321" ht="14.1" customHeight="1"/>
    <row r="322" ht="14.1" customHeight="1"/>
    <row r="323" ht="14.1" customHeight="1"/>
    <row r="324" ht="14.1" customHeight="1"/>
    <row r="325" ht="14.1" customHeight="1"/>
    <row r="326" ht="14.1" customHeight="1"/>
    <row r="327" ht="14.1" customHeight="1"/>
    <row r="328" ht="14.1" customHeight="1"/>
    <row r="329" ht="14.1" customHeight="1"/>
    <row r="330" ht="14.1" customHeight="1"/>
    <row r="331" ht="14.1" customHeight="1"/>
    <row r="332" ht="14.1" customHeight="1"/>
    <row r="333" ht="14.1" customHeight="1"/>
    <row r="334" ht="14.1" customHeight="1"/>
    <row r="335" ht="14.1" customHeight="1"/>
    <row r="336" ht="14.1" customHeight="1"/>
    <row r="337" ht="14.1" customHeight="1"/>
    <row r="338" ht="14.1" customHeight="1"/>
    <row r="339" ht="14.1" customHeight="1"/>
    <row r="340" ht="14.1" customHeight="1"/>
    <row r="341" ht="14.1" customHeight="1"/>
    <row r="342" ht="14.1" customHeight="1"/>
    <row r="343" ht="14.1" customHeight="1"/>
    <row r="344" ht="14.1" customHeight="1"/>
    <row r="345" ht="14.1" customHeight="1"/>
    <row r="346" ht="14.1" customHeight="1"/>
    <row r="347" ht="14.1" customHeight="1"/>
    <row r="348" ht="14.1" customHeight="1"/>
    <row r="349" ht="14.1" customHeight="1"/>
    <row r="350" ht="14.1" customHeight="1"/>
    <row r="351" ht="14.1" customHeight="1"/>
    <row r="352" ht="14.1" customHeight="1"/>
    <row r="353" ht="14.1" customHeight="1"/>
    <row r="354" ht="14.1" customHeight="1"/>
    <row r="355" ht="14.1" customHeight="1"/>
    <row r="356" ht="14.1" customHeight="1"/>
    <row r="357" ht="14.1" customHeight="1"/>
    <row r="358" ht="14.1" customHeight="1"/>
    <row r="359" ht="14.1" customHeight="1"/>
    <row r="360" ht="14.1" customHeight="1"/>
    <row r="361" ht="14.1" customHeight="1"/>
    <row r="362" ht="14.1" customHeight="1"/>
    <row r="363" ht="14.1" customHeight="1"/>
    <row r="364" ht="14.1" customHeight="1"/>
    <row r="365" ht="14.1" customHeight="1"/>
    <row r="366" ht="14.1" customHeight="1"/>
    <row r="367" ht="14.1" customHeight="1"/>
    <row r="368" ht="14.1" customHeight="1"/>
    <row r="369" ht="14.1" customHeight="1"/>
    <row r="370" ht="14.1" customHeight="1"/>
    <row r="371" ht="14.1" customHeight="1"/>
    <row r="372" ht="14.1" customHeight="1"/>
    <row r="373" ht="14.1" customHeight="1"/>
    <row r="374" ht="14.1" customHeight="1"/>
    <row r="375" ht="14.1" customHeight="1"/>
    <row r="376" ht="14.1" customHeight="1"/>
    <row r="377" ht="14.1" customHeight="1"/>
    <row r="378" ht="14.1" customHeight="1"/>
    <row r="379" ht="14.1" customHeight="1"/>
    <row r="380" ht="14.1" customHeight="1"/>
    <row r="381" ht="14.1" customHeight="1"/>
    <row r="382" ht="14.1" customHeight="1"/>
    <row r="383" ht="14.1" customHeight="1"/>
    <row r="384" ht="14.1" customHeight="1"/>
    <row r="385" ht="14.1" customHeight="1"/>
    <row r="386" ht="14.1" customHeight="1"/>
    <row r="387" ht="14.1" customHeight="1"/>
    <row r="388" ht="14.1" customHeight="1"/>
    <row r="389" ht="14.1" customHeight="1"/>
    <row r="390" ht="14.1" customHeight="1"/>
    <row r="391" ht="14.1" customHeight="1"/>
    <row r="392" ht="14.1" customHeight="1"/>
    <row r="393" ht="14.1" customHeight="1"/>
    <row r="394" ht="14.1" customHeight="1"/>
    <row r="395" ht="14.1" customHeight="1"/>
    <row r="396" ht="14.1" customHeight="1"/>
    <row r="397" ht="14.1" customHeight="1"/>
    <row r="398" ht="14.1" customHeight="1"/>
    <row r="399" ht="14.1" customHeight="1"/>
    <row r="400" ht="14.1" customHeight="1"/>
    <row r="401" ht="14.1" customHeight="1"/>
    <row r="402" ht="14.1" customHeight="1"/>
    <row r="403" ht="14.1" customHeight="1"/>
    <row r="404" ht="14.1" customHeight="1"/>
    <row r="405" ht="14.1" customHeight="1"/>
    <row r="406" ht="14.1" customHeight="1"/>
    <row r="407" ht="14.1" customHeight="1"/>
    <row r="408" ht="14.1" customHeight="1"/>
    <row r="409" ht="14.1" customHeight="1"/>
    <row r="410" ht="14.1" customHeight="1"/>
    <row r="411" ht="14.1" customHeight="1"/>
    <row r="412" ht="14.1" customHeight="1"/>
    <row r="413" ht="14.1" customHeight="1"/>
    <row r="414" ht="14.1" customHeight="1"/>
    <row r="415" ht="14.1" customHeight="1"/>
    <row r="416" ht="14.1" customHeight="1"/>
    <row r="417" ht="14.1" customHeight="1"/>
    <row r="418" ht="14.1" customHeight="1"/>
  </sheetData>
  <mergeCells count="5">
    <mergeCell ref="A1:L1"/>
    <mergeCell ref="A2:L2"/>
    <mergeCell ref="A3:L3"/>
    <mergeCell ref="B14:C14"/>
    <mergeCell ref="B11:C11"/>
  </mergeCells>
  <phoneticPr fontId="2" type="noConversion"/>
  <pageMargins left="0.75" right="0.28999999999999998" top="0.79" bottom="0.26" header="0.45" footer="0.2"/>
  <pageSetup paperSize="9" orientation="landscape" verticalDpi="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4"/>
  <sheetViews>
    <sheetView topLeftCell="A88" workbookViewId="0">
      <selection activeCell="H5" sqref="H5"/>
    </sheetView>
  </sheetViews>
  <sheetFormatPr defaultRowHeight="15"/>
  <cols>
    <col min="1" max="1" width="3.81640625" customWidth="1"/>
    <col min="2" max="2" width="23.54296875" customWidth="1"/>
    <col min="3" max="4" width="10.08984375" customWidth="1"/>
    <col min="5" max="5" width="10.90625" customWidth="1"/>
    <col min="6" max="6" width="12.90625" customWidth="1"/>
  </cols>
  <sheetData>
    <row r="1" spans="1:11" ht="17.399999999999999">
      <c r="A1" s="1413" t="s">
        <v>966</v>
      </c>
      <c r="B1" s="1413"/>
      <c r="C1" s="1413"/>
      <c r="D1" s="1413"/>
      <c r="E1" s="1413"/>
      <c r="F1" s="1413"/>
      <c r="G1" s="812"/>
      <c r="H1" s="812"/>
      <c r="I1" s="812"/>
      <c r="J1" s="813"/>
      <c r="K1" s="812"/>
    </row>
    <row r="2" spans="1:11" ht="17.399999999999999">
      <c r="A2" s="987"/>
      <c r="B2" s="987"/>
      <c r="C2" s="987"/>
      <c r="D2" s="987"/>
      <c r="E2" s="987"/>
      <c r="F2" s="987"/>
      <c r="G2" s="812"/>
      <c r="H2" s="812"/>
      <c r="I2" s="812"/>
      <c r="J2" s="813"/>
      <c r="K2" s="812"/>
    </row>
    <row r="3" spans="1:11" ht="15.6">
      <c r="A3" s="834" t="s">
        <v>967</v>
      </c>
      <c r="B3" s="834" t="s">
        <v>968</v>
      </c>
      <c r="C3" s="834" t="s">
        <v>969</v>
      </c>
      <c r="D3" s="835" t="s">
        <v>970</v>
      </c>
      <c r="E3" s="838" t="s">
        <v>971</v>
      </c>
      <c r="F3" s="834" t="s">
        <v>972</v>
      </c>
      <c r="G3" s="836"/>
      <c r="H3" s="836"/>
      <c r="I3" s="836"/>
      <c r="J3" s="837"/>
      <c r="K3" s="836"/>
    </row>
    <row r="4" spans="1:11" ht="15.6">
      <c r="A4" s="823">
        <v>1</v>
      </c>
      <c r="B4" s="824" t="s">
        <v>682</v>
      </c>
      <c r="C4" s="823"/>
      <c r="D4" s="825"/>
      <c r="E4" s="822"/>
      <c r="F4" s="840">
        <v>174.81507270498571</v>
      </c>
      <c r="G4" s="814"/>
      <c r="H4" s="814"/>
      <c r="I4" s="814"/>
      <c r="J4" s="815"/>
      <c r="K4" s="814"/>
    </row>
    <row r="5" spans="1:11" ht="15.6">
      <c r="A5" s="796" t="s">
        <v>973</v>
      </c>
      <c r="B5" s="797" t="s">
        <v>974</v>
      </c>
      <c r="C5" s="790" t="s">
        <v>41</v>
      </c>
      <c r="D5" s="803">
        <v>77</v>
      </c>
      <c r="E5" s="806">
        <v>0.38484510006474959</v>
      </c>
      <c r="F5" s="798">
        <v>29.633072704985718</v>
      </c>
      <c r="G5" s="787"/>
      <c r="H5" s="799"/>
      <c r="I5" s="787"/>
      <c r="J5" s="789"/>
      <c r="K5" s="791"/>
    </row>
    <row r="6" spans="1:11" ht="15.6">
      <c r="A6" s="796" t="s">
        <v>973</v>
      </c>
      <c r="B6" s="797" t="s">
        <v>975</v>
      </c>
      <c r="C6" s="790" t="s">
        <v>41</v>
      </c>
      <c r="D6" s="803">
        <v>330</v>
      </c>
      <c r="E6" s="806">
        <v>0.21</v>
      </c>
      <c r="F6" s="798">
        <v>69.311999999999998</v>
      </c>
      <c r="G6" s="787"/>
      <c r="H6" s="799"/>
      <c r="I6" s="787"/>
      <c r="J6" s="789"/>
      <c r="K6" s="791"/>
    </row>
    <row r="7" spans="1:11" ht="15.6">
      <c r="A7" s="796" t="s">
        <v>973</v>
      </c>
      <c r="B7" s="797" t="s">
        <v>976</v>
      </c>
      <c r="C7" s="790" t="s">
        <v>41</v>
      </c>
      <c r="D7" s="803">
        <v>44</v>
      </c>
      <c r="E7" s="806">
        <v>0.48999999999999994</v>
      </c>
      <c r="F7" s="798">
        <v>21.56</v>
      </c>
      <c r="G7" s="787"/>
      <c r="H7" s="799"/>
      <c r="I7" s="787"/>
      <c r="J7" s="789"/>
      <c r="K7" s="791"/>
    </row>
    <row r="8" spans="1:11" ht="15.6">
      <c r="A8" s="796" t="s">
        <v>973</v>
      </c>
      <c r="B8" s="797" t="s">
        <v>977</v>
      </c>
      <c r="C8" s="790" t="s">
        <v>41</v>
      </c>
      <c r="D8" s="803">
        <v>7</v>
      </c>
      <c r="E8" s="806">
        <v>0.36</v>
      </c>
      <c r="F8" s="798">
        <v>2.52</v>
      </c>
      <c r="G8" s="787"/>
      <c r="H8" s="799"/>
      <c r="I8" s="787"/>
      <c r="J8" s="789"/>
      <c r="K8" s="791"/>
    </row>
    <row r="9" spans="1:11" ht="15.6">
      <c r="A9" s="796" t="s">
        <v>973</v>
      </c>
      <c r="B9" s="797" t="s">
        <v>978</v>
      </c>
      <c r="C9" s="790" t="s">
        <v>41</v>
      </c>
      <c r="D9" s="803">
        <v>32</v>
      </c>
      <c r="E9" s="806">
        <v>0.18</v>
      </c>
      <c r="F9" s="798">
        <v>5.76</v>
      </c>
      <c r="G9" s="787"/>
      <c r="H9" s="799"/>
      <c r="I9" s="787"/>
      <c r="J9" s="789"/>
      <c r="K9" s="791"/>
    </row>
    <row r="10" spans="1:11" ht="15.6">
      <c r="A10" s="796" t="s">
        <v>973</v>
      </c>
      <c r="B10" s="797" t="s">
        <v>979</v>
      </c>
      <c r="C10" s="790" t="s">
        <v>41</v>
      </c>
      <c r="D10" s="803">
        <v>63</v>
      </c>
      <c r="E10" s="806">
        <v>0.21</v>
      </c>
      <c r="F10" s="798">
        <v>13.229999999999999</v>
      </c>
      <c r="G10" s="787"/>
      <c r="H10" s="799"/>
      <c r="I10" s="787"/>
      <c r="J10" s="789"/>
      <c r="K10" s="791"/>
    </row>
    <row r="11" spans="1:11" ht="15.6">
      <c r="A11" s="796" t="s">
        <v>973</v>
      </c>
      <c r="B11" s="797" t="s">
        <v>980</v>
      </c>
      <c r="C11" s="790" t="s">
        <v>41</v>
      </c>
      <c r="D11" s="803">
        <v>2</v>
      </c>
      <c r="E11" s="806">
        <v>1.2</v>
      </c>
      <c r="F11" s="798">
        <v>2.4</v>
      </c>
      <c r="G11" s="787"/>
      <c r="H11" s="799"/>
      <c r="I11" s="787"/>
      <c r="J11" s="789"/>
      <c r="K11" s="791"/>
    </row>
    <row r="12" spans="1:11" ht="15.6">
      <c r="A12" s="800" t="s">
        <v>973</v>
      </c>
      <c r="B12" s="801" t="s">
        <v>981</v>
      </c>
      <c r="C12" s="795" t="s">
        <v>41</v>
      </c>
      <c r="D12" s="804">
        <v>19</v>
      </c>
      <c r="E12" s="807">
        <v>1.6</v>
      </c>
      <c r="F12" s="802">
        <v>30.400000000000002</v>
      </c>
      <c r="G12" s="787"/>
      <c r="H12" s="799"/>
      <c r="I12" s="787"/>
      <c r="J12" s="789"/>
      <c r="K12" s="791"/>
    </row>
    <row r="13" spans="1:11" ht="15.6">
      <c r="A13" s="823">
        <v>2</v>
      </c>
      <c r="B13" s="808" t="s">
        <v>648</v>
      </c>
      <c r="C13" s="808"/>
      <c r="D13" s="809"/>
      <c r="E13" s="818"/>
      <c r="F13" s="841">
        <v>120.3849041058922</v>
      </c>
      <c r="G13" s="814"/>
      <c r="H13" s="816"/>
      <c r="I13" s="814"/>
      <c r="J13" s="789"/>
      <c r="K13" s="817"/>
    </row>
    <row r="14" spans="1:11" ht="15.6">
      <c r="A14" s="820" t="s">
        <v>973</v>
      </c>
      <c r="B14" s="792" t="s">
        <v>974</v>
      </c>
      <c r="C14" s="790" t="s">
        <v>41</v>
      </c>
      <c r="D14" s="805">
        <v>91</v>
      </c>
      <c r="E14" s="806">
        <v>0.38484510006474959</v>
      </c>
      <c r="F14" s="798">
        <v>35.020904105892214</v>
      </c>
      <c r="G14" s="787"/>
      <c r="H14" s="799"/>
      <c r="I14" s="793"/>
      <c r="J14" s="789"/>
      <c r="K14" s="791"/>
    </row>
    <row r="15" spans="1:11" ht="15.6">
      <c r="A15" s="820" t="s">
        <v>973</v>
      </c>
      <c r="B15" s="792" t="s">
        <v>975</v>
      </c>
      <c r="C15" s="790" t="s">
        <v>41</v>
      </c>
      <c r="D15" s="805">
        <v>186</v>
      </c>
      <c r="E15" s="806">
        <v>0.21</v>
      </c>
      <c r="F15" s="798">
        <v>39.003999999999998</v>
      </c>
      <c r="G15" s="787"/>
      <c r="H15" s="799"/>
      <c r="I15" s="839"/>
      <c r="J15" s="789"/>
      <c r="K15" s="791"/>
    </row>
    <row r="16" spans="1:11" ht="15.6">
      <c r="A16" s="820" t="s">
        <v>973</v>
      </c>
      <c r="B16" s="792" t="s">
        <v>976</v>
      </c>
      <c r="C16" s="790" t="s">
        <v>41</v>
      </c>
      <c r="D16" s="805">
        <v>26</v>
      </c>
      <c r="E16" s="806">
        <v>0.48999999999999994</v>
      </c>
      <c r="F16" s="798">
        <v>12.739999999999998</v>
      </c>
      <c r="G16" s="787"/>
      <c r="H16" s="799"/>
      <c r="I16" s="787"/>
      <c r="J16" s="789"/>
      <c r="K16" s="791"/>
    </row>
    <row r="17" spans="1:11" ht="15.6">
      <c r="A17" s="820" t="s">
        <v>973</v>
      </c>
      <c r="B17" s="792" t="s">
        <v>977</v>
      </c>
      <c r="C17" s="790" t="s">
        <v>41</v>
      </c>
      <c r="D17" s="805">
        <v>6</v>
      </c>
      <c r="E17" s="806">
        <v>0.36</v>
      </c>
      <c r="F17" s="798">
        <v>2.16</v>
      </c>
      <c r="G17" s="787"/>
      <c r="H17" s="799"/>
      <c r="I17" s="787"/>
      <c r="J17" s="789"/>
      <c r="K17" s="791"/>
    </row>
    <row r="18" spans="1:11" ht="15.6">
      <c r="A18" s="820" t="s">
        <v>973</v>
      </c>
      <c r="B18" s="792" t="s">
        <v>978</v>
      </c>
      <c r="C18" s="790" t="s">
        <v>41</v>
      </c>
      <c r="D18" s="805">
        <v>38</v>
      </c>
      <c r="E18" s="806">
        <v>0.18</v>
      </c>
      <c r="F18" s="798">
        <v>6.84</v>
      </c>
      <c r="G18" s="787"/>
      <c r="H18" s="799"/>
      <c r="I18" s="787"/>
      <c r="J18" s="789"/>
      <c r="K18" s="791"/>
    </row>
    <row r="19" spans="1:11" ht="15.6">
      <c r="A19" s="820" t="s">
        <v>973</v>
      </c>
      <c r="B19" s="792" t="s">
        <v>979</v>
      </c>
      <c r="C19" s="790" t="s">
        <v>41</v>
      </c>
      <c r="D19" s="805">
        <v>22</v>
      </c>
      <c r="E19" s="806">
        <v>0.21</v>
      </c>
      <c r="F19" s="798">
        <v>4.62</v>
      </c>
      <c r="G19" s="787"/>
      <c r="H19" s="799"/>
      <c r="I19" s="787"/>
      <c r="J19" s="787"/>
      <c r="K19" s="791"/>
    </row>
    <row r="20" spans="1:11" ht="15.6">
      <c r="A20" s="820" t="s">
        <v>973</v>
      </c>
      <c r="B20" s="792" t="s">
        <v>981</v>
      </c>
      <c r="C20" s="790" t="s">
        <v>41</v>
      </c>
      <c r="D20" s="805">
        <v>14</v>
      </c>
      <c r="E20" s="806">
        <v>1.2</v>
      </c>
      <c r="F20" s="798">
        <v>16.8</v>
      </c>
      <c r="G20" s="787"/>
      <c r="H20" s="799"/>
      <c r="I20" s="787"/>
      <c r="J20" s="787"/>
      <c r="K20" s="791"/>
    </row>
    <row r="21" spans="1:11" ht="15.6">
      <c r="A21" s="826" t="s">
        <v>973</v>
      </c>
      <c r="B21" s="810" t="s">
        <v>980</v>
      </c>
      <c r="C21" s="795" t="s">
        <v>41</v>
      </c>
      <c r="D21" s="811">
        <v>2</v>
      </c>
      <c r="E21" s="807">
        <v>1.6</v>
      </c>
      <c r="F21" s="802">
        <v>3.2</v>
      </c>
      <c r="G21" s="787"/>
      <c r="H21" s="799"/>
      <c r="I21" s="788"/>
      <c r="J21" s="787"/>
      <c r="K21" s="791"/>
    </row>
    <row r="22" spans="1:11" ht="15.6">
      <c r="A22" s="823">
        <v>3</v>
      </c>
      <c r="B22" s="808" t="s">
        <v>574</v>
      </c>
      <c r="C22" s="808"/>
      <c r="D22" s="809"/>
      <c r="E22" s="818"/>
      <c r="F22" s="841">
        <v>59.470423602330982</v>
      </c>
      <c r="G22" s="814"/>
      <c r="H22" s="816"/>
      <c r="I22" s="814"/>
      <c r="J22" s="815"/>
      <c r="K22" s="817"/>
    </row>
    <row r="23" spans="1:11" ht="15.6">
      <c r="A23" s="820" t="s">
        <v>973</v>
      </c>
      <c r="B23" s="792" t="s">
        <v>974</v>
      </c>
      <c r="C23" s="790" t="s">
        <v>41</v>
      </c>
      <c r="D23" s="805">
        <v>36</v>
      </c>
      <c r="E23" s="806">
        <v>0.38484510006474959</v>
      </c>
      <c r="F23" s="798">
        <v>13.854423602330986</v>
      </c>
      <c r="G23" s="787"/>
      <c r="H23" s="799"/>
      <c r="I23" s="787"/>
      <c r="J23" s="787"/>
      <c r="K23" s="791"/>
    </row>
    <row r="24" spans="1:11" ht="15.6">
      <c r="A24" s="820" t="s">
        <v>973</v>
      </c>
      <c r="B24" s="792" t="s">
        <v>975</v>
      </c>
      <c r="C24" s="790" t="s">
        <v>41</v>
      </c>
      <c r="D24" s="805">
        <v>82</v>
      </c>
      <c r="E24" s="806">
        <v>0.21</v>
      </c>
      <c r="F24" s="798">
        <v>17.256</v>
      </c>
      <c r="G24" s="787"/>
      <c r="H24" s="799"/>
      <c r="I24" s="787"/>
      <c r="J24" s="794"/>
      <c r="K24" s="791"/>
    </row>
    <row r="25" spans="1:11" ht="15.6">
      <c r="A25" s="820" t="s">
        <v>973</v>
      </c>
      <c r="B25" s="792" t="s">
        <v>976</v>
      </c>
      <c r="C25" s="790" t="s">
        <v>41</v>
      </c>
      <c r="D25" s="805">
        <v>6</v>
      </c>
      <c r="E25" s="806">
        <v>0.48999999999999994</v>
      </c>
      <c r="F25" s="798">
        <v>2.9399999999999995</v>
      </c>
      <c r="G25" s="787"/>
      <c r="H25" s="799"/>
      <c r="I25" s="787"/>
      <c r="J25" s="787"/>
      <c r="K25" s="791"/>
    </row>
    <row r="26" spans="1:11" ht="15.6">
      <c r="A26" s="820" t="s">
        <v>973</v>
      </c>
      <c r="B26" s="792" t="s">
        <v>977</v>
      </c>
      <c r="C26" s="790" t="s">
        <v>41</v>
      </c>
      <c r="D26" s="805">
        <v>3</v>
      </c>
      <c r="E26" s="806">
        <v>0.36</v>
      </c>
      <c r="F26" s="798">
        <v>1.08</v>
      </c>
      <c r="G26" s="787"/>
      <c r="H26" s="799"/>
      <c r="I26" s="787"/>
      <c r="J26" s="787"/>
      <c r="K26" s="791"/>
    </row>
    <row r="27" spans="1:11" ht="15.6">
      <c r="A27" s="820" t="s">
        <v>973</v>
      </c>
      <c r="B27" s="792" t="s">
        <v>978</v>
      </c>
      <c r="C27" s="790" t="s">
        <v>41</v>
      </c>
      <c r="D27" s="805">
        <v>6</v>
      </c>
      <c r="E27" s="806">
        <v>0.18</v>
      </c>
      <c r="F27" s="798">
        <v>1.08</v>
      </c>
      <c r="G27" s="787"/>
      <c r="H27" s="799"/>
      <c r="I27" s="787"/>
      <c r="J27" s="787"/>
      <c r="K27" s="791"/>
    </row>
    <row r="28" spans="1:11" ht="15.6">
      <c r="A28" s="820" t="s">
        <v>973</v>
      </c>
      <c r="B28" s="792" t="s">
        <v>979</v>
      </c>
      <c r="C28" s="790" t="s">
        <v>41</v>
      </c>
      <c r="D28" s="805">
        <v>6</v>
      </c>
      <c r="E28" s="806">
        <v>0.21</v>
      </c>
      <c r="F28" s="798">
        <v>1.26</v>
      </c>
      <c r="G28" s="787"/>
      <c r="H28" s="799"/>
      <c r="I28" s="787"/>
      <c r="J28" s="787"/>
      <c r="K28" s="791"/>
    </row>
    <row r="29" spans="1:11" ht="15.6">
      <c r="A29" s="820" t="s">
        <v>973</v>
      </c>
      <c r="B29" s="792" t="s">
        <v>981</v>
      </c>
      <c r="C29" s="790" t="s">
        <v>41</v>
      </c>
      <c r="D29" s="805">
        <v>13</v>
      </c>
      <c r="E29" s="806">
        <v>1.2</v>
      </c>
      <c r="F29" s="798">
        <v>15.6</v>
      </c>
      <c r="G29" s="787"/>
      <c r="H29" s="799"/>
      <c r="I29" s="787"/>
      <c r="J29" s="787"/>
      <c r="K29" s="791"/>
    </row>
    <row r="30" spans="1:11" ht="15.6">
      <c r="A30" s="826" t="s">
        <v>973</v>
      </c>
      <c r="B30" s="810" t="s">
        <v>980</v>
      </c>
      <c r="C30" s="795" t="s">
        <v>41</v>
      </c>
      <c r="D30" s="811">
        <v>4</v>
      </c>
      <c r="E30" s="807">
        <v>1.6</v>
      </c>
      <c r="F30" s="802">
        <v>6.4</v>
      </c>
      <c r="G30" s="787"/>
      <c r="H30" s="799"/>
      <c r="I30" s="787"/>
      <c r="J30" s="787"/>
      <c r="K30" s="791"/>
    </row>
    <row r="31" spans="1:11" ht="15.6">
      <c r="A31" s="823">
        <v>4</v>
      </c>
      <c r="B31" s="808" t="s">
        <v>578</v>
      </c>
      <c r="C31" s="808"/>
      <c r="D31" s="809"/>
      <c r="E31" s="818"/>
      <c r="F31" s="841">
        <v>108.60980400258998</v>
      </c>
      <c r="G31" s="814"/>
      <c r="H31" s="816"/>
      <c r="I31" s="814"/>
      <c r="J31" s="815"/>
      <c r="K31" s="817"/>
    </row>
    <row r="32" spans="1:11" ht="15.6">
      <c r="A32" s="820" t="s">
        <v>973</v>
      </c>
      <c r="B32" s="792" t="s">
        <v>974</v>
      </c>
      <c r="C32" s="790" t="s">
        <v>41</v>
      </c>
      <c r="D32" s="805">
        <v>40</v>
      </c>
      <c r="E32" s="806">
        <v>0.38484510006474959</v>
      </c>
      <c r="F32" s="798">
        <v>15.393804002589984</v>
      </c>
      <c r="G32" s="787"/>
      <c r="H32" s="799"/>
      <c r="I32" s="787"/>
      <c r="J32" s="787"/>
      <c r="K32" s="791"/>
    </row>
    <row r="33" spans="1:11" ht="15.6">
      <c r="A33" s="820" t="s">
        <v>973</v>
      </c>
      <c r="B33" s="792" t="s">
        <v>975</v>
      </c>
      <c r="C33" s="790" t="s">
        <v>41</v>
      </c>
      <c r="D33" s="805">
        <v>161</v>
      </c>
      <c r="E33" s="806">
        <v>0.21</v>
      </c>
      <c r="F33" s="798">
        <v>33.816000000000003</v>
      </c>
      <c r="G33" s="787"/>
      <c r="H33" s="799"/>
      <c r="I33" s="787"/>
      <c r="J33" s="787"/>
      <c r="K33" s="791"/>
    </row>
    <row r="34" spans="1:11" ht="15.6">
      <c r="A34" s="820" t="s">
        <v>973</v>
      </c>
      <c r="B34" s="792" t="s">
        <v>976</v>
      </c>
      <c r="C34" s="790" t="s">
        <v>41</v>
      </c>
      <c r="D34" s="805">
        <v>22</v>
      </c>
      <c r="E34" s="806">
        <v>0.48999999999999994</v>
      </c>
      <c r="F34" s="798">
        <v>10.78</v>
      </c>
      <c r="G34" s="787"/>
      <c r="H34" s="799"/>
      <c r="I34" s="787"/>
      <c r="J34" s="787"/>
      <c r="K34" s="791"/>
    </row>
    <row r="35" spans="1:11" ht="15.6">
      <c r="A35" s="820" t="s">
        <v>973</v>
      </c>
      <c r="B35" s="792" t="s">
        <v>982</v>
      </c>
      <c r="C35" s="790" t="s">
        <v>41</v>
      </c>
      <c r="D35" s="805">
        <v>2</v>
      </c>
      <c r="E35" s="806">
        <v>0.48</v>
      </c>
      <c r="F35" s="798">
        <v>0.96</v>
      </c>
      <c r="G35" s="787"/>
      <c r="H35" s="799"/>
      <c r="I35" s="787"/>
      <c r="J35" s="787"/>
      <c r="K35" s="791"/>
    </row>
    <row r="36" spans="1:11" ht="15.6">
      <c r="A36" s="820" t="s">
        <v>973</v>
      </c>
      <c r="B36" s="792" t="s">
        <v>978</v>
      </c>
      <c r="C36" s="790" t="s">
        <v>41</v>
      </c>
      <c r="D36" s="805">
        <v>22</v>
      </c>
      <c r="E36" s="806">
        <v>0.18</v>
      </c>
      <c r="F36" s="798">
        <v>3.96</v>
      </c>
      <c r="G36" s="787"/>
      <c r="H36" s="799"/>
      <c r="I36" s="787"/>
      <c r="J36" s="787"/>
      <c r="K36" s="791"/>
    </row>
    <row r="37" spans="1:11" ht="15.6">
      <c r="A37" s="820" t="s">
        <v>973</v>
      </c>
      <c r="B37" s="792" t="s">
        <v>979</v>
      </c>
      <c r="C37" s="790" t="s">
        <v>41</v>
      </c>
      <c r="D37" s="805">
        <v>10</v>
      </c>
      <c r="E37" s="806">
        <v>0.21</v>
      </c>
      <c r="F37" s="798">
        <v>2.1</v>
      </c>
      <c r="G37" s="787"/>
      <c r="H37" s="799"/>
      <c r="I37" s="787"/>
      <c r="J37" s="787"/>
      <c r="K37" s="791"/>
    </row>
    <row r="38" spans="1:11" ht="15.6">
      <c r="A38" s="820" t="s">
        <v>973</v>
      </c>
      <c r="B38" s="792" t="s">
        <v>981</v>
      </c>
      <c r="C38" s="790" t="s">
        <v>41</v>
      </c>
      <c r="D38" s="805">
        <v>20</v>
      </c>
      <c r="E38" s="806">
        <v>1.6</v>
      </c>
      <c r="F38" s="798">
        <v>32</v>
      </c>
      <c r="G38" s="787"/>
      <c r="H38" s="799"/>
      <c r="I38" s="787"/>
      <c r="J38" s="787"/>
      <c r="K38" s="791"/>
    </row>
    <row r="39" spans="1:11" ht="15.6">
      <c r="A39" s="826" t="s">
        <v>973</v>
      </c>
      <c r="B39" s="810" t="s">
        <v>980</v>
      </c>
      <c r="C39" s="795" t="s">
        <v>41</v>
      </c>
      <c r="D39" s="811">
        <v>8</v>
      </c>
      <c r="E39" s="807">
        <v>1.2</v>
      </c>
      <c r="F39" s="802">
        <v>9.6</v>
      </c>
      <c r="G39" s="787"/>
      <c r="H39" s="799"/>
      <c r="I39" s="787"/>
      <c r="J39" s="787"/>
      <c r="K39" s="791"/>
    </row>
    <row r="40" spans="1:11" ht="15.6">
      <c r="A40" s="823">
        <v>5</v>
      </c>
      <c r="B40" s="808" t="s">
        <v>537</v>
      </c>
      <c r="C40" s="808"/>
      <c r="D40" s="809"/>
      <c r="E40" s="818"/>
      <c r="F40" s="841">
        <v>65.75</v>
      </c>
      <c r="G40" s="814"/>
      <c r="H40" s="816"/>
      <c r="I40" s="814"/>
      <c r="J40" s="815"/>
      <c r="K40" s="817"/>
    </row>
    <row r="41" spans="1:11" ht="15.6">
      <c r="A41" s="790"/>
      <c r="B41" s="792" t="s">
        <v>974</v>
      </c>
      <c r="C41" s="790" t="s">
        <v>41</v>
      </c>
      <c r="D41" s="805">
        <v>32</v>
      </c>
      <c r="E41" s="806">
        <v>0.38484510006474959</v>
      </c>
      <c r="F41" s="798">
        <v>12.32</v>
      </c>
      <c r="G41" s="787"/>
      <c r="H41" s="799"/>
      <c r="I41" s="787"/>
      <c r="J41" s="787"/>
      <c r="K41" s="791"/>
    </row>
    <row r="42" spans="1:11" ht="15.6">
      <c r="A42" s="790"/>
      <c r="B42" s="792" t="s">
        <v>975</v>
      </c>
      <c r="C42" s="790" t="s">
        <v>41</v>
      </c>
      <c r="D42" s="805">
        <v>99</v>
      </c>
      <c r="E42" s="806">
        <v>0.21</v>
      </c>
      <c r="F42" s="798">
        <v>20.79</v>
      </c>
      <c r="G42" s="787"/>
      <c r="H42" s="799"/>
      <c r="I42" s="787"/>
      <c r="J42" s="787"/>
      <c r="K42" s="791"/>
    </row>
    <row r="43" spans="1:11" ht="15.6">
      <c r="A43" s="790"/>
      <c r="B43" s="792" t="s">
        <v>978</v>
      </c>
      <c r="C43" s="790" t="s">
        <v>41</v>
      </c>
      <c r="D43" s="805">
        <v>14</v>
      </c>
      <c r="E43" s="806">
        <v>0.18</v>
      </c>
      <c r="F43" s="798">
        <v>2.52</v>
      </c>
      <c r="G43" s="787"/>
      <c r="H43" s="799"/>
      <c r="I43" s="787"/>
      <c r="J43" s="787"/>
      <c r="K43" s="791"/>
    </row>
    <row r="44" spans="1:11" ht="15.6">
      <c r="A44" s="790"/>
      <c r="B44" s="792" t="s">
        <v>979</v>
      </c>
      <c r="C44" s="790" t="s">
        <v>41</v>
      </c>
      <c r="D44" s="805">
        <v>4</v>
      </c>
      <c r="E44" s="806">
        <v>0.21</v>
      </c>
      <c r="F44" s="798">
        <v>0.84</v>
      </c>
      <c r="G44" s="787"/>
      <c r="H44" s="799"/>
      <c r="I44" s="787"/>
      <c r="J44" s="787"/>
      <c r="K44" s="791"/>
    </row>
    <row r="45" spans="1:11" ht="15.6">
      <c r="A45" s="790"/>
      <c r="B45" s="792" t="s">
        <v>980</v>
      </c>
      <c r="C45" s="790" t="s">
        <v>41</v>
      </c>
      <c r="D45" s="805">
        <v>2</v>
      </c>
      <c r="E45" s="806">
        <v>1.2</v>
      </c>
      <c r="F45" s="798">
        <v>2.4</v>
      </c>
      <c r="G45" s="787"/>
      <c r="H45" s="799"/>
      <c r="I45" s="787"/>
      <c r="J45" s="787"/>
      <c r="K45" s="791"/>
    </row>
    <row r="46" spans="1:11" ht="15.6">
      <c r="A46" s="790"/>
      <c r="B46" s="792" t="s">
        <v>981</v>
      </c>
      <c r="C46" s="790" t="s">
        <v>41</v>
      </c>
      <c r="D46" s="805">
        <v>9</v>
      </c>
      <c r="E46" s="806">
        <v>1.6</v>
      </c>
      <c r="F46" s="798">
        <v>14.4</v>
      </c>
      <c r="G46" s="787"/>
      <c r="H46" s="799"/>
      <c r="I46" s="787"/>
      <c r="J46" s="787"/>
      <c r="K46" s="791"/>
    </row>
    <row r="47" spans="1:11" ht="15.6">
      <c r="A47" s="790"/>
      <c r="B47" s="792" t="s">
        <v>977</v>
      </c>
      <c r="C47" s="790" t="s">
        <v>41</v>
      </c>
      <c r="D47" s="805">
        <v>2</v>
      </c>
      <c r="E47" s="806">
        <v>0.36</v>
      </c>
      <c r="F47" s="798">
        <v>0.72</v>
      </c>
      <c r="G47" s="787"/>
      <c r="H47" s="799"/>
      <c r="I47" s="787"/>
      <c r="J47" s="787"/>
      <c r="K47" s="791"/>
    </row>
    <row r="48" spans="1:11" ht="15.6">
      <c r="A48" s="795"/>
      <c r="B48" s="810" t="s">
        <v>976</v>
      </c>
      <c r="C48" s="795" t="s">
        <v>41</v>
      </c>
      <c r="D48" s="811">
        <v>24</v>
      </c>
      <c r="E48" s="807">
        <v>0.48999999999999994</v>
      </c>
      <c r="F48" s="802">
        <v>11.76</v>
      </c>
      <c r="G48" s="787"/>
      <c r="H48" s="799"/>
      <c r="I48" s="787"/>
      <c r="J48" s="787"/>
      <c r="K48" s="791"/>
    </row>
    <row r="49" spans="1:11" ht="15.6">
      <c r="A49" s="823">
        <v>6</v>
      </c>
      <c r="B49" s="808" t="s">
        <v>612</v>
      </c>
      <c r="C49" s="808"/>
      <c r="D49" s="809"/>
      <c r="E49" s="818"/>
      <c r="F49" s="841">
        <v>73.590000000000018</v>
      </c>
      <c r="G49" s="814"/>
      <c r="H49" s="816"/>
      <c r="I49" s="814"/>
      <c r="J49" s="815"/>
      <c r="K49" s="817"/>
    </row>
    <row r="50" spans="1:11" ht="15.6">
      <c r="A50" s="820" t="s">
        <v>973</v>
      </c>
      <c r="B50" s="821" t="s">
        <v>974</v>
      </c>
      <c r="C50" s="790" t="s">
        <v>41</v>
      </c>
      <c r="D50" s="805">
        <v>26</v>
      </c>
      <c r="E50" s="806">
        <v>0.38484510006474959</v>
      </c>
      <c r="F50" s="798">
        <v>10.01</v>
      </c>
      <c r="G50" s="787"/>
      <c r="H50" s="799"/>
      <c r="I50" s="787"/>
      <c r="J50" s="787"/>
      <c r="K50" s="791"/>
    </row>
    <row r="51" spans="1:11" ht="15.6">
      <c r="A51" s="820" t="s">
        <v>973</v>
      </c>
      <c r="B51" s="821" t="s">
        <v>975</v>
      </c>
      <c r="C51" s="790" t="s">
        <v>41</v>
      </c>
      <c r="D51" s="805">
        <v>116</v>
      </c>
      <c r="E51" s="806">
        <v>0.21</v>
      </c>
      <c r="F51" s="798">
        <v>24.36</v>
      </c>
      <c r="G51" s="787"/>
      <c r="H51" s="799"/>
      <c r="I51" s="787"/>
      <c r="J51" s="787"/>
      <c r="K51" s="791"/>
    </row>
    <row r="52" spans="1:11" ht="15.6">
      <c r="A52" s="820" t="s">
        <v>973</v>
      </c>
      <c r="B52" s="821" t="s">
        <v>976</v>
      </c>
      <c r="C52" s="790" t="s">
        <v>41</v>
      </c>
      <c r="D52" s="805">
        <v>34</v>
      </c>
      <c r="E52" s="806">
        <v>0.48999999999999994</v>
      </c>
      <c r="F52" s="798">
        <v>16.66</v>
      </c>
      <c r="G52" s="787"/>
      <c r="H52" s="799"/>
      <c r="I52" s="787"/>
      <c r="J52" s="787"/>
      <c r="K52" s="791"/>
    </row>
    <row r="53" spans="1:11" ht="15.6">
      <c r="A53" s="820" t="s">
        <v>973</v>
      </c>
      <c r="B53" s="821" t="s">
        <v>983</v>
      </c>
      <c r="C53" s="790" t="s">
        <v>41</v>
      </c>
      <c r="D53" s="805">
        <v>18</v>
      </c>
      <c r="E53" s="806">
        <v>0.18</v>
      </c>
      <c r="F53" s="798">
        <v>3.24</v>
      </c>
      <c r="G53" s="787"/>
      <c r="H53" s="799"/>
      <c r="I53" s="787"/>
      <c r="J53" s="787"/>
      <c r="K53" s="791"/>
    </row>
    <row r="54" spans="1:11" ht="15.6">
      <c r="A54" s="820" t="s">
        <v>973</v>
      </c>
      <c r="B54" s="821" t="s">
        <v>984</v>
      </c>
      <c r="C54" s="790" t="s">
        <v>41</v>
      </c>
      <c r="D54" s="805">
        <v>12</v>
      </c>
      <c r="E54" s="806">
        <v>0.21</v>
      </c>
      <c r="F54" s="798">
        <v>2.52</v>
      </c>
      <c r="G54" s="787"/>
      <c r="H54" s="799"/>
      <c r="I54" s="787"/>
      <c r="J54" s="787"/>
      <c r="K54" s="791"/>
    </row>
    <row r="55" spans="1:11" ht="15.6">
      <c r="A55" s="820" t="s">
        <v>973</v>
      </c>
      <c r="B55" s="821" t="s">
        <v>985</v>
      </c>
      <c r="C55" s="790" t="s">
        <v>41</v>
      </c>
      <c r="D55" s="805">
        <v>9</v>
      </c>
      <c r="E55" s="806">
        <v>1.6</v>
      </c>
      <c r="F55" s="798">
        <v>14.4</v>
      </c>
      <c r="G55" s="787"/>
      <c r="H55" s="799"/>
      <c r="I55" s="787"/>
      <c r="J55" s="787"/>
      <c r="K55" s="791"/>
    </row>
    <row r="56" spans="1:11" ht="15.6">
      <c r="A56" s="826" t="s">
        <v>973</v>
      </c>
      <c r="B56" s="819" t="s">
        <v>986</v>
      </c>
      <c r="C56" s="795" t="s">
        <v>41</v>
      </c>
      <c r="D56" s="811">
        <v>2</v>
      </c>
      <c r="E56" s="807">
        <v>1.2</v>
      </c>
      <c r="F56" s="802">
        <v>2.4</v>
      </c>
      <c r="G56" s="787"/>
      <c r="H56" s="799"/>
      <c r="I56" s="787"/>
      <c r="J56" s="787"/>
      <c r="K56" s="791"/>
    </row>
    <row r="57" spans="1:11" ht="15.6">
      <c r="A57" s="823">
        <v>7</v>
      </c>
      <c r="B57" s="808" t="s">
        <v>622</v>
      </c>
      <c r="C57" s="808"/>
      <c r="D57" s="809"/>
      <c r="E57" s="818"/>
      <c r="F57" s="841">
        <v>84.758592201424491</v>
      </c>
      <c r="G57" s="814"/>
      <c r="H57" s="816"/>
      <c r="I57" s="814"/>
      <c r="J57" s="815"/>
      <c r="K57" s="817"/>
    </row>
    <row r="58" spans="1:11" ht="15.6">
      <c r="A58" s="820" t="s">
        <v>973</v>
      </c>
      <c r="B58" s="821" t="s">
        <v>974</v>
      </c>
      <c r="C58" s="790" t="s">
        <v>41</v>
      </c>
      <c r="D58" s="805">
        <v>22</v>
      </c>
      <c r="E58" s="806">
        <v>0.38484510006474959</v>
      </c>
      <c r="F58" s="798">
        <v>8.4665922014244916</v>
      </c>
      <c r="G58" s="787"/>
      <c r="H58" s="799"/>
      <c r="I58" s="787"/>
      <c r="J58" s="787"/>
      <c r="K58" s="791"/>
    </row>
    <row r="59" spans="1:11" ht="15.6">
      <c r="A59" s="820" t="s">
        <v>973</v>
      </c>
      <c r="B59" s="821" t="s">
        <v>975</v>
      </c>
      <c r="C59" s="790" t="s">
        <v>41</v>
      </c>
      <c r="D59" s="805">
        <v>174</v>
      </c>
      <c r="E59" s="806">
        <v>0.21</v>
      </c>
      <c r="F59" s="798">
        <v>36.652000000000001</v>
      </c>
      <c r="G59" s="787"/>
      <c r="H59" s="799"/>
      <c r="I59" s="787"/>
      <c r="J59" s="787"/>
      <c r="K59" s="791"/>
    </row>
    <row r="60" spans="1:11" ht="15.6">
      <c r="A60" s="820" t="s">
        <v>973</v>
      </c>
      <c r="B60" s="821" t="s">
        <v>976</v>
      </c>
      <c r="C60" s="790" t="s">
        <v>41</v>
      </c>
      <c r="D60" s="805">
        <v>4</v>
      </c>
      <c r="E60" s="806">
        <v>0.48999999999999994</v>
      </c>
      <c r="F60" s="798">
        <v>1.9599999999999997</v>
      </c>
      <c r="G60" s="787"/>
      <c r="H60" s="799"/>
      <c r="I60" s="787"/>
      <c r="J60" s="787"/>
      <c r="K60" s="791"/>
    </row>
    <row r="61" spans="1:11" ht="15.6">
      <c r="A61" s="820" t="s">
        <v>973</v>
      </c>
      <c r="B61" s="821" t="s">
        <v>983</v>
      </c>
      <c r="C61" s="790" t="s">
        <v>41</v>
      </c>
      <c r="D61" s="805">
        <v>40</v>
      </c>
      <c r="E61" s="806">
        <v>0.18</v>
      </c>
      <c r="F61" s="798">
        <v>7.1999999999999993</v>
      </c>
      <c r="G61" s="787"/>
      <c r="H61" s="799"/>
      <c r="I61" s="787"/>
      <c r="J61" s="787"/>
      <c r="K61" s="791"/>
    </row>
    <row r="62" spans="1:11" ht="15.6">
      <c r="A62" s="820" t="s">
        <v>973</v>
      </c>
      <c r="B62" s="821" t="s">
        <v>984</v>
      </c>
      <c r="C62" s="790" t="s">
        <v>41</v>
      </c>
      <c r="D62" s="805">
        <v>8</v>
      </c>
      <c r="E62" s="806">
        <v>0.21</v>
      </c>
      <c r="F62" s="798">
        <v>1.68</v>
      </c>
      <c r="G62" s="787"/>
      <c r="H62" s="799"/>
      <c r="I62" s="787"/>
      <c r="J62" s="787"/>
      <c r="K62" s="791"/>
    </row>
    <row r="63" spans="1:11" ht="15.6">
      <c r="A63" s="826" t="s">
        <v>973</v>
      </c>
      <c r="B63" s="819" t="s">
        <v>985</v>
      </c>
      <c r="C63" s="795" t="s">
        <v>41</v>
      </c>
      <c r="D63" s="811">
        <v>18</v>
      </c>
      <c r="E63" s="807">
        <v>1.6</v>
      </c>
      <c r="F63" s="802">
        <v>28.8</v>
      </c>
      <c r="G63" s="787"/>
      <c r="H63" s="799"/>
      <c r="I63" s="787"/>
      <c r="J63" s="787"/>
      <c r="K63" s="791"/>
    </row>
    <row r="64" spans="1:11" ht="15.6">
      <c r="A64" s="823">
        <v>8</v>
      </c>
      <c r="B64" s="808" t="s">
        <v>545</v>
      </c>
      <c r="C64" s="808"/>
      <c r="D64" s="809"/>
      <c r="E64" s="818"/>
      <c r="F64" s="841">
        <v>77.349635403496478</v>
      </c>
      <c r="G64" s="814"/>
      <c r="H64" s="816"/>
      <c r="I64" s="814"/>
      <c r="J64" s="815"/>
      <c r="K64" s="817"/>
    </row>
    <row r="65" spans="1:11" ht="15.6">
      <c r="A65" s="820" t="s">
        <v>973</v>
      </c>
      <c r="B65" s="821" t="s">
        <v>974</v>
      </c>
      <c r="C65" s="790" t="s">
        <v>41</v>
      </c>
      <c r="D65" s="805">
        <v>54</v>
      </c>
      <c r="E65" s="806">
        <v>0.38484510006474959</v>
      </c>
      <c r="F65" s="798">
        <v>20.781635403496477</v>
      </c>
      <c r="G65" s="787"/>
      <c r="H65" s="799"/>
      <c r="I65" s="787"/>
      <c r="J65" s="787"/>
      <c r="K65" s="791"/>
    </row>
    <row r="66" spans="1:11" ht="15.6">
      <c r="A66" s="820" t="s">
        <v>973</v>
      </c>
      <c r="B66" s="821" t="s">
        <v>975</v>
      </c>
      <c r="C66" s="790" t="s">
        <v>41</v>
      </c>
      <c r="D66" s="805">
        <v>126</v>
      </c>
      <c r="E66" s="806">
        <v>0.21</v>
      </c>
      <c r="F66" s="798">
        <v>26.467999999999996</v>
      </c>
      <c r="G66" s="787"/>
      <c r="H66" s="799"/>
      <c r="I66" s="787"/>
      <c r="J66" s="787"/>
      <c r="K66" s="791"/>
    </row>
    <row r="67" spans="1:11" ht="15.6">
      <c r="A67" s="820" t="s">
        <v>973</v>
      </c>
      <c r="B67" s="821" t="s">
        <v>976</v>
      </c>
      <c r="C67" s="790" t="s">
        <v>41</v>
      </c>
      <c r="D67" s="805">
        <v>10</v>
      </c>
      <c r="E67" s="806">
        <v>0.48999999999999994</v>
      </c>
      <c r="F67" s="798">
        <v>4.8999999999999995</v>
      </c>
      <c r="G67" s="787"/>
      <c r="H67" s="799"/>
      <c r="I67" s="787"/>
      <c r="J67" s="787"/>
      <c r="K67" s="791"/>
    </row>
    <row r="68" spans="1:11" ht="15.6">
      <c r="A68" s="820" t="s">
        <v>973</v>
      </c>
      <c r="B68" s="821" t="s">
        <v>977</v>
      </c>
      <c r="C68" s="790" t="s">
        <v>41</v>
      </c>
      <c r="D68" s="805">
        <v>4</v>
      </c>
      <c r="E68" s="806">
        <v>0.36</v>
      </c>
      <c r="F68" s="798">
        <v>1.44</v>
      </c>
      <c r="G68" s="787"/>
      <c r="H68" s="799"/>
      <c r="I68" s="787"/>
      <c r="J68" s="787"/>
      <c r="K68" s="791"/>
    </row>
    <row r="69" spans="1:11" ht="15.6">
      <c r="A69" s="820" t="s">
        <v>973</v>
      </c>
      <c r="B69" s="821" t="s">
        <v>978</v>
      </c>
      <c r="C69" s="790" t="s">
        <v>41</v>
      </c>
      <c r="D69" s="805">
        <v>46</v>
      </c>
      <c r="E69" s="806">
        <v>0.18</v>
      </c>
      <c r="F69" s="798">
        <v>8.2799999999999994</v>
      </c>
      <c r="G69" s="787"/>
      <c r="H69" s="799"/>
      <c r="I69" s="787"/>
      <c r="J69" s="787"/>
      <c r="K69" s="791"/>
    </row>
    <row r="70" spans="1:11" ht="15.6">
      <c r="A70" s="820" t="s">
        <v>973</v>
      </c>
      <c r="B70" s="821" t="s">
        <v>979</v>
      </c>
      <c r="C70" s="790" t="s">
        <v>41</v>
      </c>
      <c r="D70" s="805">
        <v>28</v>
      </c>
      <c r="E70" s="806">
        <v>0.21</v>
      </c>
      <c r="F70" s="798">
        <v>5.88</v>
      </c>
      <c r="G70" s="787"/>
      <c r="H70" s="799"/>
      <c r="I70" s="787"/>
      <c r="J70" s="787"/>
      <c r="K70" s="791"/>
    </row>
    <row r="71" spans="1:11" ht="15.6">
      <c r="A71" s="826" t="s">
        <v>973</v>
      </c>
      <c r="B71" s="819" t="s">
        <v>981</v>
      </c>
      <c r="C71" s="795" t="s">
        <v>41</v>
      </c>
      <c r="D71" s="811">
        <v>6</v>
      </c>
      <c r="E71" s="807">
        <v>1.6</v>
      </c>
      <c r="F71" s="802">
        <v>9.6000000000000014</v>
      </c>
      <c r="G71" s="787"/>
      <c r="H71" s="799"/>
      <c r="I71" s="787"/>
      <c r="J71" s="787"/>
      <c r="K71" s="791"/>
    </row>
    <row r="72" spans="1:11" ht="15.6">
      <c r="A72" s="823">
        <v>9</v>
      </c>
      <c r="B72" s="808" t="s">
        <v>589</v>
      </c>
      <c r="C72" s="808"/>
      <c r="D72" s="809"/>
      <c r="E72" s="818"/>
      <c r="F72" s="841">
        <v>156.97905900582745</v>
      </c>
      <c r="G72" s="814"/>
      <c r="H72" s="816"/>
      <c r="I72" s="814"/>
      <c r="J72" s="815"/>
      <c r="K72" s="817"/>
    </row>
    <row r="73" spans="1:11" ht="15.6">
      <c r="A73" s="820" t="s">
        <v>973</v>
      </c>
      <c r="B73" s="821" t="s">
        <v>974</v>
      </c>
      <c r="C73" s="790" t="s">
        <v>41</v>
      </c>
      <c r="D73" s="805">
        <v>90</v>
      </c>
      <c r="E73" s="806">
        <v>0.38484510006474959</v>
      </c>
      <c r="F73" s="798">
        <v>34.636059005827462</v>
      </c>
      <c r="G73" s="787"/>
      <c r="H73" s="799"/>
      <c r="I73" s="787"/>
      <c r="J73" s="787"/>
      <c r="K73" s="791"/>
    </row>
    <row r="74" spans="1:11" ht="15.6">
      <c r="A74" s="820" t="s">
        <v>973</v>
      </c>
      <c r="B74" s="821" t="s">
        <v>975</v>
      </c>
      <c r="C74" s="790" t="s">
        <v>41</v>
      </c>
      <c r="D74" s="805">
        <v>280</v>
      </c>
      <c r="E74" s="806">
        <v>0.21</v>
      </c>
      <c r="F74" s="798">
        <v>58.962999999999994</v>
      </c>
      <c r="G74" s="787"/>
      <c r="H74" s="799"/>
      <c r="I74" s="787"/>
      <c r="J74" s="787"/>
      <c r="K74" s="791"/>
    </row>
    <row r="75" spans="1:11" ht="15.6">
      <c r="A75" s="820" t="s">
        <v>973</v>
      </c>
      <c r="B75" s="821" t="s">
        <v>976</v>
      </c>
      <c r="C75" s="790" t="s">
        <v>41</v>
      </c>
      <c r="D75" s="805">
        <v>16</v>
      </c>
      <c r="E75" s="806">
        <v>0.48999999999999994</v>
      </c>
      <c r="F75" s="798">
        <v>7.839999999999999</v>
      </c>
      <c r="G75" s="787"/>
      <c r="H75" s="799"/>
      <c r="I75" s="787"/>
      <c r="J75" s="787"/>
      <c r="K75" s="791"/>
    </row>
    <row r="76" spans="1:11" ht="15.6">
      <c r="A76" s="820" t="s">
        <v>973</v>
      </c>
      <c r="B76" s="821" t="s">
        <v>978</v>
      </c>
      <c r="C76" s="790" t="s">
        <v>41</v>
      </c>
      <c r="D76" s="805">
        <v>38</v>
      </c>
      <c r="E76" s="806">
        <v>0.18</v>
      </c>
      <c r="F76" s="798">
        <v>6.84</v>
      </c>
      <c r="G76" s="787"/>
      <c r="H76" s="799"/>
      <c r="I76" s="787"/>
      <c r="J76" s="787"/>
      <c r="K76" s="791"/>
    </row>
    <row r="77" spans="1:11" ht="15.6">
      <c r="A77" s="820" t="s">
        <v>973</v>
      </c>
      <c r="B77" s="821" t="s">
        <v>979</v>
      </c>
      <c r="C77" s="790" t="s">
        <v>41</v>
      </c>
      <c r="D77" s="805">
        <v>30</v>
      </c>
      <c r="E77" s="806">
        <v>0.21</v>
      </c>
      <c r="F77" s="798">
        <v>6.3</v>
      </c>
      <c r="G77" s="787"/>
      <c r="H77" s="799"/>
      <c r="I77" s="787"/>
      <c r="J77" s="787"/>
      <c r="K77" s="791"/>
    </row>
    <row r="78" spans="1:11" ht="15.6">
      <c r="A78" s="820" t="s">
        <v>973</v>
      </c>
      <c r="B78" s="821" t="s">
        <v>981</v>
      </c>
      <c r="C78" s="790" t="s">
        <v>41</v>
      </c>
      <c r="D78" s="805">
        <v>25</v>
      </c>
      <c r="E78" s="806">
        <v>1.6</v>
      </c>
      <c r="F78" s="798">
        <v>40</v>
      </c>
      <c r="G78" s="787"/>
      <c r="H78" s="799"/>
      <c r="I78" s="787"/>
      <c r="J78" s="787"/>
      <c r="K78" s="791"/>
    </row>
    <row r="79" spans="1:11" ht="15.6">
      <c r="A79" s="826" t="s">
        <v>973</v>
      </c>
      <c r="B79" s="819" t="s">
        <v>980</v>
      </c>
      <c r="C79" s="795" t="s">
        <v>41</v>
      </c>
      <c r="D79" s="811">
        <v>2</v>
      </c>
      <c r="E79" s="807">
        <v>1.2</v>
      </c>
      <c r="F79" s="802">
        <v>2.4</v>
      </c>
      <c r="G79" s="787"/>
      <c r="H79" s="787"/>
      <c r="I79" s="787"/>
      <c r="J79" s="787"/>
      <c r="K79" s="787"/>
    </row>
    <row r="80" spans="1:11" ht="15.6">
      <c r="A80" s="842">
        <v>10</v>
      </c>
      <c r="B80" s="843" t="s">
        <v>567</v>
      </c>
      <c r="C80" s="842"/>
      <c r="D80" s="844"/>
      <c r="E80" s="845"/>
      <c r="F80" s="848">
        <v>68.328999999999994</v>
      </c>
      <c r="G80" s="814"/>
      <c r="H80" s="816"/>
      <c r="I80" s="814"/>
      <c r="J80" s="815"/>
      <c r="K80" s="817"/>
    </row>
    <row r="81" spans="1:11" ht="15.6">
      <c r="A81" s="820"/>
      <c r="B81" s="821" t="s">
        <v>974</v>
      </c>
      <c r="C81" s="846" t="s">
        <v>41</v>
      </c>
      <c r="D81" s="805">
        <v>24</v>
      </c>
      <c r="E81" s="806">
        <v>0.38484510006474959</v>
      </c>
      <c r="F81" s="798">
        <v>9.24</v>
      </c>
      <c r="G81" s="787"/>
      <c r="H81" s="787"/>
      <c r="I81" s="787"/>
      <c r="J81" s="787"/>
      <c r="K81" s="787"/>
    </row>
    <row r="82" spans="1:11" ht="15.6">
      <c r="A82" s="820"/>
      <c r="B82" s="821" t="s">
        <v>975</v>
      </c>
      <c r="C82" s="846" t="s">
        <v>41</v>
      </c>
      <c r="D82" s="805">
        <v>196</v>
      </c>
      <c r="E82" s="806">
        <v>0.21</v>
      </c>
      <c r="F82" s="798">
        <v>41.228999999999999</v>
      </c>
      <c r="G82" s="787"/>
      <c r="H82" s="787"/>
      <c r="I82" s="787"/>
      <c r="J82" s="787"/>
      <c r="K82" s="787"/>
    </row>
    <row r="83" spans="1:11" ht="15.6">
      <c r="A83" s="820"/>
      <c r="B83" s="821" t="s">
        <v>976</v>
      </c>
      <c r="C83" s="846" t="s">
        <v>41</v>
      </c>
      <c r="D83" s="805">
        <v>4</v>
      </c>
      <c r="E83" s="806">
        <v>0.48999999999999994</v>
      </c>
      <c r="F83" s="798">
        <v>1.96</v>
      </c>
      <c r="G83" s="787"/>
      <c r="H83" s="787"/>
      <c r="I83" s="787"/>
      <c r="J83" s="787"/>
      <c r="K83" s="787"/>
    </row>
    <row r="84" spans="1:11" ht="15.6">
      <c r="A84" s="820"/>
      <c r="B84" s="821" t="s">
        <v>983</v>
      </c>
      <c r="C84" s="846" t="s">
        <v>41</v>
      </c>
      <c r="D84" s="805">
        <v>28</v>
      </c>
      <c r="E84" s="806">
        <v>0.18</v>
      </c>
      <c r="F84" s="798">
        <v>5.04</v>
      </c>
      <c r="G84" s="787"/>
      <c r="H84" s="787"/>
      <c r="I84" s="787"/>
      <c r="J84" s="787"/>
      <c r="K84" s="787"/>
    </row>
    <row r="85" spans="1:11" ht="15.6">
      <c r="A85" s="820"/>
      <c r="B85" s="821" t="s">
        <v>984</v>
      </c>
      <c r="C85" s="846" t="s">
        <v>41</v>
      </c>
      <c r="D85" s="805">
        <v>6</v>
      </c>
      <c r="E85" s="806">
        <v>0.21</v>
      </c>
      <c r="F85" s="798">
        <v>1.26</v>
      </c>
      <c r="G85" s="787"/>
      <c r="H85" s="787"/>
      <c r="I85" s="787"/>
      <c r="J85" s="787"/>
      <c r="K85" s="839"/>
    </row>
    <row r="86" spans="1:11" ht="15.6">
      <c r="A86" s="826"/>
      <c r="B86" s="819" t="s">
        <v>985</v>
      </c>
      <c r="C86" s="847" t="s">
        <v>41</v>
      </c>
      <c r="D86" s="811">
        <v>6</v>
      </c>
      <c r="E86" s="807">
        <v>1.6</v>
      </c>
      <c r="F86" s="802">
        <v>9.6</v>
      </c>
      <c r="G86" s="787"/>
      <c r="H86" s="787"/>
      <c r="I86" s="787"/>
      <c r="J86" s="787"/>
      <c r="K86" s="787"/>
    </row>
    <row r="87" spans="1:11" ht="15.6">
      <c r="A87" s="823">
        <v>10</v>
      </c>
      <c r="B87" s="808" t="s">
        <v>987</v>
      </c>
      <c r="C87" s="808"/>
      <c r="D87" s="809"/>
      <c r="E87" s="818"/>
      <c r="F87" s="841">
        <v>300.28399999999999</v>
      </c>
      <c r="G87" s="814"/>
      <c r="H87" s="816"/>
      <c r="I87" s="814"/>
      <c r="J87" s="815"/>
      <c r="K87" s="817"/>
    </row>
    <row r="88" spans="1:11" ht="15.6">
      <c r="A88" s="820" t="s">
        <v>973</v>
      </c>
      <c r="B88" s="821" t="s">
        <v>974</v>
      </c>
      <c r="C88" s="790" t="s">
        <v>41</v>
      </c>
      <c r="D88" s="805">
        <v>326</v>
      </c>
      <c r="E88" s="806">
        <v>0.38484510006474959</v>
      </c>
      <c r="F88" s="798">
        <v>125.434</v>
      </c>
      <c r="G88" s="787"/>
      <c r="H88" s="799"/>
      <c r="I88" s="787"/>
      <c r="J88" s="787"/>
      <c r="K88" s="791"/>
    </row>
    <row r="89" spans="1:11" ht="15.6">
      <c r="A89" s="820" t="s">
        <v>973</v>
      </c>
      <c r="B89" s="821" t="s">
        <v>975</v>
      </c>
      <c r="C89" s="790" t="s">
        <v>41</v>
      </c>
      <c r="D89" s="805">
        <v>170</v>
      </c>
      <c r="E89" s="806">
        <v>0.21</v>
      </c>
      <c r="F89" s="798">
        <v>35.700000000000003</v>
      </c>
      <c r="G89" s="787"/>
      <c r="H89" s="799"/>
      <c r="I89" s="787"/>
      <c r="J89" s="787"/>
      <c r="K89" s="791"/>
    </row>
    <row r="90" spans="1:11" ht="15.6">
      <c r="A90" s="820" t="s">
        <v>973</v>
      </c>
      <c r="B90" s="821" t="s">
        <v>988</v>
      </c>
      <c r="C90" s="790" t="s">
        <v>41</v>
      </c>
      <c r="D90" s="805">
        <v>1</v>
      </c>
      <c r="E90" s="806">
        <v>0.1</v>
      </c>
      <c r="F90" s="798">
        <v>0.1</v>
      </c>
      <c r="G90" s="787"/>
      <c r="H90" s="799"/>
      <c r="I90" s="791"/>
      <c r="J90" s="787"/>
      <c r="K90" s="791"/>
    </row>
    <row r="91" spans="1:11" ht="15.6">
      <c r="A91" s="820" t="s">
        <v>973</v>
      </c>
      <c r="B91" s="821" t="s">
        <v>989</v>
      </c>
      <c r="C91" s="790" t="s">
        <v>41</v>
      </c>
      <c r="D91" s="805">
        <v>1</v>
      </c>
      <c r="E91" s="806">
        <v>0.15</v>
      </c>
      <c r="F91" s="798">
        <v>0.15</v>
      </c>
      <c r="G91" s="787"/>
      <c r="H91" s="799"/>
      <c r="I91" s="787"/>
      <c r="J91" s="787"/>
      <c r="K91" s="791"/>
    </row>
    <row r="92" spans="1:11" ht="15.6">
      <c r="A92" s="820" t="s">
        <v>973</v>
      </c>
      <c r="B92" s="821" t="s">
        <v>990</v>
      </c>
      <c r="C92" s="790" t="s">
        <v>41</v>
      </c>
      <c r="D92" s="805">
        <v>157</v>
      </c>
      <c r="E92" s="806">
        <v>0.16500000000000001</v>
      </c>
      <c r="F92" s="798">
        <v>25.91</v>
      </c>
      <c r="G92" s="787"/>
      <c r="H92" s="799"/>
      <c r="I92" s="787"/>
      <c r="J92" s="787"/>
      <c r="K92" s="791"/>
    </row>
    <row r="93" spans="1:11" ht="15.6">
      <c r="A93" s="820" t="s">
        <v>973</v>
      </c>
      <c r="B93" s="821" t="s">
        <v>991</v>
      </c>
      <c r="C93" s="790" t="s">
        <v>41</v>
      </c>
      <c r="D93" s="805">
        <v>27</v>
      </c>
      <c r="E93" s="806">
        <v>0.24</v>
      </c>
      <c r="F93" s="798">
        <v>6.48</v>
      </c>
      <c r="G93" s="787"/>
      <c r="H93" s="799"/>
      <c r="I93" s="787"/>
      <c r="J93" s="787"/>
      <c r="K93" s="791"/>
    </row>
    <row r="94" spans="1:11" ht="15.6">
      <c r="A94" s="820" t="s">
        <v>973</v>
      </c>
      <c r="B94" s="821" t="s">
        <v>983</v>
      </c>
      <c r="C94" s="790" t="s">
        <v>41</v>
      </c>
      <c r="D94" s="805">
        <v>28</v>
      </c>
      <c r="E94" s="806">
        <v>0.18</v>
      </c>
      <c r="F94" s="798">
        <v>5.04</v>
      </c>
      <c r="G94" s="787"/>
      <c r="H94" s="799"/>
      <c r="I94" s="787"/>
      <c r="J94" s="787"/>
      <c r="K94" s="791"/>
    </row>
    <row r="95" spans="1:11" ht="15.6">
      <c r="A95" s="820" t="s">
        <v>973</v>
      </c>
      <c r="B95" s="821" t="s">
        <v>984</v>
      </c>
      <c r="C95" s="790" t="s">
        <v>41</v>
      </c>
      <c r="D95" s="805">
        <v>27</v>
      </c>
      <c r="E95" s="806">
        <v>0.21</v>
      </c>
      <c r="F95" s="798">
        <v>5.67</v>
      </c>
      <c r="G95" s="787"/>
      <c r="H95" s="799"/>
      <c r="I95" s="787"/>
      <c r="J95" s="787"/>
      <c r="K95" s="791"/>
    </row>
    <row r="96" spans="1:11" ht="15.6">
      <c r="A96" s="820" t="s">
        <v>973</v>
      </c>
      <c r="B96" s="821" t="s">
        <v>992</v>
      </c>
      <c r="C96" s="790" t="s">
        <v>41</v>
      </c>
      <c r="D96" s="805">
        <v>28</v>
      </c>
      <c r="E96" s="806">
        <v>0.48</v>
      </c>
      <c r="F96" s="798">
        <v>13.44</v>
      </c>
      <c r="G96" s="787"/>
      <c r="H96" s="799"/>
      <c r="I96" s="787"/>
      <c r="J96" s="787"/>
      <c r="K96" s="791"/>
    </row>
    <row r="97" spans="1:11" ht="15.6">
      <c r="A97" s="820" t="s">
        <v>973</v>
      </c>
      <c r="B97" s="821" t="s">
        <v>993</v>
      </c>
      <c r="C97" s="790" t="s">
        <v>41</v>
      </c>
      <c r="D97" s="805">
        <v>1</v>
      </c>
      <c r="E97" s="806">
        <v>0.72</v>
      </c>
      <c r="F97" s="798">
        <v>0.72</v>
      </c>
      <c r="G97" s="787"/>
      <c r="H97" s="799"/>
      <c r="I97" s="787"/>
      <c r="J97" s="787"/>
      <c r="K97" s="791"/>
    </row>
    <row r="98" spans="1:11" ht="15.6">
      <c r="A98" s="820" t="s">
        <v>973</v>
      </c>
      <c r="B98" s="821" t="s">
        <v>986</v>
      </c>
      <c r="C98" s="790" t="s">
        <v>41</v>
      </c>
      <c r="D98" s="805">
        <v>8</v>
      </c>
      <c r="E98" s="806">
        <v>1.2</v>
      </c>
      <c r="F98" s="798">
        <v>9.6</v>
      </c>
      <c r="G98" s="787"/>
      <c r="H98" s="799"/>
      <c r="I98" s="787"/>
      <c r="J98" s="787"/>
      <c r="K98" s="791"/>
    </row>
    <row r="99" spans="1:11" ht="15.6">
      <c r="A99" s="820" t="s">
        <v>973</v>
      </c>
      <c r="B99" s="821" t="s">
        <v>985</v>
      </c>
      <c r="C99" s="790" t="s">
        <v>41</v>
      </c>
      <c r="D99" s="805">
        <v>15</v>
      </c>
      <c r="E99" s="806">
        <v>1.6</v>
      </c>
      <c r="F99" s="798">
        <v>24</v>
      </c>
      <c r="G99" s="787"/>
      <c r="H99" s="799"/>
      <c r="I99" s="787"/>
      <c r="J99" s="787"/>
      <c r="K99" s="791"/>
    </row>
    <row r="100" spans="1:11" ht="15.6">
      <c r="A100" s="820" t="s">
        <v>973</v>
      </c>
      <c r="B100" s="821" t="s">
        <v>977</v>
      </c>
      <c r="C100" s="790" t="s">
        <v>41</v>
      </c>
      <c r="D100" s="805">
        <v>30</v>
      </c>
      <c r="E100" s="806">
        <v>0.36</v>
      </c>
      <c r="F100" s="798">
        <v>10.8</v>
      </c>
      <c r="G100" s="787"/>
      <c r="H100" s="799"/>
      <c r="I100" s="787"/>
      <c r="J100" s="787"/>
      <c r="K100" s="791"/>
    </row>
    <row r="101" spans="1:11" ht="15.6">
      <c r="A101" s="827" t="s">
        <v>973</v>
      </c>
      <c r="B101" s="828" t="s">
        <v>976</v>
      </c>
      <c r="C101" s="829" t="s">
        <v>41</v>
      </c>
      <c r="D101" s="830">
        <v>76</v>
      </c>
      <c r="E101" s="831">
        <v>0.48999999999999994</v>
      </c>
      <c r="F101" s="832">
        <v>37.24</v>
      </c>
      <c r="G101" s="787"/>
      <c r="H101" s="799"/>
      <c r="I101" s="787"/>
      <c r="J101" s="787"/>
      <c r="K101" s="791"/>
    </row>
    <row r="102" spans="1:11" ht="15.6">
      <c r="A102" s="1414" t="s">
        <v>1008</v>
      </c>
      <c r="B102" s="1414"/>
      <c r="C102" s="1414"/>
      <c r="D102" s="1414"/>
      <c r="E102" s="1414"/>
      <c r="F102" s="833">
        <v>1290.3205910265474</v>
      </c>
      <c r="G102" s="814"/>
      <c r="H102" s="816"/>
      <c r="I102" s="814"/>
      <c r="J102" s="815"/>
      <c r="K102" s="817"/>
    </row>
    <row r="105" spans="1:11" ht="15.6">
      <c r="C105" s="1409" t="s">
        <v>959</v>
      </c>
      <c r="D105" s="1409"/>
      <c r="E105" s="1409"/>
      <c r="F105" s="1409"/>
    </row>
    <row r="106" spans="1:11" ht="16.8">
      <c r="C106" s="1406" t="s">
        <v>876</v>
      </c>
      <c r="D106" s="1406"/>
      <c r="E106" s="1406"/>
      <c r="F106" s="1406"/>
    </row>
    <row r="107" spans="1:11" ht="16.8">
      <c r="C107" s="670"/>
      <c r="D107" s="670"/>
      <c r="E107" s="670"/>
      <c r="F107" s="670"/>
    </row>
    <row r="108" spans="1:11" ht="16.8">
      <c r="C108" s="670"/>
      <c r="D108" s="670"/>
      <c r="E108" s="670"/>
      <c r="F108" s="670"/>
    </row>
    <row r="109" spans="1:11" ht="16.8">
      <c r="C109" s="670"/>
      <c r="D109" s="670"/>
      <c r="E109" s="670"/>
      <c r="F109" s="670"/>
    </row>
    <row r="110" spans="1:11" ht="16.8">
      <c r="C110" s="671"/>
      <c r="D110" s="671"/>
      <c r="E110" s="671"/>
      <c r="F110" s="671"/>
    </row>
    <row r="111" spans="1:11" ht="16.8">
      <c r="C111" s="671"/>
      <c r="D111" s="671"/>
      <c r="E111" s="671"/>
      <c r="F111" s="671"/>
    </row>
    <row r="112" spans="1:11" ht="16.8">
      <c r="C112" s="671"/>
      <c r="D112" s="671"/>
      <c r="E112" s="671"/>
      <c r="F112" s="671"/>
    </row>
    <row r="113" spans="3:6" ht="16.8">
      <c r="C113" s="671"/>
      <c r="D113" s="671"/>
      <c r="E113" s="671"/>
      <c r="F113" s="671"/>
    </row>
    <row r="114" spans="3:6" ht="16.8">
      <c r="C114" s="1406" t="s">
        <v>877</v>
      </c>
      <c r="D114" s="1406"/>
      <c r="E114" s="1406"/>
      <c r="F114" s="1406"/>
    </row>
  </sheetData>
  <mergeCells count="5">
    <mergeCell ref="C114:F114"/>
    <mergeCell ref="A1:F1"/>
    <mergeCell ref="A102:E102"/>
    <mergeCell ref="C105:F105"/>
    <mergeCell ref="C106:F106"/>
  </mergeCells>
  <phoneticPr fontId="60" type="noConversion"/>
  <pageMargins left="0.7" right="0.7" top="0.47" bottom="0.75" header="0.3" footer="0.3"/>
  <pageSetup paperSize="9"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2"/>
  <sheetViews>
    <sheetView topLeftCell="A37" zoomScale="96" zoomScaleNormal="96" workbookViewId="0">
      <selection activeCell="H5" sqref="H5"/>
    </sheetView>
  </sheetViews>
  <sheetFormatPr defaultColWidth="8.90625" defaultRowHeight="15.6"/>
  <cols>
    <col min="1" max="1" width="13" style="574" customWidth="1"/>
    <col min="2" max="2" width="14.81640625" style="574" customWidth="1"/>
    <col min="3" max="3" width="11.453125" style="574" customWidth="1"/>
    <col min="4" max="4" width="9.08984375" style="574" customWidth="1"/>
    <col min="5" max="6" width="8.36328125" style="574" customWidth="1"/>
    <col min="7" max="7" width="10.81640625" style="574" customWidth="1"/>
    <col min="8" max="16384" width="8.90625" style="574"/>
  </cols>
  <sheetData>
    <row r="1" spans="1:7" s="584" customFormat="1" ht="60" customHeight="1">
      <c r="A1" s="1415" t="s">
        <v>700</v>
      </c>
      <c r="B1" s="1315"/>
      <c r="C1" s="1315"/>
      <c r="D1" s="1315"/>
      <c r="E1" s="1315"/>
      <c r="F1" s="1315"/>
      <c r="G1" s="1315"/>
    </row>
    <row r="2" spans="1:7" ht="35.1" customHeight="1">
      <c r="A2" s="585" t="s">
        <v>701</v>
      </c>
      <c r="B2" s="586" t="s">
        <v>702</v>
      </c>
      <c r="C2" s="585" t="s">
        <v>703</v>
      </c>
      <c r="D2" s="585" t="s">
        <v>704</v>
      </c>
      <c r="E2" s="587" t="s">
        <v>705</v>
      </c>
      <c r="F2" s="587" t="s">
        <v>706</v>
      </c>
      <c r="G2" s="585" t="s">
        <v>707</v>
      </c>
    </row>
    <row r="3" spans="1:7" ht="20.100000000000001" customHeight="1">
      <c r="A3" s="588" t="s">
        <v>708</v>
      </c>
      <c r="B3" s="588"/>
      <c r="C3" s="589">
        <f>C4+C12+C36+C46+C47</f>
        <v>1636.9400000000005</v>
      </c>
      <c r="D3" s="590">
        <f>D4+D12+D36+D46+D47</f>
        <v>31</v>
      </c>
      <c r="E3" s="590">
        <f>E4+E12+E36+E46+E47</f>
        <v>9</v>
      </c>
      <c r="F3" s="590">
        <f>F4+F12+F36+F46+F47</f>
        <v>1</v>
      </c>
      <c r="G3" s="588"/>
    </row>
    <row r="4" spans="1:7" s="596" customFormat="1" ht="20.100000000000001" customHeight="1">
      <c r="A4" s="591" t="s">
        <v>709</v>
      </c>
      <c r="B4" s="592"/>
      <c r="C4" s="593">
        <f>SUM(C5:C11)</f>
        <v>255.04000000000002</v>
      </c>
      <c r="D4" s="594">
        <f>SUM(D5:D11)</f>
        <v>6</v>
      </c>
      <c r="E4" s="594">
        <f>SUM(E5:E11)</f>
        <v>1</v>
      </c>
      <c r="F4" s="594">
        <f>SUM(F5:F11)</f>
        <v>0</v>
      </c>
      <c r="G4" s="595"/>
    </row>
    <row r="5" spans="1:7" ht="20.100000000000001" customHeight="1">
      <c r="A5" s="576">
        <v>1</v>
      </c>
      <c r="B5" s="597" t="s">
        <v>538</v>
      </c>
      <c r="C5" s="598">
        <v>56.7</v>
      </c>
      <c r="D5" s="597"/>
      <c r="E5" s="599">
        <v>1</v>
      </c>
      <c r="F5" s="599"/>
      <c r="G5" s="597"/>
    </row>
    <row r="6" spans="1:7" ht="20.100000000000001" customHeight="1">
      <c r="A6" s="576">
        <v>2</v>
      </c>
      <c r="B6" s="597" t="s">
        <v>539</v>
      </c>
      <c r="C6" s="598">
        <v>38.299999999999997</v>
      </c>
      <c r="D6" s="597">
        <v>1</v>
      </c>
      <c r="E6" s="599"/>
      <c r="F6" s="599"/>
      <c r="G6" s="597"/>
    </row>
    <row r="7" spans="1:7" ht="20.100000000000001" customHeight="1">
      <c r="A7" s="576">
        <v>3</v>
      </c>
      <c r="B7" s="597" t="s">
        <v>540</v>
      </c>
      <c r="C7" s="598">
        <v>38.299999999999997</v>
      </c>
      <c r="D7" s="597">
        <v>1</v>
      </c>
      <c r="E7" s="599"/>
      <c r="F7" s="599"/>
      <c r="G7" s="597"/>
    </row>
    <row r="8" spans="1:7" ht="20.100000000000001" customHeight="1">
      <c r="A8" s="576">
        <v>4</v>
      </c>
      <c r="B8" s="597" t="s">
        <v>541</v>
      </c>
      <c r="C8" s="598">
        <v>25.54</v>
      </c>
      <c r="D8" s="597">
        <v>1</v>
      </c>
      <c r="E8" s="599"/>
      <c r="F8" s="599"/>
      <c r="G8" s="597"/>
    </row>
    <row r="9" spans="1:7" ht="20.100000000000001" customHeight="1">
      <c r="A9" s="576">
        <v>5</v>
      </c>
      <c r="B9" s="597" t="s">
        <v>542</v>
      </c>
      <c r="C9" s="598">
        <v>38.700000000000003</v>
      </c>
      <c r="D9" s="597">
        <v>1</v>
      </c>
      <c r="E9" s="599"/>
      <c r="F9" s="599"/>
      <c r="G9" s="597"/>
    </row>
    <row r="10" spans="1:7" ht="20.100000000000001" customHeight="1">
      <c r="A10" s="576">
        <v>6</v>
      </c>
      <c r="B10" s="597" t="s">
        <v>543</v>
      </c>
      <c r="C10" s="598">
        <v>25.7</v>
      </c>
      <c r="D10" s="597">
        <v>1</v>
      </c>
      <c r="E10" s="599"/>
      <c r="F10" s="599"/>
      <c r="G10" s="597"/>
    </row>
    <row r="11" spans="1:7" ht="20.100000000000001" customHeight="1">
      <c r="A11" s="576">
        <v>7</v>
      </c>
      <c r="B11" s="597" t="s">
        <v>544</v>
      </c>
      <c r="C11" s="598">
        <v>31.8</v>
      </c>
      <c r="D11" s="597">
        <v>1</v>
      </c>
      <c r="E11" s="599"/>
      <c r="F11" s="599"/>
      <c r="G11" s="597"/>
    </row>
    <row r="12" spans="1:7" s="596" customFormat="1" ht="20.100000000000001" customHeight="1">
      <c r="A12" s="591" t="s">
        <v>710</v>
      </c>
      <c r="B12" s="594"/>
      <c r="C12" s="593">
        <f>SUM(C13:C35)</f>
        <v>891.70000000000039</v>
      </c>
      <c r="D12" s="594">
        <f>SUM(D13:D35)</f>
        <v>16</v>
      </c>
      <c r="E12" s="594">
        <f>SUM(E13:E35)</f>
        <v>7</v>
      </c>
      <c r="F12" s="594">
        <f>SUM(F13:F35)</f>
        <v>0</v>
      </c>
      <c r="G12" s="592"/>
    </row>
    <row r="13" spans="1:7" s="575" customFormat="1" ht="20.100000000000001" customHeight="1">
      <c r="A13" s="576">
        <v>1</v>
      </c>
      <c r="B13" s="561" t="s">
        <v>546</v>
      </c>
      <c r="C13" s="600">
        <v>56</v>
      </c>
      <c r="D13" s="577"/>
      <c r="E13" s="581">
        <v>1</v>
      </c>
      <c r="F13" s="581"/>
      <c r="G13" s="577"/>
    </row>
    <row r="14" spans="1:7" s="575" customFormat="1" ht="20.100000000000001" customHeight="1">
      <c r="A14" s="576">
        <v>2</v>
      </c>
      <c r="B14" s="561" t="s">
        <v>711</v>
      </c>
      <c r="C14" s="600">
        <v>56</v>
      </c>
      <c r="D14" s="577"/>
      <c r="E14" s="581">
        <v>1</v>
      </c>
      <c r="F14" s="581"/>
      <c r="G14" s="577"/>
    </row>
    <row r="15" spans="1:7" s="575" customFormat="1" ht="20.100000000000001" customHeight="1">
      <c r="A15" s="576">
        <v>3</v>
      </c>
      <c r="B15" s="561" t="s">
        <v>547</v>
      </c>
      <c r="C15" s="600">
        <v>56</v>
      </c>
      <c r="D15" s="577"/>
      <c r="E15" s="581">
        <v>1</v>
      </c>
      <c r="F15" s="581"/>
      <c r="G15" s="577"/>
    </row>
    <row r="16" spans="1:7" s="575" customFormat="1" ht="20.100000000000001" customHeight="1">
      <c r="A16" s="576">
        <v>4</v>
      </c>
      <c r="B16" s="561" t="s">
        <v>548</v>
      </c>
      <c r="C16" s="600">
        <v>37.700000000000003</v>
      </c>
      <c r="D16" s="577">
        <v>1</v>
      </c>
      <c r="E16" s="581"/>
      <c r="F16" s="581"/>
      <c r="G16" s="577"/>
    </row>
    <row r="17" spans="1:7" s="575" customFormat="1" ht="20.100000000000001" customHeight="1">
      <c r="A17" s="576">
        <v>5</v>
      </c>
      <c r="B17" s="561" t="s">
        <v>549</v>
      </c>
      <c r="C17" s="600">
        <v>56</v>
      </c>
      <c r="D17" s="577"/>
      <c r="E17" s="581">
        <v>1</v>
      </c>
      <c r="F17" s="581"/>
      <c r="G17" s="577"/>
    </row>
    <row r="18" spans="1:7" s="575" customFormat="1" ht="20.100000000000001" customHeight="1">
      <c r="A18" s="576">
        <v>6</v>
      </c>
      <c r="B18" s="561" t="s">
        <v>550</v>
      </c>
      <c r="C18" s="600">
        <v>37.700000000000003</v>
      </c>
      <c r="D18" s="577">
        <v>1</v>
      </c>
      <c r="E18" s="581"/>
      <c r="F18" s="581"/>
      <c r="G18" s="577"/>
    </row>
    <row r="19" spans="1:7" s="575" customFormat="1" ht="20.100000000000001" customHeight="1">
      <c r="A19" s="576">
        <v>7</v>
      </c>
      <c r="B19" s="561" t="s">
        <v>551</v>
      </c>
      <c r="C19" s="600">
        <v>56</v>
      </c>
      <c r="D19" s="577"/>
      <c r="E19" s="581">
        <v>1</v>
      </c>
      <c r="F19" s="581"/>
      <c r="G19" s="577"/>
    </row>
    <row r="20" spans="1:7" s="575" customFormat="1" ht="20.100000000000001" customHeight="1">
      <c r="A20" s="576">
        <v>8</v>
      </c>
      <c r="B20" s="561" t="s">
        <v>552</v>
      </c>
      <c r="C20" s="600">
        <v>36</v>
      </c>
      <c r="D20" s="577">
        <v>1</v>
      </c>
      <c r="E20" s="581"/>
      <c r="F20" s="581"/>
      <c r="G20" s="577"/>
    </row>
    <row r="21" spans="1:7" s="575" customFormat="1" ht="20.100000000000001" customHeight="1">
      <c r="A21" s="576">
        <v>9</v>
      </c>
      <c r="B21" s="561" t="s">
        <v>553</v>
      </c>
      <c r="C21" s="600">
        <v>30.2</v>
      </c>
      <c r="D21" s="577">
        <v>1</v>
      </c>
      <c r="E21" s="581"/>
      <c r="F21" s="581"/>
      <c r="G21" s="577"/>
    </row>
    <row r="22" spans="1:7" s="575" customFormat="1" ht="20.100000000000001" customHeight="1">
      <c r="A22" s="576">
        <v>10</v>
      </c>
      <c r="B22" s="561" t="s">
        <v>554</v>
      </c>
      <c r="C22" s="600">
        <v>30.2</v>
      </c>
      <c r="D22" s="577">
        <v>1</v>
      </c>
      <c r="E22" s="581"/>
      <c r="F22" s="581"/>
      <c r="G22" s="577"/>
    </row>
    <row r="23" spans="1:7" s="575" customFormat="1" ht="20.100000000000001" customHeight="1">
      <c r="A23" s="576">
        <v>11</v>
      </c>
      <c r="B23" s="561" t="s">
        <v>555</v>
      </c>
      <c r="C23" s="600">
        <v>56</v>
      </c>
      <c r="D23" s="577"/>
      <c r="E23" s="581">
        <v>1</v>
      </c>
      <c r="F23" s="581"/>
      <c r="G23" s="577"/>
    </row>
    <row r="24" spans="1:7" s="575" customFormat="1" ht="20.100000000000001" customHeight="1">
      <c r="A24" s="576">
        <v>12</v>
      </c>
      <c r="B24" s="561" t="s">
        <v>556</v>
      </c>
      <c r="C24" s="600">
        <v>37.700000000000003</v>
      </c>
      <c r="D24" s="577">
        <v>1</v>
      </c>
      <c r="E24" s="581"/>
      <c r="F24" s="581"/>
      <c r="G24" s="577"/>
    </row>
    <row r="25" spans="1:7" s="575" customFormat="1" ht="20.100000000000001" customHeight="1">
      <c r="A25" s="576">
        <v>13</v>
      </c>
      <c r="B25" s="561" t="s">
        <v>557</v>
      </c>
      <c r="C25" s="601">
        <v>30.2</v>
      </c>
      <c r="D25" s="577">
        <v>1</v>
      </c>
      <c r="E25" s="581"/>
      <c r="F25" s="581"/>
      <c r="G25" s="602"/>
    </row>
    <row r="26" spans="1:7" s="575" customFormat="1" ht="20.100000000000001" customHeight="1">
      <c r="A26" s="576">
        <v>14</v>
      </c>
      <c r="B26" s="578" t="s">
        <v>712</v>
      </c>
      <c r="C26" s="601">
        <v>27.2</v>
      </c>
      <c r="D26" s="577">
        <v>1</v>
      </c>
      <c r="E26" s="581"/>
      <c r="F26" s="581"/>
      <c r="G26" s="577"/>
    </row>
    <row r="27" spans="1:7" s="575" customFormat="1" ht="20.100000000000001" customHeight="1">
      <c r="A27" s="576">
        <v>15</v>
      </c>
      <c r="B27" s="561" t="s">
        <v>558</v>
      </c>
      <c r="C27" s="601">
        <v>37.700000000000003</v>
      </c>
      <c r="D27" s="577">
        <v>1</v>
      </c>
      <c r="E27" s="581"/>
      <c r="F27" s="581"/>
      <c r="G27" s="577"/>
    </row>
    <row r="28" spans="1:7" s="575" customFormat="1" ht="20.100000000000001" customHeight="1">
      <c r="A28" s="576">
        <v>16</v>
      </c>
      <c r="B28" s="561" t="s">
        <v>559</v>
      </c>
      <c r="C28" s="601">
        <v>62.8</v>
      </c>
      <c r="D28" s="577"/>
      <c r="E28" s="581">
        <v>1</v>
      </c>
      <c r="F28" s="581"/>
      <c r="G28" s="577"/>
    </row>
    <row r="29" spans="1:7" s="575" customFormat="1" ht="20.100000000000001" customHeight="1">
      <c r="A29" s="576">
        <v>17</v>
      </c>
      <c r="B29" s="561" t="s">
        <v>560</v>
      </c>
      <c r="C29" s="601">
        <v>37.700000000000003</v>
      </c>
      <c r="D29" s="577">
        <v>1</v>
      </c>
      <c r="E29" s="581"/>
      <c r="F29" s="581"/>
      <c r="G29" s="577"/>
    </row>
    <row r="30" spans="1:7" s="575" customFormat="1" ht="20.100000000000001" customHeight="1">
      <c r="A30" s="576">
        <v>18</v>
      </c>
      <c r="B30" s="561" t="s">
        <v>561</v>
      </c>
      <c r="C30" s="601">
        <v>37.700000000000003</v>
      </c>
      <c r="D30" s="577">
        <v>1</v>
      </c>
      <c r="E30" s="581"/>
      <c r="F30" s="581"/>
      <c r="G30" s="602"/>
    </row>
    <row r="31" spans="1:7" s="575" customFormat="1" ht="20.100000000000001" customHeight="1">
      <c r="A31" s="576">
        <v>19</v>
      </c>
      <c r="B31" s="561" t="s">
        <v>562</v>
      </c>
      <c r="C31" s="601">
        <v>27.7</v>
      </c>
      <c r="D31" s="577">
        <v>1</v>
      </c>
      <c r="E31" s="581"/>
      <c r="F31" s="581"/>
      <c r="G31" s="602"/>
    </row>
    <row r="32" spans="1:7" s="575" customFormat="1" ht="20.100000000000001" customHeight="1">
      <c r="A32" s="576">
        <v>20</v>
      </c>
      <c r="B32" s="561" t="s">
        <v>563</v>
      </c>
      <c r="C32" s="601">
        <v>27.2</v>
      </c>
      <c r="D32" s="577">
        <v>1</v>
      </c>
      <c r="E32" s="581"/>
      <c r="F32" s="581"/>
      <c r="G32" s="602"/>
    </row>
    <row r="33" spans="1:7" s="575" customFormat="1" ht="20.100000000000001" customHeight="1">
      <c r="A33" s="576">
        <v>21</v>
      </c>
      <c r="B33" s="561" t="s">
        <v>564</v>
      </c>
      <c r="C33" s="601">
        <v>27.2</v>
      </c>
      <c r="D33" s="577">
        <v>1</v>
      </c>
      <c r="E33" s="581"/>
      <c r="F33" s="581"/>
      <c r="G33" s="602"/>
    </row>
    <row r="34" spans="1:7" s="575" customFormat="1" ht="20.100000000000001" customHeight="1">
      <c r="A34" s="576">
        <v>22</v>
      </c>
      <c r="B34" s="580" t="s">
        <v>565</v>
      </c>
      <c r="C34" s="603">
        <v>18.7</v>
      </c>
      <c r="D34" s="577">
        <v>1</v>
      </c>
      <c r="E34" s="581"/>
      <c r="F34" s="581"/>
      <c r="G34" s="602"/>
    </row>
    <row r="35" spans="1:7" s="575" customFormat="1" ht="20.100000000000001" customHeight="1">
      <c r="A35" s="576">
        <v>23</v>
      </c>
      <c r="B35" s="580" t="s">
        <v>566</v>
      </c>
      <c r="C35" s="603">
        <v>12.1</v>
      </c>
      <c r="D35" s="577">
        <v>1</v>
      </c>
      <c r="E35" s="581"/>
      <c r="F35" s="581"/>
      <c r="G35" s="602"/>
    </row>
    <row r="36" spans="1:7" s="596" customFormat="1" ht="20.100000000000001" customHeight="1">
      <c r="A36" s="591" t="s">
        <v>713</v>
      </c>
      <c r="B36" s="592"/>
      <c r="C36" s="593">
        <f>SUM(C37:C45)</f>
        <v>281</v>
      </c>
      <c r="D36" s="594">
        <f>SUM(D37:D45)</f>
        <v>9</v>
      </c>
      <c r="E36" s="594">
        <f>SUM(E37:E45)</f>
        <v>0</v>
      </c>
      <c r="F36" s="594">
        <f>SUM(F37:F45)</f>
        <v>0</v>
      </c>
      <c r="G36" s="604"/>
    </row>
    <row r="37" spans="1:7" ht="20.100000000000001" customHeight="1">
      <c r="A37" s="576">
        <v>1</v>
      </c>
      <c r="B37" s="597" t="s">
        <v>571</v>
      </c>
      <c r="C37" s="598">
        <v>40</v>
      </c>
      <c r="D37" s="597">
        <v>1</v>
      </c>
      <c r="E37" s="599"/>
      <c r="F37" s="599"/>
      <c r="G37" s="605"/>
    </row>
    <row r="38" spans="1:7" s="607" customFormat="1" ht="20.100000000000001" customHeight="1">
      <c r="A38" s="576">
        <v>2</v>
      </c>
      <c r="B38" s="597" t="s">
        <v>714</v>
      </c>
      <c r="C38" s="598">
        <v>46</v>
      </c>
      <c r="D38" s="597">
        <v>1</v>
      </c>
      <c r="E38" s="606"/>
      <c r="F38" s="606"/>
      <c r="G38" s="605"/>
    </row>
    <row r="39" spans="1:7" s="607" customFormat="1" ht="20.100000000000001" customHeight="1">
      <c r="A39" s="576">
        <v>3</v>
      </c>
      <c r="B39" s="597" t="s">
        <v>715</v>
      </c>
      <c r="C39" s="598">
        <v>46</v>
      </c>
      <c r="D39" s="597">
        <v>1</v>
      </c>
      <c r="E39" s="606"/>
      <c r="F39" s="606"/>
      <c r="G39" s="605"/>
    </row>
    <row r="40" spans="1:7" s="607" customFormat="1" ht="20.100000000000001" customHeight="1">
      <c r="A40" s="576">
        <v>4</v>
      </c>
      <c r="B40" s="597" t="s">
        <v>716</v>
      </c>
      <c r="C40" s="598">
        <v>32</v>
      </c>
      <c r="D40" s="597">
        <v>1</v>
      </c>
      <c r="E40" s="606"/>
      <c r="F40" s="606"/>
      <c r="G40" s="605"/>
    </row>
    <row r="41" spans="1:7" ht="20.100000000000001" customHeight="1">
      <c r="A41" s="576">
        <v>5</v>
      </c>
      <c r="B41" s="580" t="s">
        <v>568</v>
      </c>
      <c r="C41" s="603">
        <v>24</v>
      </c>
      <c r="D41" s="597">
        <v>1</v>
      </c>
      <c r="E41" s="599"/>
      <c r="F41" s="599"/>
      <c r="G41" s="605"/>
    </row>
    <row r="42" spans="1:7" ht="20.100000000000001" customHeight="1">
      <c r="A42" s="576">
        <v>6</v>
      </c>
      <c r="B42" s="580" t="s">
        <v>569</v>
      </c>
      <c r="C42" s="603">
        <v>24</v>
      </c>
      <c r="D42" s="597">
        <v>1</v>
      </c>
      <c r="E42" s="599"/>
      <c r="F42" s="599"/>
      <c r="G42" s="605"/>
    </row>
    <row r="43" spans="1:7" ht="20.100000000000001" customHeight="1">
      <c r="A43" s="576">
        <v>7</v>
      </c>
      <c r="B43" s="580" t="s">
        <v>570</v>
      </c>
      <c r="C43" s="603">
        <v>21</v>
      </c>
      <c r="D43" s="597">
        <v>1</v>
      </c>
      <c r="E43" s="599"/>
      <c r="F43" s="599"/>
      <c r="G43" s="605"/>
    </row>
    <row r="44" spans="1:7" s="607" customFormat="1" ht="20.100000000000001" customHeight="1">
      <c r="A44" s="576">
        <v>8</v>
      </c>
      <c r="B44" s="580" t="s">
        <v>717</v>
      </c>
      <c r="C44" s="603">
        <v>24</v>
      </c>
      <c r="D44" s="608">
        <v>1</v>
      </c>
      <c r="E44" s="606"/>
      <c r="F44" s="606"/>
      <c r="G44" s="605"/>
    </row>
    <row r="45" spans="1:7" s="607" customFormat="1" ht="20.100000000000001" customHeight="1">
      <c r="A45" s="576">
        <v>9</v>
      </c>
      <c r="B45" s="580" t="s">
        <v>718</v>
      </c>
      <c r="C45" s="603">
        <v>24</v>
      </c>
      <c r="D45" s="608">
        <v>1</v>
      </c>
      <c r="E45" s="606"/>
      <c r="F45" s="606"/>
      <c r="G45" s="605"/>
    </row>
    <row r="46" spans="1:7" s="596" customFormat="1" ht="20.100000000000001" customHeight="1">
      <c r="A46" s="591" t="s">
        <v>572</v>
      </c>
      <c r="B46" s="609" t="s">
        <v>572</v>
      </c>
      <c r="C46" s="593">
        <v>111.2</v>
      </c>
      <c r="D46" s="592"/>
      <c r="E46" s="610"/>
      <c r="F46" s="610">
        <v>1</v>
      </c>
      <c r="G46" s="592"/>
    </row>
    <row r="47" spans="1:7" s="596" customFormat="1" ht="20.100000000000001" customHeight="1">
      <c r="A47" s="591" t="s">
        <v>660</v>
      </c>
      <c r="B47" s="609" t="s">
        <v>719</v>
      </c>
      <c r="C47" s="593">
        <v>98</v>
      </c>
      <c r="D47" s="592"/>
      <c r="E47" s="610">
        <v>1</v>
      </c>
      <c r="F47" s="610"/>
      <c r="G47" s="592"/>
    </row>
    <row r="48" spans="1:7" ht="20.100000000000001" customHeight="1">
      <c r="A48" s="611" t="s">
        <v>720</v>
      </c>
      <c r="B48" s="611"/>
      <c r="C48" s="612">
        <f>C49+C53+C64</f>
        <v>1840.77</v>
      </c>
      <c r="D48" s="613">
        <f>D49+D53+D64</f>
        <v>24</v>
      </c>
      <c r="E48" s="613">
        <f>E49+E53+E64</f>
        <v>9</v>
      </c>
      <c r="F48" s="613">
        <f>F49+F53+F64</f>
        <v>2</v>
      </c>
      <c r="G48" s="611"/>
    </row>
    <row r="49" spans="1:7" s="596" customFormat="1" ht="20.100000000000001" customHeight="1">
      <c r="A49" s="591" t="s">
        <v>721</v>
      </c>
      <c r="B49" s="592"/>
      <c r="C49" s="614">
        <f>SUM(C50:C52)</f>
        <v>163.63999999999999</v>
      </c>
      <c r="D49" s="615">
        <f>SUM(D50:D52)</f>
        <v>1</v>
      </c>
      <c r="E49" s="615">
        <f>SUM(E50:E52)</f>
        <v>2</v>
      </c>
      <c r="F49" s="615">
        <f>SUM(F50:F52)</f>
        <v>0</v>
      </c>
      <c r="G49" s="595"/>
    </row>
    <row r="50" spans="1:7" ht="20.100000000000001" customHeight="1">
      <c r="A50" s="576">
        <v>1</v>
      </c>
      <c r="B50" s="616" t="s">
        <v>575</v>
      </c>
      <c r="C50" s="617">
        <v>62.9</v>
      </c>
      <c r="D50" s="598"/>
      <c r="E50" s="599">
        <v>1</v>
      </c>
      <c r="F50" s="599"/>
      <c r="G50" s="616"/>
    </row>
    <row r="51" spans="1:7" ht="20.100000000000001" customHeight="1">
      <c r="A51" s="576">
        <v>2</v>
      </c>
      <c r="B51" s="616" t="s">
        <v>576</v>
      </c>
      <c r="C51" s="617">
        <v>56.74</v>
      </c>
      <c r="D51" s="598"/>
      <c r="E51" s="599">
        <v>1</v>
      </c>
      <c r="F51" s="599"/>
      <c r="G51" s="616"/>
    </row>
    <row r="52" spans="1:7" ht="20.100000000000001" customHeight="1">
      <c r="A52" s="576">
        <v>3</v>
      </c>
      <c r="B52" s="616" t="s">
        <v>577</v>
      </c>
      <c r="C52" s="617">
        <v>44</v>
      </c>
      <c r="D52" s="597">
        <v>1</v>
      </c>
      <c r="E52" s="599"/>
      <c r="F52" s="599"/>
      <c r="G52" s="616"/>
    </row>
    <row r="53" spans="1:7" s="596" customFormat="1" ht="20.100000000000001" customHeight="1">
      <c r="A53" s="591" t="s">
        <v>722</v>
      </c>
      <c r="B53" s="592"/>
      <c r="C53" s="593">
        <f>SUM(C54:C63)</f>
        <v>693.83999999999992</v>
      </c>
      <c r="D53" s="594">
        <f>SUM(D54:D63)</f>
        <v>4</v>
      </c>
      <c r="E53" s="594">
        <f>SUM(E54:E63)</f>
        <v>5</v>
      </c>
      <c r="F53" s="594">
        <f>SUM(F54:F63)</f>
        <v>1</v>
      </c>
      <c r="G53" s="592"/>
    </row>
    <row r="54" spans="1:7" ht="20.100000000000001" customHeight="1">
      <c r="A54" s="576">
        <v>1</v>
      </c>
      <c r="B54" s="597" t="s">
        <v>579</v>
      </c>
      <c r="C54" s="598">
        <v>169.55</v>
      </c>
      <c r="D54" s="597"/>
      <c r="E54" s="599"/>
      <c r="F54" s="599">
        <v>1</v>
      </c>
      <c r="G54" s="597"/>
    </row>
    <row r="55" spans="1:7" ht="20.100000000000001" customHeight="1">
      <c r="A55" s="576">
        <v>2</v>
      </c>
      <c r="B55" s="597" t="s">
        <v>580</v>
      </c>
      <c r="C55" s="598">
        <v>45.8</v>
      </c>
      <c r="D55" s="597">
        <v>1</v>
      </c>
      <c r="E55" s="599"/>
      <c r="F55" s="599"/>
      <c r="G55" s="597"/>
    </row>
    <row r="56" spans="1:7" ht="20.100000000000001" customHeight="1">
      <c r="A56" s="576">
        <v>3</v>
      </c>
      <c r="B56" s="597" t="s">
        <v>581</v>
      </c>
      <c r="C56" s="598">
        <v>45.8</v>
      </c>
      <c r="D56" s="597">
        <v>1</v>
      </c>
      <c r="E56" s="599"/>
      <c r="F56" s="599"/>
      <c r="G56" s="597"/>
    </row>
    <row r="57" spans="1:7" ht="20.100000000000001" customHeight="1">
      <c r="A57" s="576">
        <v>4</v>
      </c>
      <c r="B57" s="597" t="s">
        <v>582</v>
      </c>
      <c r="C57" s="598">
        <v>38.5</v>
      </c>
      <c r="D57" s="597">
        <v>1</v>
      </c>
      <c r="E57" s="599"/>
      <c r="F57" s="599"/>
      <c r="G57" s="597"/>
    </row>
    <row r="58" spans="1:7" ht="20.100000000000001" customHeight="1">
      <c r="A58" s="576">
        <v>5</v>
      </c>
      <c r="B58" s="597" t="s">
        <v>583</v>
      </c>
      <c r="C58" s="598">
        <v>49</v>
      </c>
      <c r="D58" s="597">
        <v>1</v>
      </c>
      <c r="E58" s="599"/>
      <c r="F58" s="599"/>
      <c r="G58" s="597"/>
    </row>
    <row r="59" spans="1:7" ht="20.100000000000001" customHeight="1">
      <c r="A59" s="576">
        <v>6</v>
      </c>
      <c r="B59" s="597" t="s">
        <v>584</v>
      </c>
      <c r="C59" s="598">
        <v>75.349999999999994</v>
      </c>
      <c r="D59" s="597"/>
      <c r="E59" s="599">
        <v>1</v>
      </c>
      <c r="F59" s="599"/>
      <c r="G59" s="597"/>
    </row>
    <row r="60" spans="1:7" ht="20.100000000000001" customHeight="1">
      <c r="A60" s="576">
        <v>7</v>
      </c>
      <c r="B60" s="597" t="s">
        <v>585</v>
      </c>
      <c r="C60" s="598">
        <v>68.900000000000006</v>
      </c>
      <c r="D60" s="597"/>
      <c r="E60" s="599">
        <v>1</v>
      </c>
      <c r="F60" s="599"/>
      <c r="G60" s="597"/>
    </row>
    <row r="61" spans="1:7" ht="20.100000000000001" customHeight="1">
      <c r="A61" s="576">
        <v>8</v>
      </c>
      <c r="B61" s="597" t="s">
        <v>586</v>
      </c>
      <c r="C61" s="598">
        <v>50.4</v>
      </c>
      <c r="D61" s="597"/>
      <c r="E61" s="599">
        <v>1</v>
      </c>
      <c r="F61" s="599"/>
      <c r="G61" s="597"/>
    </row>
    <row r="62" spans="1:7" ht="20.100000000000001" customHeight="1">
      <c r="A62" s="576">
        <v>9</v>
      </c>
      <c r="B62" s="597" t="s">
        <v>587</v>
      </c>
      <c r="C62" s="598">
        <v>68.900000000000006</v>
      </c>
      <c r="D62" s="597"/>
      <c r="E62" s="599">
        <v>1</v>
      </c>
      <c r="F62" s="599"/>
      <c r="G62" s="597"/>
    </row>
    <row r="63" spans="1:7" ht="20.100000000000001" customHeight="1">
      <c r="A63" s="576">
        <v>10</v>
      </c>
      <c r="B63" s="597" t="s">
        <v>588</v>
      </c>
      <c r="C63" s="598">
        <v>81.64</v>
      </c>
      <c r="D63" s="597"/>
      <c r="E63" s="599">
        <v>1</v>
      </c>
      <c r="F63" s="599"/>
      <c r="G63" s="597"/>
    </row>
    <row r="64" spans="1:7" s="596" customFormat="1" ht="20.100000000000001" customHeight="1">
      <c r="A64" s="591" t="s">
        <v>723</v>
      </c>
      <c r="B64" s="594"/>
      <c r="C64" s="618">
        <f>SUM(C65:C86)</f>
        <v>983.29000000000008</v>
      </c>
      <c r="D64" s="615">
        <f>SUM(D65:D86)</f>
        <v>19</v>
      </c>
      <c r="E64" s="615">
        <f>SUM(E65:E86)</f>
        <v>2</v>
      </c>
      <c r="F64" s="615">
        <f>SUM(F65:F86)</f>
        <v>1</v>
      </c>
      <c r="G64" s="618"/>
    </row>
    <row r="65" spans="1:7" ht="20.100000000000001" customHeight="1">
      <c r="A65" s="576">
        <v>1</v>
      </c>
      <c r="B65" s="616" t="s">
        <v>590</v>
      </c>
      <c r="C65" s="619">
        <v>37.5</v>
      </c>
      <c r="D65" s="620">
        <v>1</v>
      </c>
      <c r="E65" s="599"/>
      <c r="F65" s="599"/>
      <c r="G65" s="621"/>
    </row>
    <row r="66" spans="1:7" ht="20.100000000000001" customHeight="1">
      <c r="A66" s="576">
        <v>2</v>
      </c>
      <c r="B66" s="616" t="s">
        <v>591</v>
      </c>
      <c r="C66" s="619">
        <v>37.5</v>
      </c>
      <c r="D66" s="620">
        <v>1</v>
      </c>
      <c r="E66" s="599"/>
      <c r="F66" s="599"/>
      <c r="G66" s="621"/>
    </row>
    <row r="67" spans="1:7" ht="20.100000000000001" customHeight="1">
      <c r="A67" s="576">
        <v>3</v>
      </c>
      <c r="B67" s="616" t="s">
        <v>592</v>
      </c>
      <c r="C67" s="619">
        <v>37.5</v>
      </c>
      <c r="D67" s="620">
        <v>1</v>
      </c>
      <c r="E67" s="599"/>
      <c r="F67" s="599"/>
      <c r="G67" s="621"/>
    </row>
    <row r="68" spans="1:7" ht="20.100000000000001" customHeight="1">
      <c r="A68" s="576">
        <v>4</v>
      </c>
      <c r="B68" s="597" t="s">
        <v>593</v>
      </c>
      <c r="C68" s="598">
        <v>99.2</v>
      </c>
      <c r="D68" s="597"/>
      <c r="E68" s="599">
        <v>1</v>
      </c>
      <c r="F68" s="599"/>
      <c r="G68" s="597"/>
    </row>
    <row r="69" spans="1:7" ht="20.100000000000001" customHeight="1">
      <c r="A69" s="576">
        <v>5</v>
      </c>
      <c r="B69" s="597" t="s">
        <v>594</v>
      </c>
      <c r="C69" s="598">
        <v>43.6</v>
      </c>
      <c r="D69" s="597">
        <v>1</v>
      </c>
      <c r="E69" s="599"/>
      <c r="F69" s="599"/>
      <c r="G69" s="622"/>
    </row>
    <row r="70" spans="1:7" ht="20.100000000000001" customHeight="1">
      <c r="A70" s="576">
        <v>6</v>
      </c>
      <c r="B70" s="597" t="s">
        <v>595</v>
      </c>
      <c r="C70" s="598">
        <v>43.6</v>
      </c>
      <c r="D70" s="597">
        <v>1</v>
      </c>
      <c r="E70" s="599"/>
      <c r="F70" s="599"/>
      <c r="G70" s="622"/>
    </row>
    <row r="71" spans="1:7" ht="20.100000000000001" customHeight="1">
      <c r="A71" s="576">
        <v>7</v>
      </c>
      <c r="B71" s="597" t="s">
        <v>596</v>
      </c>
      <c r="C71" s="598">
        <v>37.5</v>
      </c>
      <c r="D71" s="597">
        <v>1</v>
      </c>
      <c r="E71" s="599"/>
      <c r="F71" s="599"/>
      <c r="G71" s="622"/>
    </row>
    <row r="72" spans="1:7" ht="20.100000000000001" customHeight="1">
      <c r="A72" s="576">
        <v>8</v>
      </c>
      <c r="B72" s="597" t="s">
        <v>597</v>
      </c>
      <c r="C72" s="598">
        <v>37.5</v>
      </c>
      <c r="D72" s="597">
        <v>1</v>
      </c>
      <c r="E72" s="599"/>
      <c r="F72" s="599"/>
      <c r="G72" s="622"/>
    </row>
    <row r="73" spans="1:7" ht="20.100000000000001" customHeight="1">
      <c r="A73" s="576">
        <v>9</v>
      </c>
      <c r="B73" s="597" t="s">
        <v>598</v>
      </c>
      <c r="C73" s="598">
        <v>37.5</v>
      </c>
      <c r="D73" s="597">
        <v>1</v>
      </c>
      <c r="E73" s="599"/>
      <c r="F73" s="599"/>
      <c r="G73" s="622"/>
    </row>
    <row r="74" spans="1:7" ht="20.100000000000001" customHeight="1">
      <c r="A74" s="576">
        <v>10</v>
      </c>
      <c r="B74" s="597" t="s">
        <v>599</v>
      </c>
      <c r="C74" s="617">
        <v>37.5</v>
      </c>
      <c r="D74" s="597">
        <v>1</v>
      </c>
      <c r="E74" s="599"/>
      <c r="F74" s="599"/>
      <c r="G74" s="622"/>
    </row>
    <row r="75" spans="1:7" ht="20.100000000000001" customHeight="1">
      <c r="A75" s="576">
        <v>11</v>
      </c>
      <c r="B75" s="580" t="s">
        <v>724</v>
      </c>
      <c r="C75" s="603">
        <v>24.02</v>
      </c>
      <c r="D75" s="597">
        <v>1</v>
      </c>
      <c r="E75" s="599"/>
      <c r="F75" s="599"/>
      <c r="G75" s="622"/>
    </row>
    <row r="76" spans="1:7" ht="20.100000000000001" customHeight="1">
      <c r="A76" s="576">
        <v>12</v>
      </c>
      <c r="B76" s="580" t="s">
        <v>725</v>
      </c>
      <c r="C76" s="603">
        <v>18.02</v>
      </c>
      <c r="D76" s="597">
        <v>1</v>
      </c>
      <c r="E76" s="599"/>
      <c r="F76" s="599"/>
      <c r="G76" s="622"/>
    </row>
    <row r="77" spans="1:7" ht="20.100000000000001" customHeight="1">
      <c r="A77" s="576">
        <v>13</v>
      </c>
      <c r="B77" s="597" t="s">
        <v>602</v>
      </c>
      <c r="C77" s="617">
        <v>132.11000000000001</v>
      </c>
      <c r="D77" s="597"/>
      <c r="E77" s="599"/>
      <c r="F77" s="599">
        <v>1</v>
      </c>
      <c r="G77" s="608"/>
    </row>
    <row r="78" spans="1:7" ht="20.100000000000001" customHeight="1">
      <c r="A78" s="576">
        <v>14</v>
      </c>
      <c r="B78" s="597" t="s">
        <v>603</v>
      </c>
      <c r="C78" s="598">
        <v>37.700000000000003</v>
      </c>
      <c r="D78" s="597">
        <v>1</v>
      </c>
      <c r="E78" s="599"/>
      <c r="F78" s="599"/>
      <c r="G78" s="608"/>
    </row>
    <row r="79" spans="1:7" ht="20.100000000000001" customHeight="1">
      <c r="A79" s="576">
        <v>15</v>
      </c>
      <c r="B79" s="597" t="s">
        <v>604</v>
      </c>
      <c r="C79" s="617">
        <v>43.5</v>
      </c>
      <c r="D79" s="597">
        <v>1</v>
      </c>
      <c r="E79" s="599"/>
      <c r="F79" s="599"/>
      <c r="G79" s="608"/>
    </row>
    <row r="80" spans="1:7" ht="20.100000000000001" customHeight="1">
      <c r="A80" s="576">
        <v>16</v>
      </c>
      <c r="B80" s="597" t="s">
        <v>605</v>
      </c>
      <c r="C80" s="598">
        <v>43.8</v>
      </c>
      <c r="D80" s="597">
        <v>1</v>
      </c>
      <c r="E80" s="599"/>
      <c r="F80" s="599"/>
      <c r="G80" s="608"/>
    </row>
    <row r="81" spans="1:7" ht="20.100000000000001" customHeight="1">
      <c r="A81" s="576">
        <v>17</v>
      </c>
      <c r="B81" s="597" t="s">
        <v>606</v>
      </c>
      <c r="C81" s="598">
        <v>37.700000000000003</v>
      </c>
      <c r="D81" s="597">
        <v>1</v>
      </c>
      <c r="E81" s="599"/>
      <c r="F81" s="599"/>
      <c r="G81" s="608"/>
    </row>
    <row r="82" spans="1:7" ht="20.100000000000001" customHeight="1">
      <c r="A82" s="576">
        <v>18</v>
      </c>
      <c r="B82" s="597" t="s">
        <v>607</v>
      </c>
      <c r="C82" s="598">
        <v>27.2</v>
      </c>
      <c r="D82" s="597">
        <v>1</v>
      </c>
      <c r="E82" s="599"/>
      <c r="F82" s="599"/>
      <c r="G82" s="597"/>
    </row>
    <row r="83" spans="1:7" ht="20.100000000000001" customHeight="1">
      <c r="A83" s="576">
        <v>19</v>
      </c>
      <c r="B83" s="616" t="s">
        <v>608</v>
      </c>
      <c r="C83" s="598">
        <v>37.5</v>
      </c>
      <c r="D83" s="597">
        <v>1</v>
      </c>
      <c r="E83" s="599"/>
      <c r="F83" s="599"/>
      <c r="G83" s="597"/>
    </row>
    <row r="84" spans="1:7" ht="20.100000000000001" customHeight="1">
      <c r="A84" s="576">
        <v>20</v>
      </c>
      <c r="B84" s="616" t="s">
        <v>609</v>
      </c>
      <c r="C84" s="598">
        <v>51.74</v>
      </c>
      <c r="D84" s="597"/>
      <c r="E84" s="599">
        <v>1</v>
      </c>
      <c r="F84" s="599"/>
      <c r="G84" s="597"/>
    </row>
    <row r="85" spans="1:7" ht="20.100000000000001" customHeight="1">
      <c r="A85" s="576">
        <v>21</v>
      </c>
      <c r="B85" s="616" t="s">
        <v>610</v>
      </c>
      <c r="C85" s="598">
        <v>37.5</v>
      </c>
      <c r="D85" s="597">
        <v>1</v>
      </c>
      <c r="E85" s="599"/>
      <c r="F85" s="599"/>
      <c r="G85" s="623"/>
    </row>
    <row r="86" spans="1:7" ht="20.100000000000001" customHeight="1">
      <c r="A86" s="576">
        <v>22</v>
      </c>
      <c r="B86" s="616" t="s">
        <v>611</v>
      </c>
      <c r="C86" s="598">
        <v>43.6</v>
      </c>
      <c r="D86" s="597">
        <v>1</v>
      </c>
      <c r="E86" s="599"/>
      <c r="F86" s="599"/>
      <c r="G86" s="597"/>
    </row>
    <row r="87" spans="1:7" ht="20.100000000000001" customHeight="1">
      <c r="A87" s="611" t="s">
        <v>726</v>
      </c>
      <c r="B87" s="611"/>
      <c r="C87" s="612">
        <f>C88+C98</f>
        <v>1223.7399999999998</v>
      </c>
      <c r="D87" s="613">
        <f>D88+D98</f>
        <v>25</v>
      </c>
      <c r="E87" s="613">
        <f>E88+E98</f>
        <v>9</v>
      </c>
      <c r="F87" s="613">
        <f>F88+F98</f>
        <v>0</v>
      </c>
      <c r="G87" s="611"/>
    </row>
    <row r="88" spans="1:7" s="596" customFormat="1" ht="20.100000000000001" customHeight="1">
      <c r="A88" s="591" t="s">
        <v>727</v>
      </c>
      <c r="B88" s="594"/>
      <c r="C88" s="593">
        <f>SUM(C89:C97)</f>
        <v>256.94</v>
      </c>
      <c r="D88" s="594">
        <f>SUM(D89:D97)</f>
        <v>9</v>
      </c>
      <c r="E88" s="594">
        <f>SUM(E89:E97)</f>
        <v>0</v>
      </c>
      <c r="F88" s="594">
        <f>SUM(F89:F97)</f>
        <v>0</v>
      </c>
      <c r="G88" s="592"/>
    </row>
    <row r="89" spans="1:7" ht="20.100000000000001" customHeight="1">
      <c r="A89" s="576">
        <v>1</v>
      </c>
      <c r="B89" s="580" t="s">
        <v>613</v>
      </c>
      <c r="C89" s="603">
        <v>15.7</v>
      </c>
      <c r="D89" s="597">
        <v>1</v>
      </c>
      <c r="E89" s="599"/>
      <c r="F89" s="599"/>
      <c r="G89" s="597"/>
    </row>
    <row r="90" spans="1:7" ht="20.100000000000001" customHeight="1">
      <c r="A90" s="576">
        <v>2</v>
      </c>
      <c r="B90" s="580" t="s">
        <v>614</v>
      </c>
      <c r="C90" s="603">
        <v>12.7</v>
      </c>
      <c r="D90" s="597">
        <v>1</v>
      </c>
      <c r="E90" s="599"/>
      <c r="F90" s="599"/>
      <c r="G90" s="597"/>
    </row>
    <row r="91" spans="1:7" ht="20.100000000000001" customHeight="1">
      <c r="A91" s="576">
        <v>3</v>
      </c>
      <c r="B91" s="597" t="s">
        <v>615</v>
      </c>
      <c r="C91" s="598">
        <v>30.2</v>
      </c>
      <c r="D91" s="597">
        <v>1</v>
      </c>
      <c r="E91" s="599"/>
      <c r="F91" s="599"/>
      <c r="G91" s="624"/>
    </row>
    <row r="92" spans="1:7" ht="20.100000000000001" customHeight="1">
      <c r="A92" s="576">
        <v>4</v>
      </c>
      <c r="B92" s="597" t="s">
        <v>616</v>
      </c>
      <c r="C92" s="598">
        <v>38</v>
      </c>
      <c r="D92" s="597">
        <v>1</v>
      </c>
      <c r="E92" s="599"/>
      <c r="F92" s="599"/>
      <c r="G92" s="625"/>
    </row>
    <row r="93" spans="1:7" ht="20.100000000000001" customHeight="1">
      <c r="A93" s="576">
        <v>5</v>
      </c>
      <c r="B93" s="597" t="s">
        <v>617</v>
      </c>
      <c r="C93" s="598">
        <v>30.8</v>
      </c>
      <c r="D93" s="597">
        <v>1</v>
      </c>
      <c r="E93" s="599"/>
      <c r="F93" s="599"/>
      <c r="G93" s="597"/>
    </row>
    <row r="94" spans="1:7" ht="20.100000000000001" customHeight="1">
      <c r="A94" s="576">
        <v>6</v>
      </c>
      <c r="B94" s="597" t="s">
        <v>618</v>
      </c>
      <c r="C94" s="598">
        <v>38.64</v>
      </c>
      <c r="D94" s="597">
        <v>1</v>
      </c>
      <c r="E94" s="599"/>
      <c r="F94" s="599"/>
      <c r="G94" s="597"/>
    </row>
    <row r="95" spans="1:7" ht="20.100000000000001" customHeight="1">
      <c r="A95" s="576">
        <v>7</v>
      </c>
      <c r="B95" s="580" t="s">
        <v>619</v>
      </c>
      <c r="C95" s="603">
        <v>15.7</v>
      </c>
      <c r="D95" s="597">
        <v>1</v>
      </c>
      <c r="E95" s="599"/>
      <c r="F95" s="599"/>
      <c r="G95" s="597"/>
    </row>
    <row r="96" spans="1:7" ht="20.100000000000001" customHeight="1">
      <c r="A96" s="576">
        <v>8</v>
      </c>
      <c r="B96" s="597" t="s">
        <v>620</v>
      </c>
      <c r="C96" s="598">
        <v>44.4</v>
      </c>
      <c r="D96" s="597">
        <v>1</v>
      </c>
      <c r="E96" s="599"/>
      <c r="F96" s="599"/>
      <c r="G96" s="597"/>
    </row>
    <row r="97" spans="1:7" ht="20.100000000000001" customHeight="1">
      <c r="A97" s="576">
        <v>9</v>
      </c>
      <c r="B97" s="597" t="s">
        <v>621</v>
      </c>
      <c r="C97" s="598">
        <v>30.8</v>
      </c>
      <c r="D97" s="597">
        <v>1</v>
      </c>
      <c r="E97" s="599"/>
      <c r="F97" s="599"/>
      <c r="G97" s="597"/>
    </row>
    <row r="98" spans="1:7" s="596" customFormat="1" ht="20.100000000000001" customHeight="1">
      <c r="A98" s="591" t="s">
        <v>728</v>
      </c>
      <c r="B98" s="592"/>
      <c r="C98" s="593">
        <f>SUM(C99:C123)</f>
        <v>966.79999999999984</v>
      </c>
      <c r="D98" s="594">
        <f>SUM(D99:D123)</f>
        <v>16</v>
      </c>
      <c r="E98" s="594">
        <f>SUM(E99:E123)</f>
        <v>9</v>
      </c>
      <c r="F98" s="594">
        <f>SUM(F99:F123)</f>
        <v>0</v>
      </c>
      <c r="G98" s="592"/>
    </row>
    <row r="99" spans="1:7" ht="20.100000000000001" customHeight="1">
      <c r="A99" s="576">
        <v>1</v>
      </c>
      <c r="B99" s="626" t="s">
        <v>623</v>
      </c>
      <c r="C99" s="627">
        <v>18.600000000000001</v>
      </c>
      <c r="D99" s="597">
        <v>1</v>
      </c>
      <c r="E99" s="599"/>
      <c r="F99" s="599"/>
      <c r="G99" s="597"/>
    </row>
    <row r="100" spans="1:7" ht="20.100000000000001" customHeight="1">
      <c r="A100" s="576">
        <v>2</v>
      </c>
      <c r="B100" s="616" t="s">
        <v>624</v>
      </c>
      <c r="C100" s="598">
        <v>37.5</v>
      </c>
      <c r="D100" s="597">
        <v>1</v>
      </c>
      <c r="E100" s="599"/>
      <c r="F100" s="599"/>
      <c r="G100" s="623"/>
    </row>
    <row r="101" spans="1:7" ht="20.100000000000001" customHeight="1">
      <c r="A101" s="576">
        <v>3</v>
      </c>
      <c r="B101" s="616" t="s">
        <v>625</v>
      </c>
      <c r="C101" s="598">
        <v>68.599999999999994</v>
      </c>
      <c r="D101" s="597"/>
      <c r="E101" s="599">
        <v>1</v>
      </c>
      <c r="F101" s="599"/>
      <c r="G101" s="623"/>
    </row>
    <row r="102" spans="1:7" ht="20.100000000000001" customHeight="1">
      <c r="A102" s="576">
        <v>4</v>
      </c>
      <c r="B102" s="616" t="s">
        <v>626</v>
      </c>
      <c r="C102" s="598">
        <v>37.5</v>
      </c>
      <c r="D102" s="597">
        <v>1</v>
      </c>
      <c r="E102" s="599"/>
      <c r="F102" s="599"/>
      <c r="G102" s="623"/>
    </row>
    <row r="103" spans="1:7" ht="20.100000000000001" customHeight="1">
      <c r="A103" s="576">
        <v>5</v>
      </c>
      <c r="B103" s="597" t="s">
        <v>627</v>
      </c>
      <c r="C103" s="598">
        <v>87</v>
      </c>
      <c r="D103" s="597"/>
      <c r="E103" s="599">
        <v>1</v>
      </c>
      <c r="F103" s="599"/>
      <c r="G103" s="597"/>
    </row>
    <row r="104" spans="1:7" ht="20.100000000000001" customHeight="1">
      <c r="A104" s="576">
        <v>6</v>
      </c>
      <c r="B104" s="597" t="s">
        <v>628</v>
      </c>
      <c r="C104" s="598">
        <v>44</v>
      </c>
      <c r="D104" s="597">
        <v>1</v>
      </c>
      <c r="E104" s="599"/>
      <c r="F104" s="599"/>
      <c r="G104" s="597"/>
    </row>
    <row r="105" spans="1:7" ht="20.100000000000001" customHeight="1">
      <c r="A105" s="576">
        <v>7</v>
      </c>
      <c r="B105" s="597" t="s">
        <v>629</v>
      </c>
      <c r="C105" s="598">
        <v>44</v>
      </c>
      <c r="D105" s="597">
        <v>1</v>
      </c>
      <c r="E105" s="599"/>
      <c r="F105" s="599"/>
      <c r="G105" s="597"/>
    </row>
    <row r="106" spans="1:7" ht="20.100000000000001" customHeight="1">
      <c r="A106" s="576">
        <v>8</v>
      </c>
      <c r="B106" s="597" t="s">
        <v>630</v>
      </c>
      <c r="C106" s="598">
        <v>44</v>
      </c>
      <c r="D106" s="597">
        <v>1</v>
      </c>
      <c r="E106" s="599"/>
      <c r="F106" s="599"/>
      <c r="G106" s="597"/>
    </row>
    <row r="107" spans="1:7" ht="20.100000000000001" customHeight="1">
      <c r="A107" s="576">
        <v>9</v>
      </c>
      <c r="B107" s="628" t="s">
        <v>631</v>
      </c>
      <c r="C107" s="629">
        <v>34</v>
      </c>
      <c r="D107" s="597">
        <v>1</v>
      </c>
      <c r="E107" s="599"/>
      <c r="F107" s="599"/>
      <c r="G107" s="630"/>
    </row>
    <row r="108" spans="1:7" ht="20.100000000000001" customHeight="1">
      <c r="A108" s="576">
        <v>10</v>
      </c>
      <c r="B108" s="626" t="s">
        <v>632</v>
      </c>
      <c r="C108" s="627">
        <v>8</v>
      </c>
      <c r="D108" s="597">
        <v>1</v>
      </c>
      <c r="E108" s="599"/>
      <c r="F108" s="599"/>
      <c r="G108" s="630"/>
    </row>
    <row r="109" spans="1:7" ht="20.100000000000001" customHeight="1">
      <c r="A109" s="576">
        <v>11</v>
      </c>
      <c r="B109" s="626" t="s">
        <v>633</v>
      </c>
      <c r="C109" s="627">
        <v>8</v>
      </c>
      <c r="D109" s="597">
        <v>1</v>
      </c>
      <c r="E109" s="599"/>
      <c r="F109" s="599"/>
      <c r="G109" s="630"/>
    </row>
    <row r="110" spans="1:7" ht="20.100000000000001" customHeight="1">
      <c r="A110" s="576">
        <v>12</v>
      </c>
      <c r="B110" s="626" t="s">
        <v>634</v>
      </c>
      <c r="C110" s="627">
        <v>24.4</v>
      </c>
      <c r="D110" s="597">
        <v>1</v>
      </c>
      <c r="E110" s="599"/>
      <c r="F110" s="599"/>
      <c r="G110" s="630"/>
    </row>
    <row r="111" spans="1:7" ht="20.100000000000001" customHeight="1">
      <c r="A111" s="576">
        <v>13</v>
      </c>
      <c r="B111" s="626" t="s">
        <v>635</v>
      </c>
      <c r="C111" s="627">
        <v>8</v>
      </c>
      <c r="D111" s="597">
        <v>1</v>
      </c>
      <c r="E111" s="599"/>
      <c r="F111" s="599"/>
      <c r="G111" s="630"/>
    </row>
    <row r="112" spans="1:7" ht="20.100000000000001" customHeight="1">
      <c r="A112" s="576">
        <v>14</v>
      </c>
      <c r="B112" s="626" t="s">
        <v>636</v>
      </c>
      <c r="C112" s="627">
        <v>25</v>
      </c>
      <c r="D112" s="597">
        <v>1</v>
      </c>
      <c r="E112" s="599"/>
      <c r="F112" s="599"/>
      <c r="G112" s="630"/>
    </row>
    <row r="113" spans="1:7" ht="20.100000000000001" customHeight="1">
      <c r="A113" s="576">
        <v>15</v>
      </c>
      <c r="B113" s="628" t="s">
        <v>637</v>
      </c>
      <c r="C113" s="629">
        <v>42</v>
      </c>
      <c r="D113" s="597">
        <v>1</v>
      </c>
      <c r="E113" s="599"/>
      <c r="F113" s="599"/>
      <c r="G113" s="630"/>
    </row>
    <row r="114" spans="1:7" ht="20.100000000000001" customHeight="1">
      <c r="A114" s="576">
        <v>16</v>
      </c>
      <c r="B114" s="631" t="s">
        <v>638</v>
      </c>
      <c r="C114" s="629">
        <v>56</v>
      </c>
      <c r="D114" s="597"/>
      <c r="E114" s="599">
        <v>1</v>
      </c>
      <c r="F114" s="599"/>
      <c r="G114" s="632"/>
    </row>
    <row r="115" spans="1:7" ht="20.100000000000001" customHeight="1">
      <c r="A115" s="576">
        <v>17</v>
      </c>
      <c r="B115" s="628" t="s">
        <v>639</v>
      </c>
      <c r="C115" s="629">
        <v>32</v>
      </c>
      <c r="D115" s="597">
        <v>1</v>
      </c>
      <c r="E115" s="599"/>
      <c r="F115" s="599"/>
      <c r="G115" s="630"/>
    </row>
    <row r="116" spans="1:7" ht="20.100000000000001" customHeight="1">
      <c r="A116" s="576">
        <v>18</v>
      </c>
      <c r="B116" s="628" t="s">
        <v>640</v>
      </c>
      <c r="C116" s="629">
        <v>55.8</v>
      </c>
      <c r="D116" s="597"/>
      <c r="E116" s="599">
        <v>1</v>
      </c>
      <c r="F116" s="599"/>
      <c r="G116" s="630"/>
    </row>
    <row r="117" spans="1:7" ht="20.100000000000001" customHeight="1">
      <c r="A117" s="576">
        <v>19</v>
      </c>
      <c r="B117" s="628" t="s">
        <v>641</v>
      </c>
      <c r="C117" s="629">
        <v>37.5</v>
      </c>
      <c r="D117" s="597">
        <v>1</v>
      </c>
      <c r="E117" s="599"/>
      <c r="F117" s="599"/>
      <c r="G117" s="630"/>
    </row>
    <row r="118" spans="1:7" ht="20.100000000000001" customHeight="1">
      <c r="A118" s="576">
        <v>20</v>
      </c>
      <c r="B118" s="628" t="s">
        <v>642</v>
      </c>
      <c r="C118" s="629">
        <v>37.5</v>
      </c>
      <c r="D118" s="597">
        <v>1</v>
      </c>
      <c r="E118" s="599"/>
      <c r="F118" s="599"/>
      <c r="G118" s="630"/>
    </row>
    <row r="119" spans="1:7" ht="20.100000000000001" customHeight="1">
      <c r="A119" s="576">
        <v>21</v>
      </c>
      <c r="B119" s="631" t="s">
        <v>643</v>
      </c>
      <c r="C119" s="629">
        <v>55.8</v>
      </c>
      <c r="D119" s="597"/>
      <c r="E119" s="599">
        <v>1</v>
      </c>
      <c r="F119" s="599"/>
      <c r="G119" s="633"/>
    </row>
    <row r="120" spans="1:7" ht="20.100000000000001" customHeight="1">
      <c r="A120" s="576">
        <v>22</v>
      </c>
      <c r="B120" s="631" t="s">
        <v>644</v>
      </c>
      <c r="C120" s="629">
        <v>43.6</v>
      </c>
      <c r="D120" s="597"/>
      <c r="E120" s="599">
        <v>1</v>
      </c>
      <c r="F120" s="599"/>
      <c r="G120" s="633"/>
    </row>
    <row r="121" spans="1:7" ht="20.100000000000001" customHeight="1">
      <c r="A121" s="576">
        <v>23</v>
      </c>
      <c r="B121" s="631" t="s">
        <v>645</v>
      </c>
      <c r="C121" s="629">
        <v>43.6</v>
      </c>
      <c r="D121" s="597"/>
      <c r="E121" s="599">
        <v>1</v>
      </c>
      <c r="F121" s="599"/>
      <c r="G121" s="633"/>
    </row>
    <row r="122" spans="1:7" ht="20.100000000000001" customHeight="1">
      <c r="A122" s="576">
        <v>24</v>
      </c>
      <c r="B122" s="634" t="s">
        <v>646</v>
      </c>
      <c r="C122" s="627">
        <v>18.600000000000001</v>
      </c>
      <c r="D122" s="597"/>
      <c r="E122" s="599">
        <v>1</v>
      </c>
      <c r="F122" s="599"/>
      <c r="G122" s="633"/>
    </row>
    <row r="123" spans="1:7" ht="20.100000000000001" customHeight="1">
      <c r="A123" s="576">
        <v>25</v>
      </c>
      <c r="B123" s="628" t="s">
        <v>647</v>
      </c>
      <c r="C123" s="629">
        <v>55.8</v>
      </c>
      <c r="D123" s="597"/>
      <c r="E123" s="599">
        <v>1</v>
      </c>
      <c r="F123" s="599"/>
      <c r="G123" s="633"/>
    </row>
    <row r="124" spans="1:7" ht="20.100000000000001" customHeight="1">
      <c r="A124" s="611" t="s">
        <v>729</v>
      </c>
      <c r="B124" s="611"/>
      <c r="C124" s="612">
        <f>C125+C145+C157</f>
        <v>1731.1399999999994</v>
      </c>
      <c r="D124" s="613">
        <f>D125+D145+D157</f>
        <v>24</v>
      </c>
      <c r="E124" s="613">
        <f>E125+E145+E157</f>
        <v>11</v>
      </c>
      <c r="F124" s="613">
        <f>F125+F145+F157</f>
        <v>2</v>
      </c>
      <c r="G124" s="611"/>
    </row>
    <row r="125" spans="1:7" s="596" customFormat="1" ht="20.100000000000001" customHeight="1">
      <c r="A125" s="591" t="s">
        <v>730</v>
      </c>
      <c r="B125" s="592"/>
      <c r="C125" s="593">
        <f>SUM(C126:C144)</f>
        <v>1033.2599999999995</v>
      </c>
      <c r="D125" s="594">
        <f>SUM(D126:D144)</f>
        <v>10</v>
      </c>
      <c r="E125" s="594">
        <f>SUM(E126:E144)</f>
        <v>8</v>
      </c>
      <c r="F125" s="594">
        <f>SUM(F126:F144)</f>
        <v>1</v>
      </c>
      <c r="G125" s="592"/>
    </row>
    <row r="126" spans="1:7" ht="20.100000000000001" customHeight="1">
      <c r="A126" s="576">
        <v>1</v>
      </c>
      <c r="B126" s="597" t="s">
        <v>580</v>
      </c>
      <c r="C126" s="598">
        <v>44.37</v>
      </c>
      <c r="D126" s="597">
        <v>1</v>
      </c>
      <c r="E126" s="599"/>
      <c r="F126" s="599"/>
      <c r="G126" s="597"/>
    </row>
    <row r="127" spans="1:7" ht="20.100000000000001" customHeight="1">
      <c r="A127" s="576">
        <v>2</v>
      </c>
      <c r="B127" s="597" t="s">
        <v>581</v>
      </c>
      <c r="C127" s="598">
        <v>56.8</v>
      </c>
      <c r="D127" s="597"/>
      <c r="E127" s="599">
        <v>1</v>
      </c>
      <c r="F127" s="599"/>
      <c r="G127" s="597"/>
    </row>
    <row r="128" spans="1:7" ht="20.100000000000001" customHeight="1">
      <c r="A128" s="576">
        <v>3</v>
      </c>
      <c r="B128" s="597" t="s">
        <v>649</v>
      </c>
      <c r="C128" s="598">
        <v>80.819999999999993</v>
      </c>
      <c r="D128" s="597"/>
      <c r="E128" s="599">
        <v>1</v>
      </c>
      <c r="F128" s="599"/>
      <c r="G128" s="597"/>
    </row>
    <row r="129" spans="1:7" ht="20.100000000000001" customHeight="1">
      <c r="A129" s="576">
        <v>4</v>
      </c>
      <c r="B129" s="597" t="s">
        <v>650</v>
      </c>
      <c r="C129" s="598">
        <v>39</v>
      </c>
      <c r="D129" s="597">
        <v>1</v>
      </c>
      <c r="E129" s="599"/>
      <c r="F129" s="599"/>
      <c r="G129" s="597"/>
    </row>
    <row r="130" spans="1:7" ht="20.100000000000001" customHeight="1">
      <c r="A130" s="576">
        <v>5</v>
      </c>
      <c r="B130" s="597" t="s">
        <v>625</v>
      </c>
      <c r="C130" s="598">
        <v>103.8</v>
      </c>
      <c r="D130" s="597"/>
      <c r="E130" s="599"/>
      <c r="F130" s="599">
        <v>1</v>
      </c>
      <c r="G130" s="597"/>
    </row>
    <row r="131" spans="1:7" ht="20.100000000000001" customHeight="1">
      <c r="A131" s="576">
        <v>6</v>
      </c>
      <c r="B131" s="597" t="s">
        <v>651</v>
      </c>
      <c r="C131" s="598">
        <v>42.14</v>
      </c>
      <c r="D131" s="597">
        <v>1</v>
      </c>
      <c r="E131" s="599"/>
      <c r="F131" s="599"/>
      <c r="G131" s="597"/>
    </row>
    <row r="132" spans="1:7" ht="20.100000000000001" customHeight="1">
      <c r="A132" s="576">
        <v>7</v>
      </c>
      <c r="B132" s="597" t="s">
        <v>652</v>
      </c>
      <c r="C132" s="598">
        <v>80.819999999999993</v>
      </c>
      <c r="D132" s="597"/>
      <c r="E132" s="599">
        <v>1</v>
      </c>
      <c r="F132" s="599"/>
      <c r="G132" s="597"/>
    </row>
    <row r="133" spans="1:7" ht="20.100000000000001" customHeight="1">
      <c r="A133" s="576">
        <v>8</v>
      </c>
      <c r="B133" s="597" t="s">
        <v>653</v>
      </c>
      <c r="C133" s="598">
        <v>42.8</v>
      </c>
      <c r="D133" s="597">
        <v>1</v>
      </c>
      <c r="E133" s="599"/>
      <c r="F133" s="599"/>
      <c r="G133" s="597"/>
    </row>
    <row r="134" spans="1:7" ht="20.100000000000001" customHeight="1">
      <c r="A134" s="576">
        <v>9</v>
      </c>
      <c r="B134" s="597" t="s">
        <v>654</v>
      </c>
      <c r="C134" s="598">
        <v>42.8</v>
      </c>
      <c r="D134" s="597">
        <v>1</v>
      </c>
      <c r="E134" s="599"/>
      <c r="F134" s="599"/>
      <c r="G134" s="597"/>
    </row>
    <row r="135" spans="1:7" ht="20.100000000000001" customHeight="1">
      <c r="A135" s="576">
        <v>10</v>
      </c>
      <c r="B135" s="597" t="s">
        <v>655</v>
      </c>
      <c r="C135" s="598">
        <v>80.819999999999993</v>
      </c>
      <c r="D135" s="597"/>
      <c r="E135" s="599">
        <v>1</v>
      </c>
      <c r="F135" s="599"/>
      <c r="G135" s="597"/>
    </row>
    <row r="136" spans="1:7" ht="20.100000000000001" customHeight="1">
      <c r="A136" s="576">
        <v>11</v>
      </c>
      <c r="B136" s="597" t="s">
        <v>656</v>
      </c>
      <c r="C136" s="598">
        <v>30.8</v>
      </c>
      <c r="D136" s="597">
        <v>1</v>
      </c>
      <c r="E136" s="599"/>
      <c r="F136" s="599"/>
      <c r="G136" s="597"/>
    </row>
    <row r="137" spans="1:7" ht="20.100000000000001" customHeight="1">
      <c r="A137" s="576">
        <v>12</v>
      </c>
      <c r="B137" s="597" t="s">
        <v>657</v>
      </c>
      <c r="C137" s="598">
        <v>55.74</v>
      </c>
      <c r="D137" s="597"/>
      <c r="E137" s="599">
        <v>1</v>
      </c>
      <c r="F137" s="599"/>
      <c r="G137" s="597"/>
    </row>
    <row r="138" spans="1:7" ht="20.100000000000001" customHeight="1">
      <c r="A138" s="576">
        <v>13</v>
      </c>
      <c r="B138" s="597" t="s">
        <v>658</v>
      </c>
      <c r="C138" s="598">
        <v>30.8</v>
      </c>
      <c r="D138" s="597">
        <v>1</v>
      </c>
      <c r="E138" s="599"/>
      <c r="F138" s="599"/>
      <c r="G138" s="597"/>
    </row>
    <row r="139" spans="1:7" ht="20.100000000000001" customHeight="1">
      <c r="A139" s="576">
        <v>14</v>
      </c>
      <c r="B139" s="597" t="s">
        <v>659</v>
      </c>
      <c r="C139" s="598">
        <v>35.880000000000003</v>
      </c>
      <c r="D139" s="597">
        <v>1</v>
      </c>
      <c r="E139" s="599"/>
      <c r="F139" s="599"/>
      <c r="G139" s="597"/>
    </row>
    <row r="140" spans="1:7" ht="20.100000000000001" customHeight="1">
      <c r="A140" s="576">
        <v>15</v>
      </c>
      <c r="B140" s="597" t="s">
        <v>660</v>
      </c>
      <c r="C140" s="598">
        <v>57.8</v>
      </c>
      <c r="D140" s="597"/>
      <c r="E140" s="599">
        <v>1</v>
      </c>
      <c r="F140" s="599"/>
      <c r="G140" s="597"/>
    </row>
    <row r="141" spans="1:7" ht="20.100000000000001" customHeight="1">
      <c r="A141" s="576">
        <v>16</v>
      </c>
      <c r="B141" s="580" t="s">
        <v>661</v>
      </c>
      <c r="C141" s="603">
        <v>19.64</v>
      </c>
      <c r="D141" s="597">
        <v>1</v>
      </c>
      <c r="E141" s="599"/>
      <c r="F141" s="599"/>
      <c r="G141" s="597"/>
    </row>
    <row r="142" spans="1:7" ht="20.100000000000001" customHeight="1">
      <c r="A142" s="576">
        <v>17</v>
      </c>
      <c r="B142" s="597" t="s">
        <v>594</v>
      </c>
      <c r="C142" s="598">
        <v>36.799999999999997</v>
      </c>
      <c r="D142" s="597">
        <v>1</v>
      </c>
      <c r="E142" s="599"/>
      <c r="F142" s="599"/>
      <c r="G142" s="597"/>
    </row>
    <row r="143" spans="1:7" ht="20.100000000000001" customHeight="1">
      <c r="A143" s="576">
        <v>18</v>
      </c>
      <c r="B143" s="597" t="s">
        <v>662</v>
      </c>
      <c r="C143" s="598">
        <v>56.78</v>
      </c>
      <c r="D143" s="597"/>
      <c r="E143" s="599">
        <v>1</v>
      </c>
      <c r="F143" s="599"/>
      <c r="G143" s="597"/>
    </row>
    <row r="144" spans="1:7" ht="20.100000000000001" customHeight="1">
      <c r="A144" s="576">
        <v>19</v>
      </c>
      <c r="B144" s="597" t="s">
        <v>663</v>
      </c>
      <c r="C144" s="598">
        <v>94.85</v>
      </c>
      <c r="D144" s="597"/>
      <c r="E144" s="599">
        <v>1</v>
      </c>
      <c r="F144" s="599"/>
      <c r="G144" s="608"/>
    </row>
    <row r="145" spans="1:7" s="596" customFormat="1" ht="20.100000000000001" customHeight="1">
      <c r="A145" s="591" t="s">
        <v>731</v>
      </c>
      <c r="B145" s="594"/>
      <c r="C145" s="593">
        <f>SUM(C146:C154)</f>
        <v>438.88</v>
      </c>
      <c r="D145" s="615">
        <f>SUM(D146:D156)</f>
        <v>9</v>
      </c>
      <c r="E145" s="615">
        <f>SUM(E146:E154)</f>
        <v>1</v>
      </c>
      <c r="F145" s="615">
        <f>SUM(F146:F154)</f>
        <v>1</v>
      </c>
      <c r="G145" s="592"/>
    </row>
    <row r="146" spans="1:7" ht="20.100000000000001" customHeight="1">
      <c r="A146" s="576">
        <v>1</v>
      </c>
      <c r="B146" s="597" t="s">
        <v>665</v>
      </c>
      <c r="C146" s="598">
        <v>106.6</v>
      </c>
      <c r="D146" s="597"/>
      <c r="E146" s="599"/>
      <c r="F146" s="599">
        <v>1</v>
      </c>
      <c r="G146" s="597"/>
    </row>
    <row r="147" spans="1:7" ht="20.100000000000001" customHeight="1">
      <c r="A147" s="576">
        <v>2</v>
      </c>
      <c r="B147" s="597" t="s">
        <v>666</v>
      </c>
      <c r="C147" s="598">
        <v>44.36</v>
      </c>
      <c r="D147" s="597">
        <v>1</v>
      </c>
      <c r="E147" s="599"/>
      <c r="F147" s="599"/>
      <c r="G147" s="597"/>
    </row>
    <row r="148" spans="1:7" ht="20.100000000000001" customHeight="1">
      <c r="A148" s="576">
        <v>3</v>
      </c>
      <c r="B148" s="597" t="s">
        <v>667</v>
      </c>
      <c r="C148" s="598">
        <v>53</v>
      </c>
      <c r="D148" s="597"/>
      <c r="E148" s="599">
        <v>1</v>
      </c>
      <c r="F148" s="599"/>
      <c r="G148" s="597"/>
    </row>
    <row r="149" spans="1:7" ht="20.100000000000001" customHeight="1">
      <c r="A149" s="576">
        <v>4</v>
      </c>
      <c r="B149" s="597" t="s">
        <v>668</v>
      </c>
      <c r="C149" s="598">
        <v>26.11</v>
      </c>
      <c r="D149" s="597">
        <v>1</v>
      </c>
      <c r="E149" s="599"/>
      <c r="F149" s="599"/>
      <c r="G149" s="597"/>
    </row>
    <row r="150" spans="1:7" ht="20.100000000000001" customHeight="1">
      <c r="A150" s="576">
        <v>5</v>
      </c>
      <c r="B150" s="597" t="s">
        <v>669</v>
      </c>
      <c r="C150" s="598">
        <v>44.29</v>
      </c>
      <c r="D150" s="597">
        <v>1</v>
      </c>
      <c r="E150" s="599"/>
      <c r="F150" s="599"/>
      <c r="G150" s="597"/>
    </row>
    <row r="151" spans="1:7" ht="20.100000000000001" customHeight="1">
      <c r="A151" s="576">
        <v>6</v>
      </c>
      <c r="B151" s="597" t="s">
        <v>670</v>
      </c>
      <c r="C151" s="598">
        <v>47</v>
      </c>
      <c r="D151" s="597">
        <v>1</v>
      </c>
      <c r="E151" s="599"/>
      <c r="F151" s="599"/>
      <c r="G151" s="597"/>
    </row>
    <row r="152" spans="1:7" ht="20.100000000000001" customHeight="1">
      <c r="A152" s="576">
        <v>7</v>
      </c>
      <c r="B152" s="597" t="s">
        <v>671</v>
      </c>
      <c r="C152" s="598">
        <v>30.2</v>
      </c>
      <c r="D152" s="597">
        <v>1</v>
      </c>
      <c r="E152" s="599"/>
      <c r="F152" s="599"/>
      <c r="G152" s="597"/>
    </row>
    <row r="153" spans="1:7" ht="20.100000000000001" customHeight="1">
      <c r="A153" s="576">
        <v>8</v>
      </c>
      <c r="B153" s="597" t="s">
        <v>732</v>
      </c>
      <c r="C153" s="598">
        <v>42.9</v>
      </c>
      <c r="D153" s="597">
        <v>1</v>
      </c>
      <c r="E153" s="599"/>
      <c r="F153" s="599"/>
      <c r="G153" s="597"/>
    </row>
    <row r="154" spans="1:7" ht="20.100000000000001" customHeight="1">
      <c r="A154" s="576">
        <v>9</v>
      </c>
      <c r="B154" s="597" t="s">
        <v>733</v>
      </c>
      <c r="C154" s="598">
        <v>44.42</v>
      </c>
      <c r="D154" s="597">
        <v>1</v>
      </c>
      <c r="E154" s="599"/>
      <c r="F154" s="599"/>
      <c r="G154" s="597"/>
    </row>
    <row r="155" spans="1:7" ht="20.100000000000001" customHeight="1">
      <c r="A155" s="576">
        <v>10</v>
      </c>
      <c r="B155" s="597" t="s">
        <v>674</v>
      </c>
      <c r="C155" s="598">
        <v>26.9</v>
      </c>
      <c r="D155" s="597">
        <v>1</v>
      </c>
      <c r="E155" s="599"/>
      <c r="F155" s="599"/>
      <c r="G155" s="597"/>
    </row>
    <row r="156" spans="1:7" ht="20.100000000000001" customHeight="1">
      <c r="A156" s="576">
        <v>11</v>
      </c>
      <c r="B156" s="597" t="s">
        <v>675</v>
      </c>
      <c r="C156" s="598">
        <v>36.799999999999997</v>
      </c>
      <c r="D156" s="597">
        <v>1</v>
      </c>
      <c r="E156" s="599"/>
      <c r="F156" s="599"/>
      <c r="G156" s="597"/>
    </row>
    <row r="157" spans="1:7" s="596" customFormat="1" ht="20.100000000000001" customHeight="1">
      <c r="A157" s="591" t="s">
        <v>734</v>
      </c>
      <c r="B157" s="592"/>
      <c r="C157" s="593">
        <f>SUM(C158:C162)</f>
        <v>259</v>
      </c>
      <c r="D157" s="615">
        <f>SUM(D158:D162)</f>
        <v>5</v>
      </c>
      <c r="E157" s="615">
        <f>SUM(E158:E162)</f>
        <v>2</v>
      </c>
      <c r="F157" s="615">
        <f>SUM(F158:F162)</f>
        <v>0</v>
      </c>
      <c r="G157" s="592"/>
    </row>
    <row r="158" spans="1:7" ht="20.100000000000001" customHeight="1">
      <c r="A158" s="576">
        <v>1</v>
      </c>
      <c r="B158" s="597" t="s">
        <v>677</v>
      </c>
      <c r="C158" s="598">
        <v>56</v>
      </c>
      <c r="D158" s="597"/>
      <c r="E158" s="599">
        <v>1</v>
      </c>
      <c r="F158" s="599"/>
      <c r="G158" s="597"/>
    </row>
    <row r="159" spans="1:7" ht="20.100000000000001" customHeight="1">
      <c r="A159" s="576">
        <v>2</v>
      </c>
      <c r="B159" s="597" t="s">
        <v>678</v>
      </c>
      <c r="C159" s="598">
        <v>99.2</v>
      </c>
      <c r="D159" s="597"/>
      <c r="E159" s="599">
        <v>1</v>
      </c>
      <c r="F159" s="599"/>
      <c r="G159" s="597"/>
    </row>
    <row r="160" spans="1:7" ht="20.100000000000001" customHeight="1">
      <c r="A160" s="576">
        <v>3</v>
      </c>
      <c r="B160" s="597" t="s">
        <v>679</v>
      </c>
      <c r="C160" s="598">
        <v>39</v>
      </c>
      <c r="D160" s="597">
        <v>2</v>
      </c>
      <c r="E160" s="599"/>
      <c r="F160" s="599"/>
      <c r="G160" s="635"/>
    </row>
    <row r="161" spans="1:7" ht="20.100000000000001" customHeight="1">
      <c r="A161" s="576">
        <v>4</v>
      </c>
      <c r="B161" s="597" t="s">
        <v>680</v>
      </c>
      <c r="C161" s="598">
        <v>39</v>
      </c>
      <c r="D161" s="597">
        <v>2</v>
      </c>
      <c r="E161" s="599"/>
      <c r="F161" s="599"/>
      <c r="G161" s="635"/>
    </row>
    <row r="162" spans="1:7" ht="20.100000000000001" customHeight="1">
      <c r="A162" s="576">
        <v>5</v>
      </c>
      <c r="B162" s="597" t="s">
        <v>681</v>
      </c>
      <c r="C162" s="598">
        <v>25.8</v>
      </c>
      <c r="D162" s="597">
        <v>1</v>
      </c>
      <c r="E162" s="599"/>
      <c r="F162" s="599"/>
      <c r="G162" s="597"/>
    </row>
    <row r="163" spans="1:7" ht="20.100000000000001" customHeight="1">
      <c r="A163" s="611" t="s">
        <v>735</v>
      </c>
      <c r="B163" s="611"/>
      <c r="C163" s="612">
        <f>C164</f>
        <v>722.71</v>
      </c>
      <c r="D163" s="613">
        <f>D164</f>
        <v>11</v>
      </c>
      <c r="E163" s="613">
        <f>E164</f>
        <v>5</v>
      </c>
      <c r="F163" s="613">
        <f>F164</f>
        <v>0</v>
      </c>
      <c r="G163" s="636"/>
    </row>
    <row r="164" spans="1:7" s="596" customFormat="1" ht="20.100000000000001" customHeight="1">
      <c r="A164" s="591" t="s">
        <v>736</v>
      </c>
      <c r="B164" s="592"/>
      <c r="C164" s="593">
        <f>SUM(C165:C180)</f>
        <v>722.71</v>
      </c>
      <c r="D164" s="615">
        <f>SUM(D165:D180)</f>
        <v>11</v>
      </c>
      <c r="E164" s="615">
        <f>SUM(E165:E180)</f>
        <v>5</v>
      </c>
      <c r="F164" s="615">
        <f>SUM(F165:F180)</f>
        <v>0</v>
      </c>
      <c r="G164" s="591"/>
    </row>
    <row r="165" spans="1:7" ht="20.100000000000001" customHeight="1">
      <c r="A165" s="576">
        <v>1</v>
      </c>
      <c r="B165" s="597" t="s">
        <v>683</v>
      </c>
      <c r="C165" s="598">
        <v>37.700000000000003</v>
      </c>
      <c r="D165" s="597">
        <v>1</v>
      </c>
      <c r="E165" s="599"/>
      <c r="F165" s="599"/>
      <c r="G165" s="608"/>
    </row>
    <row r="166" spans="1:7" ht="20.100000000000001" customHeight="1">
      <c r="A166" s="576">
        <v>2</v>
      </c>
      <c r="B166" s="597" t="s">
        <v>684</v>
      </c>
      <c r="C166" s="598">
        <v>27</v>
      </c>
      <c r="D166" s="597">
        <v>1</v>
      </c>
      <c r="E166" s="599"/>
      <c r="F166" s="599"/>
      <c r="G166" s="637"/>
    </row>
    <row r="167" spans="1:7" ht="20.100000000000001" customHeight="1">
      <c r="A167" s="576">
        <v>3</v>
      </c>
      <c r="B167" s="597" t="s">
        <v>685</v>
      </c>
      <c r="C167" s="598">
        <v>43.8</v>
      </c>
      <c r="D167" s="597">
        <v>1</v>
      </c>
      <c r="E167" s="599"/>
      <c r="F167" s="599"/>
      <c r="G167" s="608"/>
    </row>
    <row r="168" spans="1:7" ht="20.100000000000001" customHeight="1">
      <c r="A168" s="576">
        <v>4</v>
      </c>
      <c r="B168" s="597" t="s">
        <v>686</v>
      </c>
      <c r="C168" s="598">
        <v>37.700000000000003</v>
      </c>
      <c r="D168" s="597">
        <v>1</v>
      </c>
      <c r="E168" s="599"/>
      <c r="F168" s="599"/>
      <c r="G168" s="637"/>
    </row>
    <row r="169" spans="1:7" ht="20.100000000000001" customHeight="1">
      <c r="A169" s="576">
        <v>5</v>
      </c>
      <c r="B169" s="597" t="s">
        <v>687</v>
      </c>
      <c r="C169" s="598">
        <v>56</v>
      </c>
      <c r="D169" s="597"/>
      <c r="E169" s="599">
        <v>1</v>
      </c>
      <c r="F169" s="599"/>
      <c r="G169" s="637"/>
    </row>
    <row r="170" spans="1:7" ht="20.100000000000001" customHeight="1">
      <c r="A170" s="576">
        <v>6</v>
      </c>
      <c r="B170" s="580" t="s">
        <v>688</v>
      </c>
      <c r="C170" s="603">
        <v>15.1</v>
      </c>
      <c r="D170" s="597">
        <v>1</v>
      </c>
      <c r="E170" s="599"/>
      <c r="F170" s="599"/>
      <c r="G170" s="637"/>
    </row>
    <row r="171" spans="1:7" ht="20.100000000000001" customHeight="1">
      <c r="A171" s="576">
        <v>7</v>
      </c>
      <c r="B171" s="597" t="s">
        <v>689</v>
      </c>
      <c r="C171" s="598">
        <v>30.7</v>
      </c>
      <c r="D171" s="597">
        <v>1</v>
      </c>
      <c r="E171" s="599"/>
      <c r="F171" s="599"/>
      <c r="G171" s="637"/>
    </row>
    <row r="172" spans="1:7" ht="20.100000000000001" customHeight="1">
      <c r="A172" s="576">
        <v>8</v>
      </c>
      <c r="B172" s="597" t="s">
        <v>690</v>
      </c>
      <c r="C172" s="598">
        <v>43.8</v>
      </c>
      <c r="D172" s="597">
        <v>1</v>
      </c>
      <c r="E172" s="599"/>
      <c r="F172" s="599"/>
      <c r="G172" s="608"/>
    </row>
    <row r="173" spans="1:7" ht="20.100000000000001" customHeight="1">
      <c r="A173" s="576">
        <v>9</v>
      </c>
      <c r="B173" s="597" t="s">
        <v>691</v>
      </c>
      <c r="C173" s="598">
        <v>56</v>
      </c>
      <c r="D173" s="597"/>
      <c r="E173" s="599">
        <v>1</v>
      </c>
      <c r="F173" s="599"/>
      <c r="G173" s="637"/>
    </row>
    <row r="174" spans="1:7" ht="20.100000000000001" customHeight="1">
      <c r="A174" s="576">
        <v>10</v>
      </c>
      <c r="B174" s="597" t="s">
        <v>692</v>
      </c>
      <c r="C174" s="598">
        <v>43.8</v>
      </c>
      <c r="D174" s="597">
        <v>1</v>
      </c>
      <c r="E174" s="599"/>
      <c r="F174" s="599"/>
      <c r="G174" s="637"/>
    </row>
    <row r="175" spans="1:7" ht="20.100000000000001" customHeight="1">
      <c r="A175" s="576">
        <v>11</v>
      </c>
      <c r="B175" s="597" t="s">
        <v>693</v>
      </c>
      <c r="C175" s="598">
        <v>43.8</v>
      </c>
      <c r="D175" s="597">
        <v>1</v>
      </c>
      <c r="E175" s="599"/>
      <c r="F175" s="599"/>
      <c r="G175" s="637"/>
    </row>
    <row r="176" spans="1:7" ht="20.100000000000001" customHeight="1">
      <c r="A176" s="576">
        <v>12</v>
      </c>
      <c r="B176" s="597" t="s">
        <v>694</v>
      </c>
      <c r="C176" s="598">
        <v>56</v>
      </c>
      <c r="D176" s="597"/>
      <c r="E176" s="599">
        <v>1</v>
      </c>
      <c r="F176" s="599"/>
      <c r="G176" s="637"/>
    </row>
    <row r="177" spans="1:7" ht="20.100000000000001" customHeight="1">
      <c r="A177" s="576">
        <v>13</v>
      </c>
      <c r="B177" s="597" t="s">
        <v>695</v>
      </c>
      <c r="C177" s="598">
        <v>93.81</v>
      </c>
      <c r="D177" s="597"/>
      <c r="E177" s="599">
        <v>1</v>
      </c>
      <c r="F177" s="599"/>
      <c r="G177" s="637"/>
    </row>
    <row r="178" spans="1:7" ht="20.100000000000001" customHeight="1">
      <c r="A178" s="576">
        <v>14</v>
      </c>
      <c r="B178" s="597" t="s">
        <v>696</v>
      </c>
      <c r="C178" s="598">
        <v>56</v>
      </c>
      <c r="D178" s="597"/>
      <c r="E178" s="599">
        <v>1</v>
      </c>
      <c r="F178" s="599"/>
      <c r="G178" s="637"/>
    </row>
    <row r="179" spans="1:7" ht="20.100000000000001" customHeight="1">
      <c r="A179" s="576">
        <v>15</v>
      </c>
      <c r="B179" s="597" t="s">
        <v>697</v>
      </c>
      <c r="C179" s="598">
        <v>37.700000000000003</v>
      </c>
      <c r="D179" s="597">
        <v>1</v>
      </c>
      <c r="E179" s="599"/>
      <c r="F179" s="599"/>
      <c r="G179" s="637"/>
    </row>
    <row r="180" spans="1:7" ht="20.100000000000001" customHeight="1">
      <c r="A180" s="579">
        <v>16</v>
      </c>
      <c r="B180" s="638" t="s">
        <v>698</v>
      </c>
      <c r="C180" s="639">
        <v>43.8</v>
      </c>
      <c r="D180" s="638">
        <v>1</v>
      </c>
      <c r="E180" s="640"/>
      <c r="F180" s="640"/>
      <c r="G180" s="641"/>
    </row>
    <row r="181" spans="1:7" ht="20.100000000000001" customHeight="1">
      <c r="A181" s="1416" t="s">
        <v>699</v>
      </c>
      <c r="B181" s="1417"/>
      <c r="C181" s="642">
        <f>C3+C48+C87+C124+C163</f>
        <v>7155.3</v>
      </c>
      <c r="D181" s="643">
        <f>D3+D48+D87+D124+D163</f>
        <v>115</v>
      </c>
      <c r="E181" s="643">
        <f>E3+E48+E87+E124+E163</f>
        <v>43</v>
      </c>
      <c r="F181" s="643">
        <f>F3+F48+F87+F124+F163</f>
        <v>5</v>
      </c>
      <c r="G181" s="644"/>
    </row>
    <row r="182" spans="1:7" ht="11.25" customHeight="1">
      <c r="A182" s="645"/>
      <c r="B182" s="1418"/>
      <c r="C182" s="1418"/>
      <c r="D182" s="1418"/>
      <c r="E182" s="1418"/>
      <c r="F182" s="1418"/>
      <c r="G182" s="1418"/>
    </row>
    <row r="183" spans="1:7">
      <c r="D183" s="1409" t="s">
        <v>959</v>
      </c>
      <c r="E183" s="1409"/>
      <c r="F183" s="1409"/>
      <c r="G183" s="1409"/>
    </row>
    <row r="184" spans="1:7" ht="16.8">
      <c r="D184" s="1406" t="s">
        <v>876</v>
      </c>
      <c r="E184" s="1406"/>
      <c r="F184" s="1406"/>
      <c r="G184" s="1406"/>
    </row>
    <row r="185" spans="1:7" ht="16.8">
      <c r="D185" s="670"/>
      <c r="E185" s="670"/>
      <c r="F185" s="670"/>
      <c r="G185" s="670"/>
    </row>
    <row r="186" spans="1:7" ht="16.8">
      <c r="D186" s="670"/>
      <c r="E186" s="670"/>
      <c r="F186" s="670"/>
      <c r="G186" s="670"/>
    </row>
    <row r="187" spans="1:7" ht="16.8">
      <c r="D187" s="670"/>
      <c r="E187" s="670"/>
      <c r="F187" s="670"/>
      <c r="G187" s="670"/>
    </row>
    <row r="188" spans="1:7" ht="16.8">
      <c r="D188" s="671"/>
      <c r="E188" s="671"/>
      <c r="F188" s="671"/>
      <c r="G188" s="671"/>
    </row>
    <row r="189" spans="1:7" ht="16.8">
      <c r="D189" s="671"/>
      <c r="E189" s="671"/>
      <c r="F189" s="671"/>
      <c r="G189" s="671"/>
    </row>
    <row r="190" spans="1:7" ht="16.8">
      <c r="D190" s="671"/>
      <c r="E190" s="671"/>
      <c r="F190" s="671"/>
      <c r="G190" s="671"/>
    </row>
    <row r="191" spans="1:7" ht="16.8">
      <c r="D191" s="671"/>
      <c r="E191" s="671"/>
      <c r="F191" s="671"/>
      <c r="G191" s="671"/>
    </row>
    <row r="192" spans="1:7" ht="16.8">
      <c r="D192" s="1406" t="s">
        <v>877</v>
      </c>
      <c r="E192" s="1406"/>
      <c r="F192" s="1406"/>
      <c r="G192" s="1406"/>
    </row>
  </sheetData>
  <mergeCells count="6">
    <mergeCell ref="D184:G184"/>
    <mergeCell ref="D192:G192"/>
    <mergeCell ref="A1:G1"/>
    <mergeCell ref="A181:B181"/>
    <mergeCell ref="B182:G182"/>
    <mergeCell ref="D183:G183"/>
  </mergeCells>
  <phoneticPr fontId="60" type="noConversion"/>
  <pageMargins left="0.7" right="0.44" top="0.45" bottom="0.32" header="0.22" footer="0.24"/>
  <pageSetup paperSize="9"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workbookViewId="0">
      <selection activeCell="H5" sqref="H5"/>
    </sheetView>
  </sheetViews>
  <sheetFormatPr defaultColWidth="8.90625" defaultRowHeight="16.8"/>
  <cols>
    <col min="1" max="1" width="4.1796875" style="582" customWidth="1"/>
    <col min="2" max="2" width="16.6328125" style="582" customWidth="1"/>
    <col min="3" max="3" width="11.90625" style="582" customWidth="1"/>
    <col min="4" max="4" width="8.08984375" style="582" customWidth="1"/>
    <col min="5" max="5" width="8.6328125" style="582" customWidth="1"/>
    <col min="6" max="6" width="21.1796875" style="582" customWidth="1"/>
    <col min="7" max="16384" width="8.90625" style="582"/>
  </cols>
  <sheetData>
    <row r="1" spans="1:6" ht="32.25" customHeight="1">
      <c r="A1" s="1419" t="s">
        <v>737</v>
      </c>
      <c r="B1" s="1419"/>
      <c r="C1" s="1419"/>
      <c r="D1" s="1419"/>
      <c r="E1" s="1419"/>
      <c r="F1" s="1419"/>
    </row>
    <row r="2" spans="1:6" ht="33.6">
      <c r="A2" s="646" t="s">
        <v>14</v>
      </c>
      <c r="B2" s="646" t="s">
        <v>701</v>
      </c>
      <c r="C2" s="587" t="s">
        <v>738</v>
      </c>
      <c r="D2" s="587" t="s">
        <v>739</v>
      </c>
      <c r="E2" s="587" t="s">
        <v>740</v>
      </c>
      <c r="F2" s="646" t="s">
        <v>523</v>
      </c>
    </row>
    <row r="3" spans="1:6" s="649" customFormat="1" ht="21.9" customHeight="1">
      <c r="A3" s="647">
        <v>1</v>
      </c>
      <c r="B3" s="647">
        <v>901</v>
      </c>
      <c r="C3" s="648">
        <v>2479</v>
      </c>
      <c r="D3" s="648">
        <v>49</v>
      </c>
      <c r="E3" s="648">
        <v>397</v>
      </c>
      <c r="F3" s="647"/>
    </row>
    <row r="4" spans="1:6" s="649" customFormat="1" ht="21.9" customHeight="1">
      <c r="A4" s="650">
        <v>2</v>
      </c>
      <c r="B4" s="650">
        <v>902</v>
      </c>
      <c r="C4" s="651">
        <v>1162</v>
      </c>
      <c r="D4" s="651">
        <v>32</v>
      </c>
      <c r="E4" s="651">
        <v>297</v>
      </c>
      <c r="F4" s="650"/>
    </row>
    <row r="5" spans="1:6" s="649" customFormat="1" ht="21.9" customHeight="1">
      <c r="A5" s="650">
        <v>3</v>
      </c>
      <c r="B5" s="650">
        <v>903</v>
      </c>
      <c r="C5" s="651">
        <v>332</v>
      </c>
      <c r="D5" s="651">
        <v>15</v>
      </c>
      <c r="E5" s="651">
        <v>115</v>
      </c>
      <c r="F5" s="650"/>
    </row>
    <row r="6" spans="1:6" s="649" customFormat="1" ht="21.9" customHeight="1">
      <c r="A6" s="650">
        <v>4</v>
      </c>
      <c r="B6" s="650">
        <v>904</v>
      </c>
      <c r="C6" s="651">
        <v>878</v>
      </c>
      <c r="D6" s="651">
        <v>26</v>
      </c>
      <c r="E6" s="651">
        <v>224</v>
      </c>
      <c r="F6" s="650"/>
    </row>
    <row r="7" spans="1:6" s="649" customFormat="1" ht="21.9" customHeight="1">
      <c r="A7" s="650">
        <v>5</v>
      </c>
      <c r="B7" s="650">
        <v>905</v>
      </c>
      <c r="C7" s="651">
        <v>755</v>
      </c>
      <c r="D7" s="651">
        <v>16</v>
      </c>
      <c r="E7" s="651">
        <v>146</v>
      </c>
      <c r="F7" s="650"/>
    </row>
    <row r="8" spans="1:6" s="649" customFormat="1" ht="21.9" customHeight="1">
      <c r="A8" s="650">
        <v>6</v>
      </c>
      <c r="B8" s="650">
        <v>906</v>
      </c>
      <c r="C8" s="651">
        <v>690</v>
      </c>
      <c r="D8" s="651">
        <v>17</v>
      </c>
      <c r="E8" s="651">
        <v>196</v>
      </c>
      <c r="F8" s="650"/>
    </row>
    <row r="9" spans="1:6" s="649" customFormat="1" ht="21.9" customHeight="1">
      <c r="A9" s="650">
        <v>7</v>
      </c>
      <c r="B9" s="650">
        <v>907</v>
      </c>
      <c r="C9" s="651">
        <v>2446</v>
      </c>
      <c r="D9" s="651">
        <v>66</v>
      </c>
      <c r="E9" s="651">
        <v>315</v>
      </c>
      <c r="F9" s="650"/>
    </row>
    <row r="10" spans="1:6" s="649" customFormat="1" ht="21.9" customHeight="1">
      <c r="A10" s="650">
        <v>8</v>
      </c>
      <c r="B10" s="650">
        <v>908</v>
      </c>
      <c r="C10" s="651">
        <v>925</v>
      </c>
      <c r="D10" s="651">
        <v>30</v>
      </c>
      <c r="E10" s="651">
        <v>188</v>
      </c>
      <c r="F10" s="652"/>
    </row>
    <row r="11" spans="1:6" s="649" customFormat="1" ht="21.9" customHeight="1">
      <c r="A11" s="650">
        <v>9</v>
      </c>
      <c r="B11" s="650">
        <v>909</v>
      </c>
      <c r="C11" s="651">
        <v>1990</v>
      </c>
      <c r="D11" s="651">
        <v>35</v>
      </c>
      <c r="E11" s="651">
        <v>359</v>
      </c>
      <c r="F11" s="652"/>
    </row>
    <row r="12" spans="1:6" s="649" customFormat="1" ht="21.9" customHeight="1">
      <c r="A12" s="650">
        <v>10</v>
      </c>
      <c r="B12" s="650">
        <v>910</v>
      </c>
      <c r="C12" s="651">
        <v>4</v>
      </c>
      <c r="D12" s="651">
        <v>0</v>
      </c>
      <c r="E12" s="651">
        <v>50</v>
      </c>
      <c r="F12" s="653"/>
    </row>
    <row r="13" spans="1:6" s="649" customFormat="1" ht="21.9" customHeight="1">
      <c r="A13" s="650">
        <v>11</v>
      </c>
      <c r="B13" s="650" t="s">
        <v>719</v>
      </c>
      <c r="C13" s="651">
        <v>0</v>
      </c>
      <c r="D13" s="651">
        <v>0</v>
      </c>
      <c r="E13" s="651">
        <v>19</v>
      </c>
      <c r="F13" s="650"/>
    </row>
    <row r="14" spans="1:6" s="649" customFormat="1" ht="21.9" customHeight="1">
      <c r="A14" s="650">
        <v>12</v>
      </c>
      <c r="B14" s="650" t="s">
        <v>664</v>
      </c>
      <c r="C14" s="651">
        <v>144</v>
      </c>
      <c r="D14" s="651">
        <v>0</v>
      </c>
      <c r="E14" s="651">
        <v>544</v>
      </c>
      <c r="F14" s="650"/>
    </row>
    <row r="15" spans="1:6" s="649" customFormat="1" ht="21.9" customHeight="1">
      <c r="A15" s="654">
        <v>13</v>
      </c>
      <c r="B15" s="654" t="s">
        <v>734</v>
      </c>
      <c r="C15" s="655">
        <v>87</v>
      </c>
      <c r="D15" s="655">
        <v>8</v>
      </c>
      <c r="E15" s="655">
        <v>126</v>
      </c>
      <c r="F15" s="654"/>
    </row>
    <row r="16" spans="1:6" s="649" customFormat="1" ht="21.9" customHeight="1">
      <c r="A16" s="1420" t="s">
        <v>239</v>
      </c>
      <c r="B16" s="1420"/>
      <c r="C16" s="657">
        <f>SUM(C3:C15)</f>
        <v>11892</v>
      </c>
      <c r="D16" s="657">
        <f>SUM(D3:D15)</f>
        <v>294</v>
      </c>
      <c r="E16" s="657">
        <f>SUM(E3:E15)</f>
        <v>2976</v>
      </c>
      <c r="F16" s="658"/>
    </row>
    <row r="17" spans="3:6" ht="9.9" customHeight="1"/>
    <row r="18" spans="3:6">
      <c r="E18" s="659"/>
      <c r="F18" s="659"/>
    </row>
    <row r="19" spans="3:6">
      <c r="C19" s="1409" t="s">
        <v>959</v>
      </c>
      <c r="D19" s="1409"/>
      <c r="E19" s="1409"/>
      <c r="F19" s="1409"/>
    </row>
    <row r="20" spans="3:6">
      <c r="C20" s="1406" t="s">
        <v>876</v>
      </c>
      <c r="D20" s="1406"/>
      <c r="E20" s="1406"/>
      <c r="F20" s="1406"/>
    </row>
    <row r="21" spans="3:6">
      <c r="C21" s="670"/>
      <c r="D21" s="670"/>
      <c r="E21" s="670"/>
      <c r="F21" s="670"/>
    </row>
    <row r="22" spans="3:6">
      <c r="C22" s="670"/>
      <c r="D22" s="670"/>
      <c r="E22" s="670"/>
      <c r="F22" s="670"/>
    </row>
    <row r="23" spans="3:6">
      <c r="C23" s="670"/>
      <c r="D23" s="670"/>
      <c r="E23" s="670"/>
      <c r="F23" s="670"/>
    </row>
    <row r="24" spans="3:6">
      <c r="C24" s="671"/>
      <c r="D24" s="671"/>
      <c r="E24" s="671"/>
      <c r="F24" s="671"/>
    </row>
    <row r="25" spans="3:6">
      <c r="C25" s="671"/>
      <c r="D25" s="671"/>
      <c r="E25" s="671"/>
      <c r="F25" s="671"/>
    </row>
    <row r="26" spans="3:6">
      <c r="C26" s="671"/>
      <c r="D26" s="671"/>
      <c r="E26" s="671"/>
      <c r="F26" s="671"/>
    </row>
    <row r="27" spans="3:6">
      <c r="C27" s="671"/>
      <c r="D27" s="671"/>
      <c r="E27" s="671"/>
      <c r="F27" s="671"/>
    </row>
    <row r="28" spans="3:6">
      <c r="C28" s="1406" t="s">
        <v>877</v>
      </c>
      <c r="D28" s="1406"/>
      <c r="E28" s="1406"/>
      <c r="F28" s="1406"/>
    </row>
  </sheetData>
  <mergeCells count="5">
    <mergeCell ref="C28:F28"/>
    <mergeCell ref="A1:F1"/>
    <mergeCell ref="A16:B16"/>
    <mergeCell ref="C19:F19"/>
    <mergeCell ref="C20:F20"/>
  </mergeCells>
  <phoneticPr fontId="60" type="noConversion"/>
  <pageMargins left="0.7" right="0.7" top="0.75" bottom="0.75" header="0.3" footer="0.3"/>
  <pageSetup paperSize="9"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topLeftCell="A16" workbookViewId="0">
      <selection activeCell="K27" sqref="K27"/>
    </sheetView>
  </sheetViews>
  <sheetFormatPr defaultRowHeight="15"/>
  <cols>
    <col min="1" max="1" width="5.90625" customWidth="1"/>
    <col min="2" max="2" width="11.36328125" customWidth="1"/>
    <col min="3" max="3" width="12.6328125" customWidth="1"/>
    <col min="4" max="4" width="10.54296875" customWidth="1"/>
    <col min="5" max="5" width="10.90625" customWidth="1"/>
    <col min="6" max="6" width="8" customWidth="1"/>
    <col min="7" max="7" width="7.81640625" customWidth="1"/>
    <col min="8" max="8" width="8.6328125" customWidth="1"/>
  </cols>
  <sheetData>
    <row r="1" spans="1:8" s="672" customFormat="1" ht="24.9" customHeight="1">
      <c r="A1" s="1423" t="s">
        <v>878</v>
      </c>
      <c r="B1" s="1423"/>
      <c r="C1" s="1423"/>
      <c r="D1" s="1423"/>
      <c r="E1" s="1423"/>
      <c r="F1" s="1423"/>
      <c r="G1" s="1423"/>
      <c r="H1" s="1423"/>
    </row>
    <row r="2" spans="1:8" ht="9.9" customHeight="1">
      <c r="A2" s="673"/>
      <c r="B2" s="673"/>
      <c r="C2" s="673"/>
      <c r="D2" s="673"/>
      <c r="E2" s="673"/>
      <c r="F2" s="673"/>
      <c r="G2" s="673"/>
      <c r="H2" s="673"/>
    </row>
    <row r="3" spans="1:8" s="674" customFormat="1" ht="23.4" customHeight="1">
      <c r="A3" s="1424" t="s">
        <v>14</v>
      </c>
      <c r="B3" s="1424" t="s">
        <v>879</v>
      </c>
      <c r="C3" s="1424" t="s">
        <v>743</v>
      </c>
      <c r="D3" s="1424"/>
      <c r="E3" s="1424" t="s">
        <v>702</v>
      </c>
      <c r="F3" s="1426" t="s">
        <v>880</v>
      </c>
      <c r="G3" s="1427"/>
      <c r="H3" s="1424" t="s">
        <v>523</v>
      </c>
    </row>
    <row r="4" spans="1:8" s="674" customFormat="1" ht="23.4" customHeight="1">
      <c r="A4" s="1425"/>
      <c r="B4" s="1425"/>
      <c r="C4" s="1000" t="s">
        <v>881</v>
      </c>
      <c r="D4" s="1000" t="s">
        <v>882</v>
      </c>
      <c r="E4" s="1425"/>
      <c r="F4" s="1000" t="s">
        <v>883</v>
      </c>
      <c r="G4" s="1000" t="s">
        <v>884</v>
      </c>
      <c r="H4" s="1425"/>
    </row>
    <row r="5" spans="1:8" s="675" customFormat="1" ht="15" customHeight="1">
      <c r="A5" s="1001">
        <v>1</v>
      </c>
      <c r="B5" s="1421" t="s">
        <v>666</v>
      </c>
      <c r="C5" s="1001" t="s">
        <v>885</v>
      </c>
      <c r="D5" s="1001"/>
      <c r="E5" s="1421" t="s">
        <v>886</v>
      </c>
      <c r="F5" s="1002"/>
      <c r="G5" s="1001"/>
      <c r="H5" s="1001"/>
    </row>
    <row r="6" spans="1:8" s="675" customFormat="1" ht="15" customHeight="1">
      <c r="A6" s="1003">
        <v>2</v>
      </c>
      <c r="B6" s="1422"/>
      <c r="C6" s="1003"/>
      <c r="D6" s="1003" t="s">
        <v>887</v>
      </c>
      <c r="E6" s="1422"/>
      <c r="F6" s="1004"/>
      <c r="G6" s="1003"/>
      <c r="H6" s="1003"/>
    </row>
    <row r="7" spans="1:8" s="675" customFormat="1" ht="15" customHeight="1">
      <c r="A7" s="1005">
        <v>3</v>
      </c>
      <c r="B7" s="1005" t="s">
        <v>763</v>
      </c>
      <c r="C7" s="1005" t="s">
        <v>888</v>
      </c>
      <c r="D7" s="1005"/>
      <c r="E7" s="1005" t="s">
        <v>889</v>
      </c>
      <c r="F7" s="1006"/>
      <c r="G7" s="1005"/>
      <c r="H7" s="1005"/>
    </row>
    <row r="8" spans="1:8" s="675" customFormat="1" ht="15" customHeight="1">
      <c r="A8" s="1001">
        <v>4</v>
      </c>
      <c r="B8" s="1421" t="s">
        <v>778</v>
      </c>
      <c r="C8" s="1001" t="s">
        <v>890</v>
      </c>
      <c r="D8" s="1001"/>
      <c r="E8" s="1421" t="s">
        <v>538</v>
      </c>
      <c r="F8" s="1001"/>
      <c r="G8" s="1007"/>
      <c r="H8" s="1001"/>
    </row>
    <row r="9" spans="1:8" s="675" customFormat="1" ht="15" customHeight="1">
      <c r="A9" s="1003">
        <v>5</v>
      </c>
      <c r="B9" s="1422"/>
      <c r="C9" s="1003"/>
      <c r="D9" s="1003" t="s">
        <v>891</v>
      </c>
      <c r="E9" s="1422"/>
      <c r="F9" s="1003">
        <v>1</v>
      </c>
      <c r="G9" s="1008"/>
      <c r="H9" s="1003"/>
    </row>
    <row r="10" spans="1:8" s="675" customFormat="1" ht="15" customHeight="1">
      <c r="A10" s="1001">
        <v>6</v>
      </c>
      <c r="B10" s="1421" t="s">
        <v>781</v>
      </c>
      <c r="C10" s="1001" t="s">
        <v>892</v>
      </c>
      <c r="D10" s="1001"/>
      <c r="E10" s="1421" t="s">
        <v>893</v>
      </c>
      <c r="F10" s="1009"/>
      <c r="G10" s="1001">
        <v>2</v>
      </c>
      <c r="H10" s="1001"/>
    </row>
    <row r="11" spans="1:8" s="675" customFormat="1" ht="15" customHeight="1">
      <c r="A11" s="1003">
        <v>7</v>
      </c>
      <c r="B11" s="1422"/>
      <c r="C11" s="1003"/>
      <c r="D11" s="1003" t="s">
        <v>775</v>
      </c>
      <c r="E11" s="1422"/>
      <c r="F11" s="1010"/>
      <c r="G11" s="1003">
        <v>2</v>
      </c>
      <c r="H11" s="1003"/>
    </row>
    <row r="12" spans="1:8" s="675" customFormat="1" ht="15" customHeight="1">
      <c r="A12" s="1001">
        <v>8</v>
      </c>
      <c r="B12" s="1421" t="s">
        <v>678</v>
      </c>
      <c r="C12" s="1001" t="s">
        <v>894</v>
      </c>
      <c r="D12" s="1001"/>
      <c r="E12" s="1421" t="s">
        <v>678</v>
      </c>
      <c r="F12" s="1001">
        <v>1</v>
      </c>
      <c r="G12" s="1007"/>
      <c r="H12" s="1001"/>
    </row>
    <row r="13" spans="1:8" s="675" customFormat="1" ht="15" customHeight="1">
      <c r="A13" s="1003">
        <v>9</v>
      </c>
      <c r="B13" s="1422"/>
      <c r="C13" s="1003"/>
      <c r="D13" s="1003" t="s">
        <v>895</v>
      </c>
      <c r="E13" s="1422"/>
      <c r="F13" s="1003">
        <v>1</v>
      </c>
      <c r="G13" s="1008"/>
      <c r="H13" s="1003"/>
    </row>
    <row r="14" spans="1:8" s="675" customFormat="1" ht="15" customHeight="1">
      <c r="A14" s="1001">
        <v>10</v>
      </c>
      <c r="B14" s="1421" t="s">
        <v>805</v>
      </c>
      <c r="C14" s="1001" t="s">
        <v>759</v>
      </c>
      <c r="D14" s="1001"/>
      <c r="E14" s="1421" t="s">
        <v>665</v>
      </c>
      <c r="F14" s="1009"/>
      <c r="G14" s="1001">
        <v>2</v>
      </c>
      <c r="H14" s="1001"/>
    </row>
    <row r="15" spans="1:8" s="675" customFormat="1" ht="15" customHeight="1">
      <c r="A15" s="1011">
        <v>11</v>
      </c>
      <c r="B15" s="1428"/>
      <c r="C15" s="1011"/>
      <c r="D15" s="1011" t="s">
        <v>806</v>
      </c>
      <c r="E15" s="1428"/>
      <c r="F15" s="1012"/>
      <c r="G15" s="1011">
        <v>1</v>
      </c>
      <c r="H15" s="1011"/>
    </row>
    <row r="16" spans="1:8" s="675" customFormat="1" ht="15" customHeight="1">
      <c r="A16" s="1011">
        <v>12</v>
      </c>
      <c r="B16" s="1428"/>
      <c r="C16" s="1011" t="s">
        <v>872</v>
      </c>
      <c r="D16" s="1011"/>
      <c r="E16" s="1428" t="s">
        <v>896</v>
      </c>
      <c r="F16" s="1011">
        <v>1</v>
      </c>
      <c r="G16" s="1013"/>
      <c r="H16" s="1011"/>
    </row>
    <row r="17" spans="1:8" s="675" customFormat="1" ht="15" customHeight="1">
      <c r="A17" s="1003">
        <v>13</v>
      </c>
      <c r="B17" s="1422"/>
      <c r="C17" s="1003"/>
      <c r="D17" s="1003" t="s">
        <v>808</v>
      </c>
      <c r="E17" s="1422"/>
      <c r="F17" s="1003">
        <v>1</v>
      </c>
      <c r="G17" s="1008"/>
      <c r="H17" s="1003"/>
    </row>
    <row r="18" spans="1:8" s="675" customFormat="1" ht="15" customHeight="1">
      <c r="A18" s="1001">
        <v>14</v>
      </c>
      <c r="B18" s="1421" t="s">
        <v>602</v>
      </c>
      <c r="C18" s="1001" t="s">
        <v>818</v>
      </c>
      <c r="D18" s="1001"/>
      <c r="E18" s="1421" t="s">
        <v>897</v>
      </c>
      <c r="F18" s="1001">
        <v>1</v>
      </c>
      <c r="G18" s="1007"/>
      <c r="H18" s="1001"/>
    </row>
    <row r="19" spans="1:8" s="675" customFormat="1" ht="15" customHeight="1">
      <c r="A19" s="1003">
        <v>15</v>
      </c>
      <c r="B19" s="1422"/>
      <c r="C19" s="1003"/>
      <c r="D19" s="1003" t="s">
        <v>898</v>
      </c>
      <c r="E19" s="1422"/>
      <c r="F19" s="1003">
        <v>1</v>
      </c>
      <c r="G19" s="1008"/>
      <c r="H19" s="1003"/>
    </row>
    <row r="20" spans="1:8" s="675" customFormat="1" ht="15" customHeight="1">
      <c r="A20" s="1001">
        <v>16</v>
      </c>
      <c r="B20" s="1421" t="s">
        <v>579</v>
      </c>
      <c r="C20" s="1001" t="s">
        <v>899</v>
      </c>
      <c r="D20" s="1001"/>
      <c r="E20" s="1421" t="s">
        <v>579</v>
      </c>
      <c r="F20" s="1001"/>
      <c r="G20" s="1007"/>
      <c r="H20" s="1001"/>
    </row>
    <row r="21" spans="1:8" s="675" customFormat="1" ht="15" customHeight="1">
      <c r="A21" s="1003">
        <v>17</v>
      </c>
      <c r="B21" s="1422"/>
      <c r="C21" s="1003"/>
      <c r="D21" s="1003" t="s">
        <v>900</v>
      </c>
      <c r="E21" s="1422"/>
      <c r="F21" s="1003"/>
      <c r="G21" s="1008"/>
      <c r="H21" s="1003"/>
    </row>
    <row r="22" spans="1:8" s="675" customFormat="1" ht="15" customHeight="1">
      <c r="A22" s="1001">
        <v>18</v>
      </c>
      <c r="B22" s="1421" t="s">
        <v>834</v>
      </c>
      <c r="C22" s="1001" t="s">
        <v>901</v>
      </c>
      <c r="D22" s="1001"/>
      <c r="E22" s="1421" t="s">
        <v>902</v>
      </c>
      <c r="F22" s="1001"/>
      <c r="G22" s="1007"/>
      <c r="H22" s="1001"/>
    </row>
    <row r="23" spans="1:8" s="675" customFormat="1" ht="15" customHeight="1">
      <c r="A23" s="1003">
        <v>19</v>
      </c>
      <c r="B23" s="1422"/>
      <c r="C23" s="1003"/>
      <c r="D23" s="1003" t="s">
        <v>903</v>
      </c>
      <c r="E23" s="1422"/>
      <c r="F23" s="1003">
        <v>1</v>
      </c>
      <c r="G23" s="1008"/>
      <c r="H23" s="1003"/>
    </row>
    <row r="24" spans="1:8" s="675" customFormat="1" ht="15" customHeight="1">
      <c r="A24" s="1001">
        <v>20</v>
      </c>
      <c r="B24" s="1421" t="s">
        <v>836</v>
      </c>
      <c r="C24" s="1001" t="s">
        <v>888</v>
      </c>
      <c r="D24" s="1001"/>
      <c r="E24" s="1421" t="s">
        <v>836</v>
      </c>
      <c r="F24" s="1001"/>
      <c r="G24" s="1007"/>
      <c r="H24" s="1001"/>
    </row>
    <row r="25" spans="1:8" s="675" customFormat="1" ht="15" customHeight="1">
      <c r="A25" s="1011">
        <v>21</v>
      </c>
      <c r="B25" s="1428"/>
      <c r="C25" s="1011"/>
      <c r="D25" s="1011" t="s">
        <v>904</v>
      </c>
      <c r="E25" s="1428"/>
      <c r="F25" s="1011">
        <v>2</v>
      </c>
      <c r="G25" s="1013"/>
      <c r="H25" s="1011"/>
    </row>
    <row r="26" spans="1:8" s="675" customFormat="1" ht="15" customHeight="1">
      <c r="A26" s="1011">
        <v>22</v>
      </c>
      <c r="B26" s="1428"/>
      <c r="C26" s="1011" t="s">
        <v>905</v>
      </c>
      <c r="D26" s="1011"/>
      <c r="E26" s="1428" t="s">
        <v>906</v>
      </c>
      <c r="F26" s="1011">
        <v>2</v>
      </c>
      <c r="G26" s="1013"/>
      <c r="H26" s="1011"/>
    </row>
    <row r="27" spans="1:8" s="675" customFormat="1" ht="15" customHeight="1">
      <c r="A27" s="1003">
        <v>23</v>
      </c>
      <c r="B27" s="1422"/>
      <c r="C27" s="1003"/>
      <c r="D27" s="1003" t="s">
        <v>907</v>
      </c>
      <c r="E27" s="1422"/>
      <c r="F27" s="1003">
        <v>1</v>
      </c>
      <c r="G27" s="1008"/>
      <c r="H27" s="1003"/>
    </row>
    <row r="28" spans="1:8" s="675" customFormat="1" ht="15" customHeight="1">
      <c r="A28" s="1001">
        <v>24</v>
      </c>
      <c r="B28" s="1421" t="s">
        <v>683</v>
      </c>
      <c r="C28" s="1001" t="s">
        <v>908</v>
      </c>
      <c r="D28" s="1001"/>
      <c r="E28" s="1421" t="s">
        <v>683</v>
      </c>
      <c r="F28" s="1001">
        <v>2</v>
      </c>
      <c r="G28" s="1007"/>
      <c r="H28" s="1001"/>
    </row>
    <row r="29" spans="1:8" s="675" customFormat="1" ht="15" customHeight="1">
      <c r="A29" s="1003">
        <v>25</v>
      </c>
      <c r="B29" s="1422"/>
      <c r="C29" s="1003"/>
      <c r="D29" s="1003" t="s">
        <v>804</v>
      </c>
      <c r="E29" s="1422"/>
      <c r="F29" s="1003">
        <v>1</v>
      </c>
      <c r="G29" s="1008"/>
      <c r="H29" s="1003"/>
    </row>
    <row r="30" spans="1:8" s="675" customFormat="1" ht="15" customHeight="1">
      <c r="A30" s="1001">
        <v>26</v>
      </c>
      <c r="B30" s="1431" t="s">
        <v>855</v>
      </c>
      <c r="C30" s="1001" t="s">
        <v>828</v>
      </c>
      <c r="D30" s="1001"/>
      <c r="E30" s="1421" t="s">
        <v>909</v>
      </c>
      <c r="F30" s="1009"/>
      <c r="G30" s="1001">
        <v>1</v>
      </c>
      <c r="H30" s="1001"/>
    </row>
    <row r="31" spans="1:8" s="675" customFormat="1" ht="15" customHeight="1">
      <c r="A31" s="1011">
        <v>27</v>
      </c>
      <c r="B31" s="1432"/>
      <c r="C31" s="1011"/>
      <c r="D31" s="1011" t="s">
        <v>910</v>
      </c>
      <c r="E31" s="1428"/>
      <c r="F31" s="1012"/>
      <c r="G31" s="1011">
        <v>1</v>
      </c>
      <c r="H31" s="1011"/>
    </row>
    <row r="32" spans="1:8" s="675" customFormat="1" ht="15" customHeight="1">
      <c r="A32" s="1011">
        <v>28</v>
      </c>
      <c r="B32" s="1432"/>
      <c r="C32" s="1011" t="s">
        <v>911</v>
      </c>
      <c r="D32" s="1011"/>
      <c r="E32" s="1428" t="s">
        <v>572</v>
      </c>
      <c r="F32" s="1011"/>
      <c r="G32" s="1013"/>
      <c r="H32" s="1011"/>
    </row>
    <row r="33" spans="1:8" s="675" customFormat="1" ht="15" customHeight="1">
      <c r="A33" s="1011">
        <v>29</v>
      </c>
      <c r="B33" s="1432"/>
      <c r="C33" s="1011"/>
      <c r="D33" s="1011" t="s">
        <v>912</v>
      </c>
      <c r="E33" s="1428"/>
      <c r="F33" s="1011">
        <v>2</v>
      </c>
      <c r="G33" s="1013"/>
      <c r="H33" s="1011"/>
    </row>
    <row r="34" spans="1:8" s="675" customFormat="1" ht="15" customHeight="1">
      <c r="A34" s="1011">
        <v>30</v>
      </c>
      <c r="B34" s="1432"/>
      <c r="C34" s="1011" t="s">
        <v>913</v>
      </c>
      <c r="D34" s="1011"/>
      <c r="E34" s="1428" t="s">
        <v>914</v>
      </c>
      <c r="F34" s="1011">
        <v>2</v>
      </c>
      <c r="G34" s="1013"/>
      <c r="H34" s="1011"/>
    </row>
    <row r="35" spans="1:8" s="675" customFormat="1" ht="15" customHeight="1">
      <c r="A35" s="1003">
        <v>31</v>
      </c>
      <c r="B35" s="1432"/>
      <c r="C35" s="1014"/>
      <c r="D35" s="1014" t="s">
        <v>915</v>
      </c>
      <c r="E35" s="1433"/>
      <c r="F35" s="1014">
        <v>2</v>
      </c>
      <c r="G35" s="1015"/>
      <c r="H35" s="1014"/>
    </row>
    <row r="36" spans="1:8" s="675" customFormat="1" ht="15" customHeight="1">
      <c r="A36" s="1001">
        <v>32</v>
      </c>
      <c r="B36" s="1436" t="s">
        <v>785</v>
      </c>
      <c r="C36" s="1001" t="s">
        <v>916</v>
      </c>
      <c r="D36" s="1016"/>
      <c r="E36" s="1438" t="s">
        <v>855</v>
      </c>
      <c r="F36" s="1001"/>
      <c r="G36" s="1001">
        <v>2</v>
      </c>
      <c r="H36" s="1001"/>
    </row>
    <row r="37" spans="1:8" s="675" customFormat="1" ht="15" customHeight="1">
      <c r="A37" s="1011">
        <v>33</v>
      </c>
      <c r="B37" s="1437"/>
      <c r="C37" s="1017"/>
      <c r="D37" s="1003" t="s">
        <v>917</v>
      </c>
      <c r="E37" s="1439"/>
      <c r="F37" s="1018"/>
      <c r="G37" s="1011">
        <v>1</v>
      </c>
      <c r="H37" s="1011"/>
    </row>
    <row r="38" spans="1:8" s="676" customFormat="1" ht="15" customHeight="1">
      <c r="A38" s="1434" t="s">
        <v>918</v>
      </c>
      <c r="B38" s="1435"/>
      <c r="C38" s="1435"/>
      <c r="D38" s="1435"/>
      <c r="E38" s="1435"/>
      <c r="F38" s="1019">
        <f>SUM(F5:F37)</f>
        <v>22</v>
      </c>
      <c r="G38" s="1019">
        <f>SUM(G5:G37)</f>
        <v>12</v>
      </c>
      <c r="H38" s="1020"/>
    </row>
    <row r="39" spans="1:8" ht="9.9" customHeight="1">
      <c r="A39" s="1021"/>
      <c r="B39" s="1021"/>
      <c r="C39" s="1021"/>
      <c r="D39" s="1021"/>
      <c r="E39" s="1021"/>
      <c r="F39" s="1021"/>
      <c r="G39" s="1021"/>
      <c r="H39" s="1022"/>
    </row>
    <row r="40" spans="1:8">
      <c r="A40" s="6"/>
      <c r="B40" s="6"/>
      <c r="C40" s="6"/>
      <c r="D40" s="6"/>
      <c r="E40" s="1429" t="s">
        <v>1014</v>
      </c>
      <c r="F40" s="1429"/>
      <c r="G40" s="1429"/>
      <c r="H40" s="1429"/>
    </row>
    <row r="41" spans="1:8">
      <c r="A41" s="6"/>
      <c r="B41" s="6"/>
      <c r="C41" s="6"/>
      <c r="D41" s="6"/>
      <c r="E41" s="1023"/>
      <c r="F41" s="1430" t="s">
        <v>876</v>
      </c>
      <c r="G41" s="1430"/>
      <c r="H41" s="1023"/>
    </row>
    <row r="42" spans="1:8">
      <c r="A42" s="6"/>
      <c r="B42" s="6"/>
      <c r="C42" s="6"/>
      <c r="D42" s="6"/>
      <c r="E42" s="18"/>
      <c r="F42" s="18"/>
      <c r="G42" s="18"/>
      <c r="H42" s="18"/>
    </row>
    <row r="43" spans="1:8">
      <c r="A43" s="1024"/>
      <c r="B43" s="1024"/>
      <c r="C43" s="1024"/>
      <c r="D43" s="1024"/>
      <c r="E43" s="1022"/>
      <c r="F43" s="1022"/>
      <c r="G43" s="1022"/>
      <c r="H43" s="1022"/>
    </row>
    <row r="44" spans="1:8">
      <c r="A44" s="1024"/>
      <c r="B44" s="1024"/>
      <c r="C44" s="1024"/>
      <c r="D44" s="1024"/>
      <c r="E44" s="1022"/>
      <c r="F44" s="1022"/>
      <c r="G44" s="1022"/>
      <c r="H44" s="1022"/>
    </row>
    <row r="45" spans="1:8">
      <c r="A45" s="1024"/>
      <c r="B45" s="1024"/>
      <c r="C45" s="1024"/>
      <c r="D45" s="1024"/>
      <c r="E45" s="1022"/>
      <c r="F45" s="1022"/>
      <c r="G45" s="1022"/>
      <c r="H45" s="1022"/>
    </row>
    <row r="46" spans="1:8">
      <c r="A46" s="1024"/>
      <c r="B46" s="1024"/>
      <c r="C46" s="1024"/>
      <c r="D46" s="1024"/>
      <c r="E46" s="1022"/>
      <c r="F46" s="1022"/>
      <c r="G46" s="1022"/>
      <c r="H46" s="1022"/>
    </row>
    <row r="47" spans="1:8">
      <c r="A47" s="1024"/>
      <c r="B47" s="1024"/>
      <c r="C47" s="1024"/>
      <c r="D47" s="1024"/>
      <c r="E47" s="1023"/>
      <c r="F47" s="1430" t="s">
        <v>877</v>
      </c>
      <c r="G47" s="1430"/>
      <c r="H47" s="1023"/>
    </row>
  </sheetData>
  <mergeCells count="39">
    <mergeCell ref="F41:G41"/>
    <mergeCell ref="F47:G47"/>
    <mergeCell ref="E28:E29"/>
    <mergeCell ref="B30:B35"/>
    <mergeCell ref="E30:E31"/>
    <mergeCell ref="E32:E33"/>
    <mergeCell ref="E34:E35"/>
    <mergeCell ref="A38:E38"/>
    <mergeCell ref="B36:B37"/>
    <mergeCell ref="E36:E37"/>
    <mergeCell ref="B18:B19"/>
    <mergeCell ref="E18:E19"/>
    <mergeCell ref="B20:B21"/>
    <mergeCell ref="E20:E21"/>
    <mergeCell ref="E40:H40"/>
    <mergeCell ref="B22:B23"/>
    <mergeCell ref="E22:E23"/>
    <mergeCell ref="B28:B29"/>
    <mergeCell ref="B24:B27"/>
    <mergeCell ref="E24:E25"/>
    <mergeCell ref="E26:E27"/>
    <mergeCell ref="B12:B13"/>
    <mergeCell ref="E12:E13"/>
    <mergeCell ref="B14:B17"/>
    <mergeCell ref="E14:E15"/>
    <mergeCell ref="B10:B11"/>
    <mergeCell ref="E10:E11"/>
    <mergeCell ref="E16:E17"/>
    <mergeCell ref="B5:B6"/>
    <mergeCell ref="E5:E6"/>
    <mergeCell ref="B8:B9"/>
    <mergeCell ref="E8:E9"/>
    <mergeCell ref="A1:H1"/>
    <mergeCell ref="A3:A4"/>
    <mergeCell ref="B3:B4"/>
    <mergeCell ref="C3:D3"/>
    <mergeCell ref="E3:E4"/>
    <mergeCell ref="F3:G3"/>
    <mergeCell ref="H3:H4"/>
  </mergeCells>
  <phoneticPr fontId="60" type="noConversion"/>
  <pageMargins left="0.7" right="0.36" top="0.57999999999999996" bottom="0.51" header="0.3" footer="0.3"/>
  <pageSetup paperSize="9"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6"/>
  <sheetViews>
    <sheetView topLeftCell="A124" workbookViewId="0">
      <selection activeCell="K27" sqref="K27"/>
    </sheetView>
  </sheetViews>
  <sheetFormatPr defaultColWidth="8.90625" defaultRowHeight="15.6"/>
  <cols>
    <col min="1" max="1" width="4.08984375" style="661" customWidth="1"/>
    <col min="2" max="2" width="12" style="661" customWidth="1"/>
    <col min="3" max="3" width="11" style="661" customWidth="1"/>
    <col min="4" max="4" width="6.54296875" style="661" customWidth="1"/>
    <col min="5" max="5" width="10.453125" style="661" customWidth="1"/>
    <col min="6" max="6" width="6.453125" style="661" customWidth="1"/>
    <col min="7" max="7" width="7.90625" style="661" customWidth="1"/>
    <col min="8" max="8" width="7.36328125" style="661" customWidth="1"/>
    <col min="9" max="9" width="9.54296875" style="661" customWidth="1"/>
    <col min="10" max="16384" width="8.90625" style="661"/>
  </cols>
  <sheetData>
    <row r="1" spans="1:9" ht="20.100000000000001" customHeight="1">
      <c r="A1" s="1440" t="s">
        <v>741</v>
      </c>
      <c r="B1" s="1440"/>
      <c r="C1" s="1440"/>
      <c r="D1" s="1440"/>
      <c r="E1" s="1440"/>
      <c r="F1" s="1440"/>
      <c r="G1" s="1440"/>
      <c r="H1" s="1440"/>
      <c r="I1" s="1440"/>
    </row>
    <row r="2" spans="1:9" ht="20.100000000000001" customHeight="1">
      <c r="A2" s="660"/>
      <c r="B2" s="660"/>
      <c r="C2" s="660"/>
      <c r="D2" s="660"/>
      <c r="E2" s="660"/>
      <c r="F2" s="660"/>
      <c r="G2" s="660"/>
      <c r="H2" s="660"/>
      <c r="I2" s="660"/>
    </row>
    <row r="3" spans="1:9" ht="9.9" customHeight="1">
      <c r="A3" s="660"/>
      <c r="B3" s="660"/>
      <c r="C3" s="660"/>
      <c r="D3" s="660"/>
      <c r="E3" s="660"/>
      <c r="F3" s="660"/>
      <c r="G3" s="660"/>
      <c r="H3" s="660"/>
      <c r="I3" s="660"/>
    </row>
    <row r="4" spans="1:9" ht="32.25" customHeight="1">
      <c r="A4" s="662" t="s">
        <v>14</v>
      </c>
      <c r="B4" s="662" t="s">
        <v>742</v>
      </c>
      <c r="C4" s="662" t="s">
        <v>743</v>
      </c>
      <c r="D4" s="662" t="s">
        <v>744</v>
      </c>
      <c r="E4" s="573" t="s">
        <v>745</v>
      </c>
      <c r="F4" s="662" t="s">
        <v>746</v>
      </c>
      <c r="G4" s="662" t="s">
        <v>747</v>
      </c>
      <c r="H4" s="573" t="s">
        <v>748</v>
      </c>
      <c r="I4" s="662" t="s">
        <v>523</v>
      </c>
    </row>
    <row r="5" spans="1:9" ht="18.149999999999999" customHeight="1">
      <c r="A5" s="663">
        <v>1</v>
      </c>
      <c r="B5" s="1371" t="s">
        <v>666</v>
      </c>
      <c r="C5" s="1441" t="s">
        <v>749</v>
      </c>
      <c r="D5" s="1441" t="s">
        <v>535</v>
      </c>
      <c r="E5" s="663" t="s">
        <v>750</v>
      </c>
      <c r="F5" s="663" t="s">
        <v>751</v>
      </c>
      <c r="G5" s="663" t="s">
        <v>752</v>
      </c>
      <c r="H5" s="663"/>
      <c r="I5" s="663" t="s">
        <v>753</v>
      </c>
    </row>
    <row r="6" spans="1:9" ht="18.149999999999999" customHeight="1">
      <c r="A6" s="101">
        <v>2</v>
      </c>
      <c r="B6" s="1372"/>
      <c r="C6" s="1442"/>
      <c r="D6" s="1442"/>
      <c r="E6" s="101" t="s">
        <v>754</v>
      </c>
      <c r="F6" s="101" t="s">
        <v>755</v>
      </c>
      <c r="G6" s="101">
        <v>2</v>
      </c>
      <c r="H6" s="101"/>
      <c r="I6" s="101"/>
    </row>
    <row r="7" spans="1:9" ht="18.149999999999999" customHeight="1">
      <c r="A7" s="101">
        <v>3</v>
      </c>
      <c r="B7" s="1372"/>
      <c r="C7" s="101" t="s">
        <v>756</v>
      </c>
      <c r="D7" s="101" t="s">
        <v>535</v>
      </c>
      <c r="E7" s="101" t="s">
        <v>757</v>
      </c>
      <c r="F7" s="101" t="s">
        <v>755</v>
      </c>
      <c r="G7" s="101">
        <v>2</v>
      </c>
      <c r="H7" s="101">
        <v>1</v>
      </c>
      <c r="I7" s="101"/>
    </row>
    <row r="8" spans="1:9" ht="18.149999999999999" customHeight="1">
      <c r="A8" s="101">
        <v>4</v>
      </c>
      <c r="B8" s="1372"/>
      <c r="C8" s="101" t="s">
        <v>758</v>
      </c>
      <c r="D8" s="101" t="s">
        <v>536</v>
      </c>
      <c r="E8" s="101" t="s">
        <v>757</v>
      </c>
      <c r="F8" s="101" t="s">
        <v>755</v>
      </c>
      <c r="G8" s="101">
        <v>2</v>
      </c>
      <c r="H8" s="101">
        <v>1</v>
      </c>
      <c r="I8" s="101"/>
    </row>
    <row r="9" spans="1:9" ht="18.149999999999999" customHeight="1">
      <c r="A9" s="101">
        <v>5</v>
      </c>
      <c r="B9" s="1372"/>
      <c r="C9" s="101" t="s">
        <v>759</v>
      </c>
      <c r="D9" s="101" t="s">
        <v>535</v>
      </c>
      <c r="E9" s="101" t="s">
        <v>757</v>
      </c>
      <c r="F9" s="101" t="s">
        <v>755</v>
      </c>
      <c r="G9" s="101">
        <v>2</v>
      </c>
      <c r="H9" s="101">
        <v>1</v>
      </c>
      <c r="I9" s="101"/>
    </row>
    <row r="10" spans="1:9" ht="18.149999999999999" customHeight="1">
      <c r="A10" s="101">
        <v>6</v>
      </c>
      <c r="B10" s="1372"/>
      <c r="C10" s="101" t="s">
        <v>760</v>
      </c>
      <c r="D10" s="101" t="s">
        <v>535</v>
      </c>
      <c r="E10" s="101" t="s">
        <v>757</v>
      </c>
      <c r="F10" s="101" t="s">
        <v>761</v>
      </c>
      <c r="G10" s="101">
        <v>2</v>
      </c>
      <c r="H10" s="101">
        <v>1</v>
      </c>
      <c r="I10" s="101"/>
    </row>
    <row r="11" spans="1:9" ht="18.149999999999999" customHeight="1">
      <c r="A11" s="211">
        <v>7</v>
      </c>
      <c r="B11" s="1373"/>
      <c r="C11" s="211" t="s">
        <v>762</v>
      </c>
      <c r="D11" s="211" t="s">
        <v>535</v>
      </c>
      <c r="E11" s="211" t="s">
        <v>757</v>
      </c>
      <c r="F11" s="211" t="s">
        <v>761</v>
      </c>
      <c r="G11" s="211">
        <v>2</v>
      </c>
      <c r="H11" s="101">
        <v>1</v>
      </c>
      <c r="I11" s="101"/>
    </row>
    <row r="12" spans="1:9" ht="18.149999999999999" customHeight="1">
      <c r="A12" s="663">
        <v>8</v>
      </c>
      <c r="B12" s="1443" t="s">
        <v>763</v>
      </c>
      <c r="C12" s="663" t="s">
        <v>749</v>
      </c>
      <c r="D12" s="663" t="s">
        <v>535</v>
      </c>
      <c r="E12" s="663" t="s">
        <v>754</v>
      </c>
      <c r="F12" s="663" t="s">
        <v>755</v>
      </c>
      <c r="G12" s="663">
        <v>2</v>
      </c>
      <c r="H12" s="663"/>
      <c r="I12" s="663"/>
    </row>
    <row r="13" spans="1:9" ht="18.149999999999999" customHeight="1">
      <c r="A13" s="101">
        <v>9</v>
      </c>
      <c r="B13" s="1444"/>
      <c r="C13" s="101" t="s">
        <v>756</v>
      </c>
      <c r="D13" s="101" t="s">
        <v>535</v>
      </c>
      <c r="E13" s="101" t="s">
        <v>754</v>
      </c>
      <c r="F13" s="101" t="s">
        <v>755</v>
      </c>
      <c r="G13" s="101">
        <v>2</v>
      </c>
      <c r="H13" s="101"/>
      <c r="I13" s="101"/>
    </row>
    <row r="14" spans="1:9" ht="18.149999999999999" customHeight="1">
      <c r="A14" s="101">
        <v>10</v>
      </c>
      <c r="B14" s="1444"/>
      <c r="C14" s="101" t="s">
        <v>764</v>
      </c>
      <c r="D14" s="101" t="s">
        <v>535</v>
      </c>
      <c r="E14" s="101" t="s">
        <v>754</v>
      </c>
      <c r="F14" s="101" t="s">
        <v>755</v>
      </c>
      <c r="G14" s="101">
        <v>2</v>
      </c>
      <c r="H14" s="101"/>
      <c r="I14" s="101"/>
    </row>
    <row r="15" spans="1:9" ht="18.149999999999999" customHeight="1">
      <c r="A15" s="101">
        <v>11</v>
      </c>
      <c r="B15" s="1444"/>
      <c r="C15" s="101" t="s">
        <v>765</v>
      </c>
      <c r="D15" s="101" t="s">
        <v>536</v>
      </c>
      <c r="E15" s="101" t="s">
        <v>757</v>
      </c>
      <c r="F15" s="101" t="s">
        <v>755</v>
      </c>
      <c r="G15" s="101">
        <v>2</v>
      </c>
      <c r="H15" s="101">
        <v>1</v>
      </c>
      <c r="I15" s="101"/>
    </row>
    <row r="16" spans="1:9" ht="18.149999999999999" customHeight="1">
      <c r="A16" s="101">
        <v>12</v>
      </c>
      <c r="B16" s="1444"/>
      <c r="C16" s="1447" t="s">
        <v>766</v>
      </c>
      <c r="D16" s="1447" t="s">
        <v>535</v>
      </c>
      <c r="E16" s="101" t="s">
        <v>754</v>
      </c>
      <c r="F16" s="101" t="s">
        <v>761</v>
      </c>
      <c r="G16" s="101">
        <v>1</v>
      </c>
      <c r="H16" s="101"/>
      <c r="I16" s="101"/>
    </row>
    <row r="17" spans="1:9" ht="18.149999999999999" customHeight="1">
      <c r="A17" s="101">
        <v>13</v>
      </c>
      <c r="B17" s="1444"/>
      <c r="C17" s="1447"/>
      <c r="D17" s="1447"/>
      <c r="E17" s="101" t="s">
        <v>754</v>
      </c>
      <c r="F17" s="101" t="s">
        <v>761</v>
      </c>
      <c r="G17" s="101">
        <v>1</v>
      </c>
      <c r="H17" s="101"/>
      <c r="I17" s="101"/>
    </row>
    <row r="18" spans="1:9" ht="18.149999999999999" customHeight="1">
      <c r="A18" s="101">
        <v>14</v>
      </c>
      <c r="B18" s="1444"/>
      <c r="C18" s="1447" t="s">
        <v>767</v>
      </c>
      <c r="D18" s="1447" t="s">
        <v>536</v>
      </c>
      <c r="E18" s="101" t="s">
        <v>754</v>
      </c>
      <c r="F18" s="101" t="s">
        <v>761</v>
      </c>
      <c r="G18" s="101">
        <v>1</v>
      </c>
      <c r="H18" s="101"/>
      <c r="I18" s="101"/>
    </row>
    <row r="19" spans="1:9" ht="18.149999999999999" customHeight="1">
      <c r="A19" s="211">
        <v>15</v>
      </c>
      <c r="B19" s="1445"/>
      <c r="C19" s="1448"/>
      <c r="D19" s="1448"/>
      <c r="E19" s="211" t="s">
        <v>754</v>
      </c>
      <c r="F19" s="211" t="s">
        <v>761</v>
      </c>
      <c r="G19" s="211">
        <v>1</v>
      </c>
      <c r="H19" s="211"/>
      <c r="I19" s="211"/>
    </row>
    <row r="20" spans="1:9" ht="18.149999999999999" customHeight="1">
      <c r="A20" s="663">
        <v>16</v>
      </c>
      <c r="B20" s="1443" t="s">
        <v>768</v>
      </c>
      <c r="C20" s="663" t="s">
        <v>758</v>
      </c>
      <c r="D20" s="663" t="s">
        <v>535</v>
      </c>
      <c r="E20" s="663" t="s">
        <v>754</v>
      </c>
      <c r="F20" s="663" t="s">
        <v>755</v>
      </c>
      <c r="G20" s="663">
        <v>2</v>
      </c>
      <c r="H20" s="663"/>
      <c r="I20" s="663"/>
    </row>
    <row r="21" spans="1:9" ht="18.149999999999999" customHeight="1">
      <c r="A21" s="101">
        <v>17</v>
      </c>
      <c r="B21" s="1444"/>
      <c r="C21" s="101" t="s">
        <v>769</v>
      </c>
      <c r="D21" s="101" t="s">
        <v>535</v>
      </c>
      <c r="E21" s="101" t="s">
        <v>754</v>
      </c>
      <c r="F21" s="101" t="s">
        <v>755</v>
      </c>
      <c r="G21" s="101">
        <v>2</v>
      </c>
      <c r="H21" s="101"/>
      <c r="I21" s="101"/>
    </row>
    <row r="22" spans="1:9" ht="18.149999999999999" customHeight="1">
      <c r="A22" s="101">
        <v>18</v>
      </c>
      <c r="B22" s="1444"/>
      <c r="C22" s="101" t="s">
        <v>770</v>
      </c>
      <c r="D22" s="101" t="s">
        <v>535</v>
      </c>
      <c r="E22" s="101" t="s">
        <v>754</v>
      </c>
      <c r="F22" s="101" t="s">
        <v>755</v>
      </c>
      <c r="G22" s="101">
        <v>2</v>
      </c>
      <c r="H22" s="101"/>
      <c r="I22" s="101"/>
    </row>
    <row r="23" spans="1:9" ht="18.149999999999999" customHeight="1">
      <c r="A23" s="101">
        <v>19</v>
      </c>
      <c r="B23" s="1444"/>
      <c r="C23" s="101" t="s">
        <v>771</v>
      </c>
      <c r="D23" s="101" t="s">
        <v>536</v>
      </c>
      <c r="E23" s="101" t="s">
        <v>757</v>
      </c>
      <c r="F23" s="101" t="s">
        <v>755</v>
      </c>
      <c r="G23" s="101">
        <v>2</v>
      </c>
      <c r="H23" s="101">
        <v>1</v>
      </c>
      <c r="I23" s="101"/>
    </row>
    <row r="24" spans="1:9" ht="18.149999999999999" customHeight="1">
      <c r="A24" s="101">
        <v>20</v>
      </c>
      <c r="B24" s="1444"/>
      <c r="C24" s="101" t="s">
        <v>772</v>
      </c>
      <c r="D24" s="101" t="s">
        <v>535</v>
      </c>
      <c r="E24" s="101" t="s">
        <v>754</v>
      </c>
      <c r="F24" s="101" t="s">
        <v>755</v>
      </c>
      <c r="G24" s="101">
        <v>2</v>
      </c>
      <c r="H24" s="101">
        <v>1</v>
      </c>
      <c r="I24" s="101"/>
    </row>
    <row r="25" spans="1:9" ht="18.149999999999999" customHeight="1">
      <c r="A25" s="101">
        <v>21</v>
      </c>
      <c r="B25" s="1444"/>
      <c r="C25" s="101" t="s">
        <v>773</v>
      </c>
      <c r="D25" s="101" t="s">
        <v>536</v>
      </c>
      <c r="E25" s="101" t="s">
        <v>757</v>
      </c>
      <c r="F25" s="101" t="s">
        <v>755</v>
      </c>
      <c r="G25" s="101">
        <v>2</v>
      </c>
      <c r="H25" s="101">
        <v>1</v>
      </c>
      <c r="I25" s="101"/>
    </row>
    <row r="26" spans="1:9" ht="18.149999999999999" customHeight="1">
      <c r="A26" s="101">
        <v>22</v>
      </c>
      <c r="B26" s="1444"/>
      <c r="C26" s="101" t="s">
        <v>774</v>
      </c>
      <c r="D26" s="101" t="s">
        <v>535</v>
      </c>
      <c r="E26" s="101" t="s">
        <v>757</v>
      </c>
      <c r="F26" s="101" t="s">
        <v>755</v>
      </c>
      <c r="G26" s="101">
        <v>2</v>
      </c>
      <c r="H26" s="101">
        <v>1</v>
      </c>
      <c r="I26" s="101"/>
    </row>
    <row r="27" spans="1:9" ht="18.149999999999999" customHeight="1">
      <c r="A27" s="101">
        <v>23</v>
      </c>
      <c r="B27" s="1444"/>
      <c r="C27" s="101" t="s">
        <v>775</v>
      </c>
      <c r="D27" s="101" t="s">
        <v>535</v>
      </c>
      <c r="E27" s="101" t="s">
        <v>757</v>
      </c>
      <c r="F27" s="101" t="s">
        <v>755</v>
      </c>
      <c r="G27" s="101">
        <v>2</v>
      </c>
      <c r="H27" s="101">
        <v>1</v>
      </c>
      <c r="I27" s="101"/>
    </row>
    <row r="28" spans="1:9" ht="18.149999999999999" customHeight="1">
      <c r="A28" s="101">
        <v>24</v>
      </c>
      <c r="B28" s="1444"/>
      <c r="C28" s="101" t="s">
        <v>776</v>
      </c>
      <c r="D28" s="101" t="s">
        <v>535</v>
      </c>
      <c r="E28" s="101" t="s">
        <v>757</v>
      </c>
      <c r="F28" s="101" t="s">
        <v>755</v>
      </c>
      <c r="G28" s="101">
        <v>2</v>
      </c>
      <c r="H28" s="101"/>
      <c r="I28" s="101"/>
    </row>
    <row r="29" spans="1:9" ht="18.149999999999999" customHeight="1">
      <c r="A29" s="211">
        <v>25</v>
      </c>
      <c r="B29" s="1445"/>
      <c r="C29" s="211" t="s">
        <v>777</v>
      </c>
      <c r="D29" s="211" t="s">
        <v>536</v>
      </c>
      <c r="E29" s="211" t="s">
        <v>754</v>
      </c>
      <c r="F29" s="211" t="s">
        <v>755</v>
      </c>
      <c r="G29" s="211">
        <v>2</v>
      </c>
      <c r="H29" s="211"/>
      <c r="I29" s="211"/>
    </row>
    <row r="30" spans="1:9" ht="18.149999999999999" customHeight="1">
      <c r="A30" s="663">
        <v>26</v>
      </c>
      <c r="B30" s="1443" t="s">
        <v>778</v>
      </c>
      <c r="C30" s="663" t="s">
        <v>749</v>
      </c>
      <c r="D30" s="663" t="s">
        <v>535</v>
      </c>
      <c r="E30" s="663" t="s">
        <v>757</v>
      </c>
      <c r="F30" s="663" t="s">
        <v>755</v>
      </c>
      <c r="G30" s="663">
        <v>2</v>
      </c>
      <c r="H30" s="664">
        <v>1</v>
      </c>
      <c r="I30" s="101"/>
    </row>
    <row r="31" spans="1:9" ht="18.149999999999999" customHeight="1">
      <c r="A31" s="101">
        <v>27</v>
      </c>
      <c r="B31" s="1444"/>
      <c r="C31" s="101" t="s">
        <v>779</v>
      </c>
      <c r="D31" s="101" t="s">
        <v>535</v>
      </c>
      <c r="E31" s="101" t="s">
        <v>754</v>
      </c>
      <c r="F31" s="101" t="s">
        <v>755</v>
      </c>
      <c r="G31" s="101">
        <v>2</v>
      </c>
      <c r="H31" s="101"/>
      <c r="I31" s="101"/>
    </row>
    <row r="32" spans="1:9" ht="18.149999999999999" customHeight="1">
      <c r="A32" s="211">
        <v>28</v>
      </c>
      <c r="B32" s="1445"/>
      <c r="C32" s="211" t="s">
        <v>780</v>
      </c>
      <c r="D32" s="211" t="s">
        <v>535</v>
      </c>
      <c r="E32" s="211" t="s">
        <v>754</v>
      </c>
      <c r="F32" s="211" t="s">
        <v>755</v>
      </c>
      <c r="G32" s="211">
        <v>2</v>
      </c>
      <c r="H32" s="211"/>
      <c r="I32" s="211"/>
    </row>
    <row r="33" spans="1:9" ht="18.149999999999999" customHeight="1">
      <c r="A33" s="663">
        <v>29</v>
      </c>
      <c r="B33" s="1443" t="s">
        <v>781</v>
      </c>
      <c r="C33" s="1446" t="s">
        <v>782</v>
      </c>
      <c r="D33" s="1446" t="s">
        <v>536</v>
      </c>
      <c r="E33" s="663" t="s">
        <v>754</v>
      </c>
      <c r="F33" s="663" t="s">
        <v>761</v>
      </c>
      <c r="G33" s="663">
        <v>2</v>
      </c>
      <c r="H33" s="663"/>
      <c r="I33" s="663"/>
    </row>
    <row r="34" spans="1:9" ht="18.149999999999999" customHeight="1">
      <c r="A34" s="101">
        <v>30</v>
      </c>
      <c r="B34" s="1444"/>
      <c r="C34" s="1447"/>
      <c r="D34" s="1447"/>
      <c r="E34" s="101" t="s">
        <v>754</v>
      </c>
      <c r="F34" s="101" t="s">
        <v>761</v>
      </c>
      <c r="G34" s="101">
        <v>2</v>
      </c>
      <c r="H34" s="101"/>
      <c r="I34" s="101"/>
    </row>
    <row r="35" spans="1:9" ht="18.149999999999999" customHeight="1">
      <c r="A35" s="101">
        <v>31</v>
      </c>
      <c r="B35" s="1444"/>
      <c r="C35" s="1447" t="s">
        <v>783</v>
      </c>
      <c r="D35" s="101" t="s">
        <v>536</v>
      </c>
      <c r="E35" s="101" t="s">
        <v>754</v>
      </c>
      <c r="F35" s="101" t="s">
        <v>761</v>
      </c>
      <c r="G35" s="101">
        <v>2</v>
      </c>
      <c r="H35" s="101"/>
      <c r="I35" s="101"/>
    </row>
    <row r="36" spans="1:9" ht="18.149999999999999" customHeight="1">
      <c r="A36" s="101">
        <v>32</v>
      </c>
      <c r="B36" s="1444"/>
      <c r="C36" s="1447"/>
      <c r="D36" s="101" t="s">
        <v>535</v>
      </c>
      <c r="E36" s="101" t="s">
        <v>754</v>
      </c>
      <c r="F36" s="101" t="s">
        <v>761</v>
      </c>
      <c r="G36" s="101">
        <v>2</v>
      </c>
      <c r="H36" s="101"/>
      <c r="I36" s="101"/>
    </row>
    <row r="37" spans="1:9" ht="18.149999999999999" customHeight="1">
      <c r="A37" s="101">
        <v>33</v>
      </c>
      <c r="B37" s="1444"/>
      <c r="C37" s="1447" t="s">
        <v>775</v>
      </c>
      <c r="D37" s="101" t="s">
        <v>536</v>
      </c>
      <c r="E37" s="101" t="s">
        <v>754</v>
      </c>
      <c r="F37" s="101" t="s">
        <v>761</v>
      </c>
      <c r="G37" s="101">
        <v>2</v>
      </c>
      <c r="H37" s="101"/>
      <c r="I37" s="101"/>
    </row>
    <row r="38" spans="1:9" ht="18.149999999999999" customHeight="1">
      <c r="A38" s="101">
        <v>34</v>
      </c>
      <c r="B38" s="1444"/>
      <c r="C38" s="1447"/>
      <c r="D38" s="101" t="s">
        <v>535</v>
      </c>
      <c r="E38" s="101" t="s">
        <v>754</v>
      </c>
      <c r="F38" s="101" t="s">
        <v>761</v>
      </c>
      <c r="G38" s="101">
        <v>2</v>
      </c>
      <c r="H38" s="101"/>
      <c r="I38" s="101"/>
    </row>
    <row r="39" spans="1:9" ht="18.149999999999999" customHeight="1">
      <c r="A39" s="101">
        <v>35</v>
      </c>
      <c r="B39" s="1444"/>
      <c r="C39" s="1447" t="s">
        <v>784</v>
      </c>
      <c r="D39" s="101" t="s">
        <v>535</v>
      </c>
      <c r="E39" s="101" t="s">
        <v>754</v>
      </c>
      <c r="F39" s="101" t="s">
        <v>761</v>
      </c>
      <c r="G39" s="101">
        <v>2</v>
      </c>
      <c r="H39" s="101"/>
      <c r="I39" s="101"/>
    </row>
    <row r="40" spans="1:9" ht="18.149999999999999" customHeight="1">
      <c r="A40" s="211">
        <v>36</v>
      </c>
      <c r="B40" s="1445"/>
      <c r="C40" s="1448"/>
      <c r="D40" s="211" t="s">
        <v>535</v>
      </c>
      <c r="E40" s="211" t="s">
        <v>754</v>
      </c>
      <c r="F40" s="211" t="s">
        <v>761</v>
      </c>
      <c r="G40" s="211">
        <v>2</v>
      </c>
      <c r="H40" s="211"/>
      <c r="I40" s="211"/>
    </row>
    <row r="41" spans="1:9" ht="18" customHeight="1">
      <c r="A41" s="663">
        <v>37</v>
      </c>
      <c r="B41" s="1443" t="s">
        <v>785</v>
      </c>
      <c r="C41" s="663" t="s">
        <v>786</v>
      </c>
      <c r="D41" s="663" t="s">
        <v>787</v>
      </c>
      <c r="E41" s="663" t="s">
        <v>757</v>
      </c>
      <c r="F41" s="663" t="s">
        <v>755</v>
      </c>
      <c r="G41" s="663">
        <v>2</v>
      </c>
      <c r="H41" s="663">
        <v>1</v>
      </c>
      <c r="I41" s="663"/>
    </row>
    <row r="42" spans="1:9" ht="18" customHeight="1">
      <c r="A42" s="101">
        <v>38</v>
      </c>
      <c r="B42" s="1444"/>
      <c r="C42" s="101" t="s">
        <v>780</v>
      </c>
      <c r="D42" s="101" t="s">
        <v>536</v>
      </c>
      <c r="E42" s="101" t="s">
        <v>754</v>
      </c>
      <c r="F42" s="101" t="s">
        <v>755</v>
      </c>
      <c r="G42" s="101">
        <v>2</v>
      </c>
      <c r="H42" s="101"/>
      <c r="I42" s="101"/>
    </row>
    <row r="43" spans="1:9" ht="18" customHeight="1">
      <c r="A43" s="211">
        <v>39</v>
      </c>
      <c r="B43" s="1445"/>
      <c r="C43" s="211" t="s">
        <v>788</v>
      </c>
      <c r="D43" s="211" t="s">
        <v>535</v>
      </c>
      <c r="E43" s="211" t="s">
        <v>754</v>
      </c>
      <c r="F43" s="211" t="s">
        <v>755</v>
      </c>
      <c r="G43" s="211">
        <v>2</v>
      </c>
      <c r="H43" s="211"/>
      <c r="I43" s="211"/>
    </row>
    <row r="44" spans="1:9" ht="18" customHeight="1">
      <c r="A44" s="663">
        <v>40</v>
      </c>
      <c r="B44" s="1443" t="s">
        <v>678</v>
      </c>
      <c r="C44" s="663" t="s">
        <v>749</v>
      </c>
      <c r="D44" s="663" t="s">
        <v>536</v>
      </c>
      <c r="E44" s="663" t="s">
        <v>750</v>
      </c>
      <c r="F44" s="663" t="s">
        <v>751</v>
      </c>
      <c r="G44" s="663" t="s">
        <v>752</v>
      </c>
      <c r="H44" s="663"/>
      <c r="I44" s="663" t="s">
        <v>753</v>
      </c>
    </row>
    <row r="45" spans="1:9" ht="18" customHeight="1">
      <c r="A45" s="101">
        <v>41</v>
      </c>
      <c r="B45" s="1449"/>
      <c r="C45" s="101" t="s">
        <v>789</v>
      </c>
      <c r="D45" s="101" t="s">
        <v>535</v>
      </c>
      <c r="E45" s="101" t="s">
        <v>754</v>
      </c>
      <c r="F45" s="101" t="s">
        <v>755</v>
      </c>
      <c r="G45" s="664">
        <v>2</v>
      </c>
      <c r="H45" s="664"/>
      <c r="I45" s="664"/>
    </row>
    <row r="46" spans="1:9" ht="18" customHeight="1">
      <c r="A46" s="101">
        <v>42</v>
      </c>
      <c r="B46" s="1444"/>
      <c r="C46" s="101" t="s">
        <v>790</v>
      </c>
      <c r="D46" s="101" t="s">
        <v>535</v>
      </c>
      <c r="E46" s="101" t="s">
        <v>754</v>
      </c>
      <c r="F46" s="101" t="s">
        <v>755</v>
      </c>
      <c r="G46" s="101">
        <v>2</v>
      </c>
      <c r="H46" s="101"/>
      <c r="I46" s="101"/>
    </row>
    <row r="47" spans="1:9" ht="18" customHeight="1">
      <c r="A47" s="101">
        <v>43</v>
      </c>
      <c r="B47" s="1444"/>
      <c r="C47" s="101" t="s">
        <v>791</v>
      </c>
      <c r="D47" s="101" t="s">
        <v>536</v>
      </c>
      <c r="E47" s="101" t="s">
        <v>757</v>
      </c>
      <c r="F47" s="101" t="s">
        <v>755</v>
      </c>
      <c r="G47" s="101">
        <v>2</v>
      </c>
      <c r="H47" s="101">
        <v>1</v>
      </c>
      <c r="I47" s="101"/>
    </row>
    <row r="48" spans="1:9" ht="18" customHeight="1">
      <c r="A48" s="101">
        <v>44</v>
      </c>
      <c r="B48" s="1444"/>
      <c r="C48" s="101" t="s">
        <v>792</v>
      </c>
      <c r="D48" s="101" t="s">
        <v>535</v>
      </c>
      <c r="E48" s="101" t="s">
        <v>754</v>
      </c>
      <c r="F48" s="101" t="s">
        <v>755</v>
      </c>
      <c r="G48" s="101">
        <v>2</v>
      </c>
      <c r="H48" s="101"/>
      <c r="I48" s="101"/>
    </row>
    <row r="49" spans="1:9" ht="18" customHeight="1">
      <c r="A49" s="101">
        <v>45</v>
      </c>
      <c r="B49" s="1444"/>
      <c r="C49" s="101" t="s">
        <v>793</v>
      </c>
      <c r="D49" s="101" t="s">
        <v>536</v>
      </c>
      <c r="E49" s="101" t="s">
        <v>757</v>
      </c>
      <c r="F49" s="101" t="s">
        <v>755</v>
      </c>
      <c r="G49" s="101">
        <v>2</v>
      </c>
      <c r="H49" s="101">
        <v>1</v>
      </c>
      <c r="I49" s="101"/>
    </row>
    <row r="50" spans="1:9" ht="18" customHeight="1">
      <c r="A50" s="101">
        <v>46</v>
      </c>
      <c r="B50" s="1444"/>
      <c r="C50" s="101" t="s">
        <v>794</v>
      </c>
      <c r="D50" s="101" t="s">
        <v>536</v>
      </c>
      <c r="E50" s="101" t="s">
        <v>754</v>
      </c>
      <c r="F50" s="101" t="s">
        <v>755</v>
      </c>
      <c r="G50" s="101">
        <v>2</v>
      </c>
      <c r="H50" s="101"/>
      <c r="I50" s="101"/>
    </row>
    <row r="51" spans="1:9" ht="18" customHeight="1">
      <c r="A51" s="211">
        <v>47</v>
      </c>
      <c r="B51" s="1445"/>
      <c r="C51" s="211" t="s">
        <v>795</v>
      </c>
      <c r="D51" s="211" t="s">
        <v>536</v>
      </c>
      <c r="E51" s="211" t="s">
        <v>754</v>
      </c>
      <c r="F51" s="211" t="s">
        <v>755</v>
      </c>
      <c r="G51" s="211">
        <v>2</v>
      </c>
      <c r="H51" s="211"/>
      <c r="I51" s="211"/>
    </row>
    <row r="52" spans="1:9" ht="18" customHeight="1">
      <c r="A52" s="663">
        <v>48</v>
      </c>
      <c r="B52" s="1443" t="s">
        <v>796</v>
      </c>
      <c r="C52" s="663" t="s">
        <v>797</v>
      </c>
      <c r="D52" s="663" t="s">
        <v>536</v>
      </c>
      <c r="E52" s="663" t="s">
        <v>754</v>
      </c>
      <c r="F52" s="663" t="s">
        <v>755</v>
      </c>
      <c r="G52" s="663">
        <v>2</v>
      </c>
      <c r="H52" s="663"/>
      <c r="I52" s="663"/>
    </row>
    <row r="53" spans="1:9" ht="18" customHeight="1">
      <c r="A53" s="101">
        <v>49</v>
      </c>
      <c r="B53" s="1444"/>
      <c r="C53" s="101" t="s">
        <v>798</v>
      </c>
      <c r="D53" s="101" t="s">
        <v>535</v>
      </c>
      <c r="E53" s="101" t="s">
        <v>757</v>
      </c>
      <c r="F53" s="101" t="s">
        <v>755</v>
      </c>
      <c r="G53" s="101">
        <v>2</v>
      </c>
      <c r="H53" s="101">
        <v>1</v>
      </c>
      <c r="I53" s="101"/>
    </row>
    <row r="54" spans="1:9" ht="18" customHeight="1">
      <c r="A54" s="101">
        <v>50</v>
      </c>
      <c r="B54" s="1444"/>
      <c r="C54" s="101" t="s">
        <v>799</v>
      </c>
      <c r="D54" s="101" t="s">
        <v>536</v>
      </c>
      <c r="E54" s="101" t="s">
        <v>757</v>
      </c>
      <c r="F54" s="101" t="s">
        <v>755</v>
      </c>
      <c r="G54" s="101">
        <v>2</v>
      </c>
      <c r="H54" s="101">
        <v>1</v>
      </c>
      <c r="I54" s="101"/>
    </row>
    <row r="55" spans="1:9" ht="18" customHeight="1">
      <c r="A55" s="101">
        <v>51</v>
      </c>
      <c r="B55" s="1444"/>
      <c r="C55" s="101" t="s">
        <v>792</v>
      </c>
      <c r="D55" s="101" t="s">
        <v>536</v>
      </c>
      <c r="E55" s="101" t="s">
        <v>754</v>
      </c>
      <c r="F55" s="101" t="s">
        <v>755</v>
      </c>
      <c r="G55" s="101">
        <v>2</v>
      </c>
      <c r="H55" s="101"/>
      <c r="I55" s="101"/>
    </row>
    <row r="56" spans="1:9" ht="18" customHeight="1">
      <c r="A56" s="101">
        <v>52</v>
      </c>
      <c r="B56" s="1444"/>
      <c r="C56" s="101" t="s">
        <v>800</v>
      </c>
      <c r="D56" s="101" t="s">
        <v>536</v>
      </c>
      <c r="E56" s="101" t="s">
        <v>754</v>
      </c>
      <c r="F56" s="101" t="s">
        <v>755</v>
      </c>
      <c r="G56" s="101">
        <v>2</v>
      </c>
      <c r="H56" s="101"/>
      <c r="I56" s="101"/>
    </row>
    <row r="57" spans="1:9" ht="18" customHeight="1">
      <c r="A57" s="101">
        <v>53</v>
      </c>
      <c r="B57" s="1444"/>
      <c r="C57" s="101" t="s">
        <v>801</v>
      </c>
      <c r="D57" s="101" t="s">
        <v>535</v>
      </c>
      <c r="E57" s="101" t="s">
        <v>754</v>
      </c>
      <c r="F57" s="101" t="s">
        <v>755</v>
      </c>
      <c r="G57" s="101">
        <v>2</v>
      </c>
      <c r="H57" s="101"/>
      <c r="I57" s="101"/>
    </row>
    <row r="58" spans="1:9" ht="18" customHeight="1">
      <c r="A58" s="101">
        <v>54</v>
      </c>
      <c r="B58" s="1444"/>
      <c r="C58" s="101" t="s">
        <v>802</v>
      </c>
      <c r="D58" s="101" t="s">
        <v>536</v>
      </c>
      <c r="E58" s="101" t="s">
        <v>757</v>
      </c>
      <c r="F58" s="101" t="s">
        <v>755</v>
      </c>
      <c r="G58" s="101">
        <v>2</v>
      </c>
      <c r="H58" s="101">
        <v>1</v>
      </c>
      <c r="I58" s="101"/>
    </row>
    <row r="59" spans="1:9" ht="18" customHeight="1">
      <c r="A59" s="101">
        <v>55</v>
      </c>
      <c r="B59" s="1444"/>
      <c r="C59" s="101" t="s">
        <v>803</v>
      </c>
      <c r="D59" s="101" t="s">
        <v>536</v>
      </c>
      <c r="E59" s="101" t="s">
        <v>754</v>
      </c>
      <c r="F59" s="101" t="s">
        <v>755</v>
      </c>
      <c r="G59" s="101">
        <v>2</v>
      </c>
      <c r="H59" s="101"/>
      <c r="I59" s="101"/>
    </row>
    <row r="60" spans="1:9" ht="18" customHeight="1">
      <c r="A60" s="211">
        <v>56</v>
      </c>
      <c r="B60" s="1445"/>
      <c r="C60" s="211" t="s">
        <v>804</v>
      </c>
      <c r="D60" s="211" t="s">
        <v>535</v>
      </c>
      <c r="E60" s="211" t="s">
        <v>754</v>
      </c>
      <c r="F60" s="211" t="s">
        <v>755</v>
      </c>
      <c r="G60" s="211">
        <v>2</v>
      </c>
      <c r="H60" s="211"/>
      <c r="I60" s="211"/>
    </row>
    <row r="61" spans="1:9" ht="18" customHeight="1">
      <c r="A61" s="663">
        <v>57</v>
      </c>
      <c r="B61" s="1443" t="s">
        <v>805</v>
      </c>
      <c r="C61" s="663" t="s">
        <v>749</v>
      </c>
      <c r="D61" s="663" t="s">
        <v>535</v>
      </c>
      <c r="E61" s="663" t="s">
        <v>750</v>
      </c>
      <c r="F61" s="663" t="s">
        <v>751</v>
      </c>
      <c r="G61" s="663" t="s">
        <v>752</v>
      </c>
      <c r="H61" s="663"/>
      <c r="I61" s="663" t="s">
        <v>753</v>
      </c>
    </row>
    <row r="62" spans="1:9" ht="18" customHeight="1">
      <c r="A62" s="101">
        <v>58</v>
      </c>
      <c r="B62" s="1444"/>
      <c r="C62" s="101" t="s">
        <v>758</v>
      </c>
      <c r="D62" s="101" t="s">
        <v>536</v>
      </c>
      <c r="E62" s="101" t="s">
        <v>754</v>
      </c>
      <c r="F62" s="101" t="s">
        <v>755</v>
      </c>
      <c r="G62" s="101">
        <v>2</v>
      </c>
      <c r="H62" s="101"/>
      <c r="I62" s="101"/>
    </row>
    <row r="63" spans="1:9" ht="18" customHeight="1">
      <c r="A63" s="101">
        <v>59</v>
      </c>
      <c r="B63" s="1444"/>
      <c r="C63" s="101" t="s">
        <v>806</v>
      </c>
      <c r="D63" s="101" t="s">
        <v>536</v>
      </c>
      <c r="E63" s="101" t="s">
        <v>757</v>
      </c>
      <c r="F63" s="101" t="s">
        <v>755</v>
      </c>
      <c r="G63" s="101">
        <v>2</v>
      </c>
      <c r="H63" s="101">
        <v>1</v>
      </c>
      <c r="I63" s="101"/>
    </row>
    <row r="64" spans="1:9" ht="18" customHeight="1">
      <c r="A64" s="101">
        <v>60</v>
      </c>
      <c r="B64" s="1444"/>
      <c r="C64" s="101" t="s">
        <v>807</v>
      </c>
      <c r="D64" s="101" t="s">
        <v>536</v>
      </c>
      <c r="E64" s="101" t="s">
        <v>757</v>
      </c>
      <c r="F64" s="101" t="s">
        <v>755</v>
      </c>
      <c r="G64" s="101">
        <v>2</v>
      </c>
      <c r="H64" s="101">
        <v>1</v>
      </c>
      <c r="I64" s="101"/>
    </row>
    <row r="65" spans="1:9" ht="18" customHeight="1">
      <c r="A65" s="101">
        <v>61</v>
      </c>
      <c r="B65" s="1444"/>
      <c r="C65" s="101" t="s">
        <v>808</v>
      </c>
      <c r="D65" s="101" t="s">
        <v>535</v>
      </c>
      <c r="E65" s="101" t="s">
        <v>757</v>
      </c>
      <c r="F65" s="101" t="s">
        <v>755</v>
      </c>
      <c r="G65" s="101">
        <v>2</v>
      </c>
      <c r="H65" s="101">
        <v>1</v>
      </c>
      <c r="I65" s="101"/>
    </row>
    <row r="66" spans="1:9" ht="18" customHeight="1">
      <c r="A66" s="211">
        <v>62</v>
      </c>
      <c r="B66" s="1445"/>
      <c r="C66" s="211" t="s">
        <v>809</v>
      </c>
      <c r="D66" s="211" t="s">
        <v>536</v>
      </c>
      <c r="E66" s="211" t="s">
        <v>754</v>
      </c>
      <c r="F66" s="211" t="s">
        <v>755</v>
      </c>
      <c r="G66" s="211">
        <v>2</v>
      </c>
      <c r="H66" s="211"/>
      <c r="I66" s="211"/>
    </row>
    <row r="67" spans="1:9" ht="18" customHeight="1">
      <c r="A67" s="663">
        <v>63</v>
      </c>
      <c r="B67" s="1443" t="s">
        <v>810</v>
      </c>
      <c r="C67" s="663" t="s">
        <v>811</v>
      </c>
      <c r="D67" s="663" t="s">
        <v>536</v>
      </c>
      <c r="E67" s="663" t="s">
        <v>757</v>
      </c>
      <c r="F67" s="663" t="s">
        <v>755</v>
      </c>
      <c r="G67" s="663">
        <v>2</v>
      </c>
      <c r="H67" s="664">
        <v>1</v>
      </c>
      <c r="I67" s="101"/>
    </row>
    <row r="68" spans="1:9" ht="18" customHeight="1">
      <c r="A68" s="101">
        <v>64</v>
      </c>
      <c r="B68" s="1444"/>
      <c r="C68" s="101" t="s">
        <v>812</v>
      </c>
      <c r="D68" s="101" t="s">
        <v>535</v>
      </c>
      <c r="E68" s="101" t="s">
        <v>757</v>
      </c>
      <c r="F68" s="101" t="s">
        <v>755</v>
      </c>
      <c r="G68" s="101">
        <v>2</v>
      </c>
      <c r="H68" s="101">
        <v>1</v>
      </c>
      <c r="I68" s="101"/>
    </row>
    <row r="69" spans="1:9" ht="18" customHeight="1">
      <c r="A69" s="101">
        <v>65</v>
      </c>
      <c r="B69" s="1444"/>
      <c r="C69" s="101" t="s">
        <v>813</v>
      </c>
      <c r="D69" s="101" t="s">
        <v>535</v>
      </c>
      <c r="E69" s="101" t="s">
        <v>754</v>
      </c>
      <c r="F69" s="101" t="s">
        <v>755</v>
      </c>
      <c r="G69" s="101">
        <v>2</v>
      </c>
      <c r="H69" s="101"/>
      <c r="I69" s="101"/>
    </row>
    <row r="70" spans="1:9" ht="18" customHeight="1">
      <c r="A70" s="101">
        <v>66</v>
      </c>
      <c r="B70" s="1444"/>
      <c r="C70" s="101" t="s">
        <v>814</v>
      </c>
      <c r="D70" s="101" t="s">
        <v>536</v>
      </c>
      <c r="E70" s="101" t="s">
        <v>754</v>
      </c>
      <c r="F70" s="101" t="s">
        <v>755</v>
      </c>
      <c r="G70" s="101">
        <v>2</v>
      </c>
      <c r="H70" s="101"/>
      <c r="I70" s="101"/>
    </row>
    <row r="71" spans="1:9" ht="18" customHeight="1">
      <c r="A71" s="101">
        <v>67</v>
      </c>
      <c r="B71" s="1444"/>
      <c r="C71" s="101" t="s">
        <v>815</v>
      </c>
      <c r="D71" s="101" t="s">
        <v>536</v>
      </c>
      <c r="E71" s="101" t="s">
        <v>757</v>
      </c>
      <c r="F71" s="101" t="s">
        <v>755</v>
      </c>
      <c r="G71" s="101">
        <v>2</v>
      </c>
      <c r="H71" s="101">
        <v>1</v>
      </c>
      <c r="I71" s="101"/>
    </row>
    <row r="72" spans="1:9" ht="18" customHeight="1">
      <c r="A72" s="101">
        <v>68</v>
      </c>
      <c r="B72" s="1444"/>
      <c r="C72" s="101" t="s">
        <v>816</v>
      </c>
      <c r="D72" s="101" t="s">
        <v>536</v>
      </c>
      <c r="E72" s="101" t="s">
        <v>754</v>
      </c>
      <c r="F72" s="101" t="s">
        <v>755</v>
      </c>
      <c r="G72" s="101">
        <v>2</v>
      </c>
      <c r="H72" s="101"/>
      <c r="I72" s="101"/>
    </row>
    <row r="73" spans="1:9" ht="18" customHeight="1">
      <c r="A73" s="211">
        <v>69</v>
      </c>
      <c r="B73" s="1445"/>
      <c r="C73" s="211" t="s">
        <v>817</v>
      </c>
      <c r="D73" s="211" t="s">
        <v>535</v>
      </c>
      <c r="E73" s="211" t="s">
        <v>754</v>
      </c>
      <c r="F73" s="211" t="s">
        <v>755</v>
      </c>
      <c r="G73" s="211">
        <v>2</v>
      </c>
      <c r="H73" s="211"/>
      <c r="I73" s="211"/>
    </row>
    <row r="74" spans="1:9" ht="18" customHeight="1">
      <c r="A74" s="663">
        <v>70</v>
      </c>
      <c r="B74" s="1443" t="s">
        <v>602</v>
      </c>
      <c r="C74" s="1446" t="s">
        <v>818</v>
      </c>
      <c r="D74" s="1446" t="s">
        <v>536</v>
      </c>
      <c r="E74" s="663" t="s">
        <v>754</v>
      </c>
      <c r="F74" s="663" t="s">
        <v>761</v>
      </c>
      <c r="G74" s="663">
        <v>2</v>
      </c>
      <c r="H74" s="663"/>
      <c r="I74" s="663"/>
    </row>
    <row r="75" spans="1:9" ht="18" customHeight="1">
      <c r="A75" s="101">
        <v>71</v>
      </c>
      <c r="B75" s="1444"/>
      <c r="C75" s="1447"/>
      <c r="D75" s="1447"/>
      <c r="E75" s="101" t="s">
        <v>754</v>
      </c>
      <c r="F75" s="101" t="s">
        <v>761</v>
      </c>
      <c r="G75" s="101">
        <v>2</v>
      </c>
      <c r="H75" s="101"/>
      <c r="I75" s="101"/>
    </row>
    <row r="76" spans="1:9" ht="18" customHeight="1">
      <c r="A76" s="101">
        <v>72</v>
      </c>
      <c r="B76" s="1444"/>
      <c r="C76" s="1447" t="s">
        <v>819</v>
      </c>
      <c r="D76" s="1447" t="s">
        <v>535</v>
      </c>
      <c r="E76" s="101" t="s">
        <v>754</v>
      </c>
      <c r="F76" s="101" t="s">
        <v>761</v>
      </c>
      <c r="G76" s="101">
        <v>2</v>
      </c>
      <c r="H76" s="101"/>
      <c r="I76" s="101"/>
    </row>
    <row r="77" spans="1:9" ht="18" customHeight="1">
      <c r="A77" s="101">
        <v>73</v>
      </c>
      <c r="B77" s="1444"/>
      <c r="C77" s="1447"/>
      <c r="D77" s="1447"/>
      <c r="E77" s="101" t="s">
        <v>754</v>
      </c>
      <c r="F77" s="101" t="s">
        <v>761</v>
      </c>
      <c r="G77" s="101">
        <v>2</v>
      </c>
      <c r="H77" s="101"/>
      <c r="I77" s="101"/>
    </row>
    <row r="78" spans="1:9" ht="18" customHeight="1">
      <c r="A78" s="211">
        <v>74</v>
      </c>
      <c r="B78" s="1445"/>
      <c r="C78" s="211" t="s">
        <v>820</v>
      </c>
      <c r="D78" s="211" t="s">
        <v>536</v>
      </c>
      <c r="E78" s="211" t="s">
        <v>754</v>
      </c>
      <c r="F78" s="211" t="s">
        <v>755</v>
      </c>
      <c r="G78" s="211">
        <v>2</v>
      </c>
      <c r="H78" s="211"/>
      <c r="I78" s="211"/>
    </row>
    <row r="79" spans="1:9" ht="21.6" customHeight="1">
      <c r="A79" s="663">
        <v>75</v>
      </c>
      <c r="B79" s="1443" t="s">
        <v>579</v>
      </c>
      <c r="C79" s="663" t="s">
        <v>821</v>
      </c>
      <c r="D79" s="663" t="s">
        <v>535</v>
      </c>
      <c r="E79" s="663" t="s">
        <v>757</v>
      </c>
      <c r="F79" s="663" t="s">
        <v>755</v>
      </c>
      <c r="G79" s="663">
        <v>2</v>
      </c>
      <c r="H79" s="663">
        <v>1</v>
      </c>
      <c r="I79" s="663"/>
    </row>
    <row r="80" spans="1:9" ht="21.6" customHeight="1">
      <c r="A80" s="101">
        <v>76</v>
      </c>
      <c r="B80" s="1444"/>
      <c r="C80" s="101" t="s">
        <v>822</v>
      </c>
      <c r="D80" s="101" t="s">
        <v>536</v>
      </c>
      <c r="E80" s="101" t="s">
        <v>754</v>
      </c>
      <c r="F80" s="101" t="s">
        <v>755</v>
      </c>
      <c r="G80" s="101">
        <v>2</v>
      </c>
      <c r="H80" s="101"/>
      <c r="I80" s="101"/>
    </row>
    <row r="81" spans="1:9" ht="21.6" customHeight="1">
      <c r="A81" s="211">
        <v>77</v>
      </c>
      <c r="B81" s="1445"/>
      <c r="C81" s="211" t="s">
        <v>823</v>
      </c>
      <c r="D81" s="211" t="s">
        <v>536</v>
      </c>
      <c r="E81" s="211" t="s">
        <v>754</v>
      </c>
      <c r="F81" s="211" t="s">
        <v>755</v>
      </c>
      <c r="G81" s="211">
        <v>2</v>
      </c>
      <c r="H81" s="211"/>
      <c r="I81" s="211"/>
    </row>
    <row r="82" spans="1:9" ht="21.6" customHeight="1">
      <c r="A82" s="663">
        <v>78</v>
      </c>
      <c r="B82" s="1443" t="s">
        <v>593</v>
      </c>
      <c r="C82" s="663" t="s">
        <v>824</v>
      </c>
      <c r="D82" s="663" t="s">
        <v>535</v>
      </c>
      <c r="E82" s="663" t="s">
        <v>757</v>
      </c>
      <c r="F82" s="663" t="s">
        <v>755</v>
      </c>
      <c r="G82" s="663">
        <v>2</v>
      </c>
      <c r="H82" s="663">
        <v>1</v>
      </c>
      <c r="I82" s="663"/>
    </row>
    <row r="83" spans="1:9" ht="21.6" customHeight="1">
      <c r="A83" s="101">
        <v>79</v>
      </c>
      <c r="B83" s="1444"/>
      <c r="C83" s="101" t="s">
        <v>825</v>
      </c>
      <c r="D83" s="101" t="s">
        <v>535</v>
      </c>
      <c r="E83" s="101" t="s">
        <v>754</v>
      </c>
      <c r="F83" s="101" t="s">
        <v>755</v>
      </c>
      <c r="G83" s="101">
        <v>2</v>
      </c>
      <c r="H83" s="101"/>
      <c r="I83" s="101"/>
    </row>
    <row r="84" spans="1:9" ht="21.6" customHeight="1">
      <c r="A84" s="101">
        <v>80</v>
      </c>
      <c r="B84" s="1444"/>
      <c r="C84" s="101" t="s">
        <v>826</v>
      </c>
      <c r="D84" s="101" t="s">
        <v>535</v>
      </c>
      <c r="E84" s="101" t="s">
        <v>754</v>
      </c>
      <c r="F84" s="101" t="s">
        <v>755</v>
      </c>
      <c r="G84" s="101">
        <v>2</v>
      </c>
      <c r="H84" s="101"/>
      <c r="I84" s="101"/>
    </row>
    <row r="85" spans="1:9" ht="21.6" customHeight="1">
      <c r="A85" s="101">
        <v>81</v>
      </c>
      <c r="B85" s="1444"/>
      <c r="C85" s="101" t="s">
        <v>827</v>
      </c>
      <c r="D85" s="101" t="s">
        <v>536</v>
      </c>
      <c r="E85" s="101" t="s">
        <v>757</v>
      </c>
      <c r="F85" s="101" t="s">
        <v>755</v>
      </c>
      <c r="G85" s="101">
        <v>2</v>
      </c>
      <c r="H85" s="101">
        <v>1</v>
      </c>
      <c r="I85" s="101"/>
    </row>
    <row r="86" spans="1:9" ht="21.6" customHeight="1">
      <c r="A86" s="211">
        <v>82</v>
      </c>
      <c r="B86" s="1445"/>
      <c r="C86" s="211" t="s">
        <v>828</v>
      </c>
      <c r="D86" s="211" t="s">
        <v>535</v>
      </c>
      <c r="E86" s="211" t="s">
        <v>757</v>
      </c>
      <c r="F86" s="211" t="s">
        <v>755</v>
      </c>
      <c r="G86" s="211">
        <v>2</v>
      </c>
      <c r="H86" s="211">
        <v>1</v>
      </c>
      <c r="I86" s="211"/>
    </row>
    <row r="87" spans="1:9" ht="21.6" customHeight="1">
      <c r="A87" s="663">
        <v>83</v>
      </c>
      <c r="B87" s="1443" t="s">
        <v>829</v>
      </c>
      <c r="C87" s="663" t="s">
        <v>830</v>
      </c>
      <c r="D87" s="663" t="s">
        <v>536</v>
      </c>
      <c r="E87" s="663" t="s">
        <v>754</v>
      </c>
      <c r="F87" s="663" t="s">
        <v>755</v>
      </c>
      <c r="G87" s="663">
        <v>2</v>
      </c>
      <c r="H87" s="663"/>
      <c r="I87" s="663"/>
    </row>
    <row r="88" spans="1:9" ht="21.6" customHeight="1">
      <c r="A88" s="211">
        <v>84</v>
      </c>
      <c r="B88" s="1445"/>
      <c r="C88" s="211" t="s">
        <v>795</v>
      </c>
      <c r="D88" s="211" t="s">
        <v>535</v>
      </c>
      <c r="E88" s="211" t="s">
        <v>757</v>
      </c>
      <c r="F88" s="211" t="s">
        <v>755</v>
      </c>
      <c r="G88" s="211">
        <v>2</v>
      </c>
      <c r="H88" s="665">
        <v>1</v>
      </c>
      <c r="I88" s="101"/>
    </row>
    <row r="89" spans="1:9" ht="21.6" customHeight="1">
      <c r="A89" s="663">
        <v>85</v>
      </c>
      <c r="B89" s="1443" t="s">
        <v>831</v>
      </c>
      <c r="C89" s="663" t="s">
        <v>832</v>
      </c>
      <c r="D89" s="663" t="s">
        <v>536</v>
      </c>
      <c r="E89" s="663" t="s">
        <v>754</v>
      </c>
      <c r="F89" s="663" t="s">
        <v>755</v>
      </c>
      <c r="G89" s="663">
        <v>2</v>
      </c>
      <c r="H89" s="663"/>
      <c r="I89" s="663"/>
    </row>
    <row r="90" spans="1:9" ht="21.6" customHeight="1">
      <c r="A90" s="211">
        <v>86</v>
      </c>
      <c r="B90" s="1445"/>
      <c r="C90" s="211" t="s">
        <v>833</v>
      </c>
      <c r="D90" s="211" t="s">
        <v>535</v>
      </c>
      <c r="E90" s="211" t="s">
        <v>754</v>
      </c>
      <c r="F90" s="211" t="s">
        <v>755</v>
      </c>
      <c r="G90" s="211">
        <v>2</v>
      </c>
      <c r="H90" s="211"/>
      <c r="I90" s="211"/>
    </row>
    <row r="91" spans="1:9" ht="21.6" customHeight="1">
      <c r="A91" s="663">
        <v>87</v>
      </c>
      <c r="B91" s="1443" t="s">
        <v>834</v>
      </c>
      <c r="C91" s="663" t="s">
        <v>835</v>
      </c>
      <c r="D91" s="663" t="s">
        <v>536</v>
      </c>
      <c r="E91" s="663" t="s">
        <v>754</v>
      </c>
      <c r="F91" s="663" t="s">
        <v>755</v>
      </c>
      <c r="G91" s="663">
        <v>2</v>
      </c>
      <c r="H91" s="663"/>
      <c r="I91" s="663"/>
    </row>
    <row r="92" spans="1:9" ht="21.6" customHeight="1">
      <c r="A92" s="211">
        <v>88</v>
      </c>
      <c r="B92" s="1445"/>
      <c r="C92" s="211" t="s">
        <v>804</v>
      </c>
      <c r="D92" s="211" t="s">
        <v>536</v>
      </c>
      <c r="E92" s="211" t="s">
        <v>754</v>
      </c>
      <c r="F92" s="211" t="s">
        <v>755</v>
      </c>
      <c r="G92" s="211">
        <v>2</v>
      </c>
      <c r="H92" s="211"/>
      <c r="I92" s="211"/>
    </row>
    <row r="93" spans="1:9" ht="21.6" customHeight="1">
      <c r="A93" s="663">
        <v>89</v>
      </c>
      <c r="B93" s="1443" t="s">
        <v>836</v>
      </c>
      <c r="C93" s="663" t="s">
        <v>808</v>
      </c>
      <c r="D93" s="663" t="s">
        <v>536</v>
      </c>
      <c r="E93" s="663" t="s">
        <v>757</v>
      </c>
      <c r="F93" s="663" t="s">
        <v>755</v>
      </c>
      <c r="G93" s="663">
        <v>2</v>
      </c>
      <c r="H93" s="664">
        <v>1</v>
      </c>
      <c r="I93" s="101"/>
    </row>
    <row r="94" spans="1:9" ht="21.6" customHeight="1">
      <c r="A94" s="101">
        <v>90</v>
      </c>
      <c r="B94" s="1444"/>
      <c r="C94" s="101" t="s">
        <v>837</v>
      </c>
      <c r="D94" s="101" t="s">
        <v>535</v>
      </c>
      <c r="E94" s="101" t="s">
        <v>754</v>
      </c>
      <c r="F94" s="101" t="s">
        <v>755</v>
      </c>
      <c r="G94" s="101">
        <v>2</v>
      </c>
      <c r="H94" s="101"/>
      <c r="I94" s="101"/>
    </row>
    <row r="95" spans="1:9" ht="21.6" customHeight="1">
      <c r="A95" s="101">
        <v>91</v>
      </c>
      <c r="B95" s="1444"/>
      <c r="C95" s="101" t="s">
        <v>838</v>
      </c>
      <c r="D95" s="101" t="s">
        <v>536</v>
      </c>
      <c r="E95" s="101" t="s">
        <v>754</v>
      </c>
      <c r="F95" s="101" t="s">
        <v>755</v>
      </c>
      <c r="G95" s="101">
        <v>2</v>
      </c>
      <c r="H95" s="101"/>
      <c r="I95" s="101"/>
    </row>
    <row r="96" spans="1:9" ht="21.6" customHeight="1">
      <c r="A96" s="211">
        <v>92</v>
      </c>
      <c r="B96" s="1445"/>
      <c r="C96" s="211" t="s">
        <v>839</v>
      </c>
      <c r="D96" s="211" t="s">
        <v>535</v>
      </c>
      <c r="E96" s="211" t="s">
        <v>754</v>
      </c>
      <c r="F96" s="211" t="s">
        <v>755</v>
      </c>
      <c r="G96" s="211">
        <v>2</v>
      </c>
      <c r="H96" s="211"/>
      <c r="I96" s="211"/>
    </row>
    <row r="97" spans="1:9" ht="21.6" customHeight="1">
      <c r="A97" s="663">
        <v>93</v>
      </c>
      <c r="B97" s="1443" t="s">
        <v>683</v>
      </c>
      <c r="C97" s="663" t="s">
        <v>840</v>
      </c>
      <c r="D97" s="663" t="s">
        <v>535</v>
      </c>
      <c r="E97" s="663" t="s">
        <v>754</v>
      </c>
      <c r="F97" s="663" t="s">
        <v>755</v>
      </c>
      <c r="G97" s="663">
        <v>2</v>
      </c>
      <c r="H97" s="663"/>
      <c r="I97" s="663"/>
    </row>
    <row r="98" spans="1:9" ht="21.6" customHeight="1">
      <c r="A98" s="101">
        <v>94</v>
      </c>
      <c r="B98" s="1444"/>
      <c r="C98" s="101" t="s">
        <v>841</v>
      </c>
      <c r="D98" s="101" t="s">
        <v>536</v>
      </c>
      <c r="E98" s="101" t="s">
        <v>754</v>
      </c>
      <c r="F98" s="101" t="s">
        <v>755</v>
      </c>
      <c r="G98" s="101">
        <v>2</v>
      </c>
      <c r="H98" s="101"/>
      <c r="I98" s="101"/>
    </row>
    <row r="99" spans="1:9" ht="21.6" customHeight="1">
      <c r="A99" s="101">
        <v>95</v>
      </c>
      <c r="B99" s="1444"/>
      <c r="C99" s="101" t="s">
        <v>842</v>
      </c>
      <c r="D99" s="101" t="s">
        <v>535</v>
      </c>
      <c r="E99" s="101" t="s">
        <v>754</v>
      </c>
      <c r="F99" s="101" t="s">
        <v>755</v>
      </c>
      <c r="G99" s="101">
        <v>2</v>
      </c>
      <c r="H99" s="101"/>
      <c r="I99" s="101"/>
    </row>
    <row r="100" spans="1:9" ht="21.6" customHeight="1">
      <c r="A100" s="101">
        <v>96</v>
      </c>
      <c r="B100" s="1444"/>
      <c r="C100" s="101" t="s">
        <v>843</v>
      </c>
      <c r="D100" s="101" t="s">
        <v>536</v>
      </c>
      <c r="E100" s="101" t="s">
        <v>754</v>
      </c>
      <c r="F100" s="101" t="s">
        <v>755</v>
      </c>
      <c r="G100" s="101">
        <v>2</v>
      </c>
      <c r="H100" s="101"/>
      <c r="I100" s="101"/>
    </row>
    <row r="101" spans="1:9" ht="21.6" customHeight="1">
      <c r="A101" s="101">
        <v>97</v>
      </c>
      <c r="B101" s="1444"/>
      <c r="C101" s="101" t="s">
        <v>844</v>
      </c>
      <c r="D101" s="101" t="s">
        <v>535</v>
      </c>
      <c r="E101" s="101" t="s">
        <v>754</v>
      </c>
      <c r="F101" s="101" t="s">
        <v>755</v>
      </c>
      <c r="G101" s="101">
        <v>2</v>
      </c>
      <c r="H101" s="101"/>
      <c r="I101" s="101"/>
    </row>
    <row r="102" spans="1:9" ht="21.6" customHeight="1">
      <c r="A102" s="211">
        <v>98</v>
      </c>
      <c r="B102" s="1445"/>
      <c r="C102" s="211" t="s">
        <v>845</v>
      </c>
      <c r="D102" s="211" t="s">
        <v>535</v>
      </c>
      <c r="E102" s="211" t="s">
        <v>754</v>
      </c>
      <c r="F102" s="211" t="s">
        <v>755</v>
      </c>
      <c r="G102" s="211">
        <v>2</v>
      </c>
      <c r="H102" s="211"/>
      <c r="I102" s="211"/>
    </row>
    <row r="103" spans="1:9" ht="21.6" customHeight="1">
      <c r="A103" s="663">
        <v>99</v>
      </c>
      <c r="B103" s="1443" t="s">
        <v>846</v>
      </c>
      <c r="C103" s="663" t="s">
        <v>847</v>
      </c>
      <c r="D103" s="663" t="s">
        <v>536</v>
      </c>
      <c r="E103" s="663" t="s">
        <v>757</v>
      </c>
      <c r="F103" s="663" t="s">
        <v>755</v>
      </c>
      <c r="G103" s="663">
        <v>2</v>
      </c>
      <c r="H103" s="664">
        <v>1</v>
      </c>
      <c r="I103" s="101"/>
    </row>
    <row r="104" spans="1:9" ht="21.6" customHeight="1">
      <c r="A104" s="101">
        <v>100</v>
      </c>
      <c r="B104" s="1444"/>
      <c r="C104" s="101" t="s">
        <v>848</v>
      </c>
      <c r="D104" s="101" t="s">
        <v>535</v>
      </c>
      <c r="E104" s="101" t="s">
        <v>757</v>
      </c>
      <c r="F104" s="101" t="s">
        <v>755</v>
      </c>
      <c r="G104" s="101">
        <v>2</v>
      </c>
      <c r="H104" s="101">
        <v>1</v>
      </c>
      <c r="I104" s="101"/>
    </row>
    <row r="105" spans="1:9" ht="21.6" customHeight="1">
      <c r="A105" s="101">
        <v>101</v>
      </c>
      <c r="B105" s="1444"/>
      <c r="C105" s="101" t="s">
        <v>849</v>
      </c>
      <c r="D105" s="101" t="s">
        <v>535</v>
      </c>
      <c r="E105" s="101" t="s">
        <v>754</v>
      </c>
      <c r="F105" s="101" t="s">
        <v>755</v>
      </c>
      <c r="G105" s="101">
        <v>2</v>
      </c>
      <c r="H105" s="101"/>
      <c r="I105" s="101"/>
    </row>
    <row r="106" spans="1:9" ht="21.6" customHeight="1">
      <c r="A106" s="211">
        <v>102</v>
      </c>
      <c r="B106" s="1445"/>
      <c r="C106" s="211" t="s">
        <v>850</v>
      </c>
      <c r="D106" s="211" t="s">
        <v>535</v>
      </c>
      <c r="E106" s="211" t="s">
        <v>754</v>
      </c>
      <c r="F106" s="211" t="s">
        <v>755</v>
      </c>
      <c r="G106" s="211">
        <v>2</v>
      </c>
      <c r="H106" s="211"/>
      <c r="I106" s="211"/>
    </row>
    <row r="107" spans="1:9" ht="21.6" customHeight="1">
      <c r="A107" s="663">
        <v>103</v>
      </c>
      <c r="B107" s="1443" t="s">
        <v>620</v>
      </c>
      <c r="C107" s="663" t="s">
        <v>851</v>
      </c>
      <c r="D107" s="663" t="s">
        <v>536</v>
      </c>
      <c r="E107" s="663" t="s">
        <v>754</v>
      </c>
      <c r="F107" s="663" t="s">
        <v>755</v>
      </c>
      <c r="G107" s="663">
        <v>2</v>
      </c>
      <c r="H107" s="663"/>
      <c r="I107" s="663"/>
    </row>
    <row r="108" spans="1:9" ht="21.6" customHeight="1">
      <c r="A108" s="101">
        <v>104</v>
      </c>
      <c r="B108" s="1444"/>
      <c r="C108" s="101" t="s">
        <v>852</v>
      </c>
      <c r="D108" s="101" t="s">
        <v>536</v>
      </c>
      <c r="E108" s="101" t="s">
        <v>754</v>
      </c>
      <c r="F108" s="101" t="s">
        <v>755</v>
      </c>
      <c r="G108" s="101">
        <v>2</v>
      </c>
      <c r="H108" s="101"/>
      <c r="I108" s="101"/>
    </row>
    <row r="109" spans="1:9" ht="21.6" customHeight="1">
      <c r="A109" s="101">
        <v>105</v>
      </c>
      <c r="B109" s="1444"/>
      <c r="C109" s="101" t="s">
        <v>853</v>
      </c>
      <c r="D109" s="101" t="s">
        <v>536</v>
      </c>
      <c r="E109" s="101" t="s">
        <v>754</v>
      </c>
      <c r="F109" s="101" t="s">
        <v>755</v>
      </c>
      <c r="G109" s="101">
        <v>2</v>
      </c>
      <c r="H109" s="101"/>
      <c r="I109" s="101"/>
    </row>
    <row r="110" spans="1:9" ht="21.6" customHeight="1">
      <c r="A110" s="211">
        <v>106</v>
      </c>
      <c r="B110" s="1445"/>
      <c r="C110" s="211" t="s">
        <v>854</v>
      </c>
      <c r="D110" s="211" t="s">
        <v>536</v>
      </c>
      <c r="E110" s="211" t="s">
        <v>757</v>
      </c>
      <c r="F110" s="211" t="s">
        <v>755</v>
      </c>
      <c r="G110" s="211">
        <v>2</v>
      </c>
      <c r="H110" s="665">
        <v>1</v>
      </c>
      <c r="I110" s="101"/>
    </row>
    <row r="111" spans="1:9" ht="18" customHeight="1">
      <c r="A111" s="663">
        <v>107</v>
      </c>
      <c r="B111" s="1443" t="s">
        <v>855</v>
      </c>
      <c r="C111" s="663" t="s">
        <v>856</v>
      </c>
      <c r="D111" s="663" t="s">
        <v>536</v>
      </c>
      <c r="E111" s="663" t="s">
        <v>754</v>
      </c>
      <c r="F111" s="663" t="s">
        <v>755</v>
      </c>
      <c r="G111" s="663">
        <v>2</v>
      </c>
      <c r="H111" s="663"/>
      <c r="I111" s="663"/>
    </row>
    <row r="112" spans="1:9" ht="18" customHeight="1">
      <c r="A112" s="101">
        <v>108</v>
      </c>
      <c r="B112" s="1444"/>
      <c r="C112" s="1447" t="s">
        <v>857</v>
      </c>
      <c r="D112" s="1447" t="s">
        <v>536</v>
      </c>
      <c r="E112" s="101" t="s">
        <v>754</v>
      </c>
      <c r="F112" s="101" t="s">
        <v>761</v>
      </c>
      <c r="G112" s="101">
        <v>2</v>
      </c>
      <c r="H112" s="101"/>
      <c r="I112" s="101"/>
    </row>
    <row r="113" spans="1:9" ht="18" customHeight="1">
      <c r="A113" s="101">
        <v>109</v>
      </c>
      <c r="B113" s="1444"/>
      <c r="C113" s="1447"/>
      <c r="D113" s="1447"/>
      <c r="E113" s="101" t="s">
        <v>754</v>
      </c>
      <c r="F113" s="101" t="s">
        <v>761</v>
      </c>
      <c r="G113" s="101">
        <v>2</v>
      </c>
      <c r="H113" s="101"/>
      <c r="I113" s="101"/>
    </row>
    <row r="114" spans="1:9" ht="18" customHeight="1">
      <c r="A114" s="101">
        <v>110</v>
      </c>
      <c r="B114" s="1444"/>
      <c r="C114" s="1447" t="s">
        <v>828</v>
      </c>
      <c r="D114" s="101" t="s">
        <v>536</v>
      </c>
      <c r="E114" s="101" t="s">
        <v>754</v>
      </c>
      <c r="F114" s="101" t="s">
        <v>761</v>
      </c>
      <c r="G114" s="101">
        <v>2</v>
      </c>
      <c r="H114" s="101"/>
      <c r="I114" s="101"/>
    </row>
    <row r="115" spans="1:9" ht="18" customHeight="1">
      <c r="A115" s="101">
        <v>111</v>
      </c>
      <c r="B115" s="1444"/>
      <c r="C115" s="1447"/>
      <c r="D115" s="101" t="s">
        <v>535</v>
      </c>
      <c r="E115" s="101" t="s">
        <v>754</v>
      </c>
      <c r="F115" s="101" t="s">
        <v>761</v>
      </c>
      <c r="G115" s="101">
        <v>2</v>
      </c>
      <c r="H115" s="101"/>
      <c r="I115" s="101"/>
    </row>
    <row r="116" spans="1:9" ht="18" customHeight="1">
      <c r="A116" s="101">
        <v>112</v>
      </c>
      <c r="B116" s="1444"/>
      <c r="C116" s="1447" t="s">
        <v>858</v>
      </c>
      <c r="D116" s="101" t="s">
        <v>536</v>
      </c>
      <c r="E116" s="101" t="s">
        <v>754</v>
      </c>
      <c r="F116" s="101" t="s">
        <v>761</v>
      </c>
      <c r="G116" s="101">
        <v>2</v>
      </c>
      <c r="H116" s="101"/>
      <c r="I116" s="101"/>
    </row>
    <row r="117" spans="1:9" ht="18" customHeight="1">
      <c r="A117" s="101">
        <v>113</v>
      </c>
      <c r="B117" s="1444"/>
      <c r="C117" s="1447"/>
      <c r="D117" s="101" t="s">
        <v>535</v>
      </c>
      <c r="E117" s="101" t="s">
        <v>754</v>
      </c>
      <c r="F117" s="101" t="s">
        <v>761</v>
      </c>
      <c r="G117" s="101">
        <v>2</v>
      </c>
      <c r="H117" s="101"/>
      <c r="I117" s="101"/>
    </row>
    <row r="118" spans="1:9" ht="18" customHeight="1">
      <c r="A118" s="101">
        <v>114</v>
      </c>
      <c r="B118" s="1444"/>
      <c r="C118" s="1447" t="s">
        <v>859</v>
      </c>
      <c r="D118" s="1447" t="s">
        <v>535</v>
      </c>
      <c r="E118" s="101" t="s">
        <v>754</v>
      </c>
      <c r="F118" s="101" t="s">
        <v>761</v>
      </c>
      <c r="G118" s="101">
        <v>2</v>
      </c>
      <c r="H118" s="101"/>
      <c r="I118" s="101"/>
    </row>
    <row r="119" spans="1:9" ht="18" customHeight="1">
      <c r="A119" s="101">
        <v>115</v>
      </c>
      <c r="B119" s="1444"/>
      <c r="C119" s="1447"/>
      <c r="D119" s="1447"/>
      <c r="E119" s="101" t="s">
        <v>754</v>
      </c>
      <c r="F119" s="101" t="s">
        <v>761</v>
      </c>
      <c r="G119" s="101">
        <v>2</v>
      </c>
      <c r="H119" s="101"/>
      <c r="I119" s="101"/>
    </row>
    <row r="120" spans="1:9" ht="18" customHeight="1">
      <c r="A120" s="101">
        <v>116</v>
      </c>
      <c r="B120" s="1444"/>
      <c r="C120" s="1447" t="s">
        <v>764</v>
      </c>
      <c r="D120" s="1447" t="s">
        <v>536</v>
      </c>
      <c r="E120" s="101" t="s">
        <v>754</v>
      </c>
      <c r="F120" s="101" t="s">
        <v>761</v>
      </c>
      <c r="G120" s="101">
        <v>2</v>
      </c>
      <c r="H120" s="101"/>
      <c r="I120" s="101"/>
    </row>
    <row r="121" spans="1:9" ht="21" customHeight="1">
      <c r="A121" s="101">
        <v>117</v>
      </c>
      <c r="B121" s="1444"/>
      <c r="C121" s="1447"/>
      <c r="D121" s="1447"/>
      <c r="E121" s="101" t="s">
        <v>754</v>
      </c>
      <c r="F121" s="101" t="s">
        <v>761</v>
      </c>
      <c r="G121" s="101">
        <v>2</v>
      </c>
      <c r="H121" s="101"/>
      <c r="I121" s="101"/>
    </row>
    <row r="122" spans="1:9" ht="22.5" customHeight="1">
      <c r="A122" s="101">
        <v>118</v>
      </c>
      <c r="B122" s="1444"/>
      <c r="C122" s="1447" t="s">
        <v>860</v>
      </c>
      <c r="D122" s="1447" t="s">
        <v>535</v>
      </c>
      <c r="E122" s="101" t="s">
        <v>754</v>
      </c>
      <c r="F122" s="101" t="s">
        <v>761</v>
      </c>
      <c r="G122" s="101">
        <v>2</v>
      </c>
      <c r="H122" s="101"/>
      <c r="I122" s="101"/>
    </row>
    <row r="123" spans="1:9" ht="18.75" customHeight="1">
      <c r="A123" s="101">
        <v>119</v>
      </c>
      <c r="B123" s="1444"/>
      <c r="C123" s="1447"/>
      <c r="D123" s="1447"/>
      <c r="E123" s="101" t="s">
        <v>754</v>
      </c>
      <c r="F123" s="101" t="s">
        <v>761</v>
      </c>
      <c r="G123" s="101">
        <v>2</v>
      </c>
      <c r="H123" s="101"/>
      <c r="I123" s="101"/>
    </row>
    <row r="124" spans="1:9" ht="18" customHeight="1">
      <c r="A124" s="101">
        <v>120</v>
      </c>
      <c r="B124" s="1444"/>
      <c r="C124" s="101" t="s">
        <v>791</v>
      </c>
      <c r="D124" s="101" t="s">
        <v>536</v>
      </c>
      <c r="E124" s="101" t="s">
        <v>754</v>
      </c>
      <c r="F124" s="101" t="s">
        <v>755</v>
      </c>
      <c r="G124" s="101">
        <v>2</v>
      </c>
      <c r="H124" s="101"/>
      <c r="I124" s="101"/>
    </row>
    <row r="125" spans="1:9" ht="18" customHeight="1">
      <c r="A125" s="211">
        <v>121</v>
      </c>
      <c r="B125" s="1445"/>
      <c r="C125" s="211" t="s">
        <v>861</v>
      </c>
      <c r="D125" s="211" t="s">
        <v>536</v>
      </c>
      <c r="E125" s="211" t="s">
        <v>754</v>
      </c>
      <c r="F125" s="211" t="s">
        <v>755</v>
      </c>
      <c r="G125" s="211">
        <v>2</v>
      </c>
      <c r="H125" s="211"/>
      <c r="I125" s="211"/>
    </row>
    <row r="126" spans="1:9" ht="18" customHeight="1">
      <c r="A126" s="663">
        <v>122</v>
      </c>
      <c r="B126" s="1443" t="s">
        <v>862</v>
      </c>
      <c r="C126" s="663" t="s">
        <v>863</v>
      </c>
      <c r="D126" s="663" t="s">
        <v>536</v>
      </c>
      <c r="E126" s="663" t="s">
        <v>754</v>
      </c>
      <c r="F126" s="663" t="s">
        <v>755</v>
      </c>
      <c r="G126" s="663">
        <v>2</v>
      </c>
      <c r="H126" s="663"/>
      <c r="I126" s="663"/>
    </row>
    <row r="127" spans="1:9" ht="18" customHeight="1">
      <c r="A127" s="101">
        <v>123</v>
      </c>
      <c r="B127" s="1444"/>
      <c r="C127" s="101" t="s">
        <v>864</v>
      </c>
      <c r="D127" s="101" t="s">
        <v>536</v>
      </c>
      <c r="E127" s="101" t="s">
        <v>754</v>
      </c>
      <c r="F127" s="101" t="s">
        <v>755</v>
      </c>
      <c r="G127" s="101">
        <v>2</v>
      </c>
      <c r="H127" s="101"/>
      <c r="I127" s="101"/>
    </row>
    <row r="128" spans="1:9" ht="18" customHeight="1">
      <c r="A128" s="101">
        <v>124</v>
      </c>
      <c r="B128" s="1444"/>
      <c r="C128" s="101" t="s">
        <v>865</v>
      </c>
      <c r="D128" s="101" t="s">
        <v>536</v>
      </c>
      <c r="E128" s="101" t="s">
        <v>754</v>
      </c>
      <c r="F128" s="101" t="s">
        <v>755</v>
      </c>
      <c r="G128" s="101">
        <v>2</v>
      </c>
      <c r="H128" s="101"/>
      <c r="I128" s="101"/>
    </row>
    <row r="129" spans="1:11" ht="18" customHeight="1">
      <c r="A129" s="101">
        <v>125</v>
      </c>
      <c r="B129" s="1444"/>
      <c r="C129" s="101" t="s">
        <v>866</v>
      </c>
      <c r="D129" s="101" t="s">
        <v>536</v>
      </c>
      <c r="E129" s="101" t="s">
        <v>757</v>
      </c>
      <c r="F129" s="101" t="s">
        <v>755</v>
      </c>
      <c r="G129" s="101">
        <v>2</v>
      </c>
      <c r="H129" s="101">
        <v>1</v>
      </c>
      <c r="I129" s="101"/>
    </row>
    <row r="130" spans="1:11" ht="18" customHeight="1">
      <c r="A130" s="101">
        <v>126</v>
      </c>
      <c r="B130" s="1444"/>
      <c r="C130" s="101" t="s">
        <v>867</v>
      </c>
      <c r="D130" s="101" t="s">
        <v>536</v>
      </c>
      <c r="E130" s="101" t="s">
        <v>754</v>
      </c>
      <c r="F130" s="101" t="s">
        <v>755</v>
      </c>
      <c r="G130" s="101">
        <v>2</v>
      </c>
      <c r="H130" s="101"/>
      <c r="I130" s="101"/>
    </row>
    <row r="131" spans="1:11" ht="18" customHeight="1">
      <c r="A131" s="101">
        <v>127</v>
      </c>
      <c r="B131" s="1444"/>
      <c r="C131" s="101" t="s">
        <v>868</v>
      </c>
      <c r="D131" s="101" t="s">
        <v>536</v>
      </c>
      <c r="E131" s="101" t="s">
        <v>754</v>
      </c>
      <c r="F131" s="101" t="s">
        <v>755</v>
      </c>
      <c r="G131" s="101">
        <v>2</v>
      </c>
      <c r="H131" s="101"/>
      <c r="I131" s="101"/>
    </row>
    <row r="132" spans="1:11" ht="18" customHeight="1">
      <c r="A132" s="211">
        <v>128</v>
      </c>
      <c r="B132" s="1445"/>
      <c r="C132" s="211" t="s">
        <v>869</v>
      </c>
      <c r="D132" s="211" t="s">
        <v>536</v>
      </c>
      <c r="E132" s="211" t="s">
        <v>757</v>
      </c>
      <c r="F132" s="211" t="s">
        <v>755</v>
      </c>
      <c r="G132" s="211">
        <v>2</v>
      </c>
      <c r="H132" s="211">
        <v>1</v>
      </c>
      <c r="I132" s="211"/>
    </row>
    <row r="133" spans="1:11" ht="18" customHeight="1">
      <c r="A133" s="663">
        <v>129</v>
      </c>
      <c r="B133" s="1443" t="s">
        <v>870</v>
      </c>
      <c r="C133" s="663" t="s">
        <v>871</v>
      </c>
      <c r="D133" s="663" t="s">
        <v>536</v>
      </c>
      <c r="E133" s="663" t="s">
        <v>757</v>
      </c>
      <c r="F133" s="663" t="s">
        <v>755</v>
      </c>
      <c r="G133" s="663">
        <v>2</v>
      </c>
      <c r="H133" s="664">
        <v>1</v>
      </c>
      <c r="I133" s="664"/>
    </row>
    <row r="134" spans="1:11" ht="18" customHeight="1">
      <c r="A134" s="101">
        <v>130</v>
      </c>
      <c r="B134" s="1444"/>
      <c r="C134" s="101" t="s">
        <v>797</v>
      </c>
      <c r="D134" s="101" t="s">
        <v>536</v>
      </c>
      <c r="E134" s="101" t="s">
        <v>757</v>
      </c>
      <c r="F134" s="101" t="s">
        <v>755</v>
      </c>
      <c r="G134" s="101">
        <v>2</v>
      </c>
      <c r="H134" s="101">
        <v>1</v>
      </c>
      <c r="I134" s="101"/>
    </row>
    <row r="135" spans="1:11" ht="18" customHeight="1">
      <c r="A135" s="101">
        <v>131</v>
      </c>
      <c r="B135" s="1444"/>
      <c r="C135" s="101" t="s">
        <v>872</v>
      </c>
      <c r="D135" s="101" t="s">
        <v>535</v>
      </c>
      <c r="E135" s="101" t="s">
        <v>757</v>
      </c>
      <c r="F135" s="101" t="s">
        <v>755</v>
      </c>
      <c r="G135" s="101">
        <v>2</v>
      </c>
      <c r="H135" s="101">
        <v>1</v>
      </c>
      <c r="I135" s="101"/>
    </row>
    <row r="136" spans="1:11" ht="18" customHeight="1">
      <c r="A136" s="101">
        <v>132</v>
      </c>
      <c r="B136" s="1444"/>
      <c r="C136" s="101" t="s">
        <v>873</v>
      </c>
      <c r="D136" s="101" t="s">
        <v>536</v>
      </c>
      <c r="E136" s="101" t="s">
        <v>757</v>
      </c>
      <c r="F136" s="101" t="s">
        <v>755</v>
      </c>
      <c r="G136" s="101">
        <v>2</v>
      </c>
      <c r="H136" s="101">
        <v>1</v>
      </c>
      <c r="I136" s="101"/>
    </row>
    <row r="137" spans="1:11" ht="18" customHeight="1">
      <c r="A137" s="101">
        <v>133</v>
      </c>
      <c r="B137" s="1444"/>
      <c r="C137" s="101" t="s">
        <v>874</v>
      </c>
      <c r="D137" s="101" t="s">
        <v>535</v>
      </c>
      <c r="E137" s="101" t="s">
        <v>757</v>
      </c>
      <c r="F137" s="101" t="s">
        <v>755</v>
      </c>
      <c r="G137" s="101">
        <v>2</v>
      </c>
      <c r="H137" s="101">
        <v>1</v>
      </c>
      <c r="I137" s="101"/>
    </row>
    <row r="138" spans="1:11" ht="18" customHeight="1">
      <c r="A138" s="211">
        <v>134</v>
      </c>
      <c r="B138" s="1445"/>
      <c r="C138" s="211" t="s">
        <v>875</v>
      </c>
      <c r="D138" s="211" t="s">
        <v>536</v>
      </c>
      <c r="E138" s="211" t="s">
        <v>757</v>
      </c>
      <c r="F138" s="211" t="s">
        <v>755</v>
      </c>
      <c r="G138" s="211">
        <v>2</v>
      </c>
      <c r="H138" s="211">
        <v>1</v>
      </c>
      <c r="I138" s="211"/>
    </row>
    <row r="139" spans="1:11" ht="18" customHeight="1">
      <c r="A139" s="1450" t="s">
        <v>239</v>
      </c>
      <c r="B139" s="1451"/>
      <c r="C139" s="1451"/>
      <c r="D139" s="1451"/>
      <c r="E139" s="1451"/>
      <c r="F139" s="666">
        <v>134</v>
      </c>
      <c r="G139" s="667"/>
      <c r="H139" s="666">
        <f>SUM(H7:H138)</f>
        <v>41</v>
      </c>
      <c r="I139" s="666">
        <v>3</v>
      </c>
    </row>
    <row r="140" spans="1:11" ht="16.5" customHeight="1">
      <c r="A140" s="567"/>
      <c r="B140" s="567"/>
      <c r="C140" s="567"/>
      <c r="D140" s="567"/>
      <c r="E140" s="567"/>
      <c r="F140" s="567"/>
      <c r="G140" s="567"/>
      <c r="H140" s="567"/>
      <c r="I140" s="567"/>
    </row>
    <row r="141" spans="1:11" s="567" customFormat="1" ht="16.5" customHeight="1">
      <c r="F141" s="1409" t="s">
        <v>958</v>
      </c>
      <c r="G141" s="1409"/>
      <c r="H141" s="1409"/>
      <c r="I141" s="1409"/>
      <c r="K141" s="668"/>
    </row>
    <row r="142" spans="1:11" s="567" customFormat="1" ht="16.5" customHeight="1">
      <c r="F142" s="669"/>
      <c r="G142" s="1406" t="s">
        <v>876</v>
      </c>
      <c r="H142" s="1406"/>
      <c r="I142" s="669"/>
    </row>
    <row r="143" spans="1:11" s="567" customFormat="1" ht="16.5" customHeight="1">
      <c r="E143" s="670"/>
      <c r="F143" s="670"/>
      <c r="G143" s="670"/>
      <c r="H143" s="670"/>
      <c r="I143" s="670"/>
    </row>
    <row r="144" spans="1:11" s="567" customFormat="1" ht="16.5" customHeight="1">
      <c r="E144" s="670"/>
      <c r="F144" s="670"/>
      <c r="G144" s="670"/>
      <c r="H144" s="670"/>
      <c r="I144" s="670"/>
    </row>
    <row r="145" spans="5:9" s="567" customFormat="1" ht="16.5" customHeight="1">
      <c r="E145" s="671"/>
      <c r="F145" s="671"/>
      <c r="G145" s="671"/>
      <c r="H145" s="671"/>
      <c r="I145" s="671"/>
    </row>
    <row r="146" spans="5:9" s="567" customFormat="1" ht="16.5" customHeight="1">
      <c r="E146" s="671"/>
      <c r="F146" s="671"/>
      <c r="G146" s="671"/>
      <c r="H146" s="671"/>
      <c r="I146" s="671"/>
    </row>
    <row r="147" spans="5:9" s="567" customFormat="1" ht="16.5" customHeight="1">
      <c r="E147" s="671"/>
      <c r="F147" s="671"/>
      <c r="G147" s="671"/>
      <c r="H147" s="671"/>
      <c r="I147" s="671"/>
    </row>
    <row r="148" spans="5:9" s="567" customFormat="1" ht="16.5" customHeight="1">
      <c r="E148" s="671"/>
      <c r="F148" s="671"/>
      <c r="G148" s="671"/>
      <c r="H148" s="671"/>
      <c r="I148" s="671"/>
    </row>
    <row r="149" spans="5:9" s="567" customFormat="1" ht="16.5" customHeight="1">
      <c r="F149" s="669"/>
      <c r="G149" s="1406" t="s">
        <v>877</v>
      </c>
      <c r="H149" s="1406"/>
      <c r="I149" s="669"/>
    </row>
    <row r="150" spans="5:9" s="567" customFormat="1" ht="16.5" customHeight="1">
      <c r="E150" s="668"/>
      <c r="F150" s="668"/>
      <c r="G150" s="668"/>
      <c r="H150" s="668"/>
      <c r="I150" s="668"/>
    </row>
    <row r="151" spans="5:9" s="567" customFormat="1" ht="16.5" customHeight="1">
      <c r="E151" s="668"/>
      <c r="F151" s="668"/>
      <c r="G151" s="668"/>
      <c r="H151" s="668"/>
      <c r="I151" s="668"/>
    </row>
    <row r="152" spans="5:9" s="567" customFormat="1" ht="16.5" customHeight="1">
      <c r="E152" s="668"/>
      <c r="F152" s="668"/>
      <c r="G152" s="668"/>
      <c r="H152" s="668"/>
      <c r="I152" s="668"/>
    </row>
    <row r="153" spans="5:9" s="567" customFormat="1" ht="16.5" customHeight="1">
      <c r="E153" s="668"/>
      <c r="F153" s="668"/>
      <c r="G153" s="668"/>
      <c r="H153" s="668"/>
      <c r="I153" s="668"/>
    </row>
    <row r="154" spans="5:9" s="567" customFormat="1" ht="16.5" customHeight="1">
      <c r="E154" s="668"/>
      <c r="F154" s="668"/>
      <c r="G154" s="668"/>
      <c r="H154" s="668"/>
      <c r="I154" s="668"/>
    </row>
    <row r="155" spans="5:9" s="567" customFormat="1" ht="16.5" customHeight="1">
      <c r="E155" s="668"/>
      <c r="F155" s="668"/>
      <c r="G155" s="668"/>
      <c r="H155" s="668"/>
      <c r="I155" s="668"/>
    </row>
    <row r="156" spans="5:9" s="567" customFormat="1" ht="16.5" customHeight="1">
      <c r="E156" s="668"/>
      <c r="F156" s="668"/>
      <c r="G156" s="668"/>
      <c r="H156" s="668"/>
      <c r="I156" s="668"/>
    </row>
    <row r="157" spans="5:9" s="567" customFormat="1" ht="16.5" customHeight="1">
      <c r="E157" s="668"/>
      <c r="F157" s="668"/>
      <c r="G157" s="668"/>
      <c r="H157" s="668"/>
      <c r="I157" s="668"/>
    </row>
    <row r="158" spans="5:9" s="567" customFormat="1" ht="16.5" customHeight="1">
      <c r="E158" s="668"/>
      <c r="F158" s="668"/>
      <c r="G158" s="668"/>
      <c r="H158" s="668"/>
      <c r="I158" s="668"/>
    </row>
    <row r="159" spans="5:9" s="567" customFormat="1" ht="16.5" customHeight="1">
      <c r="E159" s="668"/>
      <c r="F159" s="668"/>
      <c r="G159" s="668"/>
      <c r="H159" s="668"/>
      <c r="I159" s="668"/>
    </row>
    <row r="160" spans="5:9" s="567" customFormat="1" ht="16.5" customHeight="1">
      <c r="E160" s="668"/>
      <c r="F160" s="668"/>
      <c r="G160" s="668"/>
      <c r="H160" s="668"/>
      <c r="I160" s="668"/>
    </row>
    <row r="161" spans="5:9" s="567" customFormat="1" ht="16.5" customHeight="1">
      <c r="E161" s="668"/>
      <c r="F161" s="668"/>
      <c r="G161" s="668"/>
      <c r="H161" s="668"/>
      <c r="I161" s="668"/>
    </row>
    <row r="162" spans="5:9" s="567" customFormat="1" ht="16.5" customHeight="1">
      <c r="E162" s="668"/>
      <c r="F162" s="668"/>
      <c r="G162" s="668"/>
      <c r="H162" s="668"/>
      <c r="I162" s="668"/>
    </row>
    <row r="163" spans="5:9" s="567" customFormat="1" ht="16.5" customHeight="1">
      <c r="E163" s="668"/>
      <c r="F163" s="668"/>
      <c r="G163" s="668"/>
      <c r="H163" s="668"/>
      <c r="I163" s="668"/>
    </row>
    <row r="164" spans="5:9" s="567" customFormat="1" ht="16.5" customHeight="1">
      <c r="E164" s="668"/>
      <c r="F164" s="668"/>
      <c r="G164" s="668"/>
      <c r="H164" s="668"/>
      <c r="I164" s="668"/>
    </row>
    <row r="165" spans="5:9" s="567" customFormat="1" ht="16.5" customHeight="1">
      <c r="E165" s="668"/>
      <c r="F165" s="668"/>
      <c r="G165" s="668"/>
      <c r="H165" s="668"/>
      <c r="I165" s="668"/>
    </row>
    <row r="166" spans="5:9" s="567" customFormat="1" ht="16.5" customHeight="1">
      <c r="E166" s="668"/>
      <c r="F166" s="668"/>
      <c r="G166" s="668"/>
      <c r="H166" s="668"/>
      <c r="I166" s="668"/>
    </row>
    <row r="167" spans="5:9" s="567" customFormat="1" ht="16.5" customHeight="1">
      <c r="E167" s="668"/>
      <c r="F167" s="668"/>
      <c r="G167" s="668"/>
      <c r="H167" s="668"/>
      <c r="I167" s="668"/>
    </row>
    <row r="168" spans="5:9" s="567" customFormat="1" ht="16.5" customHeight="1">
      <c r="E168" s="668"/>
      <c r="F168" s="668"/>
      <c r="G168" s="668"/>
      <c r="H168" s="668"/>
      <c r="I168" s="668"/>
    </row>
    <row r="169" spans="5:9" s="567" customFormat="1" ht="16.5" customHeight="1">
      <c r="E169" s="668"/>
      <c r="F169" s="668"/>
      <c r="G169" s="668"/>
      <c r="H169" s="668"/>
      <c r="I169" s="668"/>
    </row>
    <row r="170" spans="5:9" s="567" customFormat="1" ht="16.5" customHeight="1">
      <c r="E170" s="668"/>
      <c r="F170" s="668"/>
      <c r="G170" s="668"/>
      <c r="H170" s="668"/>
      <c r="I170" s="668"/>
    </row>
    <row r="171" spans="5:9" s="567" customFormat="1" ht="16.5" customHeight="1">
      <c r="E171" s="668"/>
      <c r="F171" s="668"/>
      <c r="G171" s="668"/>
      <c r="H171" s="668"/>
      <c r="I171" s="668"/>
    </row>
    <row r="172" spans="5:9" s="567" customFormat="1" ht="16.5" customHeight="1">
      <c r="E172" s="668"/>
      <c r="F172" s="668"/>
      <c r="G172" s="668"/>
      <c r="H172" s="668"/>
      <c r="I172" s="668"/>
    </row>
    <row r="173" spans="5:9" s="567" customFormat="1" ht="16.5" customHeight="1">
      <c r="E173" s="668"/>
      <c r="F173" s="668"/>
      <c r="G173" s="668"/>
      <c r="H173" s="668"/>
      <c r="I173" s="668"/>
    </row>
    <row r="174" spans="5:9" s="567" customFormat="1" ht="16.5" customHeight="1">
      <c r="E174" s="668"/>
      <c r="F174" s="668"/>
      <c r="G174" s="668"/>
      <c r="H174" s="668"/>
      <c r="I174" s="668"/>
    </row>
    <row r="175" spans="5:9" s="567" customFormat="1" ht="16.5" customHeight="1">
      <c r="E175" s="668"/>
      <c r="F175" s="668"/>
      <c r="G175" s="668"/>
      <c r="H175" s="668"/>
      <c r="I175" s="668"/>
    </row>
    <row r="176" spans="5:9" s="567" customFormat="1" ht="16.5" customHeight="1">
      <c r="E176" s="668"/>
      <c r="F176" s="668"/>
      <c r="G176" s="668"/>
      <c r="H176" s="668"/>
      <c r="I176" s="668"/>
    </row>
  </sheetData>
  <mergeCells count="53">
    <mergeCell ref="B126:B132"/>
    <mergeCell ref="B133:B138"/>
    <mergeCell ref="G142:H142"/>
    <mergeCell ref="G149:H149"/>
    <mergeCell ref="C122:C123"/>
    <mergeCell ref="D122:D123"/>
    <mergeCell ref="A139:E139"/>
    <mergeCell ref="F141:I141"/>
    <mergeCell ref="B87:B88"/>
    <mergeCell ref="B89:B90"/>
    <mergeCell ref="C118:C119"/>
    <mergeCell ref="D118:D119"/>
    <mergeCell ref="B91:B92"/>
    <mergeCell ref="B93:B96"/>
    <mergeCell ref="B107:B110"/>
    <mergeCell ref="B111:B125"/>
    <mergeCell ref="B97:B102"/>
    <mergeCell ref="B103:B106"/>
    <mergeCell ref="C112:C113"/>
    <mergeCell ref="D112:D113"/>
    <mergeCell ref="C114:C115"/>
    <mergeCell ref="C116:C117"/>
    <mergeCell ref="C120:C121"/>
    <mergeCell ref="D120:D121"/>
    <mergeCell ref="D74:D75"/>
    <mergeCell ref="C76:C77"/>
    <mergeCell ref="D76:D77"/>
    <mergeCell ref="B79:B81"/>
    <mergeCell ref="B82:B86"/>
    <mergeCell ref="B74:B78"/>
    <mergeCell ref="C74:C75"/>
    <mergeCell ref="B61:B66"/>
    <mergeCell ref="C39:C40"/>
    <mergeCell ref="B44:B51"/>
    <mergeCell ref="B52:B60"/>
    <mergeCell ref="B41:B43"/>
    <mergeCell ref="B33:B40"/>
    <mergeCell ref="A1:I1"/>
    <mergeCell ref="B5:B11"/>
    <mergeCell ref="C5:C6"/>
    <mergeCell ref="D5:D6"/>
    <mergeCell ref="B67:B73"/>
    <mergeCell ref="C33:C34"/>
    <mergeCell ref="D33:D34"/>
    <mergeCell ref="C35:C36"/>
    <mergeCell ref="C37:C38"/>
    <mergeCell ref="B20:B29"/>
    <mergeCell ref="B30:B32"/>
    <mergeCell ref="B12:B19"/>
    <mergeCell ref="C16:C17"/>
    <mergeCell ref="D16:D17"/>
    <mergeCell ref="C18:C19"/>
    <mergeCell ref="D18:D19"/>
  </mergeCells>
  <phoneticPr fontId="60" type="noConversion"/>
  <pageMargins left="0.7" right="0.42" top="0.57999999999999996" bottom="0.75"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3"/>
  <sheetViews>
    <sheetView workbookViewId="0">
      <selection activeCell="K27" sqref="K27"/>
    </sheetView>
  </sheetViews>
  <sheetFormatPr defaultColWidth="8.90625" defaultRowHeight="16.8"/>
  <cols>
    <col min="1" max="1" width="4.08984375" style="582" customWidth="1"/>
    <col min="2" max="2" width="43.81640625" style="582" customWidth="1"/>
    <col min="3" max="3" width="10.90625" style="582" customWidth="1"/>
    <col min="4" max="4" width="10" style="582" customWidth="1"/>
    <col min="5" max="16384" width="8.90625" style="582"/>
  </cols>
  <sheetData>
    <row r="2" spans="1:4" ht="17.399999999999999">
      <c r="A2" s="1369" t="s">
        <v>919</v>
      </c>
      <c r="B2" s="1369"/>
      <c r="C2" s="1369"/>
      <c r="D2" s="1369"/>
    </row>
    <row r="3" spans="1:4">
      <c r="A3" s="677"/>
      <c r="B3" s="677"/>
      <c r="C3" s="677"/>
      <c r="D3" s="677"/>
    </row>
    <row r="4" spans="1:4" ht="42.75" customHeight="1">
      <c r="A4" s="646" t="s">
        <v>14</v>
      </c>
      <c r="B4" s="646" t="s">
        <v>920</v>
      </c>
      <c r="C4" s="587" t="s">
        <v>921</v>
      </c>
      <c r="D4" s="646" t="s">
        <v>523</v>
      </c>
    </row>
    <row r="5" spans="1:4">
      <c r="A5" s="678">
        <v>1</v>
      </c>
      <c r="B5" s="679" t="s">
        <v>922</v>
      </c>
      <c r="C5" s="718">
        <v>244</v>
      </c>
      <c r="D5" s="679"/>
    </row>
    <row r="6" spans="1:4">
      <c r="A6" s="678">
        <v>2</v>
      </c>
      <c r="B6" s="679" t="s">
        <v>923</v>
      </c>
      <c r="C6" s="718"/>
      <c r="D6" s="679"/>
    </row>
    <row r="7" spans="1:4">
      <c r="A7" s="678"/>
      <c r="B7" s="679" t="s">
        <v>924</v>
      </c>
      <c r="C7" s="718">
        <v>171</v>
      </c>
      <c r="D7" s="679"/>
    </row>
    <row r="8" spans="1:4">
      <c r="A8" s="678"/>
      <c r="B8" s="679" t="s">
        <v>925</v>
      </c>
      <c r="C8" s="718">
        <v>152</v>
      </c>
      <c r="D8" s="679"/>
    </row>
    <row r="9" spans="1:4">
      <c r="A9" s="678"/>
      <c r="B9" s="679" t="s">
        <v>926</v>
      </c>
      <c r="C9" s="718">
        <v>133</v>
      </c>
      <c r="D9" s="679"/>
    </row>
    <row r="10" spans="1:4">
      <c r="A10" s="678">
        <v>3</v>
      </c>
      <c r="B10" s="679" t="s">
        <v>927</v>
      </c>
      <c r="C10" s="718"/>
      <c r="D10" s="679"/>
    </row>
    <row r="11" spans="1:4">
      <c r="A11" s="678"/>
      <c r="B11" s="679" t="s">
        <v>928</v>
      </c>
      <c r="C11" s="718">
        <v>114</v>
      </c>
      <c r="D11" s="679"/>
    </row>
    <row r="12" spans="1:4">
      <c r="A12" s="678"/>
      <c r="B12" s="679" t="s">
        <v>929</v>
      </c>
      <c r="C12" s="718">
        <v>137</v>
      </c>
      <c r="D12" s="679"/>
    </row>
    <row r="13" spans="1:4">
      <c r="A13" s="678">
        <v>4</v>
      </c>
      <c r="B13" s="679" t="s">
        <v>930</v>
      </c>
      <c r="C13" s="718"/>
      <c r="D13" s="679"/>
    </row>
    <row r="14" spans="1:4">
      <c r="A14" s="678"/>
      <c r="B14" s="679" t="s">
        <v>931</v>
      </c>
      <c r="C14" s="718">
        <v>75</v>
      </c>
      <c r="D14" s="679"/>
    </row>
    <row r="15" spans="1:4">
      <c r="A15" s="678"/>
      <c r="B15" s="679" t="s">
        <v>932</v>
      </c>
      <c r="C15" s="718">
        <v>28</v>
      </c>
      <c r="D15" s="679"/>
    </row>
    <row r="16" spans="1:4">
      <c r="A16" s="678">
        <v>5</v>
      </c>
      <c r="B16" s="679" t="s">
        <v>933</v>
      </c>
      <c r="C16" s="718"/>
      <c r="D16" s="679"/>
    </row>
    <row r="17" spans="1:5">
      <c r="A17" s="678"/>
      <c r="B17" s="679" t="s">
        <v>934</v>
      </c>
      <c r="C17" s="718">
        <f>72+72</f>
        <v>144</v>
      </c>
      <c r="D17" s="679"/>
    </row>
    <row r="18" spans="1:5">
      <c r="A18" s="678"/>
      <c r="B18" s="679" t="s">
        <v>935</v>
      </c>
      <c r="C18" s="718">
        <f>79+79</f>
        <v>158</v>
      </c>
      <c r="D18" s="679"/>
    </row>
    <row r="19" spans="1:5">
      <c r="A19" s="678">
        <v>6</v>
      </c>
      <c r="B19" s="679" t="s">
        <v>936</v>
      </c>
      <c r="C19" s="718"/>
      <c r="D19" s="679"/>
    </row>
    <row r="20" spans="1:5">
      <c r="A20" s="678"/>
      <c r="B20" s="679" t="s">
        <v>937</v>
      </c>
      <c r="C20" s="718">
        <v>148</v>
      </c>
      <c r="D20" s="679"/>
    </row>
    <row r="21" spans="1:5">
      <c r="A21" s="678"/>
      <c r="B21" s="679" t="s">
        <v>938</v>
      </c>
      <c r="C21" s="718">
        <v>131</v>
      </c>
      <c r="D21" s="679"/>
    </row>
    <row r="22" spans="1:5">
      <c r="A22" s="678">
        <v>7</v>
      </c>
      <c r="B22" s="679" t="s">
        <v>939</v>
      </c>
      <c r="C22" s="718">
        <v>825.5</v>
      </c>
      <c r="D22" s="679"/>
    </row>
    <row r="23" spans="1:5">
      <c r="A23" s="679"/>
      <c r="B23" s="656" t="s">
        <v>940</v>
      </c>
      <c r="C23" s="719">
        <f>SUM(C5:C22)</f>
        <v>2460.5</v>
      </c>
      <c r="D23" s="679"/>
    </row>
    <row r="25" spans="1:5">
      <c r="B25" s="1453" t="s">
        <v>958</v>
      </c>
      <c r="C25" s="1453"/>
      <c r="D25" s="1453"/>
    </row>
    <row r="26" spans="1:5">
      <c r="B26" s="988"/>
      <c r="C26" s="649" t="s">
        <v>876</v>
      </c>
      <c r="D26" s="649"/>
      <c r="E26" s="669"/>
    </row>
    <row r="27" spans="1:5">
      <c r="B27" s="671"/>
      <c r="C27" s="671"/>
      <c r="D27" s="671"/>
      <c r="E27" s="670"/>
    </row>
    <row r="28" spans="1:5">
      <c r="B28" s="671"/>
      <c r="C28" s="671"/>
      <c r="D28" s="671"/>
      <c r="E28" s="670"/>
    </row>
    <row r="29" spans="1:5">
      <c r="B29" s="671"/>
      <c r="C29" s="671"/>
      <c r="D29" s="671"/>
      <c r="E29" s="671"/>
    </row>
    <row r="30" spans="1:5">
      <c r="B30" s="671"/>
      <c r="C30" s="671"/>
      <c r="D30" s="671"/>
      <c r="E30" s="671"/>
    </row>
    <row r="31" spans="1:5">
      <c r="B31" s="1406" t="s">
        <v>1009</v>
      </c>
      <c r="C31" s="1406"/>
      <c r="D31" s="1406"/>
      <c r="E31" s="671"/>
    </row>
    <row r="32" spans="1:5">
      <c r="B32" s="670"/>
      <c r="C32" s="670"/>
      <c r="D32" s="670"/>
      <c r="E32" s="671"/>
    </row>
    <row r="33" spans="2:5">
      <c r="B33" s="1452"/>
      <c r="C33" s="1452"/>
      <c r="D33" s="1452"/>
      <c r="E33" s="669"/>
    </row>
  </sheetData>
  <mergeCells count="4">
    <mergeCell ref="B33:D33"/>
    <mergeCell ref="A2:D2"/>
    <mergeCell ref="B25:D25"/>
    <mergeCell ref="B31:D31"/>
  </mergeCells>
  <phoneticPr fontId="60" type="noConversion"/>
  <pageMargins left="1.04" right="0.7" top="0.75" bottom="0.75" header="0.3" footer="0.3"/>
  <pageSetup paperSize="9"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5"/>
  <sheetViews>
    <sheetView workbookViewId="0">
      <selection activeCell="K27" sqref="K27"/>
    </sheetView>
  </sheetViews>
  <sheetFormatPr defaultColWidth="8.90625" defaultRowHeight="13.8"/>
  <cols>
    <col min="1" max="1" width="6.1796875" style="344" customWidth="1"/>
    <col min="2" max="2" width="41.54296875" style="411" customWidth="1"/>
    <col min="3" max="3" width="14.1796875" style="344" customWidth="1"/>
    <col min="4" max="4" width="7.36328125" style="412" hidden="1" customWidth="1"/>
    <col min="5" max="5" width="11.6328125" style="497" customWidth="1"/>
    <col min="6" max="6" width="12.90625" style="11" hidden="1" customWidth="1"/>
    <col min="7" max="7" width="8.90625" style="11"/>
    <col min="8" max="8" width="13.81640625" style="11" bestFit="1" customWidth="1"/>
    <col min="9" max="16384" width="8.90625" style="11"/>
  </cols>
  <sheetData>
    <row r="1" spans="1:8" ht="18" customHeight="1">
      <c r="A1" s="1454" t="s">
        <v>964</v>
      </c>
      <c r="B1" s="1454"/>
      <c r="C1" s="1454"/>
      <c r="D1" s="1454"/>
      <c r="E1" s="1454"/>
      <c r="F1" s="1454"/>
    </row>
    <row r="2" spans="1:8" s="489" customFormat="1" ht="18" customHeight="1">
      <c r="A2" s="1455" t="s">
        <v>965</v>
      </c>
      <c r="B2" s="1455"/>
      <c r="C2" s="1455"/>
      <c r="D2" s="1455"/>
      <c r="E2" s="1455"/>
      <c r="F2" s="785"/>
    </row>
    <row r="3" spans="1:8" s="489" customFormat="1" ht="18" customHeight="1">
      <c r="A3" s="1455"/>
      <c r="B3" s="1455"/>
      <c r="C3" s="1455"/>
      <c r="D3" s="1455"/>
      <c r="E3" s="1455"/>
      <c r="F3" s="783"/>
    </row>
    <row r="4" spans="1:8" ht="35.25" customHeight="1">
      <c r="A4" s="498" t="s">
        <v>2</v>
      </c>
      <c r="B4" s="498" t="s">
        <v>7</v>
      </c>
      <c r="C4" s="420" t="s">
        <v>481</v>
      </c>
      <c r="D4" s="500" t="s">
        <v>13</v>
      </c>
      <c r="E4" s="502" t="s">
        <v>493</v>
      </c>
      <c r="F4" s="502" t="s">
        <v>9</v>
      </c>
    </row>
    <row r="5" spans="1:8" ht="35.25" customHeight="1">
      <c r="A5" s="1122" t="s">
        <v>340</v>
      </c>
      <c r="B5" s="1125" t="s">
        <v>341</v>
      </c>
      <c r="C5" s="1123"/>
      <c r="D5" s="1123"/>
      <c r="E5" s="1124"/>
      <c r="F5" s="1124"/>
    </row>
    <row r="6" spans="1:8" s="280" customFormat="1" ht="18" customHeight="1">
      <c r="A6" s="13" t="e">
        <f>'PL CTĐG'!#REF!</f>
        <v>#REF!</v>
      </c>
      <c r="B6" s="289" t="e">
        <f>'PL CTĐG'!#REF!</f>
        <v>#REF!</v>
      </c>
      <c r="C6" s="139" t="e">
        <f>'PL CTĐG'!#REF!</f>
        <v>#REF!</v>
      </c>
      <c r="D6" s="288" t="e">
        <f>'PL CTĐG'!#REF!</f>
        <v>#REF!</v>
      </c>
      <c r="E6" s="278" t="e">
        <f>'PL CTĐG'!#REF!</f>
        <v>#REF!</v>
      </c>
      <c r="F6" s="278" t="e">
        <f>E6*D6</f>
        <v>#REF!</v>
      </c>
      <c r="H6" s="1119"/>
    </row>
    <row r="7" spans="1:8" s="280" customFormat="1" ht="18" customHeight="1">
      <c r="A7" s="13" t="e">
        <f>'PL CTĐG'!#REF!</f>
        <v>#REF!</v>
      </c>
      <c r="B7" s="289" t="e">
        <f>'PL CTĐG'!#REF!</f>
        <v>#REF!</v>
      </c>
      <c r="C7" s="139" t="e">
        <f>'PL CTĐG'!#REF!</f>
        <v>#REF!</v>
      </c>
      <c r="D7" s="288" t="e">
        <f>'PL CTĐG'!#REF!</f>
        <v>#REF!</v>
      </c>
      <c r="E7" s="278" t="e">
        <f>'PL CTĐG'!#REF!</f>
        <v>#REF!</v>
      </c>
      <c r="F7" s="278" t="e">
        <f t="shared" ref="F7:F73" si="0">E7*D7</f>
        <v>#REF!</v>
      </c>
      <c r="H7" s="1119"/>
    </row>
    <row r="8" spans="1:8" s="280" customFormat="1" ht="29.25" customHeight="1">
      <c r="A8" s="13" t="e">
        <f>'PL CTĐG'!#REF!</f>
        <v>#REF!</v>
      </c>
      <c r="B8" s="289" t="e">
        <f>'PL CTĐG'!#REF!</f>
        <v>#REF!</v>
      </c>
      <c r="C8" s="139" t="e">
        <f>'PL CTĐG'!#REF!</f>
        <v>#REF!</v>
      </c>
      <c r="D8" s="288" t="e">
        <f>'PL CTĐG'!#REF!</f>
        <v>#REF!</v>
      </c>
      <c r="E8" s="278" t="e">
        <f>'PL CTĐG'!#REF!</f>
        <v>#REF!</v>
      </c>
      <c r="F8" s="278" t="e">
        <f t="shared" si="0"/>
        <v>#REF!</v>
      </c>
      <c r="H8" s="1119"/>
    </row>
    <row r="9" spans="1:8" s="280" customFormat="1" ht="18" customHeight="1">
      <c r="A9" s="13" t="e">
        <f>'PL CTĐG'!#REF!</f>
        <v>#REF!</v>
      </c>
      <c r="B9" s="289" t="e">
        <f>'PL CTĐG'!#REF!</f>
        <v>#REF!</v>
      </c>
      <c r="C9" s="139" t="e">
        <f>'PL CTĐG'!#REF!</f>
        <v>#REF!</v>
      </c>
      <c r="D9" s="288" t="e">
        <f>'PL CTĐG'!#REF!</f>
        <v>#REF!</v>
      </c>
      <c r="E9" s="278" t="e">
        <f>'PL CTĐG'!#REF!</f>
        <v>#REF!</v>
      </c>
      <c r="F9" s="278" t="e">
        <f t="shared" si="0"/>
        <v>#REF!</v>
      </c>
      <c r="H9" s="1119"/>
    </row>
    <row r="10" spans="1:8" s="280" customFormat="1" ht="26.25" customHeight="1">
      <c r="A10" s="13" t="e">
        <f>'PL CTĐG'!#REF!</f>
        <v>#REF!</v>
      </c>
      <c r="B10" s="289" t="e">
        <f>'PL CTĐG'!#REF!</f>
        <v>#REF!</v>
      </c>
      <c r="C10" s="139" t="e">
        <f>'PL CTĐG'!#REF!</f>
        <v>#REF!</v>
      </c>
      <c r="D10" s="288" t="e">
        <f>'PL CTĐG'!#REF!</f>
        <v>#REF!</v>
      </c>
      <c r="E10" s="278" t="e">
        <f>'PL CTĐG'!#REF!</f>
        <v>#REF!</v>
      </c>
      <c r="F10" s="278" t="e">
        <f t="shared" si="0"/>
        <v>#REF!</v>
      </c>
      <c r="H10" s="1119"/>
    </row>
    <row r="11" spans="1:8" s="280" customFormat="1" ht="18" customHeight="1">
      <c r="A11" s="13" t="e">
        <f>'PL CTĐG'!#REF!</f>
        <v>#REF!</v>
      </c>
      <c r="B11" s="289" t="e">
        <f>'PL CTĐG'!#REF!</f>
        <v>#REF!</v>
      </c>
      <c r="C11" s="139" t="e">
        <f>'PL CTĐG'!#REF!</f>
        <v>#REF!</v>
      </c>
      <c r="D11" s="288" t="e">
        <f>'PL CTĐG'!#REF!</f>
        <v>#REF!</v>
      </c>
      <c r="E11" s="278" t="e">
        <f>'PL CTĐG'!#REF!</f>
        <v>#REF!</v>
      </c>
      <c r="F11" s="278" t="e">
        <f t="shared" si="0"/>
        <v>#REF!</v>
      </c>
      <c r="H11" s="1119"/>
    </row>
    <row r="12" spans="1:8" s="280" customFormat="1" ht="18" customHeight="1">
      <c r="A12" s="13" t="e">
        <f>'PL CTĐG'!#REF!</f>
        <v>#REF!</v>
      </c>
      <c r="B12" s="289" t="e">
        <f>'PL CTĐG'!#REF!</f>
        <v>#REF!</v>
      </c>
      <c r="C12" s="139" t="e">
        <f>'PL CTĐG'!#REF!</f>
        <v>#REF!</v>
      </c>
      <c r="D12" s="288" t="e">
        <f>'PL CTĐG'!#REF!</f>
        <v>#REF!</v>
      </c>
      <c r="E12" s="278" t="e">
        <f>'PL CTĐG'!#REF!</f>
        <v>#REF!</v>
      </c>
      <c r="F12" s="278" t="e">
        <f t="shared" si="0"/>
        <v>#REF!</v>
      </c>
      <c r="H12" s="1119"/>
    </row>
    <row r="13" spans="1:8" s="280" customFormat="1" ht="18" customHeight="1">
      <c r="A13" s="13" t="e">
        <f>'PL CTĐG'!#REF!</f>
        <v>#REF!</v>
      </c>
      <c r="B13" s="289" t="e">
        <f>'PL CTĐG'!#REF!</f>
        <v>#REF!</v>
      </c>
      <c r="C13" s="139" t="e">
        <f>'PL CTĐG'!#REF!</f>
        <v>#REF!</v>
      </c>
      <c r="D13" s="288" t="e">
        <f>'PL CTĐG'!#REF!</f>
        <v>#REF!</v>
      </c>
      <c r="E13" s="278" t="e">
        <f>'PL CTĐG'!#REF!</f>
        <v>#REF!</v>
      </c>
      <c r="F13" s="278" t="e">
        <f t="shared" si="0"/>
        <v>#REF!</v>
      </c>
      <c r="H13" s="1119"/>
    </row>
    <row r="14" spans="1:8" s="280" customFormat="1" ht="18" customHeight="1">
      <c r="A14" s="13" t="e">
        <f>'PL CTĐG'!#REF!</f>
        <v>#REF!</v>
      </c>
      <c r="B14" s="289" t="e">
        <f>'PL CTĐG'!#REF!</f>
        <v>#REF!</v>
      </c>
      <c r="C14" s="139" t="e">
        <f>'PL CTĐG'!#REF!</f>
        <v>#REF!</v>
      </c>
      <c r="D14" s="288" t="e">
        <f>'PL CTĐG'!#REF!</f>
        <v>#REF!</v>
      </c>
      <c r="E14" s="278" t="e">
        <f>'PL CTĐG'!#REF!</f>
        <v>#REF!</v>
      </c>
      <c r="F14" s="278" t="e">
        <f t="shared" si="0"/>
        <v>#REF!</v>
      </c>
      <c r="H14" s="1119"/>
    </row>
    <row r="15" spans="1:8" s="280" customFormat="1" ht="18" customHeight="1">
      <c r="A15" s="13" t="e">
        <f>'PL CTĐG'!#REF!</f>
        <v>#REF!</v>
      </c>
      <c r="B15" s="289" t="e">
        <f>'PL CTĐG'!#REF!</f>
        <v>#REF!</v>
      </c>
      <c r="C15" s="139" t="e">
        <f>'PL CTĐG'!#REF!</f>
        <v>#REF!</v>
      </c>
      <c r="D15" s="288" t="e">
        <f>'PL CTĐG'!#REF!</f>
        <v>#REF!</v>
      </c>
      <c r="E15" s="278" t="e">
        <f>'PL CTĐG'!#REF!</f>
        <v>#REF!</v>
      </c>
      <c r="F15" s="278" t="e">
        <f t="shared" si="0"/>
        <v>#REF!</v>
      </c>
      <c r="H15" s="1119"/>
    </row>
    <row r="16" spans="1:8" s="280" customFormat="1" ht="18" customHeight="1">
      <c r="A16" s="13" t="e">
        <f>+'PL CTĐG'!#REF!</f>
        <v>#REF!</v>
      </c>
      <c r="B16" s="289" t="e">
        <f>+'PL CTĐG'!#REF!</f>
        <v>#REF!</v>
      </c>
      <c r="C16" s="139" t="e">
        <f>+'PL CTĐG'!#REF!</f>
        <v>#REF!</v>
      </c>
      <c r="D16" s="288" t="e">
        <f>+'PL CTĐG'!#REF!</f>
        <v>#REF!</v>
      </c>
      <c r="E16" s="278" t="e">
        <f>+'PL CTĐG'!#REF!</f>
        <v>#REF!</v>
      </c>
      <c r="F16" s="278" t="e">
        <f>+D16*E16</f>
        <v>#REF!</v>
      </c>
      <c r="H16" s="1119"/>
    </row>
    <row r="17" spans="1:8" s="280" customFormat="1" ht="18" customHeight="1">
      <c r="A17" s="13" t="e">
        <f>+'PL CTĐG'!#REF!</f>
        <v>#REF!</v>
      </c>
      <c r="B17" s="289" t="e">
        <f>+'PL CTĐG'!#REF!</f>
        <v>#REF!</v>
      </c>
      <c r="C17" s="13" t="e">
        <f>+'PL CTĐG'!#REF!</f>
        <v>#REF!</v>
      </c>
      <c r="D17" s="288" t="e">
        <f>+'PL CTĐG'!#REF!</f>
        <v>#REF!</v>
      </c>
      <c r="E17" s="278" t="e">
        <f>+'PL CTĐG'!#REF!</f>
        <v>#REF!</v>
      </c>
      <c r="F17" s="278" t="e">
        <f>+D17*E17</f>
        <v>#REF!</v>
      </c>
      <c r="H17" s="1119"/>
    </row>
    <row r="18" spans="1:8" s="280" customFormat="1" ht="18" customHeight="1">
      <c r="A18" s="13" t="e">
        <f>+'PL CTĐG'!#REF!</f>
        <v>#REF!</v>
      </c>
      <c r="B18" s="289" t="e">
        <f>+'PL CTĐG'!#REF!</f>
        <v>#REF!</v>
      </c>
      <c r="C18" s="13" t="e">
        <f>+'PL CTĐG'!#REF!</f>
        <v>#REF!</v>
      </c>
      <c r="D18" s="288" t="e">
        <f>+'PL CTĐG'!#REF!</f>
        <v>#REF!</v>
      </c>
      <c r="E18" s="278" t="e">
        <f>+'PL CTĐG'!#REF!</f>
        <v>#REF!</v>
      </c>
      <c r="F18" s="278" t="e">
        <f>+D18*E18</f>
        <v>#REF!</v>
      </c>
      <c r="H18" s="1119"/>
    </row>
    <row r="19" spans="1:8" s="280" customFormat="1" ht="18" customHeight="1">
      <c r="A19" s="13" t="e">
        <f>'PL CTĐG'!#REF!</f>
        <v>#REF!</v>
      </c>
      <c r="B19" s="289" t="e">
        <f>'PL CTĐG'!#REF!</f>
        <v>#REF!</v>
      </c>
      <c r="C19" s="139" t="e">
        <f>'PL CTĐG'!#REF!</f>
        <v>#REF!</v>
      </c>
      <c r="D19" s="288" t="e">
        <f>'PL CTĐG'!#REF!</f>
        <v>#REF!</v>
      </c>
      <c r="E19" s="278" t="e">
        <f>'PL CTĐG'!#REF!</f>
        <v>#REF!</v>
      </c>
      <c r="F19" s="278" t="e">
        <f t="shared" si="0"/>
        <v>#REF!</v>
      </c>
      <c r="H19" s="1119"/>
    </row>
    <row r="20" spans="1:8" s="280" customFormat="1" ht="18" customHeight="1">
      <c r="A20" s="13" t="e">
        <f>'PL CTĐG'!#REF!</f>
        <v>#REF!</v>
      </c>
      <c r="B20" s="289" t="e">
        <f>'PL CTĐG'!#REF!</f>
        <v>#REF!</v>
      </c>
      <c r="C20" s="139" t="e">
        <f>'PL CTĐG'!#REF!</f>
        <v>#REF!</v>
      </c>
      <c r="D20" s="288" t="e">
        <f>'PL CTĐG'!#REF!</f>
        <v>#REF!</v>
      </c>
      <c r="E20" s="278" t="e">
        <f>'PL CTĐG'!#REF!</f>
        <v>#REF!</v>
      </c>
      <c r="F20" s="278" t="e">
        <f t="shared" si="0"/>
        <v>#REF!</v>
      </c>
      <c r="H20" s="1119"/>
    </row>
    <row r="21" spans="1:8" s="280" customFormat="1" ht="18" customHeight="1">
      <c r="A21" s="13" t="e">
        <f>'PL CTĐG'!#REF!</f>
        <v>#REF!</v>
      </c>
      <c r="B21" s="289" t="e">
        <f>'PL CTĐG'!#REF!</f>
        <v>#REF!</v>
      </c>
      <c r="C21" s="139" t="e">
        <f>'PL CTĐG'!#REF!</f>
        <v>#REF!</v>
      </c>
      <c r="D21" s="288" t="e">
        <f>'PL CTĐG'!#REF!</f>
        <v>#REF!</v>
      </c>
      <c r="E21" s="278" t="e">
        <f>'PL CTĐG'!#REF!</f>
        <v>#REF!</v>
      </c>
      <c r="F21" s="278" t="e">
        <f t="shared" si="0"/>
        <v>#REF!</v>
      </c>
      <c r="H21" s="1119"/>
    </row>
    <row r="22" spans="1:8" s="280" customFormat="1" ht="18" customHeight="1">
      <c r="A22" s="13" t="e">
        <f>'PL CTĐG'!#REF!</f>
        <v>#REF!</v>
      </c>
      <c r="B22" s="289" t="e">
        <f>'PL CTĐG'!#REF!</f>
        <v>#REF!</v>
      </c>
      <c r="C22" s="139" t="e">
        <f>'PL CTĐG'!#REF!</f>
        <v>#REF!</v>
      </c>
      <c r="D22" s="288" t="e">
        <f>'PL CTĐG'!#REF!</f>
        <v>#REF!</v>
      </c>
      <c r="E22" s="278" t="e">
        <f>'PL CTĐG'!#REF!</f>
        <v>#REF!</v>
      </c>
      <c r="F22" s="278" t="e">
        <f t="shared" si="0"/>
        <v>#REF!</v>
      </c>
      <c r="H22" s="1119"/>
    </row>
    <row r="23" spans="1:8" s="280" customFormat="1" ht="18" customHeight="1">
      <c r="A23" s="13"/>
      <c r="B23" s="287" t="e">
        <f>'PL CTĐG'!#REF!</f>
        <v>#REF!</v>
      </c>
      <c r="C23" s="139"/>
      <c r="D23" s="288"/>
      <c r="E23" s="278"/>
      <c r="F23" s="278"/>
      <c r="H23" s="1119"/>
    </row>
    <row r="24" spans="1:8" s="280" customFormat="1" ht="18" customHeight="1">
      <c r="A24" s="13" t="e">
        <f>'PL CTĐG'!#REF!</f>
        <v>#REF!</v>
      </c>
      <c r="B24" s="289" t="e">
        <f>'PL CTĐG'!#REF!</f>
        <v>#REF!</v>
      </c>
      <c r="C24" s="139" t="e">
        <f>'PL CTĐG'!#REF!</f>
        <v>#REF!</v>
      </c>
      <c r="D24" s="288" t="e">
        <f>'PL CTĐG'!#REF!</f>
        <v>#REF!</v>
      </c>
      <c r="E24" s="278" t="e">
        <f>'PL CTĐG'!#REF!</f>
        <v>#REF!</v>
      </c>
      <c r="F24" s="278" t="e">
        <f t="shared" si="0"/>
        <v>#REF!</v>
      </c>
      <c r="H24" s="1119"/>
    </row>
    <row r="25" spans="1:8" s="280" customFormat="1" ht="18" customHeight="1">
      <c r="A25" s="13" t="e">
        <f>'PL CTĐG'!#REF!</f>
        <v>#REF!</v>
      </c>
      <c r="B25" s="289" t="e">
        <f>'PL CTĐG'!#REF!</f>
        <v>#REF!</v>
      </c>
      <c r="C25" s="139" t="e">
        <f>'PL CTĐG'!#REF!</f>
        <v>#REF!</v>
      </c>
      <c r="D25" s="288" t="e">
        <f>'PL CTĐG'!#REF!</f>
        <v>#REF!</v>
      </c>
      <c r="E25" s="278" t="e">
        <f>'PL CTĐG'!#REF!</f>
        <v>#REF!</v>
      </c>
      <c r="F25" s="278" t="e">
        <f t="shared" si="0"/>
        <v>#REF!</v>
      </c>
      <c r="H25" s="1119"/>
    </row>
    <row r="26" spans="1:8" s="280" customFormat="1" ht="18" customHeight="1">
      <c r="A26" s="13" t="e">
        <f>'PL CTĐG'!#REF!</f>
        <v>#REF!</v>
      </c>
      <c r="B26" s="289" t="e">
        <f>'PL CTĐG'!#REF!</f>
        <v>#REF!</v>
      </c>
      <c r="C26" s="139" t="e">
        <f>'PL CTĐG'!#REF!</f>
        <v>#REF!</v>
      </c>
      <c r="D26" s="288" t="e">
        <f>'PL CTĐG'!#REF!</f>
        <v>#REF!</v>
      </c>
      <c r="E26" s="278" t="e">
        <f>'PL CTĐG'!#REF!</f>
        <v>#REF!</v>
      </c>
      <c r="F26" s="278" t="e">
        <f t="shared" si="0"/>
        <v>#REF!</v>
      </c>
      <c r="H26" s="1119"/>
    </row>
    <row r="27" spans="1:8" s="280" customFormat="1" ht="18" customHeight="1">
      <c r="A27" s="13"/>
      <c r="B27" s="287" t="e">
        <f>'PL CTĐG'!#REF!</f>
        <v>#REF!</v>
      </c>
      <c r="C27" s="139"/>
      <c r="D27" s="288"/>
      <c r="E27" s="278"/>
      <c r="F27" s="278"/>
      <c r="H27" s="1119"/>
    </row>
    <row r="28" spans="1:8" s="280" customFormat="1" ht="18" customHeight="1">
      <c r="A28" s="13" t="e">
        <f>'PL CTĐG'!#REF!</f>
        <v>#REF!</v>
      </c>
      <c r="B28" s="289" t="e">
        <f>'PL CTĐG'!#REF!</f>
        <v>#REF!</v>
      </c>
      <c r="C28" s="139" t="e">
        <f>'PL CTĐG'!#REF!</f>
        <v>#REF!</v>
      </c>
      <c r="D28" s="288" t="e">
        <f>'PL CTĐG'!#REF!</f>
        <v>#REF!</v>
      </c>
      <c r="E28" s="278" t="e">
        <f>'PL CTĐG'!#REF!</f>
        <v>#REF!</v>
      </c>
      <c r="F28" s="278" t="e">
        <f t="shared" si="0"/>
        <v>#REF!</v>
      </c>
      <c r="H28" s="1119"/>
    </row>
    <row r="29" spans="1:8" s="280" customFormat="1" ht="18" customHeight="1">
      <c r="A29" s="13" t="e">
        <f>'PL CTĐG'!#REF!</f>
        <v>#REF!</v>
      </c>
      <c r="B29" s="289" t="e">
        <f>'PL CTĐG'!#REF!</f>
        <v>#REF!</v>
      </c>
      <c r="C29" s="139" t="e">
        <f>'PL CTĐG'!#REF!</f>
        <v>#REF!</v>
      </c>
      <c r="D29" s="288" t="e">
        <f>'PL CTĐG'!#REF!</f>
        <v>#REF!</v>
      </c>
      <c r="E29" s="278" t="e">
        <f>'PL CTĐG'!#REF!</f>
        <v>#REF!</v>
      </c>
      <c r="F29" s="278" t="e">
        <f t="shared" si="0"/>
        <v>#REF!</v>
      </c>
      <c r="H29" s="1119"/>
    </row>
    <row r="30" spans="1:8" s="280" customFormat="1" ht="18" customHeight="1">
      <c r="A30" s="13" t="e">
        <f>'PL CTĐG'!#REF!</f>
        <v>#REF!</v>
      </c>
      <c r="B30" s="289" t="e">
        <f>'PL CTĐG'!#REF!</f>
        <v>#REF!</v>
      </c>
      <c r="C30" s="139" t="e">
        <f>'PL CTĐG'!#REF!</f>
        <v>#REF!</v>
      </c>
      <c r="D30" s="288" t="e">
        <f>'PL CTĐG'!#REF!</f>
        <v>#REF!</v>
      </c>
      <c r="E30" s="278" t="e">
        <f>'PL CTĐG'!#REF!</f>
        <v>#REF!</v>
      </c>
      <c r="F30" s="278" t="e">
        <f t="shared" si="0"/>
        <v>#REF!</v>
      </c>
      <c r="H30" s="1119"/>
    </row>
    <row r="31" spans="1:8" s="280" customFormat="1" ht="30" hidden="1" customHeight="1">
      <c r="A31" s="96"/>
      <c r="B31" s="287" t="e">
        <f>'PL CTĐG'!#REF!</f>
        <v>#REF!</v>
      </c>
      <c r="C31" s="139"/>
      <c r="D31" s="288"/>
      <c r="E31" s="278"/>
      <c r="F31" s="278"/>
      <c r="H31" s="1119"/>
    </row>
    <row r="32" spans="1:8" s="280" customFormat="1" ht="18" hidden="1" customHeight="1">
      <c r="A32" s="13" t="e">
        <f>'PL CTĐG'!#REF!</f>
        <v>#REF!</v>
      </c>
      <c r="B32" s="289" t="e">
        <f>'PL CTĐG'!#REF!</f>
        <v>#REF!</v>
      </c>
      <c r="C32" s="139" t="e">
        <f>'PL CTĐG'!#REF!</f>
        <v>#REF!</v>
      </c>
      <c r="D32" s="288" t="e">
        <f>'PL CTĐG'!#REF!</f>
        <v>#REF!</v>
      </c>
      <c r="E32" s="278" t="e">
        <f>'PL CTĐG'!#REF!</f>
        <v>#REF!</v>
      </c>
      <c r="F32" s="278" t="e">
        <f t="shared" si="0"/>
        <v>#REF!</v>
      </c>
      <c r="H32" s="1119"/>
    </row>
    <row r="33" spans="1:8" s="280" customFormat="1" ht="18" hidden="1" customHeight="1">
      <c r="A33" s="13" t="e">
        <f>'PL CTĐG'!#REF!</f>
        <v>#REF!</v>
      </c>
      <c r="B33" s="289" t="e">
        <f>'PL CTĐG'!#REF!</f>
        <v>#REF!</v>
      </c>
      <c r="C33" s="139" t="e">
        <f>'PL CTĐG'!#REF!</f>
        <v>#REF!</v>
      </c>
      <c r="D33" s="288" t="e">
        <f>'PL CTĐG'!#REF!</f>
        <v>#REF!</v>
      </c>
      <c r="E33" s="278" t="e">
        <f>'PL CTĐG'!#REF!</f>
        <v>#REF!</v>
      </c>
      <c r="F33" s="278" t="e">
        <f t="shared" si="0"/>
        <v>#REF!</v>
      </c>
      <c r="H33" s="1119"/>
    </row>
    <row r="34" spans="1:8" s="280" customFormat="1" ht="30" hidden="1" customHeight="1">
      <c r="A34" s="13" t="e">
        <f>'PL CTĐG'!#REF!</f>
        <v>#REF!</v>
      </c>
      <c r="B34" s="289" t="e">
        <f>'PL CTĐG'!#REF!</f>
        <v>#REF!</v>
      </c>
      <c r="C34" s="139" t="e">
        <f>'PL CTĐG'!#REF!</f>
        <v>#REF!</v>
      </c>
      <c r="D34" s="288" t="e">
        <f>'PL CTĐG'!#REF!</f>
        <v>#REF!</v>
      </c>
      <c r="E34" s="278" t="e">
        <f>'PL CTĐG'!#REF!</f>
        <v>#REF!</v>
      </c>
      <c r="F34" s="278" t="e">
        <f t="shared" si="0"/>
        <v>#REF!</v>
      </c>
      <c r="H34" s="1119"/>
    </row>
    <row r="35" spans="1:8" s="280" customFormat="1" ht="18" hidden="1" customHeight="1">
      <c r="A35" s="13" t="e">
        <f>'PL CTĐG'!#REF!</f>
        <v>#REF!</v>
      </c>
      <c r="B35" s="289" t="e">
        <f>'PL CTĐG'!#REF!</f>
        <v>#REF!</v>
      </c>
      <c r="C35" s="139" t="e">
        <f>'PL CTĐG'!#REF!</f>
        <v>#REF!</v>
      </c>
      <c r="D35" s="288" t="e">
        <f>'PL CTĐG'!#REF!</f>
        <v>#REF!</v>
      </c>
      <c r="E35" s="278" t="e">
        <f>'PL CTĐG'!#REF!</f>
        <v>#REF!</v>
      </c>
      <c r="F35" s="278" t="e">
        <f t="shared" si="0"/>
        <v>#REF!</v>
      </c>
      <c r="H35" s="1119"/>
    </row>
    <row r="36" spans="1:8" s="280" customFormat="1" ht="27" hidden="1" customHeight="1">
      <c r="A36" s="13" t="e">
        <f>'PL CTĐG'!#REF!</f>
        <v>#REF!</v>
      </c>
      <c r="B36" s="289" t="e">
        <f>'PL CTĐG'!#REF!</f>
        <v>#REF!</v>
      </c>
      <c r="C36" s="139" t="e">
        <f>'PL CTĐG'!#REF!</f>
        <v>#REF!</v>
      </c>
      <c r="D36" s="288" t="e">
        <f>'PL CTĐG'!#REF!</f>
        <v>#REF!</v>
      </c>
      <c r="E36" s="278" t="e">
        <f>'PL CTĐG'!#REF!</f>
        <v>#REF!</v>
      </c>
      <c r="F36" s="278" t="e">
        <f t="shared" si="0"/>
        <v>#REF!</v>
      </c>
      <c r="H36" s="1119"/>
    </row>
    <row r="37" spans="1:8" s="280" customFormat="1" ht="18" hidden="1" customHeight="1">
      <c r="A37" s="13" t="e">
        <f>'PL CTĐG'!#REF!</f>
        <v>#REF!</v>
      </c>
      <c r="B37" s="289" t="e">
        <f>'PL CTĐG'!#REF!</f>
        <v>#REF!</v>
      </c>
      <c r="C37" s="139" t="e">
        <f>'PL CTĐG'!#REF!</f>
        <v>#REF!</v>
      </c>
      <c r="D37" s="288" t="e">
        <f>'PL CTĐG'!#REF!</f>
        <v>#REF!</v>
      </c>
      <c r="E37" s="278" t="e">
        <f>'PL CTĐG'!#REF!</f>
        <v>#REF!</v>
      </c>
      <c r="F37" s="278" t="e">
        <f t="shared" si="0"/>
        <v>#REF!</v>
      </c>
      <c r="H37" s="1119"/>
    </row>
    <row r="38" spans="1:8" s="280" customFormat="1" ht="18" hidden="1" customHeight="1">
      <c r="A38" s="13" t="e">
        <f>'PL CTĐG'!#REF!</f>
        <v>#REF!</v>
      </c>
      <c r="B38" s="289" t="e">
        <f>'PL CTĐG'!#REF!</f>
        <v>#REF!</v>
      </c>
      <c r="C38" s="139" t="e">
        <f>'PL CTĐG'!#REF!</f>
        <v>#REF!</v>
      </c>
      <c r="D38" s="288" t="e">
        <f>'PL CTĐG'!#REF!</f>
        <v>#REF!</v>
      </c>
      <c r="E38" s="278" t="e">
        <f>'PL CTĐG'!#REF!</f>
        <v>#REF!</v>
      </c>
      <c r="F38" s="278" t="e">
        <f t="shared" si="0"/>
        <v>#REF!</v>
      </c>
      <c r="H38" s="1119"/>
    </row>
    <row r="39" spans="1:8" s="280" customFormat="1" ht="18" hidden="1" customHeight="1">
      <c r="A39" s="13" t="e">
        <f>'PL CTĐG'!#REF!</f>
        <v>#REF!</v>
      </c>
      <c r="B39" s="289" t="e">
        <f>'PL CTĐG'!#REF!</f>
        <v>#REF!</v>
      </c>
      <c r="C39" s="139" t="e">
        <f>'PL CTĐG'!#REF!</f>
        <v>#REF!</v>
      </c>
      <c r="D39" s="288" t="e">
        <f>'PL CTĐG'!#REF!</f>
        <v>#REF!</v>
      </c>
      <c r="E39" s="278" t="e">
        <f>'PL CTĐG'!#REF!</f>
        <v>#REF!</v>
      </c>
      <c r="F39" s="278" t="e">
        <f t="shared" si="0"/>
        <v>#REF!</v>
      </c>
      <c r="H39" s="1119"/>
    </row>
    <row r="40" spans="1:8" s="280" customFormat="1" ht="18" hidden="1" customHeight="1">
      <c r="A40" s="13" t="e">
        <f>'PL CTĐG'!#REF!</f>
        <v>#REF!</v>
      </c>
      <c r="B40" s="289" t="e">
        <f>'PL CTĐG'!#REF!</f>
        <v>#REF!</v>
      </c>
      <c r="C40" s="139" t="e">
        <f>'PL CTĐG'!#REF!</f>
        <v>#REF!</v>
      </c>
      <c r="D40" s="288" t="e">
        <f>'PL CTĐG'!#REF!</f>
        <v>#REF!</v>
      </c>
      <c r="E40" s="278" t="e">
        <f>'PL CTĐG'!#REF!</f>
        <v>#REF!</v>
      </c>
      <c r="F40" s="278" t="e">
        <f t="shared" si="0"/>
        <v>#REF!</v>
      </c>
      <c r="H40" s="1119"/>
    </row>
    <row r="41" spans="1:8" s="280" customFormat="1" ht="18" hidden="1" customHeight="1">
      <c r="A41" s="13" t="e">
        <f>'PL CTĐG'!#REF!</f>
        <v>#REF!</v>
      </c>
      <c r="B41" s="289" t="e">
        <f>'PL CTĐG'!#REF!</f>
        <v>#REF!</v>
      </c>
      <c r="C41" s="139" t="e">
        <f>'PL CTĐG'!#REF!</f>
        <v>#REF!</v>
      </c>
      <c r="D41" s="288" t="e">
        <f>'PL CTĐG'!#REF!</f>
        <v>#REF!</v>
      </c>
      <c r="E41" s="278" t="e">
        <f>'PL CTĐG'!#REF!</f>
        <v>#REF!</v>
      </c>
      <c r="F41" s="278" t="e">
        <f t="shared" si="0"/>
        <v>#REF!</v>
      </c>
      <c r="H41" s="1119"/>
    </row>
    <row r="42" spans="1:8" s="280" customFormat="1" ht="18" hidden="1" customHeight="1">
      <c r="A42" s="13" t="e">
        <f>+'PL CTĐG'!#REF!</f>
        <v>#REF!</v>
      </c>
      <c r="B42" s="289" t="e">
        <f>+'PL CTĐG'!#REF!</f>
        <v>#REF!</v>
      </c>
      <c r="C42" s="13" t="e">
        <f>+'PL CTĐG'!#REF!</f>
        <v>#REF!</v>
      </c>
      <c r="D42" s="288" t="e">
        <f>+'PL CTĐG'!#REF!</f>
        <v>#REF!</v>
      </c>
      <c r="E42" s="278" t="e">
        <f>+'PL CTĐG'!#REF!</f>
        <v>#REF!</v>
      </c>
      <c r="F42" s="278" t="e">
        <f>+D42*E42</f>
        <v>#REF!</v>
      </c>
      <c r="H42" s="1119"/>
    </row>
    <row r="43" spans="1:8" s="280" customFormat="1" ht="18" hidden="1" customHeight="1">
      <c r="A43" s="13" t="e">
        <f>+'PL CTĐG'!#REF!</f>
        <v>#REF!</v>
      </c>
      <c r="B43" s="289" t="e">
        <f>+'PL CTĐG'!#REF!</f>
        <v>#REF!</v>
      </c>
      <c r="C43" s="13" t="e">
        <f>+'PL CTĐG'!#REF!</f>
        <v>#REF!</v>
      </c>
      <c r="D43" s="288" t="e">
        <f>+'PL CTĐG'!#REF!</f>
        <v>#REF!</v>
      </c>
      <c r="E43" s="278" t="e">
        <f>+'PL CTĐG'!#REF!</f>
        <v>#REF!</v>
      </c>
      <c r="F43" s="278" t="e">
        <f>+D43*E43</f>
        <v>#REF!</v>
      </c>
      <c r="H43" s="1119"/>
    </row>
    <row r="44" spans="1:8" s="280" customFormat="1" ht="18" hidden="1" customHeight="1">
      <c r="A44" s="13" t="e">
        <f>+'PL CTĐG'!#REF!</f>
        <v>#REF!</v>
      </c>
      <c r="B44" s="289" t="e">
        <f>+'PL CTĐG'!#REF!</f>
        <v>#REF!</v>
      </c>
      <c r="C44" s="13" t="e">
        <f>+'PL CTĐG'!#REF!</f>
        <v>#REF!</v>
      </c>
      <c r="D44" s="288" t="e">
        <f>+'PL CTĐG'!#REF!</f>
        <v>#REF!</v>
      </c>
      <c r="E44" s="278" t="e">
        <f>+'PL CTĐG'!#REF!</f>
        <v>#REF!</v>
      </c>
      <c r="F44" s="278" t="e">
        <f>+D44*E44</f>
        <v>#REF!</v>
      </c>
      <c r="H44" s="1119"/>
    </row>
    <row r="45" spans="1:8" s="280" customFormat="1" ht="34.5" hidden="1" customHeight="1">
      <c r="A45" s="13"/>
      <c r="B45" s="287" t="e">
        <f>'PL CTĐG'!#REF!</f>
        <v>#REF!</v>
      </c>
      <c r="C45" s="139"/>
      <c r="D45" s="288"/>
      <c r="E45" s="278"/>
      <c r="F45" s="278"/>
      <c r="H45" s="1119"/>
    </row>
    <row r="46" spans="1:8" s="280" customFormat="1" ht="18" hidden="1" customHeight="1">
      <c r="A46" s="13" t="e">
        <f>'PL CTĐG'!#REF!</f>
        <v>#REF!</v>
      </c>
      <c r="B46" s="289" t="e">
        <f>'PL CTĐG'!#REF!</f>
        <v>#REF!</v>
      </c>
      <c r="C46" s="139" t="e">
        <f>'PL CTĐG'!#REF!</f>
        <v>#REF!</v>
      </c>
      <c r="D46" s="288" t="e">
        <f>'PL CTĐG'!#REF!</f>
        <v>#REF!</v>
      </c>
      <c r="E46" s="278" t="e">
        <f>'PL CTĐG'!#REF!</f>
        <v>#REF!</v>
      </c>
      <c r="F46" s="278" t="e">
        <f t="shared" si="0"/>
        <v>#REF!</v>
      </c>
      <c r="H46" s="1119"/>
    </row>
    <row r="47" spans="1:8" s="280" customFormat="1" ht="18" hidden="1" customHeight="1">
      <c r="A47" s="13" t="e">
        <f>'PL CTĐG'!#REF!</f>
        <v>#REF!</v>
      </c>
      <c r="B47" s="289" t="e">
        <f>'PL CTĐG'!#REF!</f>
        <v>#REF!</v>
      </c>
      <c r="C47" s="139" t="e">
        <f>'PL CTĐG'!#REF!</f>
        <v>#REF!</v>
      </c>
      <c r="D47" s="288" t="e">
        <f>'PL CTĐG'!#REF!</f>
        <v>#REF!</v>
      </c>
      <c r="E47" s="278" t="e">
        <f>'PL CTĐG'!#REF!</f>
        <v>#REF!</v>
      </c>
      <c r="F47" s="278" t="e">
        <f t="shared" si="0"/>
        <v>#REF!</v>
      </c>
      <c r="H47" s="1119"/>
    </row>
    <row r="48" spans="1:8" s="280" customFormat="1" ht="18" hidden="1" customHeight="1">
      <c r="A48" s="13" t="e">
        <f>'PL CTĐG'!#REF!</f>
        <v>#REF!</v>
      </c>
      <c r="B48" s="289" t="e">
        <f>'PL CTĐG'!#REF!</f>
        <v>#REF!</v>
      </c>
      <c r="C48" s="139" t="e">
        <f>'PL CTĐG'!#REF!</f>
        <v>#REF!</v>
      </c>
      <c r="D48" s="288" t="e">
        <f>'PL CTĐG'!#REF!</f>
        <v>#REF!</v>
      </c>
      <c r="E48" s="278" t="e">
        <f>'PL CTĐG'!#REF!</f>
        <v>#REF!</v>
      </c>
      <c r="F48" s="278" t="e">
        <f t="shared" si="0"/>
        <v>#REF!</v>
      </c>
      <c r="H48" s="1119"/>
    </row>
    <row r="49" spans="1:8" s="280" customFormat="1" ht="18" hidden="1" customHeight="1">
      <c r="A49" s="13" t="e">
        <f>'PL CTĐG'!#REF!</f>
        <v>#REF!</v>
      </c>
      <c r="B49" s="289" t="e">
        <f>'PL CTĐG'!#REF!</f>
        <v>#REF!</v>
      </c>
      <c r="C49" s="139" t="e">
        <f>'PL CTĐG'!#REF!</f>
        <v>#REF!</v>
      </c>
      <c r="D49" s="288" t="e">
        <f>'PL CTĐG'!#REF!</f>
        <v>#REF!</v>
      </c>
      <c r="E49" s="278" t="e">
        <f>'PL CTĐG'!#REF!</f>
        <v>#REF!</v>
      </c>
      <c r="F49" s="278" t="e">
        <f t="shared" si="0"/>
        <v>#REF!</v>
      </c>
      <c r="H49" s="1119"/>
    </row>
    <row r="50" spans="1:8" s="280" customFormat="1" ht="31.5" hidden="1" customHeight="1">
      <c r="A50" s="13"/>
      <c r="B50" s="287" t="e">
        <f>'PL CTĐG'!#REF!</f>
        <v>#REF!</v>
      </c>
      <c r="C50" s="139"/>
      <c r="D50" s="288"/>
      <c r="E50" s="278"/>
      <c r="F50" s="278"/>
      <c r="H50" s="1119"/>
    </row>
    <row r="51" spans="1:8" s="280" customFormat="1" ht="18" hidden="1" customHeight="1">
      <c r="A51" s="13"/>
      <c r="B51" s="287" t="e">
        <f>'PL CTĐG'!#REF!</f>
        <v>#REF!</v>
      </c>
      <c r="C51" s="139"/>
      <c r="D51" s="288"/>
      <c r="E51" s="278"/>
      <c r="F51" s="278"/>
      <c r="H51" s="1119"/>
    </row>
    <row r="52" spans="1:8" s="280" customFormat="1" ht="18" hidden="1" customHeight="1">
      <c r="A52" s="13" t="e">
        <f>'PL CTĐG'!#REF!</f>
        <v>#REF!</v>
      </c>
      <c r="B52" s="289" t="e">
        <f>'PL CTĐG'!#REF!</f>
        <v>#REF!</v>
      </c>
      <c r="C52" s="139" t="e">
        <f>'PL CTĐG'!#REF!</f>
        <v>#REF!</v>
      </c>
      <c r="D52" s="288" t="e">
        <f>'PL CTĐG'!#REF!</f>
        <v>#REF!</v>
      </c>
      <c r="E52" s="278" t="e">
        <f>'PL CTĐG'!#REF!</f>
        <v>#REF!</v>
      </c>
      <c r="F52" s="278" t="e">
        <f t="shared" si="0"/>
        <v>#REF!</v>
      </c>
      <c r="H52" s="1119"/>
    </row>
    <row r="53" spans="1:8" s="280" customFormat="1" ht="18" hidden="1" customHeight="1">
      <c r="A53" s="13" t="e">
        <f>'PL CTĐG'!#REF!</f>
        <v>#REF!</v>
      </c>
      <c r="B53" s="289" t="e">
        <f>'PL CTĐG'!#REF!</f>
        <v>#REF!</v>
      </c>
      <c r="C53" s="139" t="e">
        <f>'PL CTĐG'!#REF!</f>
        <v>#REF!</v>
      </c>
      <c r="D53" s="288" t="e">
        <f>'PL CTĐG'!#REF!</f>
        <v>#REF!</v>
      </c>
      <c r="E53" s="278" t="e">
        <f>'PL CTĐG'!#REF!</f>
        <v>#REF!</v>
      </c>
      <c r="F53" s="278" t="e">
        <f t="shared" si="0"/>
        <v>#REF!</v>
      </c>
      <c r="H53" s="1119"/>
    </row>
    <row r="54" spans="1:8" s="280" customFormat="1" ht="18" hidden="1" customHeight="1">
      <c r="A54" s="13" t="e">
        <f>'PL CTĐG'!#REF!</f>
        <v>#REF!</v>
      </c>
      <c r="B54" s="289" t="e">
        <f>'PL CTĐG'!#REF!</f>
        <v>#REF!</v>
      </c>
      <c r="C54" s="139" t="e">
        <f>'PL CTĐG'!#REF!</f>
        <v>#REF!</v>
      </c>
      <c r="D54" s="288" t="e">
        <f>'PL CTĐG'!#REF!</f>
        <v>#REF!</v>
      </c>
      <c r="E54" s="278" t="e">
        <f>'PL CTĐG'!#REF!</f>
        <v>#REF!</v>
      </c>
      <c r="F54" s="278" t="e">
        <f t="shared" si="0"/>
        <v>#REF!</v>
      </c>
      <c r="H54" s="1119"/>
    </row>
    <row r="55" spans="1:8" s="280" customFormat="1" ht="18" hidden="1" customHeight="1">
      <c r="A55" s="13"/>
      <c r="B55" s="287" t="e">
        <f>'PL CTĐG'!#REF!</f>
        <v>#REF!</v>
      </c>
      <c r="C55" s="139"/>
      <c r="D55" s="288"/>
      <c r="E55" s="278"/>
      <c r="F55" s="278"/>
      <c r="H55" s="1119"/>
    </row>
    <row r="56" spans="1:8" s="280" customFormat="1" ht="18" hidden="1" customHeight="1">
      <c r="A56" s="13" t="e">
        <f>'PL CTĐG'!#REF!</f>
        <v>#REF!</v>
      </c>
      <c r="B56" s="289" t="e">
        <f>'PL CTĐG'!#REF!</f>
        <v>#REF!</v>
      </c>
      <c r="C56" s="139" t="e">
        <f>'PL CTĐG'!#REF!</f>
        <v>#REF!</v>
      </c>
      <c r="D56" s="288" t="e">
        <f>'PL CTĐG'!#REF!</f>
        <v>#REF!</v>
      </c>
      <c r="E56" s="278" t="e">
        <f>'PL CTĐG'!#REF!</f>
        <v>#REF!</v>
      </c>
      <c r="F56" s="278" t="e">
        <f t="shared" si="0"/>
        <v>#REF!</v>
      </c>
      <c r="H56" s="1119"/>
    </row>
    <row r="57" spans="1:8" s="280" customFormat="1" ht="18" hidden="1" customHeight="1">
      <c r="A57" s="13" t="e">
        <f>'PL CTĐG'!#REF!</f>
        <v>#REF!</v>
      </c>
      <c r="B57" s="289" t="e">
        <f>'PL CTĐG'!#REF!</f>
        <v>#REF!</v>
      </c>
      <c r="C57" s="139" t="e">
        <f>'PL CTĐG'!#REF!</f>
        <v>#REF!</v>
      </c>
      <c r="D57" s="288" t="e">
        <f>'PL CTĐG'!#REF!</f>
        <v>#REF!</v>
      </c>
      <c r="E57" s="278" t="e">
        <f>'PL CTĐG'!#REF!</f>
        <v>#REF!</v>
      </c>
      <c r="F57" s="278" t="e">
        <f t="shared" si="0"/>
        <v>#REF!</v>
      </c>
      <c r="H57" s="1119"/>
    </row>
    <row r="58" spans="1:8" s="280" customFormat="1" ht="18" hidden="1" customHeight="1">
      <c r="A58" s="13" t="e">
        <f>'PL CTĐG'!#REF!</f>
        <v>#REF!</v>
      </c>
      <c r="B58" s="289" t="e">
        <f>'PL CTĐG'!#REF!</f>
        <v>#REF!</v>
      </c>
      <c r="C58" s="139" t="e">
        <f>'PL CTĐG'!#REF!</f>
        <v>#REF!</v>
      </c>
      <c r="D58" s="288" t="e">
        <f>'PL CTĐG'!#REF!</f>
        <v>#REF!</v>
      </c>
      <c r="E58" s="278" t="e">
        <f>'PL CTĐG'!#REF!</f>
        <v>#REF!</v>
      </c>
      <c r="F58" s="278" t="e">
        <f t="shared" si="0"/>
        <v>#REF!</v>
      </c>
      <c r="H58" s="1119"/>
    </row>
    <row r="59" spans="1:8" s="280" customFormat="1" ht="18" customHeight="1">
      <c r="A59" s="13"/>
      <c r="B59" s="287" t="e">
        <f>'PL CTĐG'!#REF!</f>
        <v>#REF!</v>
      </c>
      <c r="C59" s="139"/>
      <c r="D59" s="288"/>
      <c r="E59" s="278"/>
      <c r="F59" s="278"/>
      <c r="H59" s="1119"/>
    </row>
    <row r="60" spans="1:8" s="280" customFormat="1" ht="18" customHeight="1">
      <c r="A60" s="13" t="e">
        <f>'PL CTĐG'!#REF!</f>
        <v>#REF!</v>
      </c>
      <c r="B60" s="289" t="e">
        <f>'PL CTĐG'!#REF!</f>
        <v>#REF!</v>
      </c>
      <c r="C60" s="139" t="e">
        <f>'PL CTĐG'!#REF!</f>
        <v>#REF!</v>
      </c>
      <c r="D60" s="288" t="e">
        <f>'PL CTĐG'!#REF!</f>
        <v>#REF!</v>
      </c>
      <c r="E60" s="278" t="e">
        <f>'PL CTĐG'!#REF!</f>
        <v>#REF!</v>
      </c>
      <c r="F60" s="278" t="e">
        <f t="shared" si="0"/>
        <v>#REF!</v>
      </c>
      <c r="H60" s="1119"/>
    </row>
    <row r="61" spans="1:8" s="280" customFormat="1" ht="18" customHeight="1">
      <c r="A61" s="13" t="e">
        <f>'PL CTĐG'!#REF!</f>
        <v>#REF!</v>
      </c>
      <c r="B61" s="289" t="e">
        <f>'PL CTĐG'!#REF!</f>
        <v>#REF!</v>
      </c>
      <c r="C61" s="139" t="e">
        <f>'PL CTĐG'!#REF!</f>
        <v>#REF!</v>
      </c>
      <c r="D61" s="288" t="e">
        <f>'PL CTĐG'!#REF!</f>
        <v>#REF!</v>
      </c>
      <c r="E61" s="278" t="e">
        <f>'PL CTĐG'!#REF!</f>
        <v>#REF!</v>
      </c>
      <c r="F61" s="278" t="e">
        <f t="shared" si="0"/>
        <v>#REF!</v>
      </c>
      <c r="H61" s="1119"/>
    </row>
    <row r="62" spans="1:8" s="280" customFormat="1" ht="18" customHeight="1">
      <c r="A62" s="13" t="e">
        <f>'PL CTĐG'!#REF!</f>
        <v>#REF!</v>
      </c>
      <c r="B62" s="289" t="e">
        <f>'PL CTĐG'!#REF!</f>
        <v>#REF!</v>
      </c>
      <c r="C62" s="139" t="e">
        <f>'PL CTĐG'!#REF!</f>
        <v>#REF!</v>
      </c>
      <c r="D62" s="288" t="e">
        <f>'PL CTĐG'!#REF!</f>
        <v>#REF!</v>
      </c>
      <c r="E62" s="278" t="e">
        <f>'PL CTĐG'!#REF!</f>
        <v>#REF!</v>
      </c>
      <c r="F62" s="278" t="e">
        <f t="shared" si="0"/>
        <v>#REF!</v>
      </c>
      <c r="H62" s="1119"/>
    </row>
    <row r="63" spans="1:8" s="280" customFormat="1" ht="29.25" hidden="1" customHeight="1">
      <c r="A63" s="96" t="e">
        <f>'PL CTĐG'!#REF!</f>
        <v>#REF!</v>
      </c>
      <c r="B63" s="287" t="e">
        <f>'PL CTĐG'!#REF!</f>
        <v>#REF!</v>
      </c>
      <c r="C63" s="139"/>
      <c r="D63" s="288"/>
      <c r="E63" s="278"/>
      <c r="F63" s="279" t="e">
        <f>SUM(F65:F91)</f>
        <v>#REF!</v>
      </c>
      <c r="H63" s="1119"/>
    </row>
    <row r="64" spans="1:8" s="280" customFormat="1" ht="31.5" hidden="1" customHeight="1">
      <c r="A64" s="96"/>
      <c r="B64" s="287" t="e">
        <f>'PL CTĐG'!#REF!</f>
        <v>#REF!</v>
      </c>
      <c r="C64" s="139"/>
      <c r="D64" s="288"/>
      <c r="E64" s="278"/>
      <c r="F64" s="278"/>
      <c r="H64" s="1119"/>
    </row>
    <row r="65" spans="1:8" s="280" customFormat="1" ht="18" hidden="1" customHeight="1">
      <c r="A65" s="13" t="e">
        <f>'PL CTĐG'!#REF!</f>
        <v>#REF!</v>
      </c>
      <c r="B65" s="289" t="e">
        <f>'PL CTĐG'!#REF!</f>
        <v>#REF!</v>
      </c>
      <c r="C65" s="139" t="e">
        <f>'PL CTĐG'!#REF!</f>
        <v>#REF!</v>
      </c>
      <c r="D65" s="288" t="e">
        <f>'PL CTĐG'!#REF!</f>
        <v>#REF!</v>
      </c>
      <c r="E65" s="278" t="e">
        <f>'PL CTĐG'!#REF!</f>
        <v>#REF!</v>
      </c>
      <c r="F65" s="278" t="e">
        <f t="shared" si="0"/>
        <v>#REF!</v>
      </c>
      <c r="H65" s="1119"/>
    </row>
    <row r="66" spans="1:8" s="280" customFormat="1" ht="18" hidden="1" customHeight="1">
      <c r="A66" s="13" t="e">
        <f>'PL CTĐG'!#REF!</f>
        <v>#REF!</v>
      </c>
      <c r="B66" s="289" t="e">
        <f>'PL CTĐG'!#REF!</f>
        <v>#REF!</v>
      </c>
      <c r="C66" s="139" t="e">
        <f>'PL CTĐG'!#REF!</f>
        <v>#REF!</v>
      </c>
      <c r="D66" s="288" t="e">
        <f>'PL CTĐG'!#REF!</f>
        <v>#REF!</v>
      </c>
      <c r="E66" s="278" t="e">
        <f>'PL CTĐG'!#REF!</f>
        <v>#REF!</v>
      </c>
      <c r="F66" s="278" t="e">
        <f t="shared" si="0"/>
        <v>#REF!</v>
      </c>
      <c r="H66" s="1119"/>
    </row>
    <row r="67" spans="1:8" s="280" customFormat="1" ht="27" hidden="1" customHeight="1">
      <c r="A67" s="13" t="e">
        <f>'PL CTĐG'!#REF!</f>
        <v>#REF!</v>
      </c>
      <c r="B67" s="289" t="e">
        <f>'PL CTĐG'!#REF!</f>
        <v>#REF!</v>
      </c>
      <c r="C67" s="139" t="e">
        <f>'PL CTĐG'!#REF!</f>
        <v>#REF!</v>
      </c>
      <c r="D67" s="288" t="e">
        <f>'PL CTĐG'!#REF!</f>
        <v>#REF!</v>
      </c>
      <c r="E67" s="278" t="e">
        <f>'PL CTĐG'!#REF!</f>
        <v>#REF!</v>
      </c>
      <c r="F67" s="278" t="e">
        <f t="shared" si="0"/>
        <v>#REF!</v>
      </c>
      <c r="H67" s="1119"/>
    </row>
    <row r="68" spans="1:8" s="280" customFormat="1" ht="18" hidden="1" customHeight="1">
      <c r="A68" s="13" t="e">
        <f>'PL CTĐG'!#REF!</f>
        <v>#REF!</v>
      </c>
      <c r="B68" s="289" t="e">
        <f>'PL CTĐG'!#REF!</f>
        <v>#REF!</v>
      </c>
      <c r="C68" s="139" t="e">
        <f>'PL CTĐG'!#REF!</f>
        <v>#REF!</v>
      </c>
      <c r="D68" s="288" t="e">
        <f>'PL CTĐG'!#REF!</f>
        <v>#REF!</v>
      </c>
      <c r="E68" s="278" t="e">
        <f>'PL CTĐG'!#REF!</f>
        <v>#REF!</v>
      </c>
      <c r="F68" s="278" t="e">
        <f t="shared" si="0"/>
        <v>#REF!</v>
      </c>
      <c r="H68" s="1119"/>
    </row>
    <row r="69" spans="1:8" s="280" customFormat="1" ht="27" hidden="1" customHeight="1">
      <c r="A69" s="13" t="e">
        <f>'PL CTĐG'!#REF!</f>
        <v>#REF!</v>
      </c>
      <c r="B69" s="289" t="e">
        <f>'PL CTĐG'!#REF!</f>
        <v>#REF!</v>
      </c>
      <c r="C69" s="139" t="e">
        <f>'PL CTĐG'!#REF!</f>
        <v>#REF!</v>
      </c>
      <c r="D69" s="288" t="e">
        <f>'PL CTĐG'!#REF!</f>
        <v>#REF!</v>
      </c>
      <c r="E69" s="278" t="e">
        <f>'PL CTĐG'!#REF!</f>
        <v>#REF!</v>
      </c>
      <c r="F69" s="278" t="e">
        <f t="shared" si="0"/>
        <v>#REF!</v>
      </c>
      <c r="H69" s="1119"/>
    </row>
    <row r="70" spans="1:8" s="280" customFormat="1" ht="18" hidden="1" customHeight="1">
      <c r="A70" s="13" t="e">
        <f>'PL CTĐG'!#REF!</f>
        <v>#REF!</v>
      </c>
      <c r="B70" s="289" t="e">
        <f>'PL CTĐG'!#REF!</f>
        <v>#REF!</v>
      </c>
      <c r="C70" s="139" t="e">
        <f>'PL CTĐG'!#REF!</f>
        <v>#REF!</v>
      </c>
      <c r="D70" s="288" t="e">
        <f>'PL CTĐG'!#REF!</f>
        <v>#REF!</v>
      </c>
      <c r="E70" s="278" t="e">
        <f>'PL CTĐG'!#REF!</f>
        <v>#REF!</v>
      </c>
      <c r="F70" s="278" t="e">
        <f t="shared" si="0"/>
        <v>#REF!</v>
      </c>
      <c r="H70" s="1119"/>
    </row>
    <row r="71" spans="1:8" s="280" customFormat="1" ht="18" hidden="1" customHeight="1">
      <c r="A71" s="13" t="e">
        <f>'PL CTĐG'!#REF!</f>
        <v>#REF!</v>
      </c>
      <c r="B71" s="289" t="e">
        <f>'PL CTĐG'!#REF!</f>
        <v>#REF!</v>
      </c>
      <c r="C71" s="139" t="e">
        <f>'PL CTĐG'!#REF!</f>
        <v>#REF!</v>
      </c>
      <c r="D71" s="288" t="e">
        <f>'PL CTĐG'!#REF!</f>
        <v>#REF!</v>
      </c>
      <c r="E71" s="278" t="e">
        <f>'PL CTĐG'!#REF!</f>
        <v>#REF!</v>
      </c>
      <c r="F71" s="278" t="e">
        <f t="shared" si="0"/>
        <v>#REF!</v>
      </c>
      <c r="H71" s="1119"/>
    </row>
    <row r="72" spans="1:8" s="280" customFormat="1" ht="18" hidden="1" customHeight="1">
      <c r="A72" s="13" t="e">
        <f>'PL CTĐG'!#REF!</f>
        <v>#REF!</v>
      </c>
      <c r="B72" s="289" t="e">
        <f>'PL CTĐG'!#REF!</f>
        <v>#REF!</v>
      </c>
      <c r="C72" s="139" t="e">
        <f>'PL CTĐG'!#REF!</f>
        <v>#REF!</v>
      </c>
      <c r="D72" s="288" t="e">
        <f>'PL CTĐG'!#REF!</f>
        <v>#REF!</v>
      </c>
      <c r="E72" s="278" t="e">
        <f>'PL CTĐG'!#REF!</f>
        <v>#REF!</v>
      </c>
      <c r="F72" s="278" t="e">
        <f t="shared" si="0"/>
        <v>#REF!</v>
      </c>
      <c r="H72" s="1119"/>
    </row>
    <row r="73" spans="1:8" s="280" customFormat="1" ht="18" hidden="1" customHeight="1">
      <c r="A73" s="13" t="e">
        <f>'PL CTĐG'!#REF!</f>
        <v>#REF!</v>
      </c>
      <c r="B73" s="289" t="e">
        <f>'PL CTĐG'!#REF!</f>
        <v>#REF!</v>
      </c>
      <c r="C73" s="139" t="e">
        <f>'PL CTĐG'!#REF!</f>
        <v>#REF!</v>
      </c>
      <c r="D73" s="288" t="e">
        <f>'PL CTĐG'!#REF!</f>
        <v>#REF!</v>
      </c>
      <c r="E73" s="278" t="e">
        <f>'PL CTĐG'!#REF!</f>
        <v>#REF!</v>
      </c>
      <c r="F73" s="278" t="e">
        <f t="shared" si="0"/>
        <v>#REF!</v>
      </c>
      <c r="H73" s="1119"/>
    </row>
    <row r="74" spans="1:8" s="280" customFormat="1" ht="18" hidden="1" customHeight="1">
      <c r="A74" s="13" t="e">
        <f>'PL CTĐG'!#REF!</f>
        <v>#REF!</v>
      </c>
      <c r="B74" s="289" t="e">
        <f>'PL CTĐG'!#REF!</f>
        <v>#REF!</v>
      </c>
      <c r="C74" s="139" t="e">
        <f>'PL CTĐG'!#REF!</f>
        <v>#REF!</v>
      </c>
      <c r="D74" s="288" t="e">
        <f>'PL CTĐG'!#REF!</f>
        <v>#REF!</v>
      </c>
      <c r="E74" s="278" t="e">
        <f>'PL CTĐG'!#REF!</f>
        <v>#REF!</v>
      </c>
      <c r="F74" s="278" t="e">
        <f t="shared" ref="F74:F144" si="1">E74*D74</f>
        <v>#REF!</v>
      </c>
      <c r="H74" s="1119"/>
    </row>
    <row r="75" spans="1:8" s="280" customFormat="1" ht="18" hidden="1" customHeight="1">
      <c r="A75" s="13" t="e">
        <f>+'PL CTĐG'!#REF!</f>
        <v>#REF!</v>
      </c>
      <c r="B75" s="289" t="e">
        <f>+'PL CTĐG'!#REF!</f>
        <v>#REF!</v>
      </c>
      <c r="C75" s="13" t="e">
        <f>+'PL CTĐG'!#REF!</f>
        <v>#REF!</v>
      </c>
      <c r="D75" s="288" t="e">
        <f>+'PL CTĐG'!#REF!</f>
        <v>#REF!</v>
      </c>
      <c r="E75" s="278" t="e">
        <f>+'PL CTĐG'!#REF!</f>
        <v>#REF!</v>
      </c>
      <c r="F75" s="278" t="e">
        <f>+D75*E75</f>
        <v>#REF!</v>
      </c>
      <c r="H75" s="1119"/>
    </row>
    <row r="76" spans="1:8" s="280" customFormat="1" ht="18" hidden="1" customHeight="1">
      <c r="A76" s="13" t="e">
        <f>+'PL CTĐG'!#REF!</f>
        <v>#REF!</v>
      </c>
      <c r="B76" s="289" t="e">
        <f>+'PL CTĐG'!#REF!</f>
        <v>#REF!</v>
      </c>
      <c r="C76" s="13" t="e">
        <f>+'PL CTĐG'!#REF!</f>
        <v>#REF!</v>
      </c>
      <c r="D76" s="288" t="e">
        <f>+'PL CTĐG'!#REF!</f>
        <v>#REF!</v>
      </c>
      <c r="E76" s="278" t="e">
        <f>+'PL CTĐG'!#REF!</f>
        <v>#REF!</v>
      </c>
      <c r="F76" s="278" t="e">
        <f>+D76*E76</f>
        <v>#REF!</v>
      </c>
      <c r="H76" s="1119"/>
    </row>
    <row r="77" spans="1:8" s="280" customFormat="1" ht="18" hidden="1" customHeight="1">
      <c r="A77" s="13" t="e">
        <f>+'PL CTĐG'!#REF!</f>
        <v>#REF!</v>
      </c>
      <c r="B77" s="289" t="e">
        <f>+'PL CTĐG'!#REF!</f>
        <v>#REF!</v>
      </c>
      <c r="C77" s="13" t="e">
        <f>+'PL CTĐG'!#REF!</f>
        <v>#REF!</v>
      </c>
      <c r="D77" s="288" t="e">
        <f>+'PL CTĐG'!#REF!</f>
        <v>#REF!</v>
      </c>
      <c r="E77" s="278" t="e">
        <f>+'PL CTĐG'!#REF!</f>
        <v>#REF!</v>
      </c>
      <c r="F77" s="278" t="e">
        <f>+D77*E77</f>
        <v>#REF!</v>
      </c>
      <c r="H77" s="1119"/>
    </row>
    <row r="78" spans="1:8" s="280" customFormat="1" ht="30.75" hidden="1" customHeight="1">
      <c r="A78" s="13"/>
      <c r="B78" s="287" t="e">
        <f>'PL CTĐG'!#REF!</f>
        <v>#REF!</v>
      </c>
      <c r="C78" s="139"/>
      <c r="D78" s="288"/>
      <c r="E78" s="278"/>
      <c r="F78" s="278"/>
      <c r="H78" s="1119"/>
    </row>
    <row r="79" spans="1:8" s="280" customFormat="1" ht="18" hidden="1" customHeight="1">
      <c r="A79" s="13" t="e">
        <f>'PL CTĐG'!#REF!</f>
        <v>#REF!</v>
      </c>
      <c r="B79" s="289" t="e">
        <f>'PL CTĐG'!#REF!</f>
        <v>#REF!</v>
      </c>
      <c r="C79" s="139" t="e">
        <f>'PL CTĐG'!#REF!</f>
        <v>#REF!</v>
      </c>
      <c r="D79" s="288" t="e">
        <f>'PL CTĐG'!#REF!</f>
        <v>#REF!</v>
      </c>
      <c r="E79" s="278" t="e">
        <f>'PL CTĐG'!#REF!</f>
        <v>#REF!</v>
      </c>
      <c r="F79" s="278" t="e">
        <f t="shared" si="1"/>
        <v>#REF!</v>
      </c>
      <c r="H79" s="1119"/>
    </row>
    <row r="80" spans="1:8" s="280" customFormat="1" ht="18" hidden="1" customHeight="1">
      <c r="A80" s="13" t="e">
        <f>'PL CTĐG'!#REF!</f>
        <v>#REF!</v>
      </c>
      <c r="B80" s="289" t="e">
        <f>'PL CTĐG'!#REF!</f>
        <v>#REF!</v>
      </c>
      <c r="C80" s="139" t="e">
        <f>'PL CTĐG'!#REF!</f>
        <v>#REF!</v>
      </c>
      <c r="D80" s="288" t="e">
        <f>'PL CTĐG'!#REF!</f>
        <v>#REF!</v>
      </c>
      <c r="E80" s="278" t="e">
        <f>'PL CTĐG'!#REF!</f>
        <v>#REF!</v>
      </c>
      <c r="F80" s="278" t="e">
        <f t="shared" si="1"/>
        <v>#REF!</v>
      </c>
      <c r="H80" s="1119"/>
    </row>
    <row r="81" spans="1:8" s="280" customFormat="1" ht="18" hidden="1" customHeight="1">
      <c r="A81" s="13" t="e">
        <f>'PL CTĐG'!#REF!</f>
        <v>#REF!</v>
      </c>
      <c r="B81" s="289" t="e">
        <f>'PL CTĐG'!#REF!</f>
        <v>#REF!</v>
      </c>
      <c r="C81" s="139" t="e">
        <f>'PL CTĐG'!#REF!</f>
        <v>#REF!</v>
      </c>
      <c r="D81" s="288" t="e">
        <f>'PL CTĐG'!#REF!</f>
        <v>#REF!</v>
      </c>
      <c r="E81" s="278" t="e">
        <f>'PL CTĐG'!#REF!</f>
        <v>#REF!</v>
      </c>
      <c r="F81" s="278" t="e">
        <f t="shared" si="1"/>
        <v>#REF!</v>
      </c>
      <c r="H81" s="1119"/>
    </row>
    <row r="82" spans="1:8" s="280" customFormat="1" ht="18" hidden="1" customHeight="1">
      <c r="A82" s="13" t="e">
        <f>'PL CTĐG'!#REF!</f>
        <v>#REF!</v>
      </c>
      <c r="B82" s="289" t="e">
        <f>'PL CTĐG'!#REF!</f>
        <v>#REF!</v>
      </c>
      <c r="C82" s="139" t="e">
        <f>'PL CTĐG'!#REF!</f>
        <v>#REF!</v>
      </c>
      <c r="D82" s="288" t="e">
        <f>'PL CTĐG'!#REF!</f>
        <v>#REF!</v>
      </c>
      <c r="E82" s="278" t="e">
        <f>'PL CTĐG'!#REF!</f>
        <v>#REF!</v>
      </c>
      <c r="F82" s="278" t="e">
        <f t="shared" si="1"/>
        <v>#REF!</v>
      </c>
      <c r="H82" s="1119"/>
    </row>
    <row r="83" spans="1:8" s="280" customFormat="1" ht="29.25" hidden="1" customHeight="1">
      <c r="A83" s="13"/>
      <c r="B83" s="287" t="e">
        <f>'PL CTĐG'!#REF!</f>
        <v>#REF!</v>
      </c>
      <c r="C83" s="139"/>
      <c r="D83" s="288"/>
      <c r="E83" s="278"/>
      <c r="F83" s="278"/>
      <c r="H83" s="1119"/>
    </row>
    <row r="84" spans="1:8" s="280" customFormat="1" ht="18" hidden="1" customHeight="1">
      <c r="A84" s="13"/>
      <c r="B84" s="287" t="e">
        <f>'PL CTĐG'!#REF!</f>
        <v>#REF!</v>
      </c>
      <c r="C84" s="139"/>
      <c r="D84" s="288"/>
      <c r="E84" s="278"/>
      <c r="F84" s="278"/>
      <c r="H84" s="1119"/>
    </row>
    <row r="85" spans="1:8" s="280" customFormat="1" ht="18" hidden="1" customHeight="1">
      <c r="A85" s="13" t="e">
        <f>'PL CTĐG'!#REF!</f>
        <v>#REF!</v>
      </c>
      <c r="B85" s="289" t="e">
        <f>'PL CTĐG'!#REF!</f>
        <v>#REF!</v>
      </c>
      <c r="C85" s="139" t="e">
        <f>'PL CTĐG'!#REF!</f>
        <v>#REF!</v>
      </c>
      <c r="D85" s="288" t="e">
        <f>'PL CTĐG'!#REF!</f>
        <v>#REF!</v>
      </c>
      <c r="E85" s="278" t="e">
        <f>'PL CTĐG'!#REF!</f>
        <v>#REF!</v>
      </c>
      <c r="F85" s="278" t="e">
        <f t="shared" si="1"/>
        <v>#REF!</v>
      </c>
      <c r="H85" s="1119"/>
    </row>
    <row r="86" spans="1:8" s="280" customFormat="1" ht="18" hidden="1" customHeight="1">
      <c r="A86" s="13" t="e">
        <f>'PL CTĐG'!#REF!</f>
        <v>#REF!</v>
      </c>
      <c r="B86" s="289" t="e">
        <f>'PL CTĐG'!#REF!</f>
        <v>#REF!</v>
      </c>
      <c r="C86" s="139" t="e">
        <f>'PL CTĐG'!#REF!</f>
        <v>#REF!</v>
      </c>
      <c r="D86" s="288" t="e">
        <f>'PL CTĐG'!#REF!</f>
        <v>#REF!</v>
      </c>
      <c r="E86" s="278" t="e">
        <f>'PL CTĐG'!#REF!</f>
        <v>#REF!</v>
      </c>
      <c r="F86" s="278" t="e">
        <f t="shared" si="1"/>
        <v>#REF!</v>
      </c>
      <c r="H86" s="1119"/>
    </row>
    <row r="87" spans="1:8" s="280" customFormat="1" ht="18" hidden="1" customHeight="1">
      <c r="A87" s="13" t="e">
        <f>'PL CTĐG'!#REF!</f>
        <v>#REF!</v>
      </c>
      <c r="B87" s="289" t="e">
        <f>'PL CTĐG'!#REF!</f>
        <v>#REF!</v>
      </c>
      <c r="C87" s="139" t="e">
        <f>'PL CTĐG'!#REF!</f>
        <v>#REF!</v>
      </c>
      <c r="D87" s="288" t="e">
        <f>'PL CTĐG'!#REF!</f>
        <v>#REF!</v>
      </c>
      <c r="E87" s="278" t="e">
        <f>'PL CTĐG'!#REF!</f>
        <v>#REF!</v>
      </c>
      <c r="F87" s="278" t="e">
        <f t="shared" si="1"/>
        <v>#REF!</v>
      </c>
      <c r="H87" s="1119"/>
    </row>
    <row r="88" spans="1:8" s="280" customFormat="1" ht="18" hidden="1" customHeight="1">
      <c r="A88" s="13"/>
      <c r="B88" s="287" t="e">
        <f>'PL CTĐG'!#REF!</f>
        <v>#REF!</v>
      </c>
      <c r="C88" s="139"/>
      <c r="D88" s="288"/>
      <c r="E88" s="278"/>
      <c r="F88" s="278"/>
      <c r="H88" s="1119"/>
    </row>
    <row r="89" spans="1:8" s="280" customFormat="1" ht="18" hidden="1" customHeight="1">
      <c r="A89" s="13" t="e">
        <f>'PL CTĐG'!#REF!</f>
        <v>#REF!</v>
      </c>
      <c r="B89" s="289" t="e">
        <f>'PL CTĐG'!#REF!</f>
        <v>#REF!</v>
      </c>
      <c r="C89" s="139" t="e">
        <f>'PL CTĐG'!#REF!</f>
        <v>#REF!</v>
      </c>
      <c r="D89" s="288" t="e">
        <f>'PL CTĐG'!#REF!</f>
        <v>#REF!</v>
      </c>
      <c r="E89" s="278" t="e">
        <f>'PL CTĐG'!#REF!</f>
        <v>#REF!</v>
      </c>
      <c r="F89" s="278" t="e">
        <f t="shared" si="1"/>
        <v>#REF!</v>
      </c>
      <c r="H89" s="1119"/>
    </row>
    <row r="90" spans="1:8" s="280" customFormat="1" ht="18" hidden="1" customHeight="1">
      <c r="A90" s="13" t="e">
        <f>'PL CTĐG'!#REF!</f>
        <v>#REF!</v>
      </c>
      <c r="B90" s="289" t="e">
        <f>'PL CTĐG'!#REF!</f>
        <v>#REF!</v>
      </c>
      <c r="C90" s="139" t="e">
        <f>'PL CTĐG'!#REF!</f>
        <v>#REF!</v>
      </c>
      <c r="D90" s="288" t="e">
        <f>'PL CTĐG'!#REF!</f>
        <v>#REF!</v>
      </c>
      <c r="E90" s="278" t="e">
        <f>'PL CTĐG'!#REF!</f>
        <v>#REF!</v>
      </c>
      <c r="F90" s="278" t="e">
        <f t="shared" si="1"/>
        <v>#REF!</v>
      </c>
      <c r="H90" s="1119"/>
    </row>
    <row r="91" spans="1:8" s="280" customFormat="1" ht="18" hidden="1" customHeight="1">
      <c r="A91" s="13" t="e">
        <f>'PL CTĐG'!#REF!</f>
        <v>#REF!</v>
      </c>
      <c r="B91" s="289" t="e">
        <f>'PL CTĐG'!#REF!</f>
        <v>#REF!</v>
      </c>
      <c r="C91" s="139" t="e">
        <f>'PL CTĐG'!#REF!</f>
        <v>#REF!</v>
      </c>
      <c r="D91" s="288" t="e">
        <f>'PL CTĐG'!#REF!</f>
        <v>#REF!</v>
      </c>
      <c r="E91" s="278" t="e">
        <f>'PL CTĐG'!#REF!</f>
        <v>#REF!</v>
      </c>
      <c r="F91" s="278" t="e">
        <f t="shared" si="1"/>
        <v>#REF!</v>
      </c>
      <c r="H91" s="1119"/>
    </row>
    <row r="92" spans="1:8" s="280" customFormat="1" ht="29.25" hidden="1" customHeight="1">
      <c r="A92" s="96" t="e">
        <f>'PL CTĐG'!#REF!</f>
        <v>#REF!</v>
      </c>
      <c r="B92" s="287" t="e">
        <f>'PL CTĐG'!#REF!</f>
        <v>#REF!</v>
      </c>
      <c r="C92" s="139"/>
      <c r="D92" s="288"/>
      <c r="E92" s="278"/>
      <c r="F92" s="279" t="e">
        <f>SUM(F94:F124)</f>
        <v>#REF!</v>
      </c>
      <c r="H92" s="1119"/>
    </row>
    <row r="93" spans="1:8" s="280" customFormat="1" ht="30.75" hidden="1" customHeight="1">
      <c r="A93" s="96"/>
      <c r="B93" s="287" t="e">
        <f>'PL CTĐG'!#REF!</f>
        <v>#REF!</v>
      </c>
      <c r="C93" s="139"/>
      <c r="D93" s="288"/>
      <c r="E93" s="278"/>
      <c r="F93" s="278"/>
      <c r="H93" s="1119"/>
    </row>
    <row r="94" spans="1:8" s="280" customFormat="1" ht="18" hidden="1" customHeight="1">
      <c r="A94" s="13" t="e">
        <f>'PL CTĐG'!#REF!</f>
        <v>#REF!</v>
      </c>
      <c r="B94" s="289" t="e">
        <f>'PL CTĐG'!#REF!</f>
        <v>#REF!</v>
      </c>
      <c r="C94" s="139" t="e">
        <f>'PL CTĐG'!#REF!</f>
        <v>#REF!</v>
      </c>
      <c r="D94" s="288" t="e">
        <f>'PL CTĐG'!#REF!</f>
        <v>#REF!</v>
      </c>
      <c r="E94" s="278" t="e">
        <f>'PL CTĐG'!#REF!</f>
        <v>#REF!</v>
      </c>
      <c r="F94" s="278" t="e">
        <f t="shared" si="1"/>
        <v>#REF!</v>
      </c>
      <c r="H94" s="1119"/>
    </row>
    <row r="95" spans="1:8" s="280" customFormat="1" ht="18" hidden="1" customHeight="1">
      <c r="A95" s="13" t="e">
        <f>'PL CTĐG'!#REF!</f>
        <v>#REF!</v>
      </c>
      <c r="B95" s="289" t="e">
        <f>'PL CTĐG'!#REF!</f>
        <v>#REF!</v>
      </c>
      <c r="C95" s="139" t="e">
        <f>'PL CTĐG'!#REF!</f>
        <v>#REF!</v>
      </c>
      <c r="D95" s="288" t="e">
        <f>'PL CTĐG'!#REF!</f>
        <v>#REF!</v>
      </c>
      <c r="E95" s="278" t="e">
        <f>'PL CTĐG'!#REF!</f>
        <v>#REF!</v>
      </c>
      <c r="F95" s="278" t="e">
        <f t="shared" si="1"/>
        <v>#REF!</v>
      </c>
      <c r="H95" s="1119"/>
    </row>
    <row r="96" spans="1:8" s="280" customFormat="1" ht="31.5" hidden="1" customHeight="1">
      <c r="A96" s="13" t="e">
        <f>'PL CTĐG'!#REF!</f>
        <v>#REF!</v>
      </c>
      <c r="B96" s="289" t="e">
        <f>'PL CTĐG'!#REF!</f>
        <v>#REF!</v>
      </c>
      <c r="C96" s="139" t="e">
        <f>'PL CTĐG'!#REF!</f>
        <v>#REF!</v>
      </c>
      <c r="D96" s="288" t="e">
        <f>'PL CTĐG'!#REF!</f>
        <v>#REF!</v>
      </c>
      <c r="E96" s="278" t="e">
        <f>'PL CTĐG'!#REF!</f>
        <v>#REF!</v>
      </c>
      <c r="F96" s="278" t="e">
        <f t="shared" si="1"/>
        <v>#REF!</v>
      </c>
      <c r="H96" s="1119"/>
    </row>
    <row r="97" spans="1:8" s="280" customFormat="1" ht="18" hidden="1" customHeight="1">
      <c r="A97" s="13" t="e">
        <f>'PL CTĐG'!#REF!</f>
        <v>#REF!</v>
      </c>
      <c r="B97" s="289" t="e">
        <f>'PL CTĐG'!#REF!</f>
        <v>#REF!</v>
      </c>
      <c r="C97" s="139" t="e">
        <f>'PL CTĐG'!#REF!</f>
        <v>#REF!</v>
      </c>
      <c r="D97" s="288" t="e">
        <f>'PL CTĐG'!#REF!</f>
        <v>#REF!</v>
      </c>
      <c r="E97" s="278" t="e">
        <f>'PL CTĐG'!#REF!</f>
        <v>#REF!</v>
      </c>
      <c r="F97" s="278" t="e">
        <f t="shared" si="1"/>
        <v>#REF!</v>
      </c>
      <c r="H97" s="1119"/>
    </row>
    <row r="98" spans="1:8" s="280" customFormat="1" ht="27" hidden="1" customHeight="1">
      <c r="A98" s="13" t="e">
        <f>'PL CTĐG'!#REF!</f>
        <v>#REF!</v>
      </c>
      <c r="B98" s="289" t="e">
        <f>'PL CTĐG'!#REF!</f>
        <v>#REF!</v>
      </c>
      <c r="C98" s="139" t="e">
        <f>'PL CTĐG'!#REF!</f>
        <v>#REF!</v>
      </c>
      <c r="D98" s="288" t="e">
        <f>'PL CTĐG'!#REF!</f>
        <v>#REF!</v>
      </c>
      <c r="E98" s="278" t="e">
        <f>'PL CTĐG'!#REF!</f>
        <v>#REF!</v>
      </c>
      <c r="F98" s="278" t="e">
        <f t="shared" si="1"/>
        <v>#REF!</v>
      </c>
      <c r="H98" s="1119"/>
    </row>
    <row r="99" spans="1:8" s="280" customFormat="1" ht="18" hidden="1" customHeight="1">
      <c r="A99" s="13" t="e">
        <f>'PL CTĐG'!#REF!</f>
        <v>#REF!</v>
      </c>
      <c r="B99" s="289" t="e">
        <f>'PL CTĐG'!#REF!</f>
        <v>#REF!</v>
      </c>
      <c r="C99" s="139" t="e">
        <f>'PL CTĐG'!#REF!</f>
        <v>#REF!</v>
      </c>
      <c r="D99" s="288" t="e">
        <f>'PL CTĐG'!#REF!</f>
        <v>#REF!</v>
      </c>
      <c r="E99" s="278" t="e">
        <f>'PL CTĐG'!#REF!</f>
        <v>#REF!</v>
      </c>
      <c r="F99" s="278" t="e">
        <f t="shared" si="1"/>
        <v>#REF!</v>
      </c>
      <c r="H99" s="1119"/>
    </row>
    <row r="100" spans="1:8" s="280" customFormat="1" ht="18" hidden="1" customHeight="1">
      <c r="A100" s="13" t="e">
        <f>'PL CTĐG'!#REF!</f>
        <v>#REF!</v>
      </c>
      <c r="B100" s="289" t="e">
        <f>'PL CTĐG'!#REF!</f>
        <v>#REF!</v>
      </c>
      <c r="C100" s="139" t="e">
        <f>'PL CTĐG'!#REF!</f>
        <v>#REF!</v>
      </c>
      <c r="D100" s="288" t="e">
        <f>'PL CTĐG'!#REF!</f>
        <v>#REF!</v>
      </c>
      <c r="E100" s="278" t="e">
        <f>'PL CTĐG'!#REF!</f>
        <v>#REF!</v>
      </c>
      <c r="F100" s="278" t="e">
        <f t="shared" si="1"/>
        <v>#REF!</v>
      </c>
      <c r="H100" s="1119"/>
    </row>
    <row r="101" spans="1:8" s="280" customFormat="1" ht="18" hidden="1" customHeight="1">
      <c r="A101" s="13" t="e">
        <f>'PL CTĐG'!#REF!</f>
        <v>#REF!</v>
      </c>
      <c r="B101" s="289" t="e">
        <f>'PL CTĐG'!#REF!</f>
        <v>#REF!</v>
      </c>
      <c r="C101" s="139" t="e">
        <f>'PL CTĐG'!#REF!</f>
        <v>#REF!</v>
      </c>
      <c r="D101" s="288" t="e">
        <f>'PL CTĐG'!#REF!</f>
        <v>#REF!</v>
      </c>
      <c r="E101" s="278" t="e">
        <f>'PL CTĐG'!#REF!</f>
        <v>#REF!</v>
      </c>
      <c r="F101" s="278" t="e">
        <f t="shared" si="1"/>
        <v>#REF!</v>
      </c>
      <c r="H101" s="1119"/>
    </row>
    <row r="102" spans="1:8" s="280" customFormat="1" ht="18" hidden="1" customHeight="1">
      <c r="A102" s="13" t="e">
        <f>'PL CTĐG'!#REF!</f>
        <v>#REF!</v>
      </c>
      <c r="B102" s="289" t="e">
        <f>'PL CTĐG'!#REF!</f>
        <v>#REF!</v>
      </c>
      <c r="C102" s="139" t="e">
        <f>'PL CTĐG'!#REF!</f>
        <v>#REF!</v>
      </c>
      <c r="D102" s="288" t="e">
        <f>'PL CTĐG'!#REF!</f>
        <v>#REF!</v>
      </c>
      <c r="E102" s="278" t="e">
        <f>'PL CTĐG'!#REF!</f>
        <v>#REF!</v>
      </c>
      <c r="F102" s="278" t="e">
        <f t="shared" si="1"/>
        <v>#REF!</v>
      </c>
      <c r="H102" s="1119"/>
    </row>
    <row r="103" spans="1:8" s="280" customFormat="1" ht="18" hidden="1" customHeight="1">
      <c r="A103" s="13" t="e">
        <f>'PL CTĐG'!#REF!</f>
        <v>#REF!</v>
      </c>
      <c r="B103" s="289" t="e">
        <f>'PL CTĐG'!#REF!</f>
        <v>#REF!</v>
      </c>
      <c r="C103" s="139" t="e">
        <f>'PL CTĐG'!#REF!</f>
        <v>#REF!</v>
      </c>
      <c r="D103" s="288" t="e">
        <f>'PL CTĐG'!#REF!</f>
        <v>#REF!</v>
      </c>
      <c r="E103" s="278" t="e">
        <f>'PL CTĐG'!#REF!</f>
        <v>#REF!</v>
      </c>
      <c r="F103" s="278" t="e">
        <f t="shared" si="1"/>
        <v>#REF!</v>
      </c>
      <c r="H103" s="1119"/>
    </row>
    <row r="104" spans="1:8" s="280" customFormat="1" ht="18" hidden="1" customHeight="1">
      <c r="A104" s="13" t="e">
        <f>+'PL CTĐG'!#REF!</f>
        <v>#REF!</v>
      </c>
      <c r="B104" s="289" t="e">
        <f>+'PL CTĐG'!#REF!</f>
        <v>#REF!</v>
      </c>
      <c r="C104" s="13" t="e">
        <f>+'PL CTĐG'!#REF!</f>
        <v>#REF!</v>
      </c>
      <c r="D104" s="288" t="e">
        <f>+'PL CTĐG'!#REF!</f>
        <v>#REF!</v>
      </c>
      <c r="E104" s="278" t="e">
        <f>+'PL CTĐG'!#REF!</f>
        <v>#REF!</v>
      </c>
      <c r="F104" s="278" t="e">
        <f>+D104*E104</f>
        <v>#REF!</v>
      </c>
      <c r="H104" s="1119"/>
    </row>
    <row r="105" spans="1:8" s="280" customFormat="1" ht="18" hidden="1" customHeight="1">
      <c r="A105" s="13" t="e">
        <f>+'PL CTĐG'!#REF!</f>
        <v>#REF!</v>
      </c>
      <c r="B105" s="289" t="e">
        <f>+'PL CTĐG'!#REF!</f>
        <v>#REF!</v>
      </c>
      <c r="C105" s="13" t="e">
        <f>+'PL CTĐG'!#REF!</f>
        <v>#REF!</v>
      </c>
      <c r="D105" s="288" t="e">
        <f>+'PL CTĐG'!#REF!</f>
        <v>#REF!</v>
      </c>
      <c r="E105" s="278" t="e">
        <f>+'PL CTĐG'!#REF!</f>
        <v>#REF!</v>
      </c>
      <c r="F105" s="278" t="e">
        <f>+D105*E105</f>
        <v>#REF!</v>
      </c>
      <c r="H105" s="1119"/>
    </row>
    <row r="106" spans="1:8" s="280" customFormat="1" ht="18" hidden="1" customHeight="1">
      <c r="A106" s="13" t="e">
        <f>+'PL CTĐG'!#REF!</f>
        <v>#REF!</v>
      </c>
      <c r="B106" s="289" t="e">
        <f>+'PL CTĐG'!#REF!</f>
        <v>#REF!</v>
      </c>
      <c r="C106" s="13" t="e">
        <f>+'PL CTĐG'!#REF!</f>
        <v>#REF!</v>
      </c>
      <c r="D106" s="288" t="e">
        <f>+'PL CTĐG'!#REF!</f>
        <v>#REF!</v>
      </c>
      <c r="E106" s="278" t="e">
        <f>+'PL CTĐG'!#REF!</f>
        <v>#REF!</v>
      </c>
      <c r="F106" s="278" t="e">
        <f>+D106*E106</f>
        <v>#REF!</v>
      </c>
      <c r="H106" s="1119"/>
    </row>
    <row r="107" spans="1:8" s="280" customFormat="1" ht="29.25" hidden="1" customHeight="1">
      <c r="A107" s="13"/>
      <c r="B107" s="287" t="e">
        <f>'PL CTĐG'!#REF!</f>
        <v>#REF!</v>
      </c>
      <c r="C107" s="139"/>
      <c r="D107" s="288"/>
      <c r="E107" s="278"/>
      <c r="F107" s="278"/>
      <c r="H107" s="1119"/>
    </row>
    <row r="108" spans="1:8" s="280" customFormat="1" ht="18" hidden="1" customHeight="1">
      <c r="A108" s="13" t="e">
        <f>'PL CTĐG'!#REF!</f>
        <v>#REF!</v>
      </c>
      <c r="B108" s="289" t="e">
        <f>'PL CTĐG'!#REF!</f>
        <v>#REF!</v>
      </c>
      <c r="C108" s="139" t="e">
        <f>'PL CTĐG'!#REF!</f>
        <v>#REF!</v>
      </c>
      <c r="D108" s="288" t="e">
        <f>'PL CTĐG'!#REF!</f>
        <v>#REF!</v>
      </c>
      <c r="E108" s="278" t="e">
        <f>'PL CTĐG'!#REF!</f>
        <v>#REF!</v>
      </c>
      <c r="F108" s="278" t="e">
        <f t="shared" si="1"/>
        <v>#REF!</v>
      </c>
      <c r="H108" s="1119"/>
    </row>
    <row r="109" spans="1:8" s="280" customFormat="1" ht="18" hidden="1" customHeight="1">
      <c r="A109" s="13" t="e">
        <f>'PL CTĐG'!#REF!</f>
        <v>#REF!</v>
      </c>
      <c r="B109" s="289" t="e">
        <f>'PL CTĐG'!#REF!</f>
        <v>#REF!</v>
      </c>
      <c r="C109" s="139" t="e">
        <f>'PL CTĐG'!#REF!</f>
        <v>#REF!</v>
      </c>
      <c r="D109" s="288" t="e">
        <f>'PL CTĐG'!#REF!</f>
        <v>#REF!</v>
      </c>
      <c r="E109" s="278" t="e">
        <f>'PL CTĐG'!#REF!</f>
        <v>#REF!</v>
      </c>
      <c r="F109" s="278" t="e">
        <f t="shared" si="1"/>
        <v>#REF!</v>
      </c>
      <c r="H109" s="1119"/>
    </row>
    <row r="110" spans="1:8" s="280" customFormat="1" ht="18" hidden="1" customHeight="1">
      <c r="A110" s="13" t="e">
        <f>'PL CTĐG'!#REF!</f>
        <v>#REF!</v>
      </c>
      <c r="B110" s="289" t="e">
        <f>'PL CTĐG'!#REF!</f>
        <v>#REF!</v>
      </c>
      <c r="C110" s="139" t="e">
        <f>'PL CTĐG'!#REF!</f>
        <v>#REF!</v>
      </c>
      <c r="D110" s="288" t="e">
        <f>'PL CTĐG'!#REF!</f>
        <v>#REF!</v>
      </c>
      <c r="E110" s="278" t="e">
        <f>'PL CTĐG'!#REF!</f>
        <v>#REF!</v>
      </c>
      <c r="F110" s="278" t="e">
        <f t="shared" si="1"/>
        <v>#REF!</v>
      </c>
      <c r="H110" s="1119"/>
    </row>
    <row r="111" spans="1:8" s="280" customFormat="1" ht="18" hidden="1" customHeight="1">
      <c r="A111" s="13" t="e">
        <f>'PL CTĐG'!#REF!</f>
        <v>#REF!</v>
      </c>
      <c r="B111" s="289" t="e">
        <f>'PL CTĐG'!#REF!</f>
        <v>#REF!</v>
      </c>
      <c r="C111" s="139" t="e">
        <f>'PL CTĐG'!#REF!</f>
        <v>#REF!</v>
      </c>
      <c r="D111" s="288" t="e">
        <f>'PL CTĐG'!#REF!</f>
        <v>#REF!</v>
      </c>
      <c r="E111" s="278" t="e">
        <f>'PL CTĐG'!#REF!</f>
        <v>#REF!</v>
      </c>
      <c r="F111" s="278" t="e">
        <f t="shared" si="1"/>
        <v>#REF!</v>
      </c>
      <c r="H111" s="1119"/>
    </row>
    <row r="112" spans="1:8" s="280" customFormat="1" ht="30" hidden="1" customHeight="1">
      <c r="A112" s="13"/>
      <c r="B112" s="287" t="e">
        <f>'PL CTĐG'!#REF!</f>
        <v>#REF!</v>
      </c>
      <c r="C112" s="139"/>
      <c r="D112" s="288"/>
      <c r="E112" s="278"/>
      <c r="F112" s="278"/>
      <c r="H112" s="1119"/>
    </row>
    <row r="113" spans="1:8" s="280" customFormat="1" ht="18" hidden="1" customHeight="1">
      <c r="A113" s="13"/>
      <c r="B113" s="287" t="e">
        <f>'PL CTĐG'!#REF!</f>
        <v>#REF!</v>
      </c>
      <c r="C113" s="139"/>
      <c r="D113" s="288"/>
      <c r="E113" s="278"/>
      <c r="F113" s="278"/>
      <c r="H113" s="1119"/>
    </row>
    <row r="114" spans="1:8" s="280" customFormat="1" ht="18" hidden="1" customHeight="1">
      <c r="A114" s="13" t="e">
        <f>'PL CTĐG'!#REF!</f>
        <v>#REF!</v>
      </c>
      <c r="B114" s="289" t="e">
        <f>'PL CTĐG'!#REF!</f>
        <v>#REF!</v>
      </c>
      <c r="C114" s="139" t="e">
        <f>'PL CTĐG'!#REF!</f>
        <v>#REF!</v>
      </c>
      <c r="D114" s="288" t="e">
        <f>'PL CTĐG'!#REF!</f>
        <v>#REF!</v>
      </c>
      <c r="E114" s="278" t="e">
        <f>'PL CTĐG'!#REF!</f>
        <v>#REF!</v>
      </c>
      <c r="F114" s="278" t="e">
        <f t="shared" si="1"/>
        <v>#REF!</v>
      </c>
      <c r="H114" s="1119"/>
    </row>
    <row r="115" spans="1:8" s="280" customFormat="1" ht="18" hidden="1" customHeight="1">
      <c r="A115" s="13" t="e">
        <f>'PL CTĐG'!#REF!</f>
        <v>#REF!</v>
      </c>
      <c r="B115" s="289" t="e">
        <f>'PL CTĐG'!#REF!</f>
        <v>#REF!</v>
      </c>
      <c r="C115" s="139" t="e">
        <f>'PL CTĐG'!#REF!</f>
        <v>#REF!</v>
      </c>
      <c r="D115" s="288" t="e">
        <f>'PL CTĐG'!#REF!</f>
        <v>#REF!</v>
      </c>
      <c r="E115" s="278" t="e">
        <f>'PL CTĐG'!#REF!</f>
        <v>#REF!</v>
      </c>
      <c r="F115" s="278" t="e">
        <f t="shared" si="1"/>
        <v>#REF!</v>
      </c>
      <c r="H115" s="1119"/>
    </row>
    <row r="116" spans="1:8" s="280" customFormat="1" ht="18" hidden="1" customHeight="1">
      <c r="A116" s="13" t="e">
        <f>'PL CTĐG'!#REF!</f>
        <v>#REF!</v>
      </c>
      <c r="B116" s="289" t="e">
        <f>'PL CTĐG'!#REF!</f>
        <v>#REF!</v>
      </c>
      <c r="C116" s="139" t="e">
        <f>'PL CTĐG'!#REF!</f>
        <v>#REF!</v>
      </c>
      <c r="D116" s="288" t="e">
        <f>'PL CTĐG'!#REF!</f>
        <v>#REF!</v>
      </c>
      <c r="E116" s="278" t="e">
        <f>'PL CTĐG'!#REF!</f>
        <v>#REF!</v>
      </c>
      <c r="F116" s="278" t="e">
        <f t="shared" si="1"/>
        <v>#REF!</v>
      </c>
      <c r="H116" s="1119"/>
    </row>
    <row r="117" spans="1:8" s="280" customFormat="1" ht="18" hidden="1" customHeight="1">
      <c r="A117" s="13"/>
      <c r="B117" s="287" t="e">
        <f>'PL CTĐG'!#REF!</f>
        <v>#REF!</v>
      </c>
      <c r="C117" s="139"/>
      <c r="D117" s="288"/>
      <c r="E117" s="278"/>
      <c r="F117" s="278"/>
      <c r="H117" s="1119"/>
    </row>
    <row r="118" spans="1:8" s="280" customFormat="1" ht="18" hidden="1" customHeight="1">
      <c r="A118" s="13" t="e">
        <f>'PL CTĐG'!#REF!</f>
        <v>#REF!</v>
      </c>
      <c r="B118" s="289" t="e">
        <f>'PL CTĐG'!#REF!</f>
        <v>#REF!</v>
      </c>
      <c r="C118" s="139" t="e">
        <f>'PL CTĐG'!#REF!</f>
        <v>#REF!</v>
      </c>
      <c r="D118" s="288" t="e">
        <f>'PL CTĐG'!#REF!</f>
        <v>#REF!</v>
      </c>
      <c r="E118" s="278" t="e">
        <f>'PL CTĐG'!#REF!</f>
        <v>#REF!</v>
      </c>
      <c r="F118" s="278" t="e">
        <f t="shared" si="1"/>
        <v>#REF!</v>
      </c>
      <c r="H118" s="1119"/>
    </row>
    <row r="119" spans="1:8" s="280" customFormat="1" ht="18" hidden="1" customHeight="1">
      <c r="A119" s="13" t="e">
        <f>'PL CTĐG'!#REF!</f>
        <v>#REF!</v>
      </c>
      <c r="B119" s="289" t="e">
        <f>'PL CTĐG'!#REF!</f>
        <v>#REF!</v>
      </c>
      <c r="C119" s="139" t="e">
        <f>'PL CTĐG'!#REF!</f>
        <v>#REF!</v>
      </c>
      <c r="D119" s="288" t="e">
        <f>'PL CTĐG'!#REF!</f>
        <v>#REF!</v>
      </c>
      <c r="E119" s="278" t="e">
        <f>'PL CTĐG'!#REF!</f>
        <v>#REF!</v>
      </c>
      <c r="F119" s="278" t="e">
        <f t="shared" si="1"/>
        <v>#REF!</v>
      </c>
      <c r="H119" s="1119"/>
    </row>
    <row r="120" spans="1:8" s="280" customFormat="1" ht="18" hidden="1" customHeight="1">
      <c r="A120" s="13" t="e">
        <f>'PL CTĐG'!#REF!</f>
        <v>#REF!</v>
      </c>
      <c r="B120" s="289" t="e">
        <f>'PL CTĐG'!#REF!</f>
        <v>#REF!</v>
      </c>
      <c r="C120" s="139" t="e">
        <f>'PL CTĐG'!#REF!</f>
        <v>#REF!</v>
      </c>
      <c r="D120" s="288" t="e">
        <f>'PL CTĐG'!#REF!</f>
        <v>#REF!</v>
      </c>
      <c r="E120" s="278" t="e">
        <f>'PL CTĐG'!#REF!</f>
        <v>#REF!</v>
      </c>
      <c r="F120" s="278" t="e">
        <f t="shared" si="1"/>
        <v>#REF!</v>
      </c>
      <c r="H120" s="1119"/>
    </row>
    <row r="121" spans="1:8" s="280" customFormat="1" ht="18" hidden="1" customHeight="1">
      <c r="A121" s="13"/>
      <c r="B121" s="287" t="e">
        <f>'PL CTĐG'!#REF!</f>
        <v>#REF!</v>
      </c>
      <c r="C121" s="139"/>
      <c r="D121" s="288"/>
      <c r="E121" s="278"/>
      <c r="F121" s="278"/>
      <c r="H121" s="1119"/>
    </row>
    <row r="122" spans="1:8" s="280" customFormat="1" ht="18" hidden="1" customHeight="1">
      <c r="A122" s="13" t="e">
        <f>'PL CTĐG'!#REF!</f>
        <v>#REF!</v>
      </c>
      <c r="B122" s="289" t="e">
        <f>'PL CTĐG'!#REF!</f>
        <v>#REF!</v>
      </c>
      <c r="C122" s="139" t="e">
        <f>'PL CTĐG'!#REF!</f>
        <v>#REF!</v>
      </c>
      <c r="D122" s="288" t="e">
        <f>'PL CTĐG'!#REF!</f>
        <v>#REF!</v>
      </c>
      <c r="E122" s="278" t="e">
        <f>'PL CTĐG'!#REF!</f>
        <v>#REF!</v>
      </c>
      <c r="F122" s="278" t="e">
        <f t="shared" si="1"/>
        <v>#REF!</v>
      </c>
      <c r="H122" s="1119"/>
    </row>
    <row r="123" spans="1:8" s="280" customFormat="1" ht="18" hidden="1" customHeight="1">
      <c r="A123" s="13" t="e">
        <f>'PL CTĐG'!#REF!</f>
        <v>#REF!</v>
      </c>
      <c r="B123" s="289" t="e">
        <f>'PL CTĐG'!#REF!</f>
        <v>#REF!</v>
      </c>
      <c r="C123" s="139" t="e">
        <f>'PL CTĐG'!#REF!</f>
        <v>#REF!</v>
      </c>
      <c r="D123" s="288" t="e">
        <f>'PL CTĐG'!#REF!</f>
        <v>#REF!</v>
      </c>
      <c r="E123" s="278" t="e">
        <f>'PL CTĐG'!#REF!</f>
        <v>#REF!</v>
      </c>
      <c r="F123" s="278" t="e">
        <f t="shared" si="1"/>
        <v>#REF!</v>
      </c>
      <c r="H123" s="1119"/>
    </row>
    <row r="124" spans="1:8" s="280" customFormat="1" ht="18" hidden="1" customHeight="1">
      <c r="A124" s="13" t="e">
        <f>'PL CTĐG'!#REF!</f>
        <v>#REF!</v>
      </c>
      <c r="B124" s="289" t="e">
        <f>'PL CTĐG'!#REF!</f>
        <v>#REF!</v>
      </c>
      <c r="C124" s="139" t="e">
        <f>'PL CTĐG'!#REF!</f>
        <v>#REF!</v>
      </c>
      <c r="D124" s="288" t="e">
        <f>'PL CTĐG'!#REF!</f>
        <v>#REF!</v>
      </c>
      <c r="E124" s="278" t="e">
        <f>'PL CTĐG'!#REF!</f>
        <v>#REF!</v>
      </c>
      <c r="F124" s="278" t="e">
        <f t="shared" si="1"/>
        <v>#REF!</v>
      </c>
      <c r="H124" s="1119"/>
    </row>
    <row r="125" spans="1:8" s="280" customFormat="1" ht="30" hidden="1" customHeight="1">
      <c r="A125" s="96" t="e">
        <f>'PL CTĐG'!#REF!</f>
        <v>#REF!</v>
      </c>
      <c r="B125" s="287" t="e">
        <f>'PL CTĐG'!#REF!</f>
        <v>#REF!</v>
      </c>
      <c r="C125" s="139"/>
      <c r="D125" s="288"/>
      <c r="E125" s="278"/>
      <c r="F125" s="279" t="e">
        <f>SUM(F127:F153)</f>
        <v>#REF!</v>
      </c>
      <c r="H125" s="1119"/>
    </row>
    <row r="126" spans="1:8" s="280" customFormat="1" ht="30" hidden="1" customHeight="1">
      <c r="A126" s="96"/>
      <c r="B126" s="287" t="e">
        <f>'PL CTĐG'!#REF!</f>
        <v>#REF!</v>
      </c>
      <c r="C126" s="139"/>
      <c r="D126" s="288"/>
      <c r="E126" s="278"/>
      <c r="F126" s="278"/>
      <c r="H126" s="1119"/>
    </row>
    <row r="127" spans="1:8" s="280" customFormat="1" ht="18" hidden="1" customHeight="1">
      <c r="A127" s="13" t="e">
        <f>'PL CTĐG'!#REF!</f>
        <v>#REF!</v>
      </c>
      <c r="B127" s="289" t="e">
        <f>'PL CTĐG'!#REF!</f>
        <v>#REF!</v>
      </c>
      <c r="C127" s="139" t="e">
        <f>'PL CTĐG'!#REF!</f>
        <v>#REF!</v>
      </c>
      <c r="D127" s="288" t="e">
        <f>'PL CTĐG'!#REF!</f>
        <v>#REF!</v>
      </c>
      <c r="E127" s="278" t="e">
        <f>'PL CTĐG'!#REF!</f>
        <v>#REF!</v>
      </c>
      <c r="F127" s="278" t="e">
        <f t="shared" si="1"/>
        <v>#REF!</v>
      </c>
      <c r="H127" s="1119"/>
    </row>
    <row r="128" spans="1:8" s="280" customFormat="1" ht="18" hidden="1" customHeight="1">
      <c r="A128" s="13" t="e">
        <f>'PL CTĐG'!#REF!</f>
        <v>#REF!</v>
      </c>
      <c r="B128" s="289" t="e">
        <f>'PL CTĐG'!#REF!</f>
        <v>#REF!</v>
      </c>
      <c r="C128" s="139" t="e">
        <f>'PL CTĐG'!#REF!</f>
        <v>#REF!</v>
      </c>
      <c r="D128" s="288" t="e">
        <f>'PL CTĐG'!#REF!</f>
        <v>#REF!</v>
      </c>
      <c r="E128" s="278" t="e">
        <f>'PL CTĐG'!#REF!</f>
        <v>#REF!</v>
      </c>
      <c r="F128" s="278" t="e">
        <f t="shared" si="1"/>
        <v>#REF!</v>
      </c>
      <c r="H128" s="1119"/>
    </row>
    <row r="129" spans="1:8" s="280" customFormat="1" ht="29.25" hidden="1" customHeight="1">
      <c r="A129" s="13" t="e">
        <f>'PL CTĐG'!#REF!</f>
        <v>#REF!</v>
      </c>
      <c r="B129" s="289" t="e">
        <f>'PL CTĐG'!#REF!</f>
        <v>#REF!</v>
      </c>
      <c r="C129" s="139" t="e">
        <f>'PL CTĐG'!#REF!</f>
        <v>#REF!</v>
      </c>
      <c r="D129" s="288" t="e">
        <f>'PL CTĐG'!#REF!</f>
        <v>#REF!</v>
      </c>
      <c r="E129" s="278" t="e">
        <f>'PL CTĐG'!#REF!</f>
        <v>#REF!</v>
      </c>
      <c r="F129" s="278" t="e">
        <f t="shared" si="1"/>
        <v>#REF!</v>
      </c>
      <c r="H129" s="1119"/>
    </row>
    <row r="130" spans="1:8" s="280" customFormat="1" ht="18" hidden="1" customHeight="1">
      <c r="A130" s="13" t="e">
        <f>'PL CTĐG'!#REF!</f>
        <v>#REF!</v>
      </c>
      <c r="B130" s="289" t="e">
        <f>'PL CTĐG'!#REF!</f>
        <v>#REF!</v>
      </c>
      <c r="C130" s="139" t="e">
        <f>'PL CTĐG'!#REF!</f>
        <v>#REF!</v>
      </c>
      <c r="D130" s="288" t="e">
        <f>'PL CTĐG'!#REF!</f>
        <v>#REF!</v>
      </c>
      <c r="E130" s="278" t="e">
        <f>'PL CTĐG'!#REF!</f>
        <v>#REF!</v>
      </c>
      <c r="F130" s="278" t="e">
        <f t="shared" si="1"/>
        <v>#REF!</v>
      </c>
      <c r="H130" s="1119"/>
    </row>
    <row r="131" spans="1:8" s="280" customFormat="1" ht="26.25" hidden="1" customHeight="1">
      <c r="A131" s="13" t="e">
        <f>'PL CTĐG'!#REF!</f>
        <v>#REF!</v>
      </c>
      <c r="B131" s="289" t="e">
        <f>'PL CTĐG'!#REF!</f>
        <v>#REF!</v>
      </c>
      <c r="C131" s="139" t="e">
        <f>'PL CTĐG'!#REF!</f>
        <v>#REF!</v>
      </c>
      <c r="D131" s="288" t="e">
        <f>'PL CTĐG'!#REF!</f>
        <v>#REF!</v>
      </c>
      <c r="E131" s="278" t="e">
        <f>'PL CTĐG'!#REF!</f>
        <v>#REF!</v>
      </c>
      <c r="F131" s="278" t="e">
        <f t="shared" si="1"/>
        <v>#REF!</v>
      </c>
      <c r="H131" s="1119"/>
    </row>
    <row r="132" spans="1:8" s="280" customFormat="1" ht="18" hidden="1" customHeight="1">
      <c r="A132" s="13" t="e">
        <f>'PL CTĐG'!#REF!</f>
        <v>#REF!</v>
      </c>
      <c r="B132" s="289" t="e">
        <f>'PL CTĐG'!#REF!</f>
        <v>#REF!</v>
      </c>
      <c r="C132" s="139" t="e">
        <f>'PL CTĐG'!#REF!</f>
        <v>#REF!</v>
      </c>
      <c r="D132" s="288" t="e">
        <f>'PL CTĐG'!#REF!</f>
        <v>#REF!</v>
      </c>
      <c r="E132" s="278" t="e">
        <f>'PL CTĐG'!#REF!</f>
        <v>#REF!</v>
      </c>
      <c r="F132" s="278" t="e">
        <f t="shared" si="1"/>
        <v>#REF!</v>
      </c>
      <c r="H132" s="1119"/>
    </row>
    <row r="133" spans="1:8" s="280" customFormat="1" ht="18" hidden="1" customHeight="1">
      <c r="A133" s="13" t="e">
        <f>'PL CTĐG'!#REF!</f>
        <v>#REF!</v>
      </c>
      <c r="B133" s="289" t="e">
        <f>'PL CTĐG'!#REF!</f>
        <v>#REF!</v>
      </c>
      <c r="C133" s="139" t="e">
        <f>'PL CTĐG'!#REF!</f>
        <v>#REF!</v>
      </c>
      <c r="D133" s="288" t="e">
        <f>'PL CTĐG'!#REF!</f>
        <v>#REF!</v>
      </c>
      <c r="E133" s="278" t="e">
        <f>'PL CTĐG'!#REF!</f>
        <v>#REF!</v>
      </c>
      <c r="F133" s="278" t="e">
        <f t="shared" si="1"/>
        <v>#REF!</v>
      </c>
      <c r="H133" s="1119"/>
    </row>
    <row r="134" spans="1:8" s="280" customFormat="1" ht="18" hidden="1" customHeight="1">
      <c r="A134" s="13" t="e">
        <f>'PL CTĐG'!#REF!</f>
        <v>#REF!</v>
      </c>
      <c r="B134" s="289" t="e">
        <f>'PL CTĐG'!#REF!</f>
        <v>#REF!</v>
      </c>
      <c r="C134" s="139" t="e">
        <f>'PL CTĐG'!#REF!</f>
        <v>#REF!</v>
      </c>
      <c r="D134" s="288" t="e">
        <f>'PL CTĐG'!#REF!</f>
        <v>#REF!</v>
      </c>
      <c r="E134" s="278" t="e">
        <f>'PL CTĐG'!#REF!</f>
        <v>#REF!</v>
      </c>
      <c r="F134" s="278" t="e">
        <f t="shared" si="1"/>
        <v>#REF!</v>
      </c>
      <c r="H134" s="1119"/>
    </row>
    <row r="135" spans="1:8" s="280" customFormat="1" ht="18" hidden="1" customHeight="1">
      <c r="A135" s="13" t="e">
        <f>'PL CTĐG'!#REF!</f>
        <v>#REF!</v>
      </c>
      <c r="B135" s="289" t="e">
        <f>'PL CTĐG'!#REF!</f>
        <v>#REF!</v>
      </c>
      <c r="C135" s="139" t="e">
        <f>'PL CTĐG'!#REF!</f>
        <v>#REF!</v>
      </c>
      <c r="D135" s="288" t="e">
        <f>'PL CTĐG'!#REF!</f>
        <v>#REF!</v>
      </c>
      <c r="E135" s="278" t="e">
        <f>'PL CTĐG'!#REF!</f>
        <v>#REF!</v>
      </c>
      <c r="F135" s="278" t="e">
        <f t="shared" si="1"/>
        <v>#REF!</v>
      </c>
      <c r="H135" s="1119"/>
    </row>
    <row r="136" spans="1:8" s="280" customFormat="1" ht="18" hidden="1" customHeight="1">
      <c r="A136" s="13" t="e">
        <f>'PL CTĐG'!#REF!</f>
        <v>#REF!</v>
      </c>
      <c r="B136" s="289" t="e">
        <f>'PL CTĐG'!#REF!</f>
        <v>#REF!</v>
      </c>
      <c r="C136" s="139" t="e">
        <f>'PL CTĐG'!#REF!</f>
        <v>#REF!</v>
      </c>
      <c r="D136" s="288" t="e">
        <f>'PL CTĐG'!#REF!</f>
        <v>#REF!</v>
      </c>
      <c r="E136" s="278" t="e">
        <f>'PL CTĐG'!#REF!</f>
        <v>#REF!</v>
      </c>
      <c r="F136" s="278" t="e">
        <f t="shared" si="1"/>
        <v>#REF!</v>
      </c>
      <c r="H136" s="1119"/>
    </row>
    <row r="137" spans="1:8" s="280" customFormat="1" ht="18" hidden="1" customHeight="1">
      <c r="A137" s="13" t="e">
        <f>+'PL CTĐG'!#REF!</f>
        <v>#REF!</v>
      </c>
      <c r="B137" s="289" t="e">
        <f>+'PL CTĐG'!#REF!</f>
        <v>#REF!</v>
      </c>
      <c r="C137" s="13" t="e">
        <f>+'PL CTĐG'!#REF!</f>
        <v>#REF!</v>
      </c>
      <c r="D137" s="288" t="e">
        <f>+'PL CTĐG'!#REF!</f>
        <v>#REF!</v>
      </c>
      <c r="E137" s="278" t="e">
        <f>+'PL CTĐG'!#REF!</f>
        <v>#REF!</v>
      </c>
      <c r="F137" s="278" t="e">
        <f>+D137*E137</f>
        <v>#REF!</v>
      </c>
      <c r="H137" s="1119"/>
    </row>
    <row r="138" spans="1:8" s="280" customFormat="1" ht="18" hidden="1" customHeight="1">
      <c r="A138" s="13" t="e">
        <f>+'PL CTĐG'!#REF!</f>
        <v>#REF!</v>
      </c>
      <c r="B138" s="289" t="e">
        <f>+'PL CTĐG'!#REF!</f>
        <v>#REF!</v>
      </c>
      <c r="C138" s="13" t="e">
        <f>+'PL CTĐG'!#REF!</f>
        <v>#REF!</v>
      </c>
      <c r="D138" s="288" t="e">
        <f>+'PL CTĐG'!#REF!</f>
        <v>#REF!</v>
      </c>
      <c r="E138" s="278" t="e">
        <f>+'PL CTĐG'!#REF!</f>
        <v>#REF!</v>
      </c>
      <c r="F138" s="278" t="e">
        <f>+D138*E138</f>
        <v>#REF!</v>
      </c>
      <c r="H138" s="1119"/>
    </row>
    <row r="139" spans="1:8" s="280" customFormat="1" ht="18" hidden="1" customHeight="1">
      <c r="A139" s="13" t="e">
        <f>+'PL CTĐG'!#REF!</f>
        <v>#REF!</v>
      </c>
      <c r="B139" s="289" t="e">
        <f>+'PL CTĐG'!#REF!</f>
        <v>#REF!</v>
      </c>
      <c r="C139" s="13" t="e">
        <f>+'PL CTĐG'!#REF!</f>
        <v>#REF!</v>
      </c>
      <c r="D139" s="288" t="e">
        <f>+'PL CTĐG'!#REF!</f>
        <v>#REF!</v>
      </c>
      <c r="E139" s="278" t="e">
        <f>+'PL CTĐG'!#REF!</f>
        <v>#REF!</v>
      </c>
      <c r="F139" s="278" t="e">
        <f>+D139*E139</f>
        <v>#REF!</v>
      </c>
      <c r="H139" s="1119"/>
    </row>
    <row r="140" spans="1:8" s="280" customFormat="1" ht="30.75" hidden="1" customHeight="1">
      <c r="A140" s="13"/>
      <c r="B140" s="287" t="e">
        <f>'PL CTĐG'!#REF!</f>
        <v>#REF!</v>
      </c>
      <c r="C140" s="139"/>
      <c r="D140" s="288"/>
      <c r="E140" s="278"/>
      <c r="F140" s="278"/>
      <c r="H140" s="1119"/>
    </row>
    <row r="141" spans="1:8" s="280" customFormat="1" ht="18" hidden="1" customHeight="1">
      <c r="A141" s="13" t="e">
        <f>'PL CTĐG'!#REF!</f>
        <v>#REF!</v>
      </c>
      <c r="B141" s="289" t="e">
        <f>'PL CTĐG'!#REF!</f>
        <v>#REF!</v>
      </c>
      <c r="C141" s="139" t="e">
        <f>'PL CTĐG'!#REF!</f>
        <v>#REF!</v>
      </c>
      <c r="D141" s="288" t="e">
        <f>'PL CTĐG'!#REF!</f>
        <v>#REF!</v>
      </c>
      <c r="E141" s="278" t="e">
        <f>'PL CTĐG'!#REF!</f>
        <v>#REF!</v>
      </c>
      <c r="F141" s="278" t="e">
        <f t="shared" si="1"/>
        <v>#REF!</v>
      </c>
      <c r="H141" s="1119"/>
    </row>
    <row r="142" spans="1:8" s="280" customFormat="1" ht="18" hidden="1" customHeight="1">
      <c r="A142" s="13" t="e">
        <f>'PL CTĐG'!#REF!</f>
        <v>#REF!</v>
      </c>
      <c r="B142" s="289" t="e">
        <f>'PL CTĐG'!#REF!</f>
        <v>#REF!</v>
      </c>
      <c r="C142" s="139" t="e">
        <f>'PL CTĐG'!#REF!</f>
        <v>#REF!</v>
      </c>
      <c r="D142" s="288" t="e">
        <f>'PL CTĐG'!#REF!</f>
        <v>#REF!</v>
      </c>
      <c r="E142" s="278" t="e">
        <f>'PL CTĐG'!#REF!</f>
        <v>#REF!</v>
      </c>
      <c r="F142" s="278" t="e">
        <f t="shared" si="1"/>
        <v>#REF!</v>
      </c>
      <c r="H142" s="1119"/>
    </row>
    <row r="143" spans="1:8" s="280" customFormat="1" ht="18" hidden="1" customHeight="1">
      <c r="A143" s="13" t="e">
        <f>'PL CTĐG'!#REF!</f>
        <v>#REF!</v>
      </c>
      <c r="B143" s="289" t="e">
        <f>'PL CTĐG'!#REF!</f>
        <v>#REF!</v>
      </c>
      <c r="C143" s="139" t="e">
        <f>'PL CTĐG'!#REF!</f>
        <v>#REF!</v>
      </c>
      <c r="D143" s="288" t="e">
        <f>'PL CTĐG'!#REF!</f>
        <v>#REF!</v>
      </c>
      <c r="E143" s="278" t="e">
        <f>'PL CTĐG'!#REF!</f>
        <v>#REF!</v>
      </c>
      <c r="F143" s="278" t="e">
        <f t="shared" si="1"/>
        <v>#REF!</v>
      </c>
      <c r="H143" s="1119"/>
    </row>
    <row r="144" spans="1:8" s="280" customFormat="1" ht="18" hidden="1" customHeight="1">
      <c r="A144" s="13" t="e">
        <f>'PL CTĐG'!#REF!</f>
        <v>#REF!</v>
      </c>
      <c r="B144" s="289" t="e">
        <f>'PL CTĐG'!#REF!</f>
        <v>#REF!</v>
      </c>
      <c r="C144" s="139" t="e">
        <f>'PL CTĐG'!#REF!</f>
        <v>#REF!</v>
      </c>
      <c r="D144" s="288" t="e">
        <f>'PL CTĐG'!#REF!</f>
        <v>#REF!</v>
      </c>
      <c r="E144" s="278" t="e">
        <f>'PL CTĐG'!#REF!</f>
        <v>#REF!</v>
      </c>
      <c r="F144" s="278" t="e">
        <f t="shared" si="1"/>
        <v>#REF!</v>
      </c>
      <c r="H144" s="1119"/>
    </row>
    <row r="145" spans="1:8" s="280" customFormat="1" ht="28.5" hidden="1" customHeight="1">
      <c r="A145" s="13"/>
      <c r="B145" s="287" t="e">
        <f>'PL CTĐG'!#REF!</f>
        <v>#REF!</v>
      </c>
      <c r="C145" s="139"/>
      <c r="D145" s="288"/>
      <c r="E145" s="278"/>
      <c r="F145" s="278"/>
      <c r="H145" s="1119"/>
    </row>
    <row r="146" spans="1:8" s="280" customFormat="1" ht="18" hidden="1" customHeight="1">
      <c r="A146" s="13"/>
      <c r="B146" s="287" t="e">
        <f>'PL CTĐG'!#REF!</f>
        <v>#REF!</v>
      </c>
      <c r="C146" s="139"/>
      <c r="D146" s="288"/>
      <c r="E146" s="278"/>
      <c r="F146" s="278"/>
      <c r="H146" s="1119"/>
    </row>
    <row r="147" spans="1:8" s="280" customFormat="1" ht="18" hidden="1" customHeight="1">
      <c r="A147" s="13" t="e">
        <f>'PL CTĐG'!#REF!</f>
        <v>#REF!</v>
      </c>
      <c r="B147" s="289" t="e">
        <f>'PL CTĐG'!#REF!</f>
        <v>#REF!</v>
      </c>
      <c r="C147" s="139" t="e">
        <f>'PL CTĐG'!#REF!</f>
        <v>#REF!</v>
      </c>
      <c r="D147" s="288" t="e">
        <f>'PL CTĐG'!#REF!</f>
        <v>#REF!</v>
      </c>
      <c r="E147" s="278" t="e">
        <f>'PL CTĐG'!#REF!</f>
        <v>#REF!</v>
      </c>
      <c r="F147" s="278" t="e">
        <f t="shared" ref="F147:F153" si="2">E147*D147</f>
        <v>#REF!</v>
      </c>
      <c r="H147" s="1119"/>
    </row>
    <row r="148" spans="1:8" s="280" customFormat="1" ht="18" hidden="1" customHeight="1">
      <c r="A148" s="13" t="e">
        <f>'PL CTĐG'!#REF!</f>
        <v>#REF!</v>
      </c>
      <c r="B148" s="289" t="e">
        <f>'PL CTĐG'!#REF!</f>
        <v>#REF!</v>
      </c>
      <c r="C148" s="139" t="e">
        <f>'PL CTĐG'!#REF!</f>
        <v>#REF!</v>
      </c>
      <c r="D148" s="288" t="e">
        <f>'PL CTĐG'!#REF!</f>
        <v>#REF!</v>
      </c>
      <c r="E148" s="278" t="e">
        <f>'PL CTĐG'!#REF!</f>
        <v>#REF!</v>
      </c>
      <c r="F148" s="278" t="e">
        <f t="shared" si="2"/>
        <v>#REF!</v>
      </c>
      <c r="H148" s="1119"/>
    </row>
    <row r="149" spans="1:8" s="280" customFormat="1" ht="18" hidden="1" customHeight="1">
      <c r="A149" s="13" t="e">
        <f>'PL CTĐG'!#REF!</f>
        <v>#REF!</v>
      </c>
      <c r="B149" s="289" t="e">
        <f>'PL CTĐG'!#REF!</f>
        <v>#REF!</v>
      </c>
      <c r="C149" s="139" t="e">
        <f>'PL CTĐG'!#REF!</f>
        <v>#REF!</v>
      </c>
      <c r="D149" s="288" t="e">
        <f>'PL CTĐG'!#REF!</f>
        <v>#REF!</v>
      </c>
      <c r="E149" s="278" t="e">
        <f>'PL CTĐG'!#REF!</f>
        <v>#REF!</v>
      </c>
      <c r="F149" s="278" t="e">
        <f t="shared" si="2"/>
        <v>#REF!</v>
      </c>
      <c r="H149" s="1119"/>
    </row>
    <row r="150" spans="1:8" s="280" customFormat="1" ht="18" hidden="1" customHeight="1">
      <c r="A150" s="13"/>
      <c r="B150" s="287" t="e">
        <f>'PL CTĐG'!#REF!</f>
        <v>#REF!</v>
      </c>
      <c r="C150" s="139"/>
      <c r="D150" s="288"/>
      <c r="E150" s="278"/>
      <c r="F150" s="278"/>
      <c r="H150" s="1119"/>
    </row>
    <row r="151" spans="1:8" s="280" customFormat="1" ht="18" hidden="1" customHeight="1">
      <c r="A151" s="13" t="e">
        <f>'PL CTĐG'!#REF!</f>
        <v>#REF!</v>
      </c>
      <c r="B151" s="289" t="e">
        <f>'PL CTĐG'!#REF!</f>
        <v>#REF!</v>
      </c>
      <c r="C151" s="139" t="e">
        <f>'PL CTĐG'!#REF!</f>
        <v>#REF!</v>
      </c>
      <c r="D151" s="288" t="e">
        <f>'PL CTĐG'!#REF!</f>
        <v>#REF!</v>
      </c>
      <c r="E151" s="278" t="e">
        <f>'PL CTĐG'!#REF!</f>
        <v>#REF!</v>
      </c>
      <c r="F151" s="278" t="e">
        <f t="shared" si="2"/>
        <v>#REF!</v>
      </c>
      <c r="H151" s="1119"/>
    </row>
    <row r="152" spans="1:8" s="280" customFormat="1" ht="18" hidden="1" customHeight="1">
      <c r="A152" s="13" t="e">
        <f>'PL CTĐG'!#REF!</f>
        <v>#REF!</v>
      </c>
      <c r="B152" s="289" t="e">
        <f>'PL CTĐG'!#REF!</f>
        <v>#REF!</v>
      </c>
      <c r="C152" s="139" t="e">
        <f>'PL CTĐG'!#REF!</f>
        <v>#REF!</v>
      </c>
      <c r="D152" s="288" t="e">
        <f>'PL CTĐG'!#REF!</f>
        <v>#REF!</v>
      </c>
      <c r="E152" s="278" t="e">
        <f>'PL CTĐG'!#REF!</f>
        <v>#REF!</v>
      </c>
      <c r="F152" s="278" t="e">
        <f t="shared" si="2"/>
        <v>#REF!</v>
      </c>
      <c r="H152" s="1119"/>
    </row>
    <row r="153" spans="1:8" s="280" customFormat="1" ht="18" hidden="1" customHeight="1">
      <c r="A153" s="13" t="e">
        <f>'PL CTĐG'!#REF!</f>
        <v>#REF!</v>
      </c>
      <c r="B153" s="289" t="e">
        <f>'PL CTĐG'!#REF!</f>
        <v>#REF!</v>
      </c>
      <c r="C153" s="139" t="e">
        <f>'PL CTĐG'!#REF!</f>
        <v>#REF!</v>
      </c>
      <c r="D153" s="288" t="e">
        <f>'PL CTĐG'!#REF!</f>
        <v>#REF!</v>
      </c>
      <c r="E153" s="278" t="e">
        <f>'PL CTĐG'!#REF!</f>
        <v>#REF!</v>
      </c>
      <c r="F153" s="278" t="e">
        <f t="shared" si="2"/>
        <v>#REF!</v>
      </c>
      <c r="H153" s="1119"/>
    </row>
    <row r="154" spans="1:8" s="280" customFormat="1" ht="30" hidden="1" customHeight="1">
      <c r="A154" s="96" t="e">
        <f>'PL CTĐG'!#REF!</f>
        <v>#REF!</v>
      </c>
      <c r="B154" s="287" t="e">
        <f>'PL CTĐG'!#REF!</f>
        <v>#REF!</v>
      </c>
      <c r="C154" s="139"/>
      <c r="D154" s="288"/>
      <c r="E154" s="278"/>
      <c r="F154" s="279" t="e">
        <f>SUM(F156:F178)</f>
        <v>#REF!</v>
      </c>
      <c r="H154" s="1119"/>
    </row>
    <row r="155" spans="1:8" s="280" customFormat="1" ht="29.25" hidden="1" customHeight="1">
      <c r="A155" s="96"/>
      <c r="B155" s="287" t="e">
        <f>'PL CTĐG'!#REF!</f>
        <v>#REF!</v>
      </c>
      <c r="C155" s="139"/>
      <c r="D155" s="288"/>
      <c r="E155" s="278"/>
      <c r="F155" s="278"/>
      <c r="H155" s="1119"/>
    </row>
    <row r="156" spans="1:8" s="280" customFormat="1" ht="18" hidden="1" customHeight="1">
      <c r="A156" s="13" t="e">
        <f>'PL CTĐG'!#REF!</f>
        <v>#REF!</v>
      </c>
      <c r="B156" s="289" t="e">
        <f>'PL CTĐG'!#REF!</f>
        <v>#REF!</v>
      </c>
      <c r="C156" s="139" t="e">
        <f>'PL CTĐG'!#REF!</f>
        <v>#REF!</v>
      </c>
      <c r="D156" s="288" t="e">
        <f>'PL CTĐG'!#REF!</f>
        <v>#REF!</v>
      </c>
      <c r="E156" s="278" t="e">
        <f>'PL CTĐG'!#REF!</f>
        <v>#REF!</v>
      </c>
      <c r="F156" s="278" t="e">
        <f t="shared" ref="F156:F219" si="3">E156*D156</f>
        <v>#REF!</v>
      </c>
      <c r="H156" s="1119"/>
    </row>
    <row r="157" spans="1:8" s="280" customFormat="1" ht="18" hidden="1" customHeight="1">
      <c r="A157" s="13" t="e">
        <f>'PL CTĐG'!#REF!</f>
        <v>#REF!</v>
      </c>
      <c r="B157" s="289" t="e">
        <f>'PL CTĐG'!#REF!</f>
        <v>#REF!</v>
      </c>
      <c r="C157" s="139" t="e">
        <f>'PL CTĐG'!#REF!</f>
        <v>#REF!</v>
      </c>
      <c r="D157" s="288" t="e">
        <f>'PL CTĐG'!#REF!</f>
        <v>#REF!</v>
      </c>
      <c r="E157" s="278" t="e">
        <f>'PL CTĐG'!#REF!</f>
        <v>#REF!</v>
      </c>
      <c r="F157" s="278" t="e">
        <f t="shared" si="3"/>
        <v>#REF!</v>
      </c>
      <c r="H157" s="1119"/>
    </row>
    <row r="158" spans="1:8" s="280" customFormat="1" ht="30.75" hidden="1" customHeight="1">
      <c r="A158" s="13" t="e">
        <f>'PL CTĐG'!#REF!</f>
        <v>#REF!</v>
      </c>
      <c r="B158" s="289" t="e">
        <f>'PL CTĐG'!#REF!</f>
        <v>#REF!</v>
      </c>
      <c r="C158" s="139" t="e">
        <f>'PL CTĐG'!#REF!</f>
        <v>#REF!</v>
      </c>
      <c r="D158" s="288" t="e">
        <f>'PL CTĐG'!#REF!</f>
        <v>#REF!</v>
      </c>
      <c r="E158" s="278" t="e">
        <f>'PL CTĐG'!#REF!</f>
        <v>#REF!</v>
      </c>
      <c r="F158" s="278" t="e">
        <f t="shared" si="3"/>
        <v>#REF!</v>
      </c>
      <c r="H158" s="1119"/>
    </row>
    <row r="159" spans="1:8" s="280" customFormat="1" ht="18" hidden="1" customHeight="1">
      <c r="A159" s="13" t="e">
        <f>'PL CTĐG'!#REF!</f>
        <v>#REF!</v>
      </c>
      <c r="B159" s="289" t="e">
        <f>'PL CTĐG'!#REF!</f>
        <v>#REF!</v>
      </c>
      <c r="C159" s="139" t="e">
        <f>'PL CTĐG'!#REF!</f>
        <v>#REF!</v>
      </c>
      <c r="D159" s="288" t="e">
        <f>'PL CTĐG'!#REF!</f>
        <v>#REF!</v>
      </c>
      <c r="E159" s="278" t="e">
        <f>'PL CTĐG'!#REF!</f>
        <v>#REF!</v>
      </c>
      <c r="F159" s="278" t="e">
        <f t="shared" si="3"/>
        <v>#REF!</v>
      </c>
      <c r="H159" s="1119"/>
    </row>
    <row r="160" spans="1:8" s="280" customFormat="1" ht="27.75" hidden="1" customHeight="1">
      <c r="A160" s="13" t="e">
        <f>'PL CTĐG'!#REF!</f>
        <v>#REF!</v>
      </c>
      <c r="B160" s="289" t="e">
        <f>'PL CTĐG'!#REF!</f>
        <v>#REF!</v>
      </c>
      <c r="C160" s="139" t="e">
        <f>'PL CTĐG'!#REF!</f>
        <v>#REF!</v>
      </c>
      <c r="D160" s="288" t="e">
        <f>'PL CTĐG'!#REF!</f>
        <v>#REF!</v>
      </c>
      <c r="E160" s="278" t="e">
        <f>'PL CTĐG'!#REF!</f>
        <v>#REF!</v>
      </c>
      <c r="F160" s="278" t="e">
        <f t="shared" si="3"/>
        <v>#REF!</v>
      </c>
      <c r="H160" s="1119"/>
    </row>
    <row r="161" spans="1:8" s="280" customFormat="1" ht="18" hidden="1" customHeight="1">
      <c r="A161" s="13" t="e">
        <f>'PL CTĐG'!#REF!</f>
        <v>#REF!</v>
      </c>
      <c r="B161" s="289" t="e">
        <f>'PL CTĐG'!#REF!</f>
        <v>#REF!</v>
      </c>
      <c r="C161" s="139" t="e">
        <f>'PL CTĐG'!#REF!</f>
        <v>#REF!</v>
      </c>
      <c r="D161" s="288" t="e">
        <f>'PL CTĐG'!#REF!</f>
        <v>#REF!</v>
      </c>
      <c r="E161" s="278" t="e">
        <f>'PL CTĐG'!#REF!</f>
        <v>#REF!</v>
      </c>
      <c r="F161" s="278" t="e">
        <f t="shared" si="3"/>
        <v>#REF!</v>
      </c>
      <c r="H161" s="1119"/>
    </row>
    <row r="162" spans="1:8" s="280" customFormat="1" ht="18" hidden="1" customHeight="1">
      <c r="A162" s="13" t="e">
        <f>'PL CTĐG'!#REF!</f>
        <v>#REF!</v>
      </c>
      <c r="B162" s="289" t="e">
        <f>'PL CTĐG'!#REF!</f>
        <v>#REF!</v>
      </c>
      <c r="C162" s="139" t="e">
        <f>'PL CTĐG'!#REF!</f>
        <v>#REF!</v>
      </c>
      <c r="D162" s="288" t="e">
        <f>'PL CTĐG'!#REF!</f>
        <v>#REF!</v>
      </c>
      <c r="E162" s="278" t="e">
        <f>'PL CTĐG'!#REF!</f>
        <v>#REF!</v>
      </c>
      <c r="F162" s="278" t="e">
        <f t="shared" si="3"/>
        <v>#REF!</v>
      </c>
      <c r="H162" s="1119"/>
    </row>
    <row r="163" spans="1:8" s="280" customFormat="1" ht="18" hidden="1" customHeight="1">
      <c r="A163" s="13" t="e">
        <f>'PL CTĐG'!#REF!</f>
        <v>#REF!</v>
      </c>
      <c r="B163" s="289" t="e">
        <f>'PL CTĐG'!#REF!</f>
        <v>#REF!</v>
      </c>
      <c r="C163" s="139" t="e">
        <f>'PL CTĐG'!#REF!</f>
        <v>#REF!</v>
      </c>
      <c r="D163" s="288" t="e">
        <f>'PL CTĐG'!#REF!</f>
        <v>#REF!</v>
      </c>
      <c r="E163" s="278" t="e">
        <f>'PL CTĐG'!#REF!</f>
        <v>#REF!</v>
      </c>
      <c r="F163" s="278" t="e">
        <f t="shared" si="3"/>
        <v>#REF!</v>
      </c>
      <c r="H163" s="1119"/>
    </row>
    <row r="164" spans="1:8" s="280" customFormat="1" ht="18" hidden="1" customHeight="1">
      <c r="A164" s="13" t="e">
        <f>'PL CTĐG'!#REF!</f>
        <v>#REF!</v>
      </c>
      <c r="B164" s="289" t="e">
        <f>'PL CTĐG'!#REF!</f>
        <v>#REF!</v>
      </c>
      <c r="C164" s="139" t="e">
        <f>'PL CTĐG'!#REF!</f>
        <v>#REF!</v>
      </c>
      <c r="D164" s="288" t="e">
        <f>'PL CTĐG'!#REF!</f>
        <v>#REF!</v>
      </c>
      <c r="E164" s="278" t="e">
        <f>'PL CTĐG'!#REF!</f>
        <v>#REF!</v>
      </c>
      <c r="F164" s="278" t="e">
        <f t="shared" si="3"/>
        <v>#REF!</v>
      </c>
      <c r="H164" s="1119"/>
    </row>
    <row r="165" spans="1:8" s="280" customFormat="1" ht="18" hidden="1" customHeight="1">
      <c r="A165" s="13" t="e">
        <f>'PL CTĐG'!#REF!</f>
        <v>#REF!</v>
      </c>
      <c r="B165" s="289" t="e">
        <f>'PL CTĐG'!#REF!</f>
        <v>#REF!</v>
      </c>
      <c r="C165" s="139" t="e">
        <f>'PL CTĐG'!#REF!</f>
        <v>#REF!</v>
      </c>
      <c r="D165" s="288" t="e">
        <f>'PL CTĐG'!#REF!</f>
        <v>#REF!</v>
      </c>
      <c r="E165" s="278" t="e">
        <f>'PL CTĐG'!#REF!</f>
        <v>#REF!</v>
      </c>
      <c r="F165" s="278" t="e">
        <f t="shared" si="3"/>
        <v>#REF!</v>
      </c>
      <c r="H165" s="1119"/>
    </row>
    <row r="166" spans="1:8" s="280" customFormat="1" ht="18" hidden="1" customHeight="1">
      <c r="A166" s="13" t="e">
        <f>+'PL CTĐG'!#REF!</f>
        <v>#REF!</v>
      </c>
      <c r="B166" s="289" t="e">
        <f>+'PL CTĐG'!#REF!</f>
        <v>#REF!</v>
      </c>
      <c r="C166" s="13" t="e">
        <f>+'PL CTĐG'!#REF!</f>
        <v>#REF!</v>
      </c>
      <c r="D166" s="288" t="e">
        <f>+'PL CTĐG'!#REF!</f>
        <v>#REF!</v>
      </c>
      <c r="E166" s="278" t="e">
        <f>+'PL CTĐG'!#REF!</f>
        <v>#REF!</v>
      </c>
      <c r="F166" s="278" t="e">
        <f>+D166*E166</f>
        <v>#REF!</v>
      </c>
      <c r="H166" s="1119"/>
    </row>
    <row r="167" spans="1:8" s="280" customFormat="1" ht="18" hidden="1" customHeight="1">
      <c r="A167" s="13" t="e">
        <f>+'PL CTĐG'!#REF!</f>
        <v>#REF!</v>
      </c>
      <c r="B167" s="289" t="e">
        <f>+'PL CTĐG'!#REF!</f>
        <v>#REF!</v>
      </c>
      <c r="C167" s="13" t="e">
        <f>+'PL CTĐG'!#REF!</f>
        <v>#REF!</v>
      </c>
      <c r="D167" s="288" t="e">
        <f>+'PL CTĐG'!#REF!</f>
        <v>#REF!</v>
      </c>
      <c r="E167" s="278" t="e">
        <f>+'PL CTĐG'!#REF!</f>
        <v>#REF!</v>
      </c>
      <c r="F167" s="278" t="e">
        <f>+D167*E167</f>
        <v>#REF!</v>
      </c>
      <c r="H167" s="1119"/>
    </row>
    <row r="168" spans="1:8" s="280" customFormat="1" ht="18" hidden="1" customHeight="1">
      <c r="A168" s="13" t="e">
        <f>+'PL CTĐG'!#REF!</f>
        <v>#REF!</v>
      </c>
      <c r="B168" s="289" t="e">
        <f>+'PL CTĐG'!#REF!</f>
        <v>#REF!</v>
      </c>
      <c r="C168" s="13" t="e">
        <f>+'PL CTĐG'!#REF!</f>
        <v>#REF!</v>
      </c>
      <c r="D168" s="288" t="e">
        <f>+'PL CTĐG'!#REF!</f>
        <v>#REF!</v>
      </c>
      <c r="E168" s="278" t="e">
        <f>+'PL CTĐG'!#REF!</f>
        <v>#REF!</v>
      </c>
      <c r="F168" s="278" t="e">
        <f>+D168*E168</f>
        <v>#REF!</v>
      </c>
      <c r="H168" s="1119"/>
    </row>
    <row r="169" spans="1:8" s="280" customFormat="1" ht="27.75" hidden="1" customHeight="1">
      <c r="A169" s="13"/>
      <c r="B169" s="289" t="e">
        <f>'PL CTĐG'!#REF!</f>
        <v>#REF!</v>
      </c>
      <c r="C169" s="139" t="e">
        <f>'PL CTĐG'!#REF!</f>
        <v>#REF!</v>
      </c>
      <c r="D169" s="288" t="e">
        <f>'PL CTĐG'!#REF!</f>
        <v>#REF!</v>
      </c>
      <c r="E169" s="278" t="e">
        <f>'PL CTĐG'!#REF!</f>
        <v>#REF!</v>
      </c>
      <c r="F169" s="278" t="e">
        <f t="shared" si="3"/>
        <v>#REF!</v>
      </c>
      <c r="H169" s="1119"/>
    </row>
    <row r="170" spans="1:8" s="280" customFormat="1" ht="18" hidden="1" customHeight="1">
      <c r="A170" s="13" t="e">
        <f>'PL CTĐG'!#REF!</f>
        <v>#REF!</v>
      </c>
      <c r="B170" s="289" t="e">
        <f>'PL CTĐG'!#REF!</f>
        <v>#REF!</v>
      </c>
      <c r="C170" s="139" t="e">
        <f>'PL CTĐG'!#REF!</f>
        <v>#REF!</v>
      </c>
      <c r="D170" s="288" t="e">
        <f>'PL CTĐG'!#REF!</f>
        <v>#REF!</v>
      </c>
      <c r="E170" s="278" t="e">
        <f>'PL CTĐG'!#REF!</f>
        <v>#REF!</v>
      </c>
      <c r="F170" s="278" t="e">
        <f t="shared" si="3"/>
        <v>#REF!</v>
      </c>
      <c r="H170" s="1119"/>
    </row>
    <row r="171" spans="1:8" s="280" customFormat="1" ht="18" hidden="1" customHeight="1">
      <c r="A171" s="13" t="e">
        <f>'PL CTĐG'!#REF!</f>
        <v>#REF!</v>
      </c>
      <c r="B171" s="289" t="e">
        <f>'PL CTĐG'!#REF!</f>
        <v>#REF!</v>
      </c>
      <c r="C171" s="139" t="e">
        <f>'PL CTĐG'!#REF!</f>
        <v>#REF!</v>
      </c>
      <c r="D171" s="288" t="e">
        <f>'PL CTĐG'!#REF!</f>
        <v>#REF!</v>
      </c>
      <c r="E171" s="278" t="e">
        <f>'PL CTĐG'!#REF!</f>
        <v>#REF!</v>
      </c>
      <c r="F171" s="278" t="e">
        <f t="shared" si="3"/>
        <v>#REF!</v>
      </c>
      <c r="H171" s="1119"/>
    </row>
    <row r="172" spans="1:8" s="280" customFormat="1" ht="18" hidden="1" customHeight="1">
      <c r="A172" s="13" t="e">
        <f>'PL CTĐG'!#REF!</f>
        <v>#REF!</v>
      </c>
      <c r="B172" s="289" t="e">
        <f>'PL CTĐG'!#REF!</f>
        <v>#REF!</v>
      </c>
      <c r="C172" s="139" t="e">
        <f>'PL CTĐG'!#REF!</f>
        <v>#REF!</v>
      </c>
      <c r="D172" s="288" t="e">
        <f>'PL CTĐG'!#REF!</f>
        <v>#REF!</v>
      </c>
      <c r="E172" s="278" t="e">
        <f>'PL CTĐG'!#REF!</f>
        <v>#REF!</v>
      </c>
      <c r="F172" s="278" t="e">
        <f t="shared" si="3"/>
        <v>#REF!</v>
      </c>
      <c r="H172" s="1119"/>
    </row>
    <row r="173" spans="1:8" s="280" customFormat="1" ht="18" hidden="1" customHeight="1">
      <c r="A173" s="13" t="e">
        <f>'PL CTĐG'!#REF!</f>
        <v>#REF!</v>
      </c>
      <c r="B173" s="289" t="e">
        <f>'PL CTĐG'!#REF!</f>
        <v>#REF!</v>
      </c>
      <c r="C173" s="139" t="e">
        <f>'PL CTĐG'!#REF!</f>
        <v>#REF!</v>
      </c>
      <c r="D173" s="288" t="e">
        <f>'PL CTĐG'!#REF!</f>
        <v>#REF!</v>
      </c>
      <c r="E173" s="278" t="e">
        <f>'PL CTĐG'!#REF!</f>
        <v>#REF!</v>
      </c>
      <c r="F173" s="278" t="e">
        <f t="shared" si="3"/>
        <v>#REF!</v>
      </c>
      <c r="H173" s="1119"/>
    </row>
    <row r="174" spans="1:8" s="280" customFormat="1" ht="30" hidden="1" customHeight="1">
      <c r="A174" s="13"/>
      <c r="B174" s="287" t="e">
        <f>'PL CTĐG'!#REF!</f>
        <v>#REF!</v>
      </c>
      <c r="C174" s="139"/>
      <c r="D174" s="288"/>
      <c r="E174" s="278"/>
      <c r="F174" s="278"/>
      <c r="H174" s="1119"/>
    </row>
    <row r="175" spans="1:8" s="280" customFormat="1" ht="18" hidden="1" customHeight="1">
      <c r="A175" s="13"/>
      <c r="B175" s="287" t="e">
        <f>'PL CTĐG'!#REF!</f>
        <v>#REF!</v>
      </c>
      <c r="C175" s="139"/>
      <c r="D175" s="288"/>
      <c r="E175" s="278"/>
      <c r="F175" s="278"/>
      <c r="H175" s="1119"/>
    </row>
    <row r="176" spans="1:8" s="280" customFormat="1" ht="18" hidden="1" customHeight="1">
      <c r="A176" s="13" t="e">
        <f>'PL CTĐG'!#REF!</f>
        <v>#REF!</v>
      </c>
      <c r="B176" s="289" t="e">
        <f>'PL CTĐG'!#REF!</f>
        <v>#REF!</v>
      </c>
      <c r="C176" s="139" t="e">
        <f>'PL CTĐG'!#REF!</f>
        <v>#REF!</v>
      </c>
      <c r="D176" s="288" t="e">
        <f>'PL CTĐG'!#REF!</f>
        <v>#REF!</v>
      </c>
      <c r="E176" s="278" t="e">
        <f>'PL CTĐG'!#REF!</f>
        <v>#REF!</v>
      </c>
      <c r="F176" s="278" t="e">
        <f t="shared" si="3"/>
        <v>#REF!</v>
      </c>
      <c r="H176" s="1119"/>
    </row>
    <row r="177" spans="1:8" s="280" customFormat="1" ht="18" hidden="1" customHeight="1">
      <c r="A177" s="13" t="e">
        <f>'PL CTĐG'!#REF!</f>
        <v>#REF!</v>
      </c>
      <c r="B177" s="289" t="e">
        <f>'PL CTĐG'!#REF!</f>
        <v>#REF!</v>
      </c>
      <c r="C177" s="139" t="e">
        <f>'PL CTĐG'!#REF!</f>
        <v>#REF!</v>
      </c>
      <c r="D177" s="288" t="e">
        <f>'PL CTĐG'!#REF!</f>
        <v>#REF!</v>
      </c>
      <c r="E177" s="278" t="e">
        <f>'PL CTĐG'!#REF!</f>
        <v>#REF!</v>
      </c>
      <c r="F177" s="278" t="e">
        <f t="shared" si="3"/>
        <v>#REF!</v>
      </c>
      <c r="H177" s="1119"/>
    </row>
    <row r="178" spans="1:8" s="280" customFormat="1" ht="18" hidden="1" customHeight="1">
      <c r="A178" s="13" t="e">
        <f>'PL CTĐG'!#REF!</f>
        <v>#REF!</v>
      </c>
      <c r="B178" s="289" t="e">
        <f>'PL CTĐG'!#REF!</f>
        <v>#REF!</v>
      </c>
      <c r="C178" s="139" t="e">
        <f>'PL CTĐG'!#REF!</f>
        <v>#REF!</v>
      </c>
      <c r="D178" s="288" t="e">
        <f>'PL CTĐG'!#REF!</f>
        <v>#REF!</v>
      </c>
      <c r="E178" s="278" t="e">
        <f>'PL CTĐG'!#REF!</f>
        <v>#REF!</v>
      </c>
      <c r="F178" s="278" t="e">
        <f t="shared" si="3"/>
        <v>#REF!</v>
      </c>
      <c r="H178" s="1119"/>
    </row>
    <row r="179" spans="1:8" s="495" customFormat="1" ht="30.75" hidden="1" customHeight="1">
      <c r="A179" s="96" t="e">
        <f>'PL CTĐG'!#REF!</f>
        <v>#REF!</v>
      </c>
      <c r="B179" s="287" t="e">
        <f>'PL CTĐG'!#REF!</f>
        <v>#REF!</v>
      </c>
      <c r="C179" s="295"/>
      <c r="D179" s="296"/>
      <c r="E179" s="279"/>
      <c r="F179" s="279" t="e">
        <f>SUM(F181:F207)</f>
        <v>#REF!</v>
      </c>
      <c r="H179" s="1119"/>
    </row>
    <row r="180" spans="1:8" s="495" customFormat="1" ht="31.5" hidden="1" customHeight="1">
      <c r="A180" s="96"/>
      <c r="B180" s="287" t="e">
        <f>'PL CTĐG'!#REF!</f>
        <v>#REF!</v>
      </c>
      <c r="C180" s="295"/>
      <c r="D180" s="296"/>
      <c r="E180" s="279"/>
      <c r="F180" s="279"/>
      <c r="H180" s="1119"/>
    </row>
    <row r="181" spans="1:8" s="280" customFormat="1" ht="18" hidden="1" customHeight="1">
      <c r="A181" s="13" t="e">
        <f>'PL CTĐG'!#REF!</f>
        <v>#REF!</v>
      </c>
      <c r="B181" s="289" t="e">
        <f>'PL CTĐG'!#REF!</f>
        <v>#REF!</v>
      </c>
      <c r="C181" s="139" t="e">
        <f>'PL CTĐG'!#REF!</f>
        <v>#REF!</v>
      </c>
      <c r="D181" s="288" t="e">
        <f>'PL CTĐG'!#REF!</f>
        <v>#REF!</v>
      </c>
      <c r="E181" s="278" t="e">
        <f>'PL CTĐG'!#REF!</f>
        <v>#REF!</v>
      </c>
      <c r="F181" s="278" t="e">
        <f t="shared" si="3"/>
        <v>#REF!</v>
      </c>
      <c r="H181" s="1119"/>
    </row>
    <row r="182" spans="1:8" s="280" customFormat="1" ht="18" hidden="1" customHeight="1">
      <c r="A182" s="13" t="e">
        <f>'PL CTĐG'!#REF!</f>
        <v>#REF!</v>
      </c>
      <c r="B182" s="289" t="e">
        <f>'PL CTĐG'!#REF!</f>
        <v>#REF!</v>
      </c>
      <c r="C182" s="139" t="e">
        <f>'PL CTĐG'!#REF!</f>
        <v>#REF!</v>
      </c>
      <c r="D182" s="288" t="e">
        <f>'PL CTĐG'!#REF!</f>
        <v>#REF!</v>
      </c>
      <c r="E182" s="278" t="e">
        <f>'PL CTĐG'!#REF!</f>
        <v>#REF!</v>
      </c>
      <c r="F182" s="278" t="e">
        <f t="shared" si="3"/>
        <v>#REF!</v>
      </c>
      <c r="H182" s="1119"/>
    </row>
    <row r="183" spans="1:8" s="280" customFormat="1" ht="30" hidden="1" customHeight="1">
      <c r="A183" s="13" t="e">
        <f>'PL CTĐG'!#REF!</f>
        <v>#REF!</v>
      </c>
      <c r="B183" s="289" t="e">
        <f>'PL CTĐG'!#REF!</f>
        <v>#REF!</v>
      </c>
      <c r="C183" s="139" t="e">
        <f>'PL CTĐG'!#REF!</f>
        <v>#REF!</v>
      </c>
      <c r="D183" s="288" t="e">
        <f>'PL CTĐG'!#REF!</f>
        <v>#REF!</v>
      </c>
      <c r="E183" s="278" t="e">
        <f>'PL CTĐG'!#REF!</f>
        <v>#REF!</v>
      </c>
      <c r="F183" s="278" t="e">
        <f t="shared" si="3"/>
        <v>#REF!</v>
      </c>
      <c r="H183" s="1119"/>
    </row>
    <row r="184" spans="1:8" s="280" customFormat="1" ht="18" hidden="1" customHeight="1">
      <c r="A184" s="13" t="e">
        <f>'PL CTĐG'!#REF!</f>
        <v>#REF!</v>
      </c>
      <c r="B184" s="289" t="e">
        <f>'PL CTĐG'!#REF!</f>
        <v>#REF!</v>
      </c>
      <c r="C184" s="139" t="e">
        <f>'PL CTĐG'!#REF!</f>
        <v>#REF!</v>
      </c>
      <c r="D184" s="288" t="e">
        <f>'PL CTĐG'!#REF!</f>
        <v>#REF!</v>
      </c>
      <c r="E184" s="278" t="e">
        <f>'PL CTĐG'!#REF!</f>
        <v>#REF!</v>
      </c>
      <c r="F184" s="278" t="e">
        <f t="shared" si="3"/>
        <v>#REF!</v>
      </c>
      <c r="H184" s="1119"/>
    </row>
    <row r="185" spans="1:8" s="280" customFormat="1" ht="27.75" hidden="1" customHeight="1">
      <c r="A185" s="13" t="e">
        <f>'PL CTĐG'!#REF!</f>
        <v>#REF!</v>
      </c>
      <c r="B185" s="289" t="e">
        <f>'PL CTĐG'!#REF!</f>
        <v>#REF!</v>
      </c>
      <c r="C185" s="139" t="e">
        <f>'PL CTĐG'!#REF!</f>
        <v>#REF!</v>
      </c>
      <c r="D185" s="288" t="e">
        <f>'PL CTĐG'!#REF!</f>
        <v>#REF!</v>
      </c>
      <c r="E185" s="278" t="e">
        <f>'PL CTĐG'!#REF!</f>
        <v>#REF!</v>
      </c>
      <c r="F185" s="278" t="e">
        <f t="shared" si="3"/>
        <v>#REF!</v>
      </c>
      <c r="H185" s="1119"/>
    </row>
    <row r="186" spans="1:8" s="280" customFormat="1" ht="18" hidden="1" customHeight="1">
      <c r="A186" s="13" t="e">
        <f>'PL CTĐG'!#REF!</f>
        <v>#REF!</v>
      </c>
      <c r="B186" s="289" t="e">
        <f>'PL CTĐG'!#REF!</f>
        <v>#REF!</v>
      </c>
      <c r="C186" s="139" t="e">
        <f>'PL CTĐG'!#REF!</f>
        <v>#REF!</v>
      </c>
      <c r="D186" s="288" t="e">
        <f>'PL CTĐG'!#REF!</f>
        <v>#REF!</v>
      </c>
      <c r="E186" s="278" t="e">
        <f>'PL CTĐG'!#REF!</f>
        <v>#REF!</v>
      </c>
      <c r="F186" s="278" t="e">
        <f t="shared" si="3"/>
        <v>#REF!</v>
      </c>
      <c r="H186" s="1119"/>
    </row>
    <row r="187" spans="1:8" s="280" customFormat="1" ht="18" hidden="1" customHeight="1">
      <c r="A187" s="13" t="e">
        <f>'PL CTĐG'!#REF!</f>
        <v>#REF!</v>
      </c>
      <c r="B187" s="289" t="e">
        <f>'PL CTĐG'!#REF!</f>
        <v>#REF!</v>
      </c>
      <c r="C187" s="139" t="e">
        <f>'PL CTĐG'!#REF!</f>
        <v>#REF!</v>
      </c>
      <c r="D187" s="288" t="e">
        <f>'PL CTĐG'!#REF!</f>
        <v>#REF!</v>
      </c>
      <c r="E187" s="278" t="e">
        <f>'PL CTĐG'!#REF!</f>
        <v>#REF!</v>
      </c>
      <c r="F187" s="278" t="e">
        <f t="shared" si="3"/>
        <v>#REF!</v>
      </c>
      <c r="H187" s="1119"/>
    </row>
    <row r="188" spans="1:8" s="280" customFormat="1" ht="18" hidden="1" customHeight="1">
      <c r="A188" s="13" t="e">
        <f>'PL CTĐG'!#REF!</f>
        <v>#REF!</v>
      </c>
      <c r="B188" s="289" t="e">
        <f>'PL CTĐG'!#REF!</f>
        <v>#REF!</v>
      </c>
      <c r="C188" s="139" t="e">
        <f>'PL CTĐG'!#REF!</f>
        <v>#REF!</v>
      </c>
      <c r="D188" s="288" t="e">
        <f>'PL CTĐG'!#REF!</f>
        <v>#REF!</v>
      </c>
      <c r="E188" s="278" t="e">
        <f>'PL CTĐG'!#REF!</f>
        <v>#REF!</v>
      </c>
      <c r="F188" s="278" t="e">
        <f t="shared" si="3"/>
        <v>#REF!</v>
      </c>
      <c r="H188" s="1119"/>
    </row>
    <row r="189" spans="1:8" s="280" customFormat="1" ht="18" hidden="1" customHeight="1">
      <c r="A189" s="13" t="e">
        <f>'PL CTĐG'!#REF!</f>
        <v>#REF!</v>
      </c>
      <c r="B189" s="289" t="e">
        <f>'PL CTĐG'!#REF!</f>
        <v>#REF!</v>
      </c>
      <c r="C189" s="139" t="e">
        <f>'PL CTĐG'!#REF!</f>
        <v>#REF!</v>
      </c>
      <c r="D189" s="288" t="e">
        <f>'PL CTĐG'!#REF!</f>
        <v>#REF!</v>
      </c>
      <c r="E189" s="278" t="e">
        <f>'PL CTĐG'!#REF!</f>
        <v>#REF!</v>
      </c>
      <c r="F189" s="278" t="e">
        <f t="shared" si="3"/>
        <v>#REF!</v>
      </c>
      <c r="H189" s="1119"/>
    </row>
    <row r="190" spans="1:8" s="280" customFormat="1" ht="18" hidden="1" customHeight="1">
      <c r="A190" s="13" t="e">
        <f>'PL CTĐG'!#REF!</f>
        <v>#REF!</v>
      </c>
      <c r="B190" s="289" t="e">
        <f>'PL CTĐG'!#REF!</f>
        <v>#REF!</v>
      </c>
      <c r="C190" s="139" t="e">
        <f>'PL CTĐG'!#REF!</f>
        <v>#REF!</v>
      </c>
      <c r="D190" s="288" t="e">
        <f>'PL CTĐG'!#REF!</f>
        <v>#REF!</v>
      </c>
      <c r="E190" s="278" t="e">
        <f>'PL CTĐG'!#REF!</f>
        <v>#REF!</v>
      </c>
      <c r="F190" s="278" t="e">
        <f t="shared" si="3"/>
        <v>#REF!</v>
      </c>
      <c r="H190" s="1119"/>
    </row>
    <row r="191" spans="1:8" s="280" customFormat="1" ht="18" hidden="1" customHeight="1">
      <c r="A191" s="13" t="e">
        <f>+'PL CTĐG'!#REF!</f>
        <v>#REF!</v>
      </c>
      <c r="B191" s="289" t="e">
        <f>+'PL CTĐG'!#REF!</f>
        <v>#REF!</v>
      </c>
      <c r="C191" s="13" t="e">
        <f>+'PL CTĐG'!#REF!</f>
        <v>#REF!</v>
      </c>
      <c r="D191" s="288" t="e">
        <f>+'PL CTĐG'!#REF!</f>
        <v>#REF!</v>
      </c>
      <c r="E191" s="278" t="e">
        <f>+'PL CTĐG'!#REF!</f>
        <v>#REF!</v>
      </c>
      <c r="F191" s="278" t="e">
        <f>+D191*E191</f>
        <v>#REF!</v>
      </c>
      <c r="H191" s="1119"/>
    </row>
    <row r="192" spans="1:8" s="280" customFormat="1" ht="18" hidden="1" customHeight="1">
      <c r="A192" s="13" t="e">
        <f>+'PL CTĐG'!#REF!</f>
        <v>#REF!</v>
      </c>
      <c r="B192" s="289" t="e">
        <f>+'PL CTĐG'!#REF!</f>
        <v>#REF!</v>
      </c>
      <c r="C192" s="13" t="e">
        <f>+'PL CTĐG'!#REF!</f>
        <v>#REF!</v>
      </c>
      <c r="D192" s="288" t="e">
        <f>+'PL CTĐG'!#REF!</f>
        <v>#REF!</v>
      </c>
      <c r="E192" s="278" t="e">
        <f>+'PL CTĐG'!#REF!</f>
        <v>#REF!</v>
      </c>
      <c r="F192" s="278" t="e">
        <f>+D192*E192</f>
        <v>#REF!</v>
      </c>
      <c r="H192" s="1119"/>
    </row>
    <row r="193" spans="1:8" s="280" customFormat="1" ht="18" hidden="1" customHeight="1">
      <c r="A193" s="13" t="e">
        <f>+'PL CTĐG'!#REF!</f>
        <v>#REF!</v>
      </c>
      <c r="B193" s="289" t="e">
        <f>+'PL CTĐG'!#REF!</f>
        <v>#REF!</v>
      </c>
      <c r="C193" s="13" t="e">
        <f>+'PL CTĐG'!#REF!</f>
        <v>#REF!</v>
      </c>
      <c r="D193" s="288" t="e">
        <f>+'PL CTĐG'!#REF!</f>
        <v>#REF!</v>
      </c>
      <c r="E193" s="278" t="e">
        <f>+'PL CTĐG'!#REF!</f>
        <v>#REF!</v>
      </c>
      <c r="F193" s="278" t="e">
        <f>+D193*E193</f>
        <v>#REF!</v>
      </c>
      <c r="H193" s="1119"/>
    </row>
    <row r="194" spans="1:8" s="280" customFormat="1" ht="31.5" hidden="1" customHeight="1">
      <c r="A194" s="13"/>
      <c r="B194" s="287" t="e">
        <f>'PL CTĐG'!#REF!</f>
        <v>#REF!</v>
      </c>
      <c r="C194" s="139"/>
      <c r="D194" s="288"/>
      <c r="E194" s="278"/>
      <c r="F194" s="278"/>
      <c r="H194" s="1119"/>
    </row>
    <row r="195" spans="1:8" s="280" customFormat="1" ht="18" hidden="1" customHeight="1">
      <c r="A195" s="13" t="e">
        <f>'PL CTĐG'!#REF!</f>
        <v>#REF!</v>
      </c>
      <c r="B195" s="289" t="e">
        <f>'PL CTĐG'!#REF!</f>
        <v>#REF!</v>
      </c>
      <c r="C195" s="139" t="e">
        <f>'PL CTĐG'!#REF!</f>
        <v>#REF!</v>
      </c>
      <c r="D195" s="288" t="e">
        <f>'PL CTĐG'!#REF!</f>
        <v>#REF!</v>
      </c>
      <c r="E195" s="278" t="e">
        <f>'PL CTĐG'!#REF!</f>
        <v>#REF!</v>
      </c>
      <c r="F195" s="278" t="e">
        <f t="shared" si="3"/>
        <v>#REF!</v>
      </c>
      <c r="H195" s="1119"/>
    </row>
    <row r="196" spans="1:8" s="280" customFormat="1" ht="18" hidden="1" customHeight="1">
      <c r="A196" s="13" t="e">
        <f>'PL CTĐG'!#REF!</f>
        <v>#REF!</v>
      </c>
      <c r="B196" s="289" t="e">
        <f>'PL CTĐG'!#REF!</f>
        <v>#REF!</v>
      </c>
      <c r="C196" s="139" t="e">
        <f>'PL CTĐG'!#REF!</f>
        <v>#REF!</v>
      </c>
      <c r="D196" s="288" t="e">
        <f>'PL CTĐG'!#REF!</f>
        <v>#REF!</v>
      </c>
      <c r="E196" s="278" t="e">
        <f>'PL CTĐG'!#REF!</f>
        <v>#REF!</v>
      </c>
      <c r="F196" s="278" t="e">
        <f t="shared" si="3"/>
        <v>#REF!</v>
      </c>
      <c r="H196" s="1119"/>
    </row>
    <row r="197" spans="1:8" s="280" customFormat="1" ht="18" hidden="1" customHeight="1">
      <c r="A197" s="13" t="e">
        <f>'PL CTĐG'!#REF!</f>
        <v>#REF!</v>
      </c>
      <c r="B197" s="289" t="e">
        <f>'PL CTĐG'!#REF!</f>
        <v>#REF!</v>
      </c>
      <c r="C197" s="139" t="e">
        <f>'PL CTĐG'!#REF!</f>
        <v>#REF!</v>
      </c>
      <c r="D197" s="288" t="e">
        <f>'PL CTĐG'!#REF!</f>
        <v>#REF!</v>
      </c>
      <c r="E197" s="278" t="e">
        <f>'PL CTĐG'!#REF!</f>
        <v>#REF!</v>
      </c>
      <c r="F197" s="278" t="e">
        <f t="shared" si="3"/>
        <v>#REF!</v>
      </c>
      <c r="H197" s="1119"/>
    </row>
    <row r="198" spans="1:8" s="280" customFormat="1" ht="18" hidden="1" customHeight="1">
      <c r="A198" s="13" t="e">
        <f>'PL CTĐG'!#REF!</f>
        <v>#REF!</v>
      </c>
      <c r="B198" s="289" t="e">
        <f>'PL CTĐG'!#REF!</f>
        <v>#REF!</v>
      </c>
      <c r="C198" s="139" t="e">
        <f>'PL CTĐG'!#REF!</f>
        <v>#REF!</v>
      </c>
      <c r="D198" s="288" t="e">
        <f>'PL CTĐG'!#REF!</f>
        <v>#REF!</v>
      </c>
      <c r="E198" s="278" t="e">
        <f>'PL CTĐG'!#REF!</f>
        <v>#REF!</v>
      </c>
      <c r="F198" s="278" t="e">
        <f t="shared" si="3"/>
        <v>#REF!</v>
      </c>
      <c r="H198" s="1119"/>
    </row>
    <row r="199" spans="1:8" s="280" customFormat="1" ht="28.5" hidden="1" customHeight="1">
      <c r="A199" s="13"/>
      <c r="B199" s="287" t="e">
        <f>'PL CTĐG'!#REF!</f>
        <v>#REF!</v>
      </c>
      <c r="C199" s="139"/>
      <c r="D199" s="288"/>
      <c r="E199" s="278"/>
      <c r="F199" s="278"/>
      <c r="H199" s="1119"/>
    </row>
    <row r="200" spans="1:8" s="280" customFormat="1" ht="18" hidden="1" customHeight="1">
      <c r="A200" s="13"/>
      <c r="B200" s="287" t="e">
        <f>'PL CTĐG'!#REF!</f>
        <v>#REF!</v>
      </c>
      <c r="C200" s="139"/>
      <c r="D200" s="288"/>
      <c r="E200" s="278"/>
      <c r="F200" s="278"/>
      <c r="H200" s="1119"/>
    </row>
    <row r="201" spans="1:8" s="280" customFormat="1" ht="18" hidden="1" customHeight="1">
      <c r="A201" s="13" t="e">
        <f>'PL CTĐG'!#REF!</f>
        <v>#REF!</v>
      </c>
      <c r="B201" s="289" t="e">
        <f>'PL CTĐG'!#REF!</f>
        <v>#REF!</v>
      </c>
      <c r="C201" s="139" t="e">
        <f>'PL CTĐG'!#REF!</f>
        <v>#REF!</v>
      </c>
      <c r="D201" s="288" t="e">
        <f>'PL CTĐG'!#REF!</f>
        <v>#REF!</v>
      </c>
      <c r="E201" s="278" t="e">
        <f>'PL CTĐG'!#REF!</f>
        <v>#REF!</v>
      </c>
      <c r="F201" s="278" t="e">
        <f t="shared" si="3"/>
        <v>#REF!</v>
      </c>
      <c r="H201" s="1119"/>
    </row>
    <row r="202" spans="1:8" s="280" customFormat="1" ht="18" hidden="1" customHeight="1">
      <c r="A202" s="13" t="e">
        <f>'PL CTĐG'!#REF!</f>
        <v>#REF!</v>
      </c>
      <c r="B202" s="289" t="e">
        <f>'PL CTĐG'!#REF!</f>
        <v>#REF!</v>
      </c>
      <c r="C202" s="139" t="e">
        <f>'PL CTĐG'!#REF!</f>
        <v>#REF!</v>
      </c>
      <c r="D202" s="288" t="e">
        <f>'PL CTĐG'!#REF!</f>
        <v>#REF!</v>
      </c>
      <c r="E202" s="278" t="e">
        <f>'PL CTĐG'!#REF!</f>
        <v>#REF!</v>
      </c>
      <c r="F202" s="278" t="e">
        <f t="shared" si="3"/>
        <v>#REF!</v>
      </c>
      <c r="H202" s="1119"/>
    </row>
    <row r="203" spans="1:8" s="280" customFormat="1" ht="18" hidden="1" customHeight="1">
      <c r="A203" s="13" t="e">
        <f>'PL CTĐG'!#REF!</f>
        <v>#REF!</v>
      </c>
      <c r="B203" s="289" t="e">
        <f>'PL CTĐG'!#REF!</f>
        <v>#REF!</v>
      </c>
      <c r="C203" s="139" t="e">
        <f>'PL CTĐG'!#REF!</f>
        <v>#REF!</v>
      </c>
      <c r="D203" s="288" t="e">
        <f>'PL CTĐG'!#REF!</f>
        <v>#REF!</v>
      </c>
      <c r="E203" s="278" t="e">
        <f>'PL CTĐG'!#REF!</f>
        <v>#REF!</v>
      </c>
      <c r="F203" s="278" t="e">
        <f t="shared" si="3"/>
        <v>#REF!</v>
      </c>
      <c r="H203" s="1119"/>
    </row>
    <row r="204" spans="1:8" s="280" customFormat="1" ht="18" hidden="1" customHeight="1">
      <c r="A204" s="13"/>
      <c r="B204" s="287" t="e">
        <f>'PL CTĐG'!#REF!</f>
        <v>#REF!</v>
      </c>
      <c r="C204" s="139"/>
      <c r="D204" s="288"/>
      <c r="E204" s="278"/>
      <c r="F204" s="278"/>
      <c r="H204" s="1119"/>
    </row>
    <row r="205" spans="1:8" s="280" customFormat="1" ht="18" hidden="1" customHeight="1">
      <c r="A205" s="13" t="e">
        <f>'PL CTĐG'!#REF!</f>
        <v>#REF!</v>
      </c>
      <c r="B205" s="289" t="e">
        <f>'PL CTĐG'!#REF!</f>
        <v>#REF!</v>
      </c>
      <c r="C205" s="139" t="e">
        <f>'PL CTĐG'!#REF!</f>
        <v>#REF!</v>
      </c>
      <c r="D205" s="288" t="e">
        <f>'PL CTĐG'!#REF!</f>
        <v>#REF!</v>
      </c>
      <c r="E205" s="278" t="e">
        <f>'PL CTĐG'!#REF!</f>
        <v>#REF!</v>
      </c>
      <c r="F205" s="278" t="e">
        <f t="shared" si="3"/>
        <v>#REF!</v>
      </c>
      <c r="H205" s="1119"/>
    </row>
    <row r="206" spans="1:8" s="280" customFormat="1" ht="18" hidden="1" customHeight="1">
      <c r="A206" s="13" t="e">
        <f>'PL CTĐG'!#REF!</f>
        <v>#REF!</v>
      </c>
      <c r="B206" s="289" t="e">
        <f>'PL CTĐG'!#REF!</f>
        <v>#REF!</v>
      </c>
      <c r="C206" s="139" t="e">
        <f>'PL CTĐG'!#REF!</f>
        <v>#REF!</v>
      </c>
      <c r="D206" s="288" t="e">
        <f>'PL CTĐG'!#REF!</f>
        <v>#REF!</v>
      </c>
      <c r="E206" s="278" t="e">
        <f>'PL CTĐG'!#REF!</f>
        <v>#REF!</v>
      </c>
      <c r="F206" s="278" t="e">
        <f t="shared" si="3"/>
        <v>#REF!</v>
      </c>
      <c r="H206" s="1119"/>
    </row>
    <row r="207" spans="1:8" s="280" customFormat="1" ht="18" hidden="1" customHeight="1">
      <c r="A207" s="13" t="e">
        <f>'PL CTĐG'!#REF!</f>
        <v>#REF!</v>
      </c>
      <c r="B207" s="289" t="e">
        <f>'PL CTĐG'!#REF!</f>
        <v>#REF!</v>
      </c>
      <c r="C207" s="139" t="e">
        <f>'PL CTĐG'!#REF!</f>
        <v>#REF!</v>
      </c>
      <c r="D207" s="288" t="e">
        <f>'PL CTĐG'!#REF!</f>
        <v>#REF!</v>
      </c>
      <c r="E207" s="278" t="e">
        <f>'PL CTĐG'!#REF!</f>
        <v>#REF!</v>
      </c>
      <c r="F207" s="278" t="e">
        <f t="shared" si="3"/>
        <v>#REF!</v>
      </c>
      <c r="H207" s="1119"/>
    </row>
    <row r="208" spans="1:8" s="280" customFormat="1" ht="32.25" hidden="1" customHeight="1">
      <c r="A208" s="96" t="e">
        <f>'PL CTĐG'!#REF!</f>
        <v>#REF!</v>
      </c>
      <c r="B208" s="287" t="e">
        <f>'PL CTĐG'!#REF!</f>
        <v>#REF!</v>
      </c>
      <c r="C208" s="139"/>
      <c r="D208" s="288"/>
      <c r="E208" s="278"/>
      <c r="F208" s="279" t="e">
        <f>SUM(F210:F236)</f>
        <v>#REF!</v>
      </c>
      <c r="H208" s="1119"/>
    </row>
    <row r="209" spans="1:8" s="280" customFormat="1" ht="32.25" hidden="1" customHeight="1">
      <c r="A209" s="96"/>
      <c r="B209" s="287" t="e">
        <f>'PL CTĐG'!#REF!</f>
        <v>#REF!</v>
      </c>
      <c r="C209" s="139"/>
      <c r="D209" s="288"/>
      <c r="E209" s="278"/>
      <c r="F209" s="278"/>
      <c r="H209" s="1119"/>
    </row>
    <row r="210" spans="1:8" s="280" customFormat="1" ht="18" hidden="1" customHeight="1">
      <c r="A210" s="13" t="e">
        <f>'PL CTĐG'!#REF!</f>
        <v>#REF!</v>
      </c>
      <c r="B210" s="289" t="e">
        <f>'PL CTĐG'!#REF!</f>
        <v>#REF!</v>
      </c>
      <c r="C210" s="139" t="e">
        <f>'PL CTĐG'!#REF!</f>
        <v>#REF!</v>
      </c>
      <c r="D210" s="288" t="e">
        <f>'PL CTĐG'!#REF!</f>
        <v>#REF!</v>
      </c>
      <c r="E210" s="278" t="e">
        <f>'PL CTĐG'!#REF!</f>
        <v>#REF!</v>
      </c>
      <c r="F210" s="278" t="e">
        <f t="shared" si="3"/>
        <v>#REF!</v>
      </c>
      <c r="H210" s="1119"/>
    </row>
    <row r="211" spans="1:8" s="280" customFormat="1" ht="18" hidden="1" customHeight="1">
      <c r="A211" s="13" t="e">
        <f>'PL CTĐG'!#REF!</f>
        <v>#REF!</v>
      </c>
      <c r="B211" s="289" t="e">
        <f>'PL CTĐG'!#REF!</f>
        <v>#REF!</v>
      </c>
      <c r="C211" s="139" t="e">
        <f>'PL CTĐG'!#REF!</f>
        <v>#REF!</v>
      </c>
      <c r="D211" s="288" t="e">
        <f>'PL CTĐG'!#REF!</f>
        <v>#REF!</v>
      </c>
      <c r="E211" s="278" t="e">
        <f>'PL CTĐG'!#REF!</f>
        <v>#REF!</v>
      </c>
      <c r="F211" s="278" t="e">
        <f t="shared" si="3"/>
        <v>#REF!</v>
      </c>
      <c r="H211" s="1119"/>
    </row>
    <row r="212" spans="1:8" s="280" customFormat="1" ht="30" hidden="1" customHeight="1">
      <c r="A212" s="13" t="e">
        <f>'PL CTĐG'!#REF!</f>
        <v>#REF!</v>
      </c>
      <c r="B212" s="289" t="e">
        <f>'PL CTĐG'!#REF!</f>
        <v>#REF!</v>
      </c>
      <c r="C212" s="139" t="e">
        <f>'PL CTĐG'!#REF!</f>
        <v>#REF!</v>
      </c>
      <c r="D212" s="288" t="e">
        <f>'PL CTĐG'!#REF!</f>
        <v>#REF!</v>
      </c>
      <c r="E212" s="278" t="e">
        <f>'PL CTĐG'!#REF!</f>
        <v>#REF!</v>
      </c>
      <c r="F212" s="278" t="e">
        <f t="shared" si="3"/>
        <v>#REF!</v>
      </c>
      <c r="H212" s="1119"/>
    </row>
    <row r="213" spans="1:8" s="280" customFormat="1" ht="18" hidden="1" customHeight="1">
      <c r="A213" s="13" t="e">
        <f>'PL CTĐG'!#REF!</f>
        <v>#REF!</v>
      </c>
      <c r="B213" s="289" t="e">
        <f>'PL CTĐG'!#REF!</f>
        <v>#REF!</v>
      </c>
      <c r="C213" s="139" t="e">
        <f>'PL CTĐG'!#REF!</f>
        <v>#REF!</v>
      </c>
      <c r="D213" s="288" t="e">
        <f>'PL CTĐG'!#REF!</f>
        <v>#REF!</v>
      </c>
      <c r="E213" s="278" t="e">
        <f>'PL CTĐG'!#REF!</f>
        <v>#REF!</v>
      </c>
      <c r="F213" s="278" t="e">
        <f t="shared" si="3"/>
        <v>#REF!</v>
      </c>
      <c r="H213" s="1119"/>
    </row>
    <row r="214" spans="1:8" s="280" customFormat="1" ht="27.75" hidden="1" customHeight="1">
      <c r="A214" s="13" t="e">
        <f>'PL CTĐG'!#REF!</f>
        <v>#REF!</v>
      </c>
      <c r="B214" s="289" t="e">
        <f>'PL CTĐG'!#REF!</f>
        <v>#REF!</v>
      </c>
      <c r="C214" s="139" t="e">
        <f>'PL CTĐG'!#REF!</f>
        <v>#REF!</v>
      </c>
      <c r="D214" s="288" t="e">
        <f>'PL CTĐG'!#REF!</f>
        <v>#REF!</v>
      </c>
      <c r="E214" s="278" t="e">
        <f>'PL CTĐG'!#REF!</f>
        <v>#REF!</v>
      </c>
      <c r="F214" s="278" t="e">
        <f t="shared" si="3"/>
        <v>#REF!</v>
      </c>
      <c r="H214" s="1119"/>
    </row>
    <row r="215" spans="1:8" s="280" customFormat="1" ht="18" hidden="1" customHeight="1">
      <c r="A215" s="13" t="e">
        <f>'PL CTĐG'!#REF!</f>
        <v>#REF!</v>
      </c>
      <c r="B215" s="289" t="e">
        <f>'PL CTĐG'!#REF!</f>
        <v>#REF!</v>
      </c>
      <c r="C215" s="139" t="e">
        <f>'PL CTĐG'!#REF!</f>
        <v>#REF!</v>
      </c>
      <c r="D215" s="288" t="e">
        <f>'PL CTĐG'!#REF!</f>
        <v>#REF!</v>
      </c>
      <c r="E215" s="278" t="e">
        <f>'PL CTĐG'!#REF!</f>
        <v>#REF!</v>
      </c>
      <c r="F215" s="278" t="e">
        <f t="shared" si="3"/>
        <v>#REF!</v>
      </c>
      <c r="H215" s="1119"/>
    </row>
    <row r="216" spans="1:8" s="280" customFormat="1" ht="18" hidden="1" customHeight="1">
      <c r="A216" s="13" t="e">
        <f>'PL CTĐG'!#REF!</f>
        <v>#REF!</v>
      </c>
      <c r="B216" s="289" t="e">
        <f>'PL CTĐG'!#REF!</f>
        <v>#REF!</v>
      </c>
      <c r="C216" s="139" t="e">
        <f>'PL CTĐG'!#REF!</f>
        <v>#REF!</v>
      </c>
      <c r="D216" s="288" t="e">
        <f>'PL CTĐG'!#REF!</f>
        <v>#REF!</v>
      </c>
      <c r="E216" s="278" t="e">
        <f>'PL CTĐG'!#REF!</f>
        <v>#REF!</v>
      </c>
      <c r="F216" s="278" t="e">
        <f t="shared" si="3"/>
        <v>#REF!</v>
      </c>
      <c r="H216" s="1119"/>
    </row>
    <row r="217" spans="1:8" s="280" customFormat="1" ht="18" hidden="1" customHeight="1">
      <c r="A217" s="13" t="e">
        <f>'PL CTĐG'!#REF!</f>
        <v>#REF!</v>
      </c>
      <c r="B217" s="289" t="e">
        <f>'PL CTĐG'!#REF!</f>
        <v>#REF!</v>
      </c>
      <c r="C217" s="139" t="e">
        <f>'PL CTĐG'!#REF!</f>
        <v>#REF!</v>
      </c>
      <c r="D217" s="288" t="e">
        <f>'PL CTĐG'!#REF!</f>
        <v>#REF!</v>
      </c>
      <c r="E217" s="278" t="e">
        <f>'PL CTĐG'!#REF!</f>
        <v>#REF!</v>
      </c>
      <c r="F217" s="278" t="e">
        <f t="shared" si="3"/>
        <v>#REF!</v>
      </c>
      <c r="H217" s="1119"/>
    </row>
    <row r="218" spans="1:8" s="280" customFormat="1" ht="18" hidden="1" customHeight="1">
      <c r="A218" s="13" t="e">
        <f>'PL CTĐG'!#REF!</f>
        <v>#REF!</v>
      </c>
      <c r="B218" s="289" t="e">
        <f>'PL CTĐG'!#REF!</f>
        <v>#REF!</v>
      </c>
      <c r="C218" s="139" t="e">
        <f>'PL CTĐG'!#REF!</f>
        <v>#REF!</v>
      </c>
      <c r="D218" s="288" t="e">
        <f>'PL CTĐG'!#REF!</f>
        <v>#REF!</v>
      </c>
      <c r="E218" s="278" t="e">
        <f>'PL CTĐG'!#REF!</f>
        <v>#REF!</v>
      </c>
      <c r="F218" s="278" t="e">
        <f t="shared" si="3"/>
        <v>#REF!</v>
      </c>
      <c r="H218" s="1119"/>
    </row>
    <row r="219" spans="1:8" s="280" customFormat="1" ht="18" hidden="1" customHeight="1">
      <c r="A219" s="13" t="e">
        <f>'PL CTĐG'!#REF!</f>
        <v>#REF!</v>
      </c>
      <c r="B219" s="289" t="e">
        <f>'PL CTĐG'!#REF!</f>
        <v>#REF!</v>
      </c>
      <c r="C219" s="139" t="e">
        <f>'PL CTĐG'!#REF!</f>
        <v>#REF!</v>
      </c>
      <c r="D219" s="288" t="e">
        <f>'PL CTĐG'!#REF!</f>
        <v>#REF!</v>
      </c>
      <c r="E219" s="278" t="e">
        <f>'PL CTĐG'!#REF!</f>
        <v>#REF!</v>
      </c>
      <c r="F219" s="278" t="e">
        <f t="shared" si="3"/>
        <v>#REF!</v>
      </c>
      <c r="H219" s="1119"/>
    </row>
    <row r="220" spans="1:8" s="280" customFormat="1" ht="18" hidden="1" customHeight="1">
      <c r="A220" s="13" t="e">
        <f>+'PL CTĐG'!#REF!</f>
        <v>#REF!</v>
      </c>
      <c r="B220" s="289" t="e">
        <f>+'PL CTĐG'!#REF!</f>
        <v>#REF!</v>
      </c>
      <c r="C220" s="13" t="e">
        <f>+'PL CTĐG'!#REF!</f>
        <v>#REF!</v>
      </c>
      <c r="D220" s="288" t="e">
        <f>+'PL CTĐG'!#REF!</f>
        <v>#REF!</v>
      </c>
      <c r="E220" s="278" t="e">
        <f>+'PL CTĐG'!#REF!</f>
        <v>#REF!</v>
      </c>
      <c r="F220" s="278" t="e">
        <f>+D220*E220</f>
        <v>#REF!</v>
      </c>
      <c r="H220" s="1119"/>
    </row>
    <row r="221" spans="1:8" s="280" customFormat="1" ht="18" hidden="1" customHeight="1">
      <c r="A221" s="13" t="e">
        <f>+'PL CTĐG'!#REF!</f>
        <v>#REF!</v>
      </c>
      <c r="B221" s="289" t="e">
        <f>+'PL CTĐG'!#REF!</f>
        <v>#REF!</v>
      </c>
      <c r="C221" s="13" t="e">
        <f>+'PL CTĐG'!#REF!</f>
        <v>#REF!</v>
      </c>
      <c r="D221" s="288" t="e">
        <f>+'PL CTĐG'!#REF!</f>
        <v>#REF!</v>
      </c>
      <c r="E221" s="278" t="e">
        <f>+'PL CTĐG'!#REF!</f>
        <v>#REF!</v>
      </c>
      <c r="F221" s="278" t="e">
        <f>+D221*E221</f>
        <v>#REF!</v>
      </c>
      <c r="H221" s="1119"/>
    </row>
    <row r="222" spans="1:8" s="280" customFormat="1" ht="18" hidden="1" customHeight="1">
      <c r="A222" s="13" t="e">
        <f>+'PL CTĐG'!#REF!</f>
        <v>#REF!</v>
      </c>
      <c r="B222" s="289" t="e">
        <f>+'PL CTĐG'!#REF!</f>
        <v>#REF!</v>
      </c>
      <c r="C222" s="13" t="e">
        <f>+'PL CTĐG'!#REF!</f>
        <v>#REF!</v>
      </c>
      <c r="D222" s="288" t="e">
        <f>+'PL CTĐG'!#REF!</f>
        <v>#REF!</v>
      </c>
      <c r="E222" s="278" t="e">
        <f>+'PL CTĐG'!#REF!</f>
        <v>#REF!</v>
      </c>
      <c r="F222" s="278" t="e">
        <f>+D222*E222</f>
        <v>#REF!</v>
      </c>
      <c r="H222" s="1119"/>
    </row>
    <row r="223" spans="1:8" s="280" customFormat="1" ht="27.75" hidden="1" customHeight="1">
      <c r="A223" s="13"/>
      <c r="B223" s="287" t="e">
        <f>'PL CTĐG'!#REF!</f>
        <v>#REF!</v>
      </c>
      <c r="C223" s="139"/>
      <c r="D223" s="288"/>
      <c r="E223" s="278"/>
      <c r="F223" s="278"/>
      <c r="H223" s="1119"/>
    </row>
    <row r="224" spans="1:8" s="280" customFormat="1" ht="18" hidden="1" customHeight="1">
      <c r="A224" s="13" t="e">
        <f>'PL CTĐG'!#REF!</f>
        <v>#REF!</v>
      </c>
      <c r="B224" s="289" t="e">
        <f>'PL CTĐG'!#REF!</f>
        <v>#REF!</v>
      </c>
      <c r="C224" s="139" t="e">
        <f>'PL CTĐG'!#REF!</f>
        <v>#REF!</v>
      </c>
      <c r="D224" s="288" t="e">
        <f>'PL CTĐG'!#REF!</f>
        <v>#REF!</v>
      </c>
      <c r="E224" s="278" t="e">
        <f>'PL CTĐG'!#REF!</f>
        <v>#REF!</v>
      </c>
      <c r="F224" s="278" t="e">
        <f t="shared" ref="F224:F269" si="4">E224*D224</f>
        <v>#REF!</v>
      </c>
      <c r="H224" s="1119"/>
    </row>
    <row r="225" spans="1:8" s="280" customFormat="1" ht="18" hidden="1" customHeight="1">
      <c r="A225" s="13" t="e">
        <f>'PL CTĐG'!#REF!</f>
        <v>#REF!</v>
      </c>
      <c r="B225" s="289" t="e">
        <f>'PL CTĐG'!#REF!</f>
        <v>#REF!</v>
      </c>
      <c r="C225" s="139" t="e">
        <f>'PL CTĐG'!#REF!</f>
        <v>#REF!</v>
      </c>
      <c r="D225" s="288" t="e">
        <f>'PL CTĐG'!#REF!</f>
        <v>#REF!</v>
      </c>
      <c r="E225" s="278" t="e">
        <f>'PL CTĐG'!#REF!</f>
        <v>#REF!</v>
      </c>
      <c r="F225" s="278" t="e">
        <f t="shared" si="4"/>
        <v>#REF!</v>
      </c>
      <c r="H225" s="1119"/>
    </row>
    <row r="226" spans="1:8" s="280" customFormat="1" ht="18" hidden="1" customHeight="1">
      <c r="A226" s="13" t="e">
        <f>'PL CTĐG'!#REF!</f>
        <v>#REF!</v>
      </c>
      <c r="B226" s="289" t="e">
        <f>'PL CTĐG'!#REF!</f>
        <v>#REF!</v>
      </c>
      <c r="C226" s="139" t="e">
        <f>'PL CTĐG'!#REF!</f>
        <v>#REF!</v>
      </c>
      <c r="D226" s="288" t="e">
        <f>'PL CTĐG'!#REF!</f>
        <v>#REF!</v>
      </c>
      <c r="E226" s="278" t="e">
        <f>'PL CTĐG'!#REF!</f>
        <v>#REF!</v>
      </c>
      <c r="F226" s="278" t="e">
        <f t="shared" si="4"/>
        <v>#REF!</v>
      </c>
      <c r="H226" s="1119"/>
    </row>
    <row r="227" spans="1:8" s="280" customFormat="1" ht="18" hidden="1" customHeight="1">
      <c r="A227" s="13" t="e">
        <f>'PL CTĐG'!#REF!</f>
        <v>#REF!</v>
      </c>
      <c r="B227" s="289" t="e">
        <f>'PL CTĐG'!#REF!</f>
        <v>#REF!</v>
      </c>
      <c r="C227" s="139" t="e">
        <f>'PL CTĐG'!#REF!</f>
        <v>#REF!</v>
      </c>
      <c r="D227" s="288" t="e">
        <f>'PL CTĐG'!#REF!</f>
        <v>#REF!</v>
      </c>
      <c r="E227" s="278" t="e">
        <f>'PL CTĐG'!#REF!</f>
        <v>#REF!</v>
      </c>
      <c r="F227" s="278" t="e">
        <f t="shared" si="4"/>
        <v>#REF!</v>
      </c>
      <c r="H227" s="1119"/>
    </row>
    <row r="228" spans="1:8" s="280" customFormat="1" ht="28.5" hidden="1" customHeight="1">
      <c r="A228" s="13"/>
      <c r="B228" s="287" t="e">
        <f>'PL CTĐG'!#REF!</f>
        <v>#REF!</v>
      </c>
      <c r="C228" s="139"/>
      <c r="D228" s="288"/>
      <c r="E228" s="278"/>
      <c r="F228" s="278"/>
      <c r="H228" s="1119"/>
    </row>
    <row r="229" spans="1:8" s="280" customFormat="1" ht="18" hidden="1" customHeight="1">
      <c r="A229" s="13"/>
      <c r="B229" s="287" t="e">
        <f>'PL CTĐG'!#REF!</f>
        <v>#REF!</v>
      </c>
      <c r="C229" s="139"/>
      <c r="D229" s="288"/>
      <c r="E229" s="278"/>
      <c r="F229" s="278"/>
      <c r="H229" s="1119"/>
    </row>
    <row r="230" spans="1:8" s="280" customFormat="1" ht="18" hidden="1" customHeight="1">
      <c r="A230" s="13" t="e">
        <f>'PL CTĐG'!#REF!</f>
        <v>#REF!</v>
      </c>
      <c r="B230" s="289" t="e">
        <f>'PL CTĐG'!#REF!</f>
        <v>#REF!</v>
      </c>
      <c r="C230" s="139" t="e">
        <f>'PL CTĐG'!#REF!</f>
        <v>#REF!</v>
      </c>
      <c r="D230" s="288" t="e">
        <f>'PL CTĐG'!#REF!</f>
        <v>#REF!</v>
      </c>
      <c r="E230" s="278" t="e">
        <f>'PL CTĐG'!#REF!</f>
        <v>#REF!</v>
      </c>
      <c r="F230" s="278" t="e">
        <f t="shared" si="4"/>
        <v>#REF!</v>
      </c>
      <c r="H230" s="1119"/>
    </row>
    <row r="231" spans="1:8" s="280" customFormat="1" ht="18" hidden="1" customHeight="1">
      <c r="A231" s="13" t="e">
        <f>'PL CTĐG'!#REF!</f>
        <v>#REF!</v>
      </c>
      <c r="B231" s="289" t="e">
        <f>'PL CTĐG'!#REF!</f>
        <v>#REF!</v>
      </c>
      <c r="C231" s="139" t="e">
        <f>'PL CTĐG'!#REF!</f>
        <v>#REF!</v>
      </c>
      <c r="D231" s="288" t="e">
        <f>'PL CTĐG'!#REF!</f>
        <v>#REF!</v>
      </c>
      <c r="E231" s="278" t="e">
        <f>'PL CTĐG'!#REF!</f>
        <v>#REF!</v>
      </c>
      <c r="F231" s="278" t="e">
        <f t="shared" si="4"/>
        <v>#REF!</v>
      </c>
      <c r="H231" s="1119"/>
    </row>
    <row r="232" spans="1:8" s="280" customFormat="1" ht="18" hidden="1" customHeight="1">
      <c r="A232" s="13" t="e">
        <f>'PL CTĐG'!#REF!</f>
        <v>#REF!</v>
      </c>
      <c r="B232" s="289" t="e">
        <f>'PL CTĐG'!#REF!</f>
        <v>#REF!</v>
      </c>
      <c r="C232" s="139" t="e">
        <f>'PL CTĐG'!#REF!</f>
        <v>#REF!</v>
      </c>
      <c r="D232" s="288" t="e">
        <f>'PL CTĐG'!#REF!</f>
        <v>#REF!</v>
      </c>
      <c r="E232" s="278" t="e">
        <f>'PL CTĐG'!#REF!</f>
        <v>#REF!</v>
      </c>
      <c r="F232" s="278" t="e">
        <f t="shared" si="4"/>
        <v>#REF!</v>
      </c>
      <c r="H232" s="1119"/>
    </row>
    <row r="233" spans="1:8" s="280" customFormat="1" ht="18" hidden="1" customHeight="1">
      <c r="A233" s="13"/>
      <c r="B233" s="287" t="e">
        <f>'PL CTĐG'!#REF!</f>
        <v>#REF!</v>
      </c>
      <c r="C233" s="139"/>
      <c r="D233" s="288"/>
      <c r="E233" s="278"/>
      <c r="F233" s="278"/>
      <c r="H233" s="1119"/>
    </row>
    <row r="234" spans="1:8" s="280" customFormat="1" ht="18" hidden="1" customHeight="1">
      <c r="A234" s="13" t="e">
        <f>'PL CTĐG'!#REF!</f>
        <v>#REF!</v>
      </c>
      <c r="B234" s="289" t="e">
        <f>'PL CTĐG'!#REF!</f>
        <v>#REF!</v>
      </c>
      <c r="C234" s="139" t="e">
        <f>'PL CTĐG'!#REF!</f>
        <v>#REF!</v>
      </c>
      <c r="D234" s="288" t="e">
        <f>'PL CTĐG'!#REF!</f>
        <v>#REF!</v>
      </c>
      <c r="E234" s="278" t="e">
        <f>'PL CTĐG'!#REF!</f>
        <v>#REF!</v>
      </c>
      <c r="F234" s="278" t="e">
        <f t="shared" si="4"/>
        <v>#REF!</v>
      </c>
      <c r="H234" s="1119"/>
    </row>
    <row r="235" spans="1:8" s="280" customFormat="1" ht="18" hidden="1" customHeight="1">
      <c r="A235" s="13" t="e">
        <f>'PL CTĐG'!#REF!</f>
        <v>#REF!</v>
      </c>
      <c r="B235" s="289" t="e">
        <f>'PL CTĐG'!#REF!</f>
        <v>#REF!</v>
      </c>
      <c r="C235" s="139" t="e">
        <f>'PL CTĐG'!#REF!</f>
        <v>#REF!</v>
      </c>
      <c r="D235" s="288" t="e">
        <f>'PL CTĐG'!#REF!</f>
        <v>#REF!</v>
      </c>
      <c r="E235" s="278" t="e">
        <f>'PL CTĐG'!#REF!</f>
        <v>#REF!</v>
      </c>
      <c r="F235" s="278" t="e">
        <f t="shared" si="4"/>
        <v>#REF!</v>
      </c>
      <c r="H235" s="1119"/>
    </row>
    <row r="236" spans="1:8" s="280" customFormat="1" ht="18" hidden="1" customHeight="1">
      <c r="A236" s="13" t="e">
        <f>'PL CTĐG'!#REF!</f>
        <v>#REF!</v>
      </c>
      <c r="B236" s="289" t="e">
        <f>'PL CTĐG'!#REF!</f>
        <v>#REF!</v>
      </c>
      <c r="C236" s="139" t="e">
        <f>'PL CTĐG'!#REF!</f>
        <v>#REF!</v>
      </c>
      <c r="D236" s="288" t="e">
        <f>'PL CTĐG'!#REF!</f>
        <v>#REF!</v>
      </c>
      <c r="E236" s="278" t="e">
        <f>'PL CTĐG'!#REF!</f>
        <v>#REF!</v>
      </c>
      <c r="F236" s="278" t="e">
        <f t="shared" si="4"/>
        <v>#REF!</v>
      </c>
      <c r="H236" s="1119"/>
    </row>
    <row r="237" spans="1:8" s="280" customFormat="1" ht="30" hidden="1" customHeight="1">
      <c r="A237" s="96" t="e">
        <f>'PL CTĐG'!#REF!</f>
        <v>#REF!</v>
      </c>
      <c r="B237" s="287" t="e">
        <f>'PL CTĐG'!#REF!</f>
        <v>#REF!</v>
      </c>
      <c r="C237" s="139"/>
      <c r="D237" s="288"/>
      <c r="E237" s="278"/>
      <c r="F237" s="279" t="e">
        <f>SUM(F239:F269)</f>
        <v>#REF!</v>
      </c>
      <c r="H237" s="1119"/>
    </row>
    <row r="238" spans="1:8" s="280" customFormat="1" ht="33" hidden="1" customHeight="1">
      <c r="A238" s="96"/>
      <c r="B238" s="287" t="e">
        <f>'PL CTĐG'!#REF!</f>
        <v>#REF!</v>
      </c>
      <c r="C238" s="139"/>
      <c r="D238" s="288"/>
      <c r="E238" s="278"/>
      <c r="F238" s="278"/>
      <c r="H238" s="1119"/>
    </row>
    <row r="239" spans="1:8" s="280" customFormat="1" ht="18" hidden="1" customHeight="1">
      <c r="A239" s="13" t="e">
        <f>'PL CTĐG'!#REF!</f>
        <v>#REF!</v>
      </c>
      <c r="B239" s="289" t="e">
        <f>'PL CTĐG'!#REF!</f>
        <v>#REF!</v>
      </c>
      <c r="C239" s="139" t="e">
        <f>'PL CTĐG'!#REF!</f>
        <v>#REF!</v>
      </c>
      <c r="D239" s="288" t="e">
        <f>'PL CTĐG'!#REF!</f>
        <v>#REF!</v>
      </c>
      <c r="E239" s="278" t="e">
        <f>'PL CTĐG'!#REF!</f>
        <v>#REF!</v>
      </c>
      <c r="F239" s="278" t="e">
        <f t="shared" si="4"/>
        <v>#REF!</v>
      </c>
      <c r="H239" s="1119"/>
    </row>
    <row r="240" spans="1:8" s="280" customFormat="1" ht="18" hidden="1" customHeight="1">
      <c r="A240" s="13" t="e">
        <f>'PL CTĐG'!#REF!</f>
        <v>#REF!</v>
      </c>
      <c r="B240" s="289" t="e">
        <f>'PL CTĐG'!#REF!</f>
        <v>#REF!</v>
      </c>
      <c r="C240" s="139" t="e">
        <f>'PL CTĐG'!#REF!</f>
        <v>#REF!</v>
      </c>
      <c r="D240" s="288" t="e">
        <f>'PL CTĐG'!#REF!</f>
        <v>#REF!</v>
      </c>
      <c r="E240" s="278" t="e">
        <f>'PL CTĐG'!#REF!</f>
        <v>#REF!</v>
      </c>
      <c r="F240" s="278" t="e">
        <f t="shared" si="4"/>
        <v>#REF!</v>
      </c>
      <c r="H240" s="1119"/>
    </row>
    <row r="241" spans="1:8" s="280" customFormat="1" ht="31.5" hidden="1" customHeight="1">
      <c r="A241" s="13" t="e">
        <f>'PL CTĐG'!#REF!</f>
        <v>#REF!</v>
      </c>
      <c r="B241" s="289" t="e">
        <f>'PL CTĐG'!#REF!</f>
        <v>#REF!</v>
      </c>
      <c r="C241" s="139" t="e">
        <f>'PL CTĐG'!#REF!</f>
        <v>#REF!</v>
      </c>
      <c r="D241" s="288" t="e">
        <f>'PL CTĐG'!#REF!</f>
        <v>#REF!</v>
      </c>
      <c r="E241" s="278" t="e">
        <f>'PL CTĐG'!#REF!</f>
        <v>#REF!</v>
      </c>
      <c r="F241" s="278" t="e">
        <f t="shared" si="4"/>
        <v>#REF!</v>
      </c>
      <c r="H241" s="1119"/>
    </row>
    <row r="242" spans="1:8" s="280" customFormat="1" ht="18" hidden="1" customHeight="1">
      <c r="A242" s="13" t="e">
        <f>'PL CTĐG'!#REF!</f>
        <v>#REF!</v>
      </c>
      <c r="B242" s="289" t="e">
        <f>'PL CTĐG'!#REF!</f>
        <v>#REF!</v>
      </c>
      <c r="C242" s="139" t="e">
        <f>'PL CTĐG'!#REF!</f>
        <v>#REF!</v>
      </c>
      <c r="D242" s="288" t="e">
        <f>'PL CTĐG'!#REF!</f>
        <v>#REF!</v>
      </c>
      <c r="E242" s="278" t="e">
        <f>'PL CTĐG'!#REF!</f>
        <v>#REF!</v>
      </c>
      <c r="F242" s="278" t="e">
        <f t="shared" si="4"/>
        <v>#REF!</v>
      </c>
      <c r="H242" s="1119"/>
    </row>
    <row r="243" spans="1:8" s="280" customFormat="1" ht="30" hidden="1" customHeight="1">
      <c r="A243" s="13" t="e">
        <f>'PL CTĐG'!#REF!</f>
        <v>#REF!</v>
      </c>
      <c r="B243" s="289" t="e">
        <f>'PL CTĐG'!#REF!</f>
        <v>#REF!</v>
      </c>
      <c r="C243" s="139" t="e">
        <f>'PL CTĐG'!#REF!</f>
        <v>#REF!</v>
      </c>
      <c r="D243" s="288" t="e">
        <f>'PL CTĐG'!#REF!</f>
        <v>#REF!</v>
      </c>
      <c r="E243" s="278" t="e">
        <f>'PL CTĐG'!#REF!</f>
        <v>#REF!</v>
      </c>
      <c r="F243" s="278" t="e">
        <f t="shared" si="4"/>
        <v>#REF!</v>
      </c>
      <c r="H243" s="1119"/>
    </row>
    <row r="244" spans="1:8" s="280" customFormat="1" ht="18" hidden="1" customHeight="1">
      <c r="A244" s="13" t="e">
        <f>'PL CTĐG'!#REF!</f>
        <v>#REF!</v>
      </c>
      <c r="B244" s="289" t="e">
        <f>'PL CTĐG'!#REF!</f>
        <v>#REF!</v>
      </c>
      <c r="C244" s="139" t="e">
        <f>'PL CTĐG'!#REF!</f>
        <v>#REF!</v>
      </c>
      <c r="D244" s="288" t="e">
        <f>'PL CTĐG'!#REF!</f>
        <v>#REF!</v>
      </c>
      <c r="E244" s="278" t="e">
        <f>'PL CTĐG'!#REF!</f>
        <v>#REF!</v>
      </c>
      <c r="F244" s="278" t="e">
        <f t="shared" si="4"/>
        <v>#REF!</v>
      </c>
      <c r="H244" s="1119"/>
    </row>
    <row r="245" spans="1:8" s="280" customFormat="1" ht="18" hidden="1" customHeight="1">
      <c r="A245" s="13" t="e">
        <f>'PL CTĐG'!#REF!</f>
        <v>#REF!</v>
      </c>
      <c r="B245" s="289" t="e">
        <f>'PL CTĐG'!#REF!</f>
        <v>#REF!</v>
      </c>
      <c r="C245" s="139" t="e">
        <f>'PL CTĐG'!#REF!</f>
        <v>#REF!</v>
      </c>
      <c r="D245" s="288" t="e">
        <f>'PL CTĐG'!#REF!</f>
        <v>#REF!</v>
      </c>
      <c r="E245" s="278" t="e">
        <f>'PL CTĐG'!#REF!</f>
        <v>#REF!</v>
      </c>
      <c r="F245" s="278" t="e">
        <f t="shared" si="4"/>
        <v>#REF!</v>
      </c>
      <c r="H245" s="1119"/>
    </row>
    <row r="246" spans="1:8" s="280" customFormat="1" ht="18" hidden="1" customHeight="1">
      <c r="A246" s="13" t="e">
        <f>'PL CTĐG'!#REF!</f>
        <v>#REF!</v>
      </c>
      <c r="B246" s="289" t="e">
        <f>'PL CTĐG'!#REF!</f>
        <v>#REF!</v>
      </c>
      <c r="C246" s="139" t="e">
        <f>'PL CTĐG'!#REF!</f>
        <v>#REF!</v>
      </c>
      <c r="D246" s="288" t="e">
        <f>'PL CTĐG'!#REF!</f>
        <v>#REF!</v>
      </c>
      <c r="E246" s="278" t="e">
        <f>'PL CTĐG'!#REF!</f>
        <v>#REF!</v>
      </c>
      <c r="F246" s="278" t="e">
        <f t="shared" si="4"/>
        <v>#REF!</v>
      </c>
      <c r="H246" s="1119"/>
    </row>
    <row r="247" spans="1:8" s="280" customFormat="1" ht="18" hidden="1" customHeight="1">
      <c r="A247" s="13" t="e">
        <f>'PL CTĐG'!#REF!</f>
        <v>#REF!</v>
      </c>
      <c r="B247" s="289" t="e">
        <f>'PL CTĐG'!#REF!</f>
        <v>#REF!</v>
      </c>
      <c r="C247" s="139" t="e">
        <f>'PL CTĐG'!#REF!</f>
        <v>#REF!</v>
      </c>
      <c r="D247" s="288" t="e">
        <f>'PL CTĐG'!#REF!</f>
        <v>#REF!</v>
      </c>
      <c r="E247" s="278" t="e">
        <f>'PL CTĐG'!#REF!</f>
        <v>#REF!</v>
      </c>
      <c r="F247" s="278" t="e">
        <f t="shared" si="4"/>
        <v>#REF!</v>
      </c>
      <c r="H247" s="1119"/>
    </row>
    <row r="248" spans="1:8" s="280" customFormat="1" ht="18" hidden="1" customHeight="1">
      <c r="A248" s="13" t="e">
        <f>'PL CTĐG'!#REF!</f>
        <v>#REF!</v>
      </c>
      <c r="B248" s="289" t="e">
        <f>'PL CTĐG'!#REF!</f>
        <v>#REF!</v>
      </c>
      <c r="C248" s="139" t="e">
        <f>'PL CTĐG'!#REF!</f>
        <v>#REF!</v>
      </c>
      <c r="D248" s="288" t="e">
        <f>'PL CTĐG'!#REF!</f>
        <v>#REF!</v>
      </c>
      <c r="E248" s="278" t="e">
        <f>'PL CTĐG'!#REF!</f>
        <v>#REF!</v>
      </c>
      <c r="F248" s="278" t="e">
        <f t="shared" si="4"/>
        <v>#REF!</v>
      </c>
      <c r="H248" s="1119"/>
    </row>
    <row r="249" spans="1:8" s="280" customFormat="1" ht="18" hidden="1" customHeight="1">
      <c r="A249" s="13" t="e">
        <f>+'PL CTĐG'!#REF!</f>
        <v>#REF!</v>
      </c>
      <c r="B249" s="289" t="e">
        <f>+'PL CTĐG'!#REF!</f>
        <v>#REF!</v>
      </c>
      <c r="C249" s="13" t="e">
        <f>+'PL CTĐG'!#REF!</f>
        <v>#REF!</v>
      </c>
      <c r="D249" s="288" t="e">
        <f>+'PL CTĐG'!#REF!</f>
        <v>#REF!</v>
      </c>
      <c r="E249" s="278" t="e">
        <f>+'PL CTĐG'!#REF!</f>
        <v>#REF!</v>
      </c>
      <c r="F249" s="278" t="e">
        <f>+D249*E249</f>
        <v>#REF!</v>
      </c>
      <c r="H249" s="1119"/>
    </row>
    <row r="250" spans="1:8" s="280" customFormat="1" ht="18" hidden="1" customHeight="1">
      <c r="A250" s="13" t="e">
        <f>+'PL CTĐG'!#REF!</f>
        <v>#REF!</v>
      </c>
      <c r="B250" s="289" t="e">
        <f>+'PL CTĐG'!#REF!</f>
        <v>#REF!</v>
      </c>
      <c r="C250" s="13" t="e">
        <f>+'PL CTĐG'!#REF!</f>
        <v>#REF!</v>
      </c>
      <c r="D250" s="288" t="e">
        <f>+'PL CTĐG'!#REF!</f>
        <v>#REF!</v>
      </c>
      <c r="E250" s="278" t="e">
        <f>+'PL CTĐG'!#REF!</f>
        <v>#REF!</v>
      </c>
      <c r="F250" s="278" t="e">
        <f>+D250*E250</f>
        <v>#REF!</v>
      </c>
      <c r="H250" s="1119"/>
    </row>
    <row r="251" spans="1:8" s="280" customFormat="1" ht="18" hidden="1" customHeight="1">
      <c r="A251" s="13" t="e">
        <f>+'PL CTĐG'!#REF!</f>
        <v>#REF!</v>
      </c>
      <c r="B251" s="289" t="e">
        <f>+'PL CTĐG'!#REF!</f>
        <v>#REF!</v>
      </c>
      <c r="C251" s="13" t="e">
        <f>+'PL CTĐG'!#REF!</f>
        <v>#REF!</v>
      </c>
      <c r="D251" s="288" t="e">
        <f>+'PL CTĐG'!#REF!</f>
        <v>#REF!</v>
      </c>
      <c r="E251" s="278" t="e">
        <f>+'PL CTĐG'!#REF!</f>
        <v>#REF!</v>
      </c>
      <c r="F251" s="278" t="e">
        <f>+D251*E251</f>
        <v>#REF!</v>
      </c>
      <c r="H251" s="1119"/>
    </row>
    <row r="252" spans="1:8" s="280" customFormat="1" ht="30.75" hidden="1" customHeight="1">
      <c r="A252" s="13"/>
      <c r="B252" s="287" t="e">
        <f>'PL CTĐG'!#REF!</f>
        <v>#REF!</v>
      </c>
      <c r="C252" s="139"/>
      <c r="D252" s="288"/>
      <c r="E252" s="278"/>
      <c r="F252" s="278"/>
      <c r="H252" s="1119"/>
    </row>
    <row r="253" spans="1:8" s="280" customFormat="1" ht="18" hidden="1" customHeight="1">
      <c r="A253" s="13" t="e">
        <f>'PL CTĐG'!#REF!</f>
        <v>#REF!</v>
      </c>
      <c r="B253" s="289" t="e">
        <f>'PL CTĐG'!#REF!</f>
        <v>#REF!</v>
      </c>
      <c r="C253" s="139" t="e">
        <f>'PL CTĐG'!#REF!</f>
        <v>#REF!</v>
      </c>
      <c r="D253" s="288" t="e">
        <f>'PL CTĐG'!#REF!</f>
        <v>#REF!</v>
      </c>
      <c r="E253" s="278" t="e">
        <f>'PL CTĐG'!#REF!</f>
        <v>#REF!</v>
      </c>
      <c r="F253" s="278" t="e">
        <f t="shared" si="4"/>
        <v>#REF!</v>
      </c>
      <c r="H253" s="1119"/>
    </row>
    <row r="254" spans="1:8" s="280" customFormat="1" ht="18" hidden="1" customHeight="1">
      <c r="A254" s="13" t="e">
        <f>'PL CTĐG'!#REF!</f>
        <v>#REF!</v>
      </c>
      <c r="B254" s="289" t="e">
        <f>'PL CTĐG'!#REF!</f>
        <v>#REF!</v>
      </c>
      <c r="C254" s="139" t="e">
        <f>'PL CTĐG'!#REF!</f>
        <v>#REF!</v>
      </c>
      <c r="D254" s="288" t="e">
        <f>'PL CTĐG'!#REF!</f>
        <v>#REF!</v>
      </c>
      <c r="E254" s="278" t="e">
        <f>'PL CTĐG'!#REF!</f>
        <v>#REF!</v>
      </c>
      <c r="F254" s="278" t="e">
        <f t="shared" si="4"/>
        <v>#REF!</v>
      </c>
      <c r="H254" s="1119"/>
    </row>
    <row r="255" spans="1:8" s="280" customFormat="1" ht="18" hidden="1" customHeight="1">
      <c r="A255" s="13" t="e">
        <f>'PL CTĐG'!#REF!</f>
        <v>#REF!</v>
      </c>
      <c r="B255" s="289" t="e">
        <f>'PL CTĐG'!#REF!</f>
        <v>#REF!</v>
      </c>
      <c r="C255" s="139" t="e">
        <f>'PL CTĐG'!#REF!</f>
        <v>#REF!</v>
      </c>
      <c r="D255" s="288" t="e">
        <f>'PL CTĐG'!#REF!</f>
        <v>#REF!</v>
      </c>
      <c r="E255" s="278" t="e">
        <f>'PL CTĐG'!#REF!</f>
        <v>#REF!</v>
      </c>
      <c r="F255" s="278" t="e">
        <f t="shared" si="4"/>
        <v>#REF!</v>
      </c>
      <c r="H255" s="1119"/>
    </row>
    <row r="256" spans="1:8" s="280" customFormat="1" ht="18" hidden="1" customHeight="1">
      <c r="A256" s="13" t="e">
        <f>'PL CTĐG'!#REF!</f>
        <v>#REF!</v>
      </c>
      <c r="B256" s="289" t="e">
        <f>'PL CTĐG'!#REF!</f>
        <v>#REF!</v>
      </c>
      <c r="C256" s="139" t="e">
        <f>'PL CTĐG'!#REF!</f>
        <v>#REF!</v>
      </c>
      <c r="D256" s="288" t="e">
        <f>'PL CTĐG'!#REF!</f>
        <v>#REF!</v>
      </c>
      <c r="E256" s="278" t="e">
        <f>'PL CTĐG'!#REF!</f>
        <v>#REF!</v>
      </c>
      <c r="F256" s="278" t="e">
        <f t="shared" si="4"/>
        <v>#REF!</v>
      </c>
      <c r="H256" s="1119"/>
    </row>
    <row r="257" spans="1:8" s="280" customFormat="1" ht="28.5" hidden="1" customHeight="1">
      <c r="A257" s="13"/>
      <c r="B257" s="287" t="e">
        <f>'PL CTĐG'!#REF!</f>
        <v>#REF!</v>
      </c>
      <c r="C257" s="139"/>
      <c r="D257" s="288"/>
      <c r="E257" s="278"/>
      <c r="F257" s="278"/>
      <c r="H257" s="1119"/>
    </row>
    <row r="258" spans="1:8" s="280" customFormat="1" ht="18" hidden="1" customHeight="1">
      <c r="A258" s="13"/>
      <c r="B258" s="287" t="e">
        <f>'PL CTĐG'!#REF!</f>
        <v>#REF!</v>
      </c>
      <c r="C258" s="139"/>
      <c r="D258" s="288"/>
      <c r="E258" s="278"/>
      <c r="F258" s="278"/>
      <c r="H258" s="1119"/>
    </row>
    <row r="259" spans="1:8" s="280" customFormat="1" ht="18" hidden="1" customHeight="1">
      <c r="A259" s="13" t="e">
        <f>'PL CTĐG'!#REF!</f>
        <v>#REF!</v>
      </c>
      <c r="B259" s="289" t="e">
        <f>'PL CTĐG'!#REF!</f>
        <v>#REF!</v>
      </c>
      <c r="C259" s="139" t="e">
        <f>'PL CTĐG'!#REF!</f>
        <v>#REF!</v>
      </c>
      <c r="D259" s="288" t="e">
        <f>'PL CTĐG'!#REF!</f>
        <v>#REF!</v>
      </c>
      <c r="E259" s="278" t="e">
        <f>'PL CTĐG'!#REF!</f>
        <v>#REF!</v>
      </c>
      <c r="F259" s="278" t="e">
        <f t="shared" si="4"/>
        <v>#REF!</v>
      </c>
      <c r="H259" s="1119"/>
    </row>
    <row r="260" spans="1:8" s="280" customFormat="1" ht="18" hidden="1" customHeight="1">
      <c r="A260" s="13" t="e">
        <f>'PL CTĐG'!#REF!</f>
        <v>#REF!</v>
      </c>
      <c r="B260" s="289" t="e">
        <f>'PL CTĐG'!#REF!</f>
        <v>#REF!</v>
      </c>
      <c r="C260" s="139" t="e">
        <f>'PL CTĐG'!#REF!</f>
        <v>#REF!</v>
      </c>
      <c r="D260" s="288" t="e">
        <f>'PL CTĐG'!#REF!</f>
        <v>#REF!</v>
      </c>
      <c r="E260" s="278" t="e">
        <f>'PL CTĐG'!#REF!</f>
        <v>#REF!</v>
      </c>
      <c r="F260" s="278" t="e">
        <f t="shared" si="4"/>
        <v>#REF!</v>
      </c>
      <c r="H260" s="1119"/>
    </row>
    <row r="261" spans="1:8" s="280" customFormat="1" ht="18" hidden="1" customHeight="1">
      <c r="A261" s="13" t="e">
        <f>'PL CTĐG'!#REF!</f>
        <v>#REF!</v>
      </c>
      <c r="B261" s="289" t="e">
        <f>'PL CTĐG'!#REF!</f>
        <v>#REF!</v>
      </c>
      <c r="C261" s="139" t="e">
        <f>'PL CTĐG'!#REF!</f>
        <v>#REF!</v>
      </c>
      <c r="D261" s="288" t="e">
        <f>'PL CTĐG'!#REF!</f>
        <v>#REF!</v>
      </c>
      <c r="E261" s="278" t="e">
        <f>'PL CTĐG'!#REF!</f>
        <v>#REF!</v>
      </c>
      <c r="F261" s="278" t="e">
        <f t="shared" si="4"/>
        <v>#REF!</v>
      </c>
      <c r="H261" s="1119"/>
    </row>
    <row r="262" spans="1:8" s="280" customFormat="1" ht="18" hidden="1" customHeight="1">
      <c r="A262" s="13"/>
      <c r="B262" s="287" t="e">
        <f>'PL CTĐG'!#REF!</f>
        <v>#REF!</v>
      </c>
      <c r="C262" s="139"/>
      <c r="D262" s="288"/>
      <c r="E262" s="278"/>
      <c r="F262" s="278"/>
      <c r="H262" s="1119"/>
    </row>
    <row r="263" spans="1:8" s="280" customFormat="1" ht="18" hidden="1" customHeight="1">
      <c r="A263" s="13" t="e">
        <f>'PL CTĐG'!#REF!</f>
        <v>#REF!</v>
      </c>
      <c r="B263" s="289" t="e">
        <f>'PL CTĐG'!#REF!</f>
        <v>#REF!</v>
      </c>
      <c r="C263" s="139" t="e">
        <f>'PL CTĐG'!#REF!</f>
        <v>#REF!</v>
      </c>
      <c r="D263" s="288" t="e">
        <f>'PL CTĐG'!#REF!</f>
        <v>#REF!</v>
      </c>
      <c r="E263" s="278" t="e">
        <f>'PL CTĐG'!#REF!</f>
        <v>#REF!</v>
      </c>
      <c r="F263" s="278" t="e">
        <f t="shared" si="4"/>
        <v>#REF!</v>
      </c>
      <c r="H263" s="1119"/>
    </row>
    <row r="264" spans="1:8" s="280" customFormat="1" ht="18" hidden="1" customHeight="1">
      <c r="A264" s="13" t="e">
        <f>'PL CTĐG'!#REF!</f>
        <v>#REF!</v>
      </c>
      <c r="B264" s="289" t="e">
        <f>'PL CTĐG'!#REF!</f>
        <v>#REF!</v>
      </c>
      <c r="C264" s="139" t="e">
        <f>'PL CTĐG'!#REF!</f>
        <v>#REF!</v>
      </c>
      <c r="D264" s="288" t="e">
        <f>'PL CTĐG'!#REF!</f>
        <v>#REF!</v>
      </c>
      <c r="E264" s="278" t="e">
        <f>'PL CTĐG'!#REF!</f>
        <v>#REF!</v>
      </c>
      <c r="F264" s="278" t="e">
        <f t="shared" si="4"/>
        <v>#REF!</v>
      </c>
      <c r="H264" s="1119"/>
    </row>
    <row r="265" spans="1:8" s="280" customFormat="1" ht="18" hidden="1" customHeight="1">
      <c r="A265" s="13" t="e">
        <f>'PL CTĐG'!#REF!</f>
        <v>#REF!</v>
      </c>
      <c r="B265" s="289" t="e">
        <f>'PL CTĐG'!#REF!</f>
        <v>#REF!</v>
      </c>
      <c r="C265" s="139" t="e">
        <f>'PL CTĐG'!#REF!</f>
        <v>#REF!</v>
      </c>
      <c r="D265" s="288" t="e">
        <f>'PL CTĐG'!#REF!</f>
        <v>#REF!</v>
      </c>
      <c r="E265" s="278" t="e">
        <f>'PL CTĐG'!#REF!</f>
        <v>#REF!</v>
      </c>
      <c r="F265" s="278" t="e">
        <f t="shared" si="4"/>
        <v>#REF!</v>
      </c>
      <c r="H265" s="1119"/>
    </row>
    <row r="266" spans="1:8" s="280" customFormat="1" ht="18" hidden="1" customHeight="1">
      <c r="A266" s="13"/>
      <c r="B266" s="287" t="e">
        <f>'PL CTĐG'!#REF!</f>
        <v>#REF!</v>
      </c>
      <c r="C266" s="139"/>
      <c r="D266" s="288"/>
      <c r="E266" s="278"/>
      <c r="F266" s="278"/>
      <c r="H266" s="1119"/>
    </row>
    <row r="267" spans="1:8" s="280" customFormat="1" ht="18" hidden="1" customHeight="1">
      <c r="A267" s="13" t="e">
        <f>'PL CTĐG'!#REF!</f>
        <v>#REF!</v>
      </c>
      <c r="B267" s="289" t="e">
        <f>'PL CTĐG'!#REF!</f>
        <v>#REF!</v>
      </c>
      <c r="C267" s="139" t="e">
        <f>'PL CTĐG'!#REF!</f>
        <v>#REF!</v>
      </c>
      <c r="D267" s="288" t="e">
        <f>'PL CTĐG'!#REF!</f>
        <v>#REF!</v>
      </c>
      <c r="E267" s="278" t="e">
        <f>'PL CTĐG'!#REF!</f>
        <v>#REF!</v>
      </c>
      <c r="F267" s="278" t="e">
        <f t="shared" si="4"/>
        <v>#REF!</v>
      </c>
      <c r="H267" s="1119"/>
    </row>
    <row r="268" spans="1:8" s="280" customFormat="1" ht="18" hidden="1" customHeight="1">
      <c r="A268" s="13" t="e">
        <f>'PL CTĐG'!#REF!</f>
        <v>#REF!</v>
      </c>
      <c r="B268" s="289" t="e">
        <f>'PL CTĐG'!#REF!</f>
        <v>#REF!</v>
      </c>
      <c r="C268" s="139" t="e">
        <f>'PL CTĐG'!#REF!</f>
        <v>#REF!</v>
      </c>
      <c r="D268" s="288" t="e">
        <f>'PL CTĐG'!#REF!</f>
        <v>#REF!</v>
      </c>
      <c r="E268" s="278" t="e">
        <f>'PL CTĐG'!#REF!</f>
        <v>#REF!</v>
      </c>
      <c r="F268" s="278" t="e">
        <f t="shared" si="4"/>
        <v>#REF!</v>
      </c>
      <c r="H268" s="1119"/>
    </row>
    <row r="269" spans="1:8" s="280" customFormat="1" ht="18" hidden="1" customHeight="1">
      <c r="A269" s="13" t="e">
        <f>'PL CTĐG'!#REF!</f>
        <v>#REF!</v>
      </c>
      <c r="B269" s="289" t="e">
        <f>'PL CTĐG'!#REF!</f>
        <v>#REF!</v>
      </c>
      <c r="C269" s="139" t="e">
        <f>'PL CTĐG'!#REF!</f>
        <v>#REF!</v>
      </c>
      <c r="D269" s="288" t="e">
        <f>'PL CTĐG'!#REF!</f>
        <v>#REF!</v>
      </c>
      <c r="E269" s="278" t="e">
        <f>'PL CTĐG'!#REF!</f>
        <v>#REF!</v>
      </c>
      <c r="F269" s="278" t="e">
        <f t="shared" si="4"/>
        <v>#REF!</v>
      </c>
      <c r="H269" s="1119"/>
    </row>
    <row r="270" spans="1:8" s="280" customFormat="1" ht="38.25" hidden="1" customHeight="1">
      <c r="A270" s="13"/>
      <c r="B270" s="287" t="e">
        <f>'PL CTĐG'!#REF!</f>
        <v>#REF!</v>
      </c>
      <c r="C270" s="139"/>
      <c r="D270" s="288"/>
      <c r="E270" s="278"/>
      <c r="F270" s="278"/>
      <c r="H270" s="1119"/>
    </row>
    <row r="271" spans="1:8" s="280" customFormat="1" ht="18" hidden="1" customHeight="1">
      <c r="A271" s="13" t="e">
        <f>'PL CTĐG'!#REF!</f>
        <v>#REF!</v>
      </c>
      <c r="B271" s="289" t="e">
        <f>'PL CTĐG'!#REF!</f>
        <v>#REF!</v>
      </c>
      <c r="C271" s="139" t="e">
        <f>'PL CTĐG'!#REF!</f>
        <v>#REF!</v>
      </c>
      <c r="D271" s="288" t="e">
        <f>'PL CTĐG'!#REF!</f>
        <v>#REF!</v>
      </c>
      <c r="E271" s="278" t="e">
        <f>'PL CTĐG'!#REF!</f>
        <v>#REF!</v>
      </c>
      <c r="F271" s="278" t="e">
        <f t="shared" ref="F271:F285" si="5">E271*D271</f>
        <v>#REF!</v>
      </c>
      <c r="H271" s="1119"/>
    </row>
    <row r="272" spans="1:8" s="280" customFormat="1" ht="18" hidden="1" customHeight="1">
      <c r="A272" s="13" t="e">
        <f>'PL CTĐG'!#REF!</f>
        <v>#REF!</v>
      </c>
      <c r="B272" s="289" t="e">
        <f>'PL CTĐG'!#REF!</f>
        <v>#REF!</v>
      </c>
      <c r="C272" s="139" t="e">
        <f>'PL CTĐG'!#REF!</f>
        <v>#REF!</v>
      </c>
      <c r="D272" s="288" t="e">
        <f>'PL CTĐG'!#REF!</f>
        <v>#REF!</v>
      </c>
      <c r="E272" s="278" t="e">
        <f>'PL CTĐG'!#REF!</f>
        <v>#REF!</v>
      </c>
      <c r="F272" s="278" t="e">
        <f t="shared" si="5"/>
        <v>#REF!</v>
      </c>
      <c r="H272" s="1119"/>
    </row>
    <row r="273" spans="1:8" s="280" customFormat="1" ht="30" hidden="1" customHeight="1">
      <c r="A273" s="13" t="e">
        <f>'PL CTĐG'!#REF!</f>
        <v>#REF!</v>
      </c>
      <c r="B273" s="289" t="e">
        <f>'PL CTĐG'!#REF!</f>
        <v>#REF!</v>
      </c>
      <c r="C273" s="139" t="e">
        <f>'PL CTĐG'!#REF!</f>
        <v>#REF!</v>
      </c>
      <c r="D273" s="288" t="e">
        <f>'PL CTĐG'!#REF!</f>
        <v>#REF!</v>
      </c>
      <c r="E273" s="278" t="e">
        <f>'PL CTĐG'!#REF!</f>
        <v>#REF!</v>
      </c>
      <c r="F273" s="278" t="e">
        <f t="shared" si="5"/>
        <v>#REF!</v>
      </c>
      <c r="H273" s="1119"/>
    </row>
    <row r="274" spans="1:8" s="280" customFormat="1" ht="18" hidden="1" customHeight="1">
      <c r="A274" s="13" t="e">
        <f>'PL CTĐG'!#REF!</f>
        <v>#REF!</v>
      </c>
      <c r="B274" s="289" t="e">
        <f>'PL CTĐG'!#REF!</f>
        <v>#REF!</v>
      </c>
      <c r="C274" s="139" t="e">
        <f>'PL CTĐG'!#REF!</f>
        <v>#REF!</v>
      </c>
      <c r="D274" s="288" t="e">
        <f>'PL CTĐG'!#REF!</f>
        <v>#REF!</v>
      </c>
      <c r="E274" s="278" t="e">
        <f>'PL CTĐG'!#REF!</f>
        <v>#REF!</v>
      </c>
      <c r="F274" s="278" t="e">
        <f t="shared" si="5"/>
        <v>#REF!</v>
      </c>
      <c r="H274" s="1119"/>
    </row>
    <row r="275" spans="1:8" s="280" customFormat="1" ht="30" hidden="1" customHeight="1">
      <c r="A275" s="13" t="e">
        <f>'PL CTĐG'!#REF!</f>
        <v>#REF!</v>
      </c>
      <c r="B275" s="289" t="e">
        <f>'PL CTĐG'!#REF!</f>
        <v>#REF!</v>
      </c>
      <c r="C275" s="139" t="e">
        <f>'PL CTĐG'!#REF!</f>
        <v>#REF!</v>
      </c>
      <c r="D275" s="288" t="e">
        <f>'PL CTĐG'!#REF!</f>
        <v>#REF!</v>
      </c>
      <c r="E275" s="278" t="e">
        <f>'PL CTĐG'!#REF!</f>
        <v>#REF!</v>
      </c>
      <c r="F275" s="278" t="e">
        <f t="shared" si="5"/>
        <v>#REF!</v>
      </c>
      <c r="H275" s="1119"/>
    </row>
    <row r="276" spans="1:8" s="280" customFormat="1" ht="18" hidden="1" customHeight="1">
      <c r="A276" s="13" t="e">
        <f>'PL CTĐG'!#REF!</f>
        <v>#REF!</v>
      </c>
      <c r="B276" s="289" t="e">
        <f>'PL CTĐG'!#REF!</f>
        <v>#REF!</v>
      </c>
      <c r="C276" s="139" t="e">
        <f>'PL CTĐG'!#REF!</f>
        <v>#REF!</v>
      </c>
      <c r="D276" s="288" t="e">
        <f>'PL CTĐG'!#REF!</f>
        <v>#REF!</v>
      </c>
      <c r="E276" s="278" t="e">
        <f>'PL CTĐG'!#REF!</f>
        <v>#REF!</v>
      </c>
      <c r="F276" s="278" t="e">
        <f t="shared" si="5"/>
        <v>#REF!</v>
      </c>
      <c r="H276" s="1119"/>
    </row>
    <row r="277" spans="1:8" s="280" customFormat="1" ht="18" hidden="1" customHeight="1">
      <c r="A277" s="13" t="e">
        <f>'PL CTĐG'!#REF!</f>
        <v>#REF!</v>
      </c>
      <c r="B277" s="289" t="e">
        <f>'PL CTĐG'!#REF!</f>
        <v>#REF!</v>
      </c>
      <c r="C277" s="139" t="e">
        <f>'PL CTĐG'!#REF!</f>
        <v>#REF!</v>
      </c>
      <c r="D277" s="288" t="e">
        <f>'PL CTĐG'!#REF!</f>
        <v>#REF!</v>
      </c>
      <c r="E277" s="278" t="e">
        <f>'PL CTĐG'!#REF!</f>
        <v>#REF!</v>
      </c>
      <c r="F277" s="278" t="e">
        <f t="shared" si="5"/>
        <v>#REF!</v>
      </c>
      <c r="H277" s="1119"/>
    </row>
    <row r="278" spans="1:8" s="280" customFormat="1" ht="18" customHeight="1">
      <c r="A278" s="13">
        <v>27</v>
      </c>
      <c r="B278" s="289" t="e">
        <f>'PL CTĐG'!#REF!</f>
        <v>#REF!</v>
      </c>
      <c r="C278" s="139" t="e">
        <f>'PL CTĐG'!#REF!</f>
        <v>#REF!</v>
      </c>
      <c r="D278" s="288" t="e">
        <f>'PL CTĐG'!#REF!</f>
        <v>#REF!</v>
      </c>
      <c r="E278" s="278" t="e">
        <f>'PL CTĐG'!#REF!</f>
        <v>#REF!</v>
      </c>
      <c r="F278" s="278" t="e">
        <f t="shared" si="5"/>
        <v>#REF!</v>
      </c>
      <c r="H278" s="1119"/>
    </row>
    <row r="279" spans="1:8" s="280" customFormat="1" ht="18" hidden="1" customHeight="1">
      <c r="A279" s="13" t="e">
        <f>'PL CTĐG'!#REF!</f>
        <v>#REF!</v>
      </c>
      <c r="B279" s="289" t="e">
        <f>'PL CTĐG'!#REF!</f>
        <v>#REF!</v>
      </c>
      <c r="C279" s="139" t="e">
        <f>'PL CTĐG'!#REF!</f>
        <v>#REF!</v>
      </c>
      <c r="D279" s="288" t="e">
        <f>'PL CTĐG'!#REF!</f>
        <v>#REF!</v>
      </c>
      <c r="E279" s="278" t="e">
        <f>'PL CTĐG'!#REF!</f>
        <v>#REF!</v>
      </c>
      <c r="F279" s="278" t="e">
        <f t="shared" si="5"/>
        <v>#REF!</v>
      </c>
      <c r="H279" s="1119"/>
    </row>
    <row r="280" spans="1:8" s="280" customFormat="1" ht="35.25" customHeight="1">
      <c r="A280" s="96">
        <f>'PL CTĐG'!A6</f>
        <v>0</v>
      </c>
      <c r="B280" s="287" t="e">
        <f>'PL CTĐG'!#REF!</f>
        <v>#REF!</v>
      </c>
      <c r="C280" s="139"/>
      <c r="D280" s="288"/>
      <c r="E280" s="278"/>
      <c r="F280" s="279" t="e">
        <f>SUM(F281:F287)</f>
        <v>#REF!</v>
      </c>
      <c r="H280" s="1119"/>
    </row>
    <row r="281" spans="1:8" s="280" customFormat="1" ht="18" customHeight="1">
      <c r="A281" s="13" t="e">
        <f>'PL CTĐG'!#REF!</f>
        <v>#REF!</v>
      </c>
      <c r="B281" s="289" t="e">
        <f>'PL CTĐG'!#REF!</f>
        <v>#REF!</v>
      </c>
      <c r="C281" s="139" t="e">
        <f>'PL CTĐG'!#REF!</f>
        <v>#REF!</v>
      </c>
      <c r="D281" s="288" t="e">
        <f>'PL CTĐG'!#REF!</f>
        <v>#REF!</v>
      </c>
      <c r="E281" s="278" t="e">
        <f>'PL CTĐG'!#REF!</f>
        <v>#REF!</v>
      </c>
      <c r="F281" s="278" t="e">
        <f t="shared" si="5"/>
        <v>#REF!</v>
      </c>
      <c r="H281" s="1119"/>
    </row>
    <row r="282" spans="1:8" s="280" customFormat="1" ht="18" customHeight="1">
      <c r="A282" s="13" t="e">
        <f>'PL CTĐG'!#REF!</f>
        <v>#REF!</v>
      </c>
      <c r="B282" s="289" t="e">
        <f>'PL CTĐG'!#REF!</f>
        <v>#REF!</v>
      </c>
      <c r="C282" s="139" t="e">
        <f>'PL CTĐG'!#REF!</f>
        <v>#REF!</v>
      </c>
      <c r="D282" s="288" t="e">
        <f>'PL CTĐG'!#REF!</f>
        <v>#REF!</v>
      </c>
      <c r="E282" s="278" t="e">
        <f>'PL CTĐG'!#REF!</f>
        <v>#REF!</v>
      </c>
      <c r="F282" s="278" t="e">
        <f t="shared" si="5"/>
        <v>#REF!</v>
      </c>
      <c r="H282" s="1119"/>
    </row>
    <row r="283" spans="1:8" s="280" customFormat="1" ht="18" customHeight="1">
      <c r="A283" s="13" t="e">
        <f>'PL CTĐG'!#REF!</f>
        <v>#REF!</v>
      </c>
      <c r="B283" s="289" t="e">
        <f>'PL CTĐG'!#REF!</f>
        <v>#REF!</v>
      </c>
      <c r="C283" s="139" t="e">
        <f>'PL CTĐG'!#REF!</f>
        <v>#REF!</v>
      </c>
      <c r="D283" s="288" t="e">
        <f>'PL CTĐG'!#REF!</f>
        <v>#REF!</v>
      </c>
      <c r="E283" s="278" t="e">
        <f>'PL CTĐG'!#REF!</f>
        <v>#REF!</v>
      </c>
      <c r="F283" s="278" t="e">
        <f t="shared" si="5"/>
        <v>#REF!</v>
      </c>
      <c r="H283" s="1119"/>
    </row>
    <row r="284" spans="1:8" s="280" customFormat="1" ht="18" customHeight="1">
      <c r="A284" s="13" t="e">
        <f>'PL CTĐG'!#REF!</f>
        <v>#REF!</v>
      </c>
      <c r="B284" s="289" t="e">
        <f>'PL CTĐG'!#REF!</f>
        <v>#REF!</v>
      </c>
      <c r="C284" s="139" t="e">
        <f>'PL CTĐG'!#REF!</f>
        <v>#REF!</v>
      </c>
      <c r="D284" s="288" t="e">
        <f>'PL CTĐG'!#REF!</f>
        <v>#REF!</v>
      </c>
      <c r="E284" s="278" t="e">
        <f>'PL CTĐG'!#REF!</f>
        <v>#REF!</v>
      </c>
      <c r="F284" s="278" t="e">
        <f t="shared" si="5"/>
        <v>#REF!</v>
      </c>
      <c r="H284" s="1119"/>
    </row>
    <row r="285" spans="1:8" s="280" customFormat="1" ht="18" customHeight="1">
      <c r="A285" s="13" t="e">
        <f>'PL CTĐG'!#REF!</f>
        <v>#REF!</v>
      </c>
      <c r="B285" s="289" t="e">
        <f>'PL CTĐG'!#REF!</f>
        <v>#REF!</v>
      </c>
      <c r="C285" s="139" t="e">
        <f>'PL CTĐG'!#REF!</f>
        <v>#REF!</v>
      </c>
      <c r="D285" s="288" t="e">
        <f>'PL CTĐG'!#REF!</f>
        <v>#REF!</v>
      </c>
      <c r="E285" s="278" t="e">
        <f>'PL CTĐG'!#REF!</f>
        <v>#REF!</v>
      </c>
      <c r="F285" s="278" t="e">
        <f t="shared" si="5"/>
        <v>#REF!</v>
      </c>
      <c r="H285" s="1119"/>
    </row>
    <row r="286" spans="1:8" s="280" customFormat="1" ht="18" customHeight="1">
      <c r="A286" s="13" t="e">
        <f>'PL CTĐG'!#REF!</f>
        <v>#REF!</v>
      </c>
      <c r="B286" s="289" t="e">
        <f>'PL CTĐG'!#REF!</f>
        <v>#REF!</v>
      </c>
      <c r="C286" s="139" t="e">
        <f>'PL CTĐG'!#REF!</f>
        <v>#REF!</v>
      </c>
      <c r="D286" s="288" t="e">
        <f>'PL CTĐG'!#REF!</f>
        <v>#REF!</v>
      </c>
      <c r="E286" s="278" t="e">
        <f>'PL CTĐG'!#REF!</f>
        <v>#REF!</v>
      </c>
      <c r="F286" s="278" t="e">
        <f>E286*D286</f>
        <v>#REF!</v>
      </c>
      <c r="H286" s="1119"/>
    </row>
    <row r="287" spans="1:8" s="280" customFormat="1" ht="27" customHeight="1">
      <c r="A287" s="290" t="e">
        <f>'PL CTĐG'!#REF!</f>
        <v>#REF!</v>
      </c>
      <c r="B287" s="291" t="e">
        <f>'PL CTĐG'!#REF!</f>
        <v>#REF!</v>
      </c>
      <c r="C287" s="292" t="e">
        <f>'PL CTĐG'!#REF!</f>
        <v>#REF!</v>
      </c>
      <c r="D287" s="293" t="e">
        <f>'PL CTĐG'!#REF!</f>
        <v>#REF!</v>
      </c>
      <c r="E287" s="294" t="e">
        <f>'PL CTĐG'!#REF!</f>
        <v>#REF!</v>
      </c>
      <c r="F287" s="294" t="e">
        <f>E287*D287</f>
        <v>#REF!</v>
      </c>
      <c r="H287" s="1119"/>
    </row>
    <row r="288" spans="1:8" s="496" customFormat="1" ht="18" customHeight="1">
      <c r="A288" s="433"/>
      <c r="B288" s="433"/>
      <c r="C288" s="433"/>
      <c r="D288" s="433"/>
      <c r="E288" s="433"/>
      <c r="F288" s="433"/>
      <c r="G288" s="11"/>
      <c r="H288" s="1120"/>
    </row>
    <row r="289" spans="1:6" ht="13.5" customHeight="1">
      <c r="A289" s="1456" t="s">
        <v>960</v>
      </c>
      <c r="B289" s="1456"/>
      <c r="C289" s="1456"/>
      <c r="D289" s="1456"/>
      <c r="E289" s="1456"/>
      <c r="F289" s="1456"/>
    </row>
    <row r="290" spans="1:6" ht="13.5" customHeight="1">
      <c r="A290" s="983"/>
      <c r="B290" s="983"/>
      <c r="C290" s="983"/>
      <c r="D290" s="983"/>
      <c r="E290" s="983"/>
      <c r="F290" s="983"/>
    </row>
    <row r="291" spans="1:6" ht="15.75" customHeight="1">
      <c r="A291" s="784" t="s">
        <v>957</v>
      </c>
      <c r="C291" s="1317" t="s">
        <v>1007</v>
      </c>
      <c r="D291" s="1317"/>
      <c r="E291" s="1317"/>
      <c r="F291" s="784"/>
    </row>
    <row r="292" spans="1:6" ht="33" customHeight="1">
      <c r="A292" s="717"/>
      <c r="D292" s="717"/>
      <c r="E292" s="717"/>
      <c r="F292" s="717"/>
    </row>
    <row r="293" spans="1:6" ht="33" customHeight="1">
      <c r="A293" s="717"/>
      <c r="D293" s="717"/>
      <c r="E293" s="717"/>
      <c r="F293" s="717"/>
    </row>
    <row r="294" spans="1:6" ht="33" customHeight="1">
      <c r="A294" s="717"/>
      <c r="D294" s="717"/>
      <c r="E294" s="717"/>
      <c r="F294" s="717"/>
    </row>
    <row r="295" spans="1:6" ht="33" customHeight="1">
      <c r="A295" s="784" t="s">
        <v>877</v>
      </c>
      <c r="D295" s="784"/>
      <c r="E295" s="784"/>
      <c r="F295" s="784"/>
    </row>
  </sheetData>
  <mergeCells count="4">
    <mergeCell ref="A1:F1"/>
    <mergeCell ref="A2:E3"/>
    <mergeCell ref="A289:F289"/>
    <mergeCell ref="C291:E291"/>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4"/>
  <sheetViews>
    <sheetView workbookViewId="0">
      <selection activeCell="F31" sqref="F31"/>
    </sheetView>
  </sheetViews>
  <sheetFormatPr defaultColWidth="8.90625" defaultRowHeight="15.6"/>
  <cols>
    <col min="1" max="1" width="5.08984375" style="574" customWidth="1"/>
    <col min="2" max="2" width="29.08984375" style="574" customWidth="1"/>
    <col min="3" max="3" width="9.54296875" style="574" customWidth="1"/>
    <col min="4" max="4" width="29" style="574" customWidth="1"/>
    <col min="5" max="5" width="12.81640625" style="574" customWidth="1"/>
    <col min="6" max="6" width="31.1796875" style="574" customWidth="1"/>
    <col min="7" max="7" width="11.81640625" style="574" customWidth="1"/>
    <col min="8" max="16384" width="8.90625" style="574"/>
  </cols>
  <sheetData>
    <row r="2" spans="1:7" ht="21.75" customHeight="1">
      <c r="A2" s="1457" t="s">
        <v>1265</v>
      </c>
      <c r="B2" s="1457"/>
      <c r="C2" s="1457"/>
      <c r="D2" s="1457"/>
      <c r="E2" s="1457"/>
      <c r="F2" s="1457"/>
      <c r="G2" s="1457"/>
    </row>
    <row r="4" spans="1:7">
      <c r="A4" s="1208" t="s">
        <v>2</v>
      </c>
      <c r="B4" s="1208" t="s">
        <v>16</v>
      </c>
      <c r="C4" s="1208" t="s">
        <v>8</v>
      </c>
      <c r="D4" s="1208" t="s">
        <v>1267</v>
      </c>
      <c r="E4" s="1208" t="s">
        <v>8</v>
      </c>
      <c r="F4" s="1208" t="s">
        <v>1266</v>
      </c>
      <c r="G4" s="1209" t="s">
        <v>523</v>
      </c>
    </row>
    <row r="5" spans="1:7">
      <c r="A5" s="1207">
        <v>1</v>
      </c>
      <c r="B5" s="1206" t="e">
        <f>PTĐGTĐ!#REF!</f>
        <v>#REF!</v>
      </c>
      <c r="C5" s="1206" t="e">
        <f>PTĐGTĐ!#REF!</f>
        <v>#REF!</v>
      </c>
      <c r="D5" s="1206" t="s">
        <v>1268</v>
      </c>
      <c r="E5" s="1206"/>
      <c r="F5" s="1206"/>
      <c r="G5" s="1206"/>
    </row>
    <row r="6" spans="1:7">
      <c r="A6" s="1207">
        <v>2</v>
      </c>
      <c r="B6" s="1206" t="e">
        <f>PTĐGTĐ!#REF!</f>
        <v>#REF!</v>
      </c>
      <c r="C6" s="1206" t="e">
        <f>PTĐGTĐ!#REF!</f>
        <v>#REF!</v>
      </c>
      <c r="D6" s="1206" t="s">
        <v>1269</v>
      </c>
      <c r="E6" s="1206"/>
      <c r="F6" s="1206"/>
      <c r="G6" s="1206"/>
    </row>
    <row r="7" spans="1:7">
      <c r="A7" s="1207">
        <v>3</v>
      </c>
      <c r="B7" s="1206" t="e">
        <f>PTĐGTĐ!#REF!</f>
        <v>#REF!</v>
      </c>
      <c r="C7" s="1206" t="e">
        <f>PTĐGTĐ!#REF!</f>
        <v>#REF!</v>
      </c>
      <c r="D7" s="1206" t="s">
        <v>1270</v>
      </c>
      <c r="E7" s="1206"/>
      <c r="F7" s="1206"/>
      <c r="G7" s="1206"/>
    </row>
    <row r="8" spans="1:7">
      <c r="A8" s="1207">
        <v>4</v>
      </c>
      <c r="B8" s="1206" t="e">
        <f>PTĐGTĐ!#REF!</f>
        <v>#REF!</v>
      </c>
      <c r="C8" s="1206" t="e">
        <f>PTĐGTĐ!#REF!</f>
        <v>#REF!</v>
      </c>
      <c r="D8" s="1206" t="s">
        <v>1277</v>
      </c>
      <c r="E8" s="1206"/>
      <c r="F8" s="1206"/>
      <c r="G8" s="1206"/>
    </row>
    <row r="9" spans="1:7">
      <c r="A9" s="1207">
        <v>5</v>
      </c>
      <c r="B9" s="1206" t="e">
        <f>PTĐGTĐ!#REF!</f>
        <v>#REF!</v>
      </c>
      <c r="C9" s="1206" t="e">
        <f>PTĐGTĐ!#REF!</f>
        <v>#REF!</v>
      </c>
      <c r="D9" s="1206" t="s">
        <v>1278</v>
      </c>
      <c r="E9" s="1206"/>
      <c r="F9" s="1206"/>
      <c r="G9" s="1206"/>
    </row>
    <row r="10" spans="1:7">
      <c r="A10" s="1207">
        <v>6</v>
      </c>
      <c r="B10" s="1206" t="e">
        <f>PTĐGTĐ!#REF!</f>
        <v>#REF!</v>
      </c>
      <c r="C10" s="1206" t="e">
        <f>PTĐGTĐ!#REF!</f>
        <v>#REF!</v>
      </c>
      <c r="D10" s="1206" t="s">
        <v>1276</v>
      </c>
      <c r="E10" s="1206"/>
      <c r="F10" s="1206"/>
      <c r="G10" s="1206" t="s">
        <v>1264</v>
      </c>
    </row>
    <row r="11" spans="1:7">
      <c r="A11" s="1207">
        <v>7</v>
      </c>
      <c r="B11" s="1206" t="e">
        <f>PTĐGTĐ!#REF!</f>
        <v>#REF!</v>
      </c>
      <c r="C11" s="1206" t="e">
        <f>PTĐGTĐ!#REF!</f>
        <v>#REF!</v>
      </c>
      <c r="D11" s="1206" t="s">
        <v>1279</v>
      </c>
      <c r="E11" s="1206"/>
      <c r="F11" s="1206"/>
      <c r="G11" s="1206"/>
    </row>
    <row r="12" spans="1:7">
      <c r="A12" s="1207">
        <v>8</v>
      </c>
      <c r="B12" s="1206" t="e">
        <f>PTĐGTĐ!#REF!</f>
        <v>#REF!</v>
      </c>
      <c r="C12" s="1206" t="e">
        <f>PTĐGTĐ!#REF!</f>
        <v>#REF!</v>
      </c>
      <c r="D12" s="1206" t="s">
        <v>1280</v>
      </c>
      <c r="E12" s="1206"/>
      <c r="F12" s="1206"/>
      <c r="G12" s="1206"/>
    </row>
    <row r="13" spans="1:7">
      <c r="A13" s="1207">
        <v>9</v>
      </c>
      <c r="B13" s="1206" t="e">
        <f>PTĐGTĐ!#REF!</f>
        <v>#REF!</v>
      </c>
      <c r="C13" s="1206" t="e">
        <f>PTĐGTĐ!#REF!</f>
        <v>#REF!</v>
      </c>
      <c r="D13" s="1206" t="s">
        <v>1281</v>
      </c>
      <c r="E13" s="1206"/>
      <c r="F13" s="1206"/>
      <c r="G13" s="1206"/>
    </row>
    <row r="14" spans="1:7">
      <c r="A14" s="1207">
        <v>10</v>
      </c>
      <c r="B14" s="1206" t="e">
        <f>PTĐGTĐ!#REF!</f>
        <v>#REF!</v>
      </c>
      <c r="C14" s="1206" t="e">
        <f>PTĐGTĐ!#REF!</f>
        <v>#REF!</v>
      </c>
      <c r="D14" s="1206" t="s">
        <v>1282</v>
      </c>
      <c r="E14" s="1206"/>
      <c r="F14" s="1206"/>
      <c r="G14" s="1206"/>
    </row>
    <row r="15" spans="1:7">
      <c r="A15" s="1207">
        <v>11</v>
      </c>
      <c r="B15" s="1206" t="e">
        <f>PTĐGTĐ!#REF!</f>
        <v>#REF!</v>
      </c>
      <c r="C15" s="1206" t="e">
        <f>PTĐGTĐ!#REF!</f>
        <v>#REF!</v>
      </c>
      <c r="D15" s="1206" t="s">
        <v>1283</v>
      </c>
      <c r="E15" s="1206"/>
      <c r="F15" s="1206"/>
      <c r="G15" s="1206"/>
    </row>
    <row r="16" spans="1:7">
      <c r="A16" s="1207">
        <v>12</v>
      </c>
      <c r="B16" s="1206" t="e">
        <f>PTĐGTĐ!#REF!</f>
        <v>#REF!</v>
      </c>
      <c r="C16" s="1206" t="e">
        <f>PTĐGTĐ!#REF!</f>
        <v>#REF!</v>
      </c>
      <c r="D16" s="1206" t="s">
        <v>1284</v>
      </c>
      <c r="E16" s="1206"/>
      <c r="F16" s="1206"/>
      <c r="G16" s="1206"/>
    </row>
    <row r="17" spans="1:7">
      <c r="A17" s="1207">
        <v>13</v>
      </c>
      <c r="B17" s="1206" t="e">
        <f>PTĐGTĐ!#REF!</f>
        <v>#REF!</v>
      </c>
      <c r="C17" s="1206" t="e">
        <f>PTĐGTĐ!#REF!</f>
        <v>#REF!</v>
      </c>
      <c r="D17" s="1206" t="s">
        <v>1285</v>
      </c>
      <c r="E17" s="1206"/>
      <c r="F17" s="1206"/>
      <c r="G17" s="1206"/>
    </row>
    <row r="18" spans="1:7">
      <c r="A18" s="1207">
        <v>14</v>
      </c>
      <c r="B18" s="1206" t="e">
        <f>PTĐGTĐ!#REF!</f>
        <v>#REF!</v>
      </c>
      <c r="C18" s="1206" t="e">
        <f>PTĐGTĐ!#REF!</f>
        <v>#REF!</v>
      </c>
      <c r="D18" s="1206" t="s">
        <v>1285</v>
      </c>
      <c r="E18" s="1206"/>
      <c r="F18" s="1206"/>
      <c r="G18" s="1206"/>
    </row>
    <row r="19" spans="1:7">
      <c r="A19" s="1207">
        <v>15</v>
      </c>
      <c r="B19" s="1206" t="e">
        <f>PTĐGTĐ!#REF!</f>
        <v>#REF!</v>
      </c>
      <c r="C19" s="1206" t="e">
        <f>PTĐGTĐ!#REF!</f>
        <v>#REF!</v>
      </c>
      <c r="D19" s="1206" t="s">
        <v>1272</v>
      </c>
      <c r="E19" s="1206"/>
      <c r="F19" s="1206"/>
      <c r="G19" s="1206"/>
    </row>
    <row r="20" spans="1:7">
      <c r="A20" s="1207">
        <v>16</v>
      </c>
      <c r="B20" s="1206" t="e">
        <f>PTĐGTĐ!#REF!</f>
        <v>#REF!</v>
      </c>
      <c r="C20" s="1206" t="e">
        <f>PTĐGTĐ!#REF!</f>
        <v>#REF!</v>
      </c>
      <c r="D20" s="1206" t="s">
        <v>1272</v>
      </c>
      <c r="E20" s="1206"/>
      <c r="F20" s="1206"/>
      <c r="G20" s="1206"/>
    </row>
    <row r="21" spans="1:7">
      <c r="A21" s="1207">
        <v>17</v>
      </c>
      <c r="B21" s="1206" t="e">
        <f>PTĐGTĐ!#REF!</f>
        <v>#REF!</v>
      </c>
      <c r="C21" s="1206" t="e">
        <f>PTĐGTĐ!#REF!</f>
        <v>#REF!</v>
      </c>
      <c r="D21" s="1206" t="s">
        <v>1271</v>
      </c>
      <c r="E21" s="1206"/>
      <c r="F21" s="1206"/>
      <c r="G21" s="1206"/>
    </row>
    <row r="22" spans="1:7">
      <c r="A22" s="1207">
        <v>18</v>
      </c>
      <c r="B22" s="1206" t="e">
        <f>PTĐGTĐ!#REF!</f>
        <v>#REF!</v>
      </c>
      <c r="C22" s="1206" t="e">
        <f>PTĐGTĐ!#REF!</f>
        <v>#REF!</v>
      </c>
      <c r="D22" s="1206" t="s">
        <v>1286</v>
      </c>
      <c r="E22" s="1206"/>
      <c r="F22" s="1206"/>
      <c r="G22" s="1206"/>
    </row>
    <row r="23" spans="1:7">
      <c r="A23" s="1207">
        <v>19</v>
      </c>
      <c r="B23" s="1206" t="e">
        <f>PTĐGTĐ!#REF!</f>
        <v>#REF!</v>
      </c>
      <c r="C23" s="1206" t="e">
        <f>PTĐGTĐ!#REF!</f>
        <v>#REF!</v>
      </c>
      <c r="D23" s="1206" t="s">
        <v>1273</v>
      </c>
      <c r="E23" s="1206"/>
      <c r="F23" s="1206"/>
      <c r="G23" s="1206"/>
    </row>
    <row r="24" spans="1:7">
      <c r="A24" s="1207">
        <v>20</v>
      </c>
      <c r="B24" s="1206" t="e">
        <f>PTĐGTĐ!#REF!</f>
        <v>#REF!</v>
      </c>
      <c r="C24" s="1206" t="e">
        <f>PTĐGTĐ!#REF!</f>
        <v>#REF!</v>
      </c>
      <c r="D24" s="1206" t="s">
        <v>1287</v>
      </c>
      <c r="E24" s="1206"/>
      <c r="F24" s="1206"/>
      <c r="G24" s="1206"/>
    </row>
    <row r="25" spans="1:7">
      <c r="A25" s="1207">
        <v>21</v>
      </c>
      <c r="B25" s="1206" t="e">
        <f>PTĐGTĐ!#REF!</f>
        <v>#REF!</v>
      </c>
      <c r="C25" s="1206" t="e">
        <f>PTĐGTĐ!#REF!</f>
        <v>#REF!</v>
      </c>
      <c r="D25" s="1206" t="s">
        <v>1288</v>
      </c>
      <c r="E25" s="1206"/>
      <c r="F25" s="1206"/>
      <c r="G25" s="1206"/>
    </row>
    <row r="26" spans="1:7">
      <c r="A26" s="1207">
        <v>22</v>
      </c>
      <c r="B26" s="1206" t="e">
        <f>PTĐGTĐ!#REF!</f>
        <v>#REF!</v>
      </c>
      <c r="C26" s="1206" t="e">
        <f>PTĐGTĐ!#REF!</f>
        <v>#REF!</v>
      </c>
      <c r="D26" s="1206" t="s">
        <v>1289</v>
      </c>
      <c r="E26" s="1206"/>
      <c r="F26" s="1206"/>
      <c r="G26" s="1206"/>
    </row>
    <row r="27" spans="1:7">
      <c r="A27" s="1207">
        <v>23</v>
      </c>
      <c r="B27" s="1206" t="e">
        <f>PTĐGTĐ!#REF!</f>
        <v>#REF!</v>
      </c>
      <c r="C27" s="1206" t="e">
        <f>PTĐGTĐ!#REF!</f>
        <v>#REF!</v>
      </c>
      <c r="D27" s="1206" t="s">
        <v>1290</v>
      </c>
      <c r="E27" s="1206"/>
      <c r="F27" s="1206"/>
      <c r="G27" s="1206"/>
    </row>
    <row r="28" spans="1:7">
      <c r="A28" s="1207">
        <v>24</v>
      </c>
      <c r="B28" s="1206" t="e">
        <f>PTĐGTĐ!#REF!</f>
        <v>#REF!</v>
      </c>
      <c r="C28" s="1206" t="e">
        <f>PTĐGTĐ!#REF!</f>
        <v>#REF!</v>
      </c>
      <c r="D28" s="1206" t="s">
        <v>1274</v>
      </c>
      <c r="E28" s="1206"/>
      <c r="F28" s="1206"/>
      <c r="G28" s="1206"/>
    </row>
    <row r="29" spans="1:7">
      <c r="A29" s="1207">
        <v>25</v>
      </c>
      <c r="B29" s="1206" t="e">
        <f>PTĐGTĐ!#REF!</f>
        <v>#REF!</v>
      </c>
      <c r="C29" s="1206" t="e">
        <f>PTĐGTĐ!#REF!</f>
        <v>#REF!</v>
      </c>
      <c r="D29" s="1206" t="s">
        <v>1291</v>
      </c>
      <c r="E29" s="1206"/>
      <c r="F29" s="1206"/>
      <c r="G29" s="1206"/>
    </row>
    <row r="30" spans="1:7">
      <c r="A30" s="1207">
        <v>26</v>
      </c>
      <c r="B30" s="1206" t="str">
        <f>PTĐGTĐ!C13</f>
        <v>- Máy đo sâu hồi âm cầm tay</v>
      </c>
      <c r="C30" s="1206" t="str">
        <f>PTĐGTĐ!D13</f>
        <v>ca</v>
      </c>
      <c r="D30" s="1206" t="s">
        <v>1292</v>
      </c>
      <c r="E30" s="1206"/>
      <c r="F30" s="1206"/>
      <c r="G30" s="1206"/>
    </row>
    <row r="31" spans="1:7">
      <c r="A31" s="1207">
        <v>27</v>
      </c>
      <c r="B31" s="1206" t="str">
        <f>PTĐGTĐ!C136</f>
        <v>Bàn chải nhựa</v>
      </c>
      <c r="C31" s="1206" t="str">
        <f>PTĐGTĐ!D136</f>
        <v>cái</v>
      </c>
      <c r="D31" s="1458" t="s">
        <v>1275</v>
      </c>
      <c r="E31" s="1206"/>
      <c r="F31" s="1206"/>
      <c r="G31" s="1206"/>
    </row>
    <row r="32" spans="1:7">
      <c r="A32" s="1207">
        <v>28</v>
      </c>
      <c r="B32" s="1206" t="str">
        <f>PTĐGTĐ!C137</f>
        <v>Giẻ lau</v>
      </c>
      <c r="C32" s="1206" t="str">
        <f>PTĐGTĐ!D137</f>
        <v>kg</v>
      </c>
      <c r="D32" s="1459"/>
      <c r="E32" s="1206"/>
      <c r="F32" s="1206"/>
      <c r="G32" s="1206"/>
    </row>
    <row r="33" spans="1:7">
      <c r="A33" s="1207">
        <v>29</v>
      </c>
      <c r="B33" s="1206" t="str">
        <f>PTĐGTĐ!C138</f>
        <v>Cồn</v>
      </c>
      <c r="C33" s="1206" t="str">
        <f>PTĐGTĐ!D138</f>
        <v>lít</v>
      </c>
      <c r="D33" s="1459"/>
      <c r="E33" s="1206"/>
      <c r="F33" s="1206"/>
      <c r="G33" s="1206"/>
    </row>
    <row r="34" spans="1:7">
      <c r="A34" s="1207">
        <v>30</v>
      </c>
      <c r="B34" s="1206" t="str">
        <f>PTĐGTĐ!C139</f>
        <v>Benzen</v>
      </c>
      <c r="C34" s="1206" t="str">
        <f>PTĐGTĐ!D139</f>
        <v>lít</v>
      </c>
      <c r="D34" s="1460"/>
      <c r="E34" s="1206"/>
      <c r="F34" s="1206"/>
      <c r="G34" s="1206"/>
    </row>
  </sheetData>
  <mergeCells count="2">
    <mergeCell ref="A2:G2"/>
    <mergeCell ref="D31:D34"/>
  </mergeCells>
  <pageMargins left="0.7" right="0.7" top="0.75" bottom="0.75" header="0.3" footer="0.3"/>
  <pageSetup orientation="portrait"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9"/>
  <sheetViews>
    <sheetView workbookViewId="0">
      <selection activeCell="G5" sqref="G5"/>
    </sheetView>
  </sheetViews>
  <sheetFormatPr defaultColWidth="8.90625" defaultRowHeight="16.8"/>
  <cols>
    <col min="1" max="1" width="6.08984375" style="677" customWidth="1"/>
    <col min="2" max="2" width="10.36328125" style="677" customWidth="1"/>
    <col min="3" max="3" width="39.90625" style="582" customWidth="1"/>
    <col min="4" max="4" width="12.90625" style="677" customWidth="1"/>
    <col min="5" max="5" width="10.90625" style="582" customWidth="1"/>
    <col min="6" max="16384" width="8.90625" style="582"/>
  </cols>
  <sheetData>
    <row r="1" spans="1:5">
      <c r="E1" s="582" t="s">
        <v>1296</v>
      </c>
    </row>
    <row r="2" spans="1:5" ht="56.25" customHeight="1">
      <c r="A2" s="1461" t="s">
        <v>1335</v>
      </c>
      <c r="B2" s="1369"/>
      <c r="C2" s="1369"/>
      <c r="D2" s="1369"/>
      <c r="E2" s="1369"/>
    </row>
    <row r="4" spans="1:5">
      <c r="A4" s="1210" t="s">
        <v>2</v>
      </c>
      <c r="B4" s="1210" t="s">
        <v>6</v>
      </c>
      <c r="C4" s="1210" t="s">
        <v>7</v>
      </c>
      <c r="D4" s="1210" t="s">
        <v>15</v>
      </c>
      <c r="E4" s="1210" t="s">
        <v>523</v>
      </c>
    </row>
    <row r="5" spans="1:5" ht="18.75" customHeight="1">
      <c r="A5" s="1210" t="s">
        <v>378</v>
      </c>
      <c r="B5" s="1462" t="s">
        <v>1076</v>
      </c>
      <c r="C5" s="1463"/>
      <c r="D5" s="1463"/>
      <c r="E5" s="1464"/>
    </row>
    <row r="6" spans="1:5">
      <c r="A6" s="678">
        <v>1</v>
      </c>
      <c r="B6" s="678" t="s">
        <v>1075</v>
      </c>
      <c r="C6" s="679" t="s">
        <v>1077</v>
      </c>
      <c r="D6" s="678" t="s">
        <v>1081</v>
      </c>
      <c r="E6" s="679"/>
    </row>
    <row r="7" spans="1:5">
      <c r="A7" s="678">
        <v>2</v>
      </c>
      <c r="B7" s="678" t="s">
        <v>1082</v>
      </c>
      <c r="C7" s="679" t="s">
        <v>1083</v>
      </c>
      <c r="D7" s="678" t="s">
        <v>1081</v>
      </c>
      <c r="E7" s="679"/>
    </row>
    <row r="8" spans="1:5" ht="18" customHeight="1">
      <c r="A8" s="1210" t="s">
        <v>335</v>
      </c>
      <c r="B8" s="1462" t="s">
        <v>1254</v>
      </c>
      <c r="C8" s="1463"/>
      <c r="D8" s="1463"/>
      <c r="E8" s="1464"/>
    </row>
    <row r="9" spans="1:5">
      <c r="A9" s="1210">
        <v>1</v>
      </c>
      <c r="B9" s="1210"/>
      <c r="C9" s="1213" t="s">
        <v>1086</v>
      </c>
      <c r="D9" s="678"/>
      <c r="E9" s="679"/>
    </row>
    <row r="10" spans="1:5">
      <c r="A10" s="678"/>
      <c r="B10" s="678" t="s">
        <v>1085</v>
      </c>
      <c r="C10" s="679" t="s">
        <v>1095</v>
      </c>
      <c r="D10" s="678" t="s">
        <v>1096</v>
      </c>
      <c r="E10" s="679"/>
    </row>
    <row r="11" spans="1:5">
      <c r="A11" s="678"/>
      <c r="B11" s="678" t="s">
        <v>1087</v>
      </c>
      <c r="C11" s="679" t="s">
        <v>1094</v>
      </c>
      <c r="D11" s="678" t="s">
        <v>1096</v>
      </c>
      <c r="E11" s="679"/>
    </row>
    <row r="12" spans="1:5">
      <c r="A12" s="678"/>
      <c r="B12" s="678" t="s">
        <v>1088</v>
      </c>
      <c r="C12" s="679" t="s">
        <v>1093</v>
      </c>
      <c r="D12" s="678" t="s">
        <v>1096</v>
      </c>
      <c r="E12" s="679"/>
    </row>
    <row r="13" spans="1:5">
      <c r="A13" s="678"/>
      <c r="B13" s="678" t="s">
        <v>1089</v>
      </c>
      <c r="C13" s="679" t="s">
        <v>1092</v>
      </c>
      <c r="D13" s="678" t="s">
        <v>1096</v>
      </c>
      <c r="E13" s="679"/>
    </row>
    <row r="14" spans="1:5">
      <c r="A14" s="1210">
        <v>2</v>
      </c>
      <c r="B14" s="1210"/>
      <c r="C14" s="1213" t="s">
        <v>1090</v>
      </c>
      <c r="D14" s="678"/>
      <c r="E14" s="679"/>
    </row>
    <row r="15" spans="1:5">
      <c r="A15" s="678"/>
      <c r="B15" s="678" t="s">
        <v>1091</v>
      </c>
      <c r="C15" s="679" t="s">
        <v>1048</v>
      </c>
      <c r="D15" s="678" t="s">
        <v>1096</v>
      </c>
      <c r="E15" s="679"/>
    </row>
    <row r="16" spans="1:5">
      <c r="A16" s="678"/>
      <c r="B16" s="678" t="s">
        <v>1097</v>
      </c>
      <c r="C16" s="679" t="s">
        <v>1100</v>
      </c>
      <c r="D16" s="678" t="s">
        <v>1096</v>
      </c>
      <c r="E16" s="679"/>
    </row>
    <row r="17" spans="1:5">
      <c r="A17" s="678"/>
      <c r="B17" s="678" t="s">
        <v>1101</v>
      </c>
      <c r="C17" s="679" t="s">
        <v>1049</v>
      </c>
      <c r="D17" s="678" t="s">
        <v>1096</v>
      </c>
      <c r="E17" s="679"/>
    </row>
    <row r="18" spans="1:5">
      <c r="A18" s="678"/>
      <c r="B18" s="678" t="s">
        <v>1102</v>
      </c>
      <c r="C18" s="679" t="s">
        <v>1103</v>
      </c>
      <c r="D18" s="678" t="s">
        <v>1096</v>
      </c>
      <c r="E18" s="679"/>
    </row>
    <row r="19" spans="1:5">
      <c r="A19" s="1210">
        <v>3</v>
      </c>
      <c r="B19" s="1210"/>
      <c r="C19" s="1213" t="s">
        <v>1104</v>
      </c>
      <c r="D19" s="678"/>
      <c r="E19" s="679"/>
    </row>
    <row r="20" spans="1:5">
      <c r="A20" s="678"/>
      <c r="B20" s="678" t="s">
        <v>1105</v>
      </c>
      <c r="C20" s="679" t="s">
        <v>324</v>
      </c>
      <c r="D20" s="678" t="s">
        <v>1096</v>
      </c>
      <c r="E20" s="679"/>
    </row>
    <row r="21" spans="1:5">
      <c r="A21" s="678"/>
      <c r="B21" s="678" t="s">
        <v>1106</v>
      </c>
      <c r="C21" s="679" t="s">
        <v>1107</v>
      </c>
      <c r="D21" s="678" t="s">
        <v>1096</v>
      </c>
      <c r="E21" s="679"/>
    </row>
    <row r="22" spans="1:5">
      <c r="A22" s="678"/>
      <c r="B22" s="678" t="s">
        <v>1108</v>
      </c>
      <c r="C22" s="679" t="s">
        <v>325</v>
      </c>
      <c r="D22" s="678" t="s">
        <v>1096</v>
      </c>
      <c r="E22" s="679"/>
    </row>
    <row r="23" spans="1:5">
      <c r="A23" s="678"/>
      <c r="B23" s="678" t="s">
        <v>1109</v>
      </c>
      <c r="C23" s="679" t="s">
        <v>1110</v>
      </c>
      <c r="D23" s="678" t="s">
        <v>1096</v>
      </c>
      <c r="E23" s="679"/>
    </row>
    <row r="24" spans="1:5">
      <c r="A24" s="1210">
        <v>4</v>
      </c>
      <c r="B24" s="1210"/>
      <c r="C24" s="1213" t="s">
        <v>1111</v>
      </c>
      <c r="D24" s="678"/>
      <c r="E24" s="679"/>
    </row>
    <row r="25" spans="1:5">
      <c r="A25" s="678"/>
      <c r="B25" s="678" t="s">
        <v>1112</v>
      </c>
      <c r="C25" s="679" t="s">
        <v>1113</v>
      </c>
      <c r="D25" s="678" t="s">
        <v>1096</v>
      </c>
      <c r="E25" s="679"/>
    </row>
    <row r="26" spans="1:5">
      <c r="A26" s="678"/>
      <c r="B26" s="678" t="s">
        <v>1115</v>
      </c>
      <c r="C26" s="679" t="s">
        <v>1114</v>
      </c>
      <c r="D26" s="678" t="s">
        <v>1096</v>
      </c>
      <c r="E26" s="679"/>
    </row>
    <row r="27" spans="1:5">
      <c r="A27" s="678"/>
      <c r="B27" s="678" t="s">
        <v>1116</v>
      </c>
      <c r="C27" s="679" t="s">
        <v>1117</v>
      </c>
      <c r="D27" s="678" t="s">
        <v>1096</v>
      </c>
      <c r="E27" s="679"/>
    </row>
    <row r="28" spans="1:5">
      <c r="A28" s="678"/>
      <c r="B28" s="678" t="s">
        <v>1118</v>
      </c>
      <c r="C28" s="679" t="s">
        <v>1119</v>
      </c>
      <c r="D28" s="678" t="s">
        <v>1096</v>
      </c>
      <c r="E28" s="679"/>
    </row>
    <row r="29" spans="1:5">
      <c r="A29" s="1210">
        <v>5</v>
      </c>
      <c r="B29" s="1210"/>
      <c r="C29" s="1213" t="s">
        <v>1120</v>
      </c>
      <c r="D29" s="678"/>
      <c r="E29" s="679"/>
    </row>
    <row r="30" spans="1:5">
      <c r="A30" s="678"/>
      <c r="B30" s="1210" t="s">
        <v>1129</v>
      </c>
      <c r="C30" s="1213" t="s">
        <v>1255</v>
      </c>
      <c r="D30" s="678"/>
      <c r="E30" s="679"/>
    </row>
    <row r="31" spans="1:5">
      <c r="A31" s="678"/>
      <c r="B31" s="678"/>
      <c r="C31" s="679" t="s">
        <v>1121</v>
      </c>
      <c r="D31" s="678" t="s">
        <v>1096</v>
      </c>
      <c r="E31" s="679"/>
    </row>
    <row r="32" spans="1:5">
      <c r="A32" s="678"/>
      <c r="B32" s="678"/>
      <c r="C32" s="679" t="s">
        <v>1125</v>
      </c>
      <c r="D32" s="678" t="s">
        <v>1096</v>
      </c>
      <c r="E32" s="679"/>
    </row>
    <row r="33" spans="1:5">
      <c r="A33" s="678"/>
      <c r="B33" s="678"/>
      <c r="C33" s="679" t="s">
        <v>1126</v>
      </c>
      <c r="D33" s="678" t="s">
        <v>1096</v>
      </c>
      <c r="E33" s="679"/>
    </row>
    <row r="34" spans="1:5">
      <c r="A34" s="678"/>
      <c r="B34" s="1210" t="s">
        <v>1256</v>
      </c>
      <c r="C34" s="1213" t="s">
        <v>1257</v>
      </c>
      <c r="D34" s="678"/>
      <c r="E34" s="679"/>
    </row>
    <row r="35" spans="1:5">
      <c r="A35" s="678"/>
      <c r="B35" s="678"/>
      <c r="C35" s="679" t="s">
        <v>1137</v>
      </c>
      <c r="D35" s="678" t="s">
        <v>1096</v>
      </c>
      <c r="E35" s="679"/>
    </row>
    <row r="36" spans="1:5">
      <c r="A36" s="678"/>
      <c r="B36" s="678"/>
      <c r="C36" s="679" t="s">
        <v>1138</v>
      </c>
      <c r="D36" s="678" t="s">
        <v>1096</v>
      </c>
      <c r="E36" s="679"/>
    </row>
    <row r="37" spans="1:5">
      <c r="A37" s="1210">
        <v>6</v>
      </c>
      <c r="B37" s="1210" t="s">
        <v>1258</v>
      </c>
      <c r="C37" s="1213" t="s">
        <v>1141</v>
      </c>
      <c r="D37" s="678"/>
      <c r="E37" s="679"/>
    </row>
    <row r="38" spans="1:5">
      <c r="A38" s="678"/>
      <c r="B38" s="678"/>
      <c r="C38" s="679" t="s">
        <v>1143</v>
      </c>
      <c r="D38" s="678" t="s">
        <v>1142</v>
      </c>
      <c r="E38" s="679"/>
    </row>
    <row r="39" spans="1:5">
      <c r="A39" s="678"/>
      <c r="B39" s="678"/>
      <c r="C39" s="679" t="s">
        <v>1144</v>
      </c>
      <c r="D39" s="678" t="s">
        <v>1142</v>
      </c>
      <c r="E39" s="679"/>
    </row>
    <row r="40" spans="1:5">
      <c r="A40" s="678"/>
      <c r="B40" s="678"/>
      <c r="C40" s="679" t="s">
        <v>1145</v>
      </c>
      <c r="D40" s="678" t="s">
        <v>1142</v>
      </c>
      <c r="E40" s="679"/>
    </row>
    <row r="41" spans="1:5">
      <c r="A41" s="678"/>
      <c r="B41" s="678"/>
      <c r="C41" s="679" t="s">
        <v>1146</v>
      </c>
      <c r="D41" s="678" t="s">
        <v>1142</v>
      </c>
      <c r="E41" s="679"/>
    </row>
    <row r="42" spans="1:5">
      <c r="A42" s="678">
        <v>7</v>
      </c>
      <c r="B42" s="1210"/>
      <c r="C42" s="1213" t="s">
        <v>1147</v>
      </c>
      <c r="D42" s="678"/>
      <c r="E42" s="679"/>
    </row>
    <row r="43" spans="1:5">
      <c r="A43" s="678"/>
      <c r="B43" s="678" t="s">
        <v>1259</v>
      </c>
      <c r="C43" s="679" t="s">
        <v>1148</v>
      </c>
      <c r="D43" s="678" t="s">
        <v>1149</v>
      </c>
      <c r="E43" s="679"/>
    </row>
    <row r="44" spans="1:5">
      <c r="A44" s="678"/>
      <c r="B44" s="678" t="s">
        <v>1152</v>
      </c>
      <c r="C44" s="679" t="s">
        <v>1150</v>
      </c>
      <c r="D44" s="678" t="s">
        <v>1149</v>
      </c>
      <c r="E44" s="679"/>
    </row>
    <row r="45" spans="1:5">
      <c r="A45" s="678"/>
      <c r="B45" s="678" t="s">
        <v>1151</v>
      </c>
      <c r="C45" s="679" t="s">
        <v>1171</v>
      </c>
      <c r="D45" s="678" t="s">
        <v>1149</v>
      </c>
      <c r="E45" s="679"/>
    </row>
    <row r="46" spans="1:5">
      <c r="A46" s="678">
        <v>8</v>
      </c>
      <c r="B46" s="678" t="s">
        <v>1154</v>
      </c>
      <c r="C46" s="679" t="s">
        <v>1260</v>
      </c>
      <c r="D46" s="678" t="s">
        <v>1153</v>
      </c>
      <c r="E46" s="679"/>
    </row>
    <row r="47" spans="1:5">
      <c r="A47" s="678">
        <v>9</v>
      </c>
      <c r="B47" s="1210"/>
      <c r="C47" s="1213" t="s">
        <v>1155</v>
      </c>
      <c r="D47" s="678"/>
      <c r="E47" s="679"/>
    </row>
    <row r="48" spans="1:5">
      <c r="A48" s="678"/>
      <c r="B48" s="678" t="s">
        <v>1159</v>
      </c>
      <c r="C48" s="679" t="s">
        <v>1156</v>
      </c>
      <c r="D48" s="678" t="s">
        <v>1157</v>
      </c>
      <c r="E48" s="679"/>
    </row>
    <row r="49" spans="1:5">
      <c r="A49" s="678"/>
      <c r="B49" s="678" t="s">
        <v>1160</v>
      </c>
      <c r="C49" s="679" t="s">
        <v>1158</v>
      </c>
      <c r="D49" s="678" t="s">
        <v>1157</v>
      </c>
      <c r="E49" s="679"/>
    </row>
    <row r="50" spans="1:5">
      <c r="A50" s="678">
        <v>10</v>
      </c>
      <c r="B50" s="1210" t="s">
        <v>1163</v>
      </c>
      <c r="C50" s="1213" t="s">
        <v>1161</v>
      </c>
      <c r="D50" s="678"/>
      <c r="E50" s="679"/>
    </row>
    <row r="51" spans="1:5">
      <c r="A51" s="678"/>
      <c r="B51" s="678"/>
      <c r="C51" s="679" t="s">
        <v>1162</v>
      </c>
      <c r="D51" s="678" t="s">
        <v>1096</v>
      </c>
      <c r="E51" s="679"/>
    </row>
    <row r="52" spans="1:5">
      <c r="A52" s="678"/>
      <c r="B52" s="678"/>
      <c r="C52" s="679" t="s">
        <v>1164</v>
      </c>
      <c r="D52" s="678" t="s">
        <v>1096</v>
      </c>
      <c r="E52" s="679"/>
    </row>
    <row r="53" spans="1:5">
      <c r="A53" s="678"/>
      <c r="B53" s="678"/>
      <c r="C53" s="679" t="s">
        <v>1165</v>
      </c>
      <c r="D53" s="678" t="s">
        <v>1096</v>
      </c>
      <c r="E53" s="679"/>
    </row>
    <row r="54" spans="1:5">
      <c r="A54" s="678"/>
      <c r="B54" s="678"/>
      <c r="C54" s="679" t="s">
        <v>1166</v>
      </c>
      <c r="D54" s="678" t="s">
        <v>1096</v>
      </c>
      <c r="E54" s="679"/>
    </row>
    <row r="55" spans="1:5">
      <c r="A55" s="678">
        <v>11</v>
      </c>
      <c r="B55" s="1210"/>
      <c r="C55" s="1213" t="s">
        <v>1168</v>
      </c>
      <c r="D55" s="678"/>
      <c r="E55" s="679"/>
    </row>
    <row r="56" spans="1:5">
      <c r="A56" s="678"/>
      <c r="B56" s="678" t="s">
        <v>1167</v>
      </c>
      <c r="C56" s="679" t="s">
        <v>1148</v>
      </c>
      <c r="D56" s="678" t="s">
        <v>1149</v>
      </c>
      <c r="E56" s="679"/>
    </row>
    <row r="57" spans="1:5">
      <c r="A57" s="678"/>
      <c r="B57" s="678" t="s">
        <v>1169</v>
      </c>
      <c r="C57" s="679" t="s">
        <v>1150</v>
      </c>
      <c r="D57" s="678" t="s">
        <v>1149</v>
      </c>
      <c r="E57" s="679"/>
    </row>
    <row r="58" spans="1:5">
      <c r="A58" s="678"/>
      <c r="B58" s="678" t="s">
        <v>1170</v>
      </c>
      <c r="C58" s="679" t="s">
        <v>1171</v>
      </c>
      <c r="D58" s="678" t="s">
        <v>1149</v>
      </c>
      <c r="E58" s="679"/>
    </row>
    <row r="59" spans="1:5">
      <c r="A59" s="678">
        <v>12</v>
      </c>
      <c r="B59" s="678" t="s">
        <v>1172</v>
      </c>
      <c r="C59" s="679" t="s">
        <v>1261</v>
      </c>
      <c r="D59" s="678" t="s">
        <v>1153</v>
      </c>
      <c r="E59" s="679"/>
    </row>
    <row r="60" spans="1:5">
      <c r="A60" s="678">
        <v>13</v>
      </c>
      <c r="B60" s="1210"/>
      <c r="C60" s="1213" t="s">
        <v>1173</v>
      </c>
      <c r="D60" s="678"/>
      <c r="E60" s="679"/>
    </row>
    <row r="61" spans="1:5">
      <c r="A61" s="678"/>
      <c r="B61" s="678" t="s">
        <v>1174</v>
      </c>
      <c r="C61" s="679" t="s">
        <v>1262</v>
      </c>
      <c r="D61" s="678"/>
      <c r="E61" s="679"/>
    </row>
    <row r="62" spans="1:5">
      <c r="A62" s="678"/>
      <c r="B62" s="678"/>
      <c r="C62" s="679" t="s">
        <v>1175</v>
      </c>
      <c r="D62" s="678" t="s">
        <v>1177</v>
      </c>
      <c r="E62" s="679"/>
    </row>
    <row r="63" spans="1:5">
      <c r="A63" s="678"/>
      <c r="B63" s="678"/>
      <c r="C63" s="679" t="s">
        <v>1176</v>
      </c>
      <c r="D63" s="678" t="s">
        <v>1177</v>
      </c>
      <c r="E63" s="679"/>
    </row>
    <row r="64" spans="1:5">
      <c r="A64" s="678"/>
      <c r="B64" s="678" t="s">
        <v>1178</v>
      </c>
      <c r="C64" s="679" t="s">
        <v>1179</v>
      </c>
      <c r="D64" s="678" t="s">
        <v>1177</v>
      </c>
      <c r="E64" s="679"/>
    </row>
    <row r="65" spans="1:5">
      <c r="A65" s="678"/>
      <c r="B65" s="678"/>
      <c r="C65" s="679" t="s">
        <v>1180</v>
      </c>
      <c r="D65" s="678" t="s">
        <v>1177</v>
      </c>
      <c r="E65" s="679"/>
    </row>
    <row r="66" spans="1:5">
      <c r="A66" s="678"/>
      <c r="B66" s="678"/>
      <c r="C66" s="679" t="s">
        <v>1181</v>
      </c>
      <c r="D66" s="678" t="s">
        <v>1177</v>
      </c>
      <c r="E66" s="679"/>
    </row>
    <row r="67" spans="1:5">
      <c r="A67" s="678"/>
      <c r="B67" s="678"/>
      <c r="C67" s="679" t="s">
        <v>1182</v>
      </c>
      <c r="D67" s="678" t="s">
        <v>1177</v>
      </c>
      <c r="E67" s="679"/>
    </row>
    <row r="68" spans="1:5">
      <c r="A68" s="678">
        <v>14</v>
      </c>
      <c r="B68" s="1210"/>
      <c r="C68" s="1213" t="s">
        <v>1183</v>
      </c>
      <c r="D68" s="678"/>
      <c r="E68" s="679"/>
    </row>
    <row r="69" spans="1:5" ht="33.6">
      <c r="A69" s="678"/>
      <c r="B69" s="1215" t="s">
        <v>1184</v>
      </c>
      <c r="C69" s="1214" t="s">
        <v>1293</v>
      </c>
      <c r="D69" s="678" t="s">
        <v>1149</v>
      </c>
      <c r="E69" s="679"/>
    </row>
    <row r="70" spans="1:5">
      <c r="A70" s="678"/>
      <c r="B70" s="678" t="s">
        <v>1186</v>
      </c>
      <c r="C70" s="679" t="s">
        <v>1187</v>
      </c>
      <c r="D70" s="678" t="s">
        <v>1149</v>
      </c>
      <c r="E70" s="679"/>
    </row>
    <row r="71" spans="1:5">
      <c r="A71" s="678"/>
      <c r="B71" s="678" t="s">
        <v>1190</v>
      </c>
      <c r="C71" s="679" t="s">
        <v>1189</v>
      </c>
      <c r="D71" s="678" t="s">
        <v>1149</v>
      </c>
      <c r="E71" s="679"/>
    </row>
    <row r="72" spans="1:5">
      <c r="A72" s="678"/>
      <c r="B72" s="678" t="s">
        <v>1190</v>
      </c>
      <c r="C72" s="679" t="s">
        <v>1192</v>
      </c>
      <c r="D72" s="678" t="s">
        <v>1149</v>
      </c>
      <c r="E72" s="679"/>
    </row>
    <row r="73" spans="1:5" ht="34.5" customHeight="1">
      <c r="A73" s="1215">
        <v>15</v>
      </c>
      <c r="B73" s="1215" t="s">
        <v>1195</v>
      </c>
      <c r="C73" s="1214" t="s">
        <v>1294</v>
      </c>
      <c r="D73" s="678" t="s">
        <v>1194</v>
      </c>
      <c r="E73" s="679"/>
    </row>
    <row r="74" spans="1:5">
      <c r="A74" s="678">
        <v>16</v>
      </c>
      <c r="B74" s="678" t="s">
        <v>1198</v>
      </c>
      <c r="C74" s="679" t="s">
        <v>1196</v>
      </c>
      <c r="D74" s="678" t="s">
        <v>1194</v>
      </c>
      <c r="E74" s="679"/>
    </row>
    <row r="75" spans="1:5">
      <c r="A75" s="678">
        <v>17</v>
      </c>
      <c r="B75" s="1210"/>
      <c r="C75" s="1213" t="s">
        <v>1199</v>
      </c>
      <c r="D75" s="678"/>
      <c r="E75" s="679"/>
    </row>
    <row r="76" spans="1:5">
      <c r="A76" s="678"/>
      <c r="B76" s="678" t="s">
        <v>1202</v>
      </c>
      <c r="C76" s="679" t="s">
        <v>1200</v>
      </c>
      <c r="D76" s="678" t="s">
        <v>1177</v>
      </c>
      <c r="E76" s="679"/>
    </row>
    <row r="77" spans="1:5">
      <c r="A77" s="678"/>
      <c r="B77" s="678" t="s">
        <v>1202</v>
      </c>
      <c r="C77" s="679" t="s">
        <v>1201</v>
      </c>
      <c r="D77" s="678" t="s">
        <v>1177</v>
      </c>
      <c r="E77" s="679"/>
    </row>
    <row r="78" spans="1:5">
      <c r="A78" s="678"/>
      <c r="B78" s="678" t="s">
        <v>1203</v>
      </c>
      <c r="C78" s="679" t="s">
        <v>1204</v>
      </c>
      <c r="D78" s="678" t="s">
        <v>1177</v>
      </c>
      <c r="E78" s="679"/>
    </row>
    <row r="79" spans="1:5">
      <c r="A79" s="678"/>
      <c r="B79" s="678" t="s">
        <v>1206</v>
      </c>
      <c r="C79" s="679" t="s">
        <v>1205</v>
      </c>
      <c r="D79" s="678" t="s">
        <v>1177</v>
      </c>
      <c r="E79" s="679"/>
    </row>
    <row r="80" spans="1:5">
      <c r="A80" s="678"/>
      <c r="B80" s="678" t="s">
        <v>1206</v>
      </c>
      <c r="C80" s="679" t="s">
        <v>1207</v>
      </c>
      <c r="D80" s="678" t="s">
        <v>1177</v>
      </c>
      <c r="E80" s="679"/>
    </row>
    <row r="81" spans="1:5">
      <c r="A81" s="678">
        <v>18</v>
      </c>
      <c r="B81" s="1210"/>
      <c r="C81" s="1213" t="s">
        <v>1210</v>
      </c>
      <c r="D81" s="678"/>
      <c r="E81" s="679"/>
    </row>
    <row r="82" spans="1:5">
      <c r="A82" s="678"/>
      <c r="B82" s="678" t="s">
        <v>1209</v>
      </c>
      <c r="C82" s="679" t="s">
        <v>1211</v>
      </c>
      <c r="D82" s="678" t="s">
        <v>1177</v>
      </c>
      <c r="E82" s="679"/>
    </row>
    <row r="83" spans="1:5">
      <c r="A83" s="678"/>
      <c r="B83" s="678" t="s">
        <v>1209</v>
      </c>
      <c r="C83" s="679" t="s">
        <v>1212</v>
      </c>
      <c r="D83" s="678" t="s">
        <v>1177</v>
      </c>
      <c r="E83" s="679"/>
    </row>
    <row r="84" spans="1:5">
      <c r="A84" s="678">
        <v>19</v>
      </c>
      <c r="B84" s="1210"/>
      <c r="C84" s="1213" t="s">
        <v>1213</v>
      </c>
      <c r="D84" s="678"/>
      <c r="E84" s="679"/>
    </row>
    <row r="85" spans="1:5">
      <c r="A85" s="678"/>
      <c r="B85" s="678" t="s">
        <v>1214</v>
      </c>
      <c r="C85" s="679" t="s">
        <v>1215</v>
      </c>
      <c r="D85" s="678" t="s">
        <v>1071</v>
      </c>
      <c r="E85" s="679"/>
    </row>
    <row r="86" spans="1:5">
      <c r="A86" s="678"/>
      <c r="B86" s="678" t="s">
        <v>1216</v>
      </c>
      <c r="C86" s="679" t="s">
        <v>1217</v>
      </c>
      <c r="D86" s="678" t="s">
        <v>1071</v>
      </c>
      <c r="E86" s="679"/>
    </row>
    <row r="87" spans="1:5">
      <c r="A87" s="678">
        <v>20</v>
      </c>
      <c r="B87" s="1210"/>
      <c r="C87" s="1213" t="s">
        <v>1218</v>
      </c>
      <c r="D87" s="678"/>
      <c r="E87" s="679"/>
    </row>
    <row r="88" spans="1:5">
      <c r="A88" s="678"/>
      <c r="B88" s="678" t="s">
        <v>1219</v>
      </c>
      <c r="C88" s="679" t="s">
        <v>1220</v>
      </c>
      <c r="D88" s="678" t="s">
        <v>1149</v>
      </c>
      <c r="E88" s="679"/>
    </row>
    <row r="89" spans="1:5">
      <c r="A89" s="678"/>
      <c r="B89" s="678" t="s">
        <v>1221</v>
      </c>
      <c r="C89" s="679" t="s">
        <v>1222</v>
      </c>
      <c r="D89" s="678" t="s">
        <v>1149</v>
      </c>
      <c r="E89" s="679"/>
    </row>
    <row r="90" spans="1:5">
      <c r="A90" s="678"/>
      <c r="B90" s="678" t="s">
        <v>1223</v>
      </c>
      <c r="C90" s="679" t="s">
        <v>1224</v>
      </c>
      <c r="D90" s="678" t="s">
        <v>1149</v>
      </c>
      <c r="E90" s="679"/>
    </row>
    <row r="91" spans="1:5">
      <c r="A91" s="678"/>
      <c r="B91" s="678" t="s">
        <v>1225</v>
      </c>
      <c r="C91" s="679" t="s">
        <v>1226</v>
      </c>
      <c r="D91" s="678" t="s">
        <v>1149</v>
      </c>
      <c r="E91" s="679"/>
    </row>
    <row r="92" spans="1:5" ht="33.6">
      <c r="A92" s="1215">
        <v>21</v>
      </c>
      <c r="B92" s="1215" t="s">
        <v>1228</v>
      </c>
      <c r="C92" s="1214" t="s">
        <v>1295</v>
      </c>
      <c r="D92" s="678" t="s">
        <v>1073</v>
      </c>
      <c r="E92" s="679"/>
    </row>
    <row r="93" spans="1:5">
      <c r="A93" s="678">
        <v>22</v>
      </c>
      <c r="B93" s="678" t="s">
        <v>1229</v>
      </c>
      <c r="C93" s="679" t="s">
        <v>1230</v>
      </c>
      <c r="D93" s="678" t="s">
        <v>1232</v>
      </c>
      <c r="E93" s="679"/>
    </row>
    <row r="94" spans="1:5">
      <c r="A94" s="678">
        <v>23</v>
      </c>
      <c r="B94" s="678" t="s">
        <v>1233</v>
      </c>
      <c r="C94" s="679" t="s">
        <v>1234</v>
      </c>
      <c r="D94" s="678" t="s">
        <v>1235</v>
      </c>
      <c r="E94" s="679"/>
    </row>
    <row r="95" spans="1:5">
      <c r="A95" s="678">
        <v>24</v>
      </c>
      <c r="B95" s="678" t="s">
        <v>1239</v>
      </c>
      <c r="C95" s="679" t="s">
        <v>1237</v>
      </c>
      <c r="D95" s="678" t="s">
        <v>1232</v>
      </c>
      <c r="E95" s="679"/>
    </row>
    <row r="96" spans="1:5">
      <c r="A96" s="678">
        <v>25</v>
      </c>
      <c r="B96" s="678" t="s">
        <v>1240</v>
      </c>
      <c r="C96" s="679" t="s">
        <v>1263</v>
      </c>
      <c r="D96" s="678" t="s">
        <v>1232</v>
      </c>
      <c r="E96" s="679"/>
    </row>
    <row r="97" spans="1:5">
      <c r="A97" s="678">
        <v>26</v>
      </c>
      <c r="B97" s="678" t="s">
        <v>1241</v>
      </c>
      <c r="C97" s="679" t="s">
        <v>1039</v>
      </c>
      <c r="D97" s="678" t="s">
        <v>1232</v>
      </c>
      <c r="E97" s="679"/>
    </row>
    <row r="98" spans="1:5">
      <c r="A98" s="678">
        <v>27</v>
      </c>
      <c r="B98" s="678" t="s">
        <v>1242</v>
      </c>
      <c r="C98" s="679" t="s">
        <v>1243</v>
      </c>
      <c r="D98" s="678" t="s">
        <v>1232</v>
      </c>
      <c r="E98" s="679"/>
    </row>
    <row r="99" spans="1:5">
      <c r="A99" s="678">
        <v>28</v>
      </c>
      <c r="B99" s="678" t="s">
        <v>1245</v>
      </c>
      <c r="C99" s="679" t="s">
        <v>1246</v>
      </c>
      <c r="D99" s="678" t="s">
        <v>1247</v>
      </c>
      <c r="E99" s="679"/>
    </row>
  </sheetData>
  <mergeCells count="3">
    <mergeCell ref="A2:E2"/>
    <mergeCell ref="B8:E8"/>
    <mergeCell ref="B5:E5"/>
  </mergeCells>
  <pageMargins left="0.64" right="0.31" top="0.53" bottom="0.5" header="0.3" footer="0.3"/>
  <pageSetup orientation="portrait"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activeCell="D8" sqref="D8"/>
    </sheetView>
  </sheetViews>
  <sheetFormatPr defaultColWidth="8.90625" defaultRowHeight="16.8"/>
  <cols>
    <col min="1" max="1" width="4" style="582" customWidth="1"/>
    <col min="2" max="2" width="17.6328125" style="582" customWidth="1"/>
    <col min="3" max="3" width="8.453125" style="582" customWidth="1"/>
    <col min="4" max="4" width="37.90625" style="582" customWidth="1"/>
    <col min="5" max="5" width="9.81640625" style="582" customWidth="1"/>
    <col min="6" max="16384" width="8.90625" style="582"/>
  </cols>
  <sheetData>
    <row r="1" spans="1:7" ht="24.75" customHeight="1">
      <c r="A1" s="1315" t="s">
        <v>1326</v>
      </c>
      <c r="B1" s="1315"/>
      <c r="C1" s="1315"/>
      <c r="D1" s="1315"/>
      <c r="E1" s="1315"/>
    </row>
    <row r="2" spans="1:7">
      <c r="A2" s="677"/>
      <c r="B2" s="677"/>
      <c r="C2" s="677"/>
      <c r="D2" s="677"/>
      <c r="E2" s="677"/>
    </row>
    <row r="3" spans="1:7" ht="21" customHeight="1">
      <c r="A3" s="1216" t="s">
        <v>14</v>
      </c>
      <c r="B3" s="1216" t="s">
        <v>1297</v>
      </c>
      <c r="C3" s="1216" t="s">
        <v>481</v>
      </c>
      <c r="D3" s="1216" t="s">
        <v>1298</v>
      </c>
      <c r="E3" s="1216" t="s">
        <v>523</v>
      </c>
    </row>
    <row r="4" spans="1:7" ht="50.25" customHeight="1">
      <c r="A4" s="662" t="s">
        <v>378</v>
      </c>
      <c r="B4" s="1217" t="s">
        <v>1299</v>
      </c>
      <c r="C4" s="662"/>
      <c r="D4" s="1228" t="s">
        <v>1300</v>
      </c>
      <c r="E4" s="1218"/>
    </row>
    <row r="5" spans="1:7" ht="70.5" customHeight="1">
      <c r="A5" s="662" t="s">
        <v>335</v>
      </c>
      <c r="B5" s="1217" t="s">
        <v>1301</v>
      </c>
      <c r="C5" s="662"/>
      <c r="D5" s="1228" t="s">
        <v>1302</v>
      </c>
      <c r="E5" s="1218"/>
    </row>
    <row r="6" spans="1:7">
      <c r="A6" s="1207">
        <v>1</v>
      </c>
      <c r="B6" s="1221" t="s">
        <v>1318</v>
      </c>
      <c r="C6" s="1220" t="s">
        <v>1303</v>
      </c>
      <c r="D6" s="1206" t="s">
        <v>1305</v>
      </c>
      <c r="E6" s="1206"/>
    </row>
    <row r="7" spans="1:7">
      <c r="A7" s="1207">
        <v>2</v>
      </c>
      <c r="B7" s="1221" t="s">
        <v>1319</v>
      </c>
      <c r="C7" s="112" t="s">
        <v>1303</v>
      </c>
      <c r="D7" s="1206" t="s">
        <v>1320</v>
      </c>
      <c r="E7" s="1206"/>
    </row>
    <row r="8" spans="1:7" ht="70.5" customHeight="1">
      <c r="A8" s="646" t="s">
        <v>320</v>
      </c>
      <c r="B8" s="1222" t="s">
        <v>1306</v>
      </c>
      <c r="C8" s="646"/>
      <c r="D8" s="1229" t="s">
        <v>1327</v>
      </c>
      <c r="E8" s="679"/>
    </row>
    <row r="9" spans="1:7">
      <c r="A9" s="678">
        <v>1</v>
      </c>
      <c r="B9" s="1219" t="s">
        <v>1123</v>
      </c>
      <c r="C9" s="1225" t="s">
        <v>1309</v>
      </c>
      <c r="D9" s="1224" t="s">
        <v>1330</v>
      </c>
      <c r="E9" s="679"/>
    </row>
    <row r="10" spans="1:7">
      <c r="A10" s="678">
        <v>2</v>
      </c>
      <c r="B10" s="1219" t="s">
        <v>1197</v>
      </c>
      <c r="C10" s="1220" t="s">
        <v>218</v>
      </c>
      <c r="D10" s="1224" t="s">
        <v>1331</v>
      </c>
      <c r="E10" s="679"/>
      <c r="G10" s="1226"/>
    </row>
    <row r="11" spans="1:7">
      <c r="A11" s="678">
        <v>3</v>
      </c>
      <c r="B11" s="1219" t="s">
        <v>1122</v>
      </c>
      <c r="C11" s="1220" t="s">
        <v>1309</v>
      </c>
      <c r="D11" s="1224" t="s">
        <v>1329</v>
      </c>
      <c r="E11" s="679"/>
    </row>
    <row r="12" spans="1:7">
      <c r="A12" s="678">
        <v>4</v>
      </c>
      <c r="B12" s="1219" t="s">
        <v>1133</v>
      </c>
      <c r="C12" s="1220" t="s">
        <v>1308</v>
      </c>
      <c r="D12" s="1224" t="s">
        <v>1304</v>
      </c>
      <c r="E12" s="679"/>
    </row>
    <row r="13" spans="1:7">
      <c r="A13" s="678">
        <v>5</v>
      </c>
      <c r="B13" s="1219" t="s">
        <v>1134</v>
      </c>
      <c r="C13" s="1220" t="s">
        <v>1309</v>
      </c>
      <c r="D13" s="1224" t="s">
        <v>1304</v>
      </c>
      <c r="E13" s="679"/>
    </row>
    <row r="14" spans="1:7">
      <c r="A14" s="678">
        <v>6</v>
      </c>
      <c r="B14" s="1219" t="s">
        <v>1135</v>
      </c>
      <c r="C14" s="1220" t="s">
        <v>1307</v>
      </c>
      <c r="D14" s="1224" t="s">
        <v>1304</v>
      </c>
      <c r="E14" s="679"/>
    </row>
    <row r="15" spans="1:7">
      <c r="A15" s="678">
        <v>7</v>
      </c>
      <c r="B15" s="1219" t="s">
        <v>1136</v>
      </c>
      <c r="C15" s="1220" t="s">
        <v>1307</v>
      </c>
      <c r="D15" s="1224" t="s">
        <v>1304</v>
      </c>
      <c r="E15" s="679"/>
    </row>
  </sheetData>
  <mergeCells count="1">
    <mergeCell ref="A1:E1"/>
  </mergeCells>
  <pageMargins left="0.7" right="0.42" top="0.75" bottom="0.75" header="0.3" footer="0.3"/>
  <pageSetup orientation="portrait"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election activeCell="G9" sqref="G9"/>
    </sheetView>
  </sheetViews>
  <sheetFormatPr defaultColWidth="8.90625" defaultRowHeight="15.6"/>
  <cols>
    <col min="1" max="1" width="4.6328125" style="574" customWidth="1"/>
    <col min="2" max="2" width="21.1796875" style="574" customWidth="1"/>
    <col min="3" max="3" width="30.453125" style="574" customWidth="1"/>
    <col min="4" max="4" width="11.54296875" style="574" customWidth="1"/>
    <col min="5" max="16384" width="8.90625" style="574"/>
  </cols>
  <sheetData>
    <row r="1" spans="1:4" ht="17.399999999999999">
      <c r="A1" s="1419" t="s">
        <v>1310</v>
      </c>
      <c r="B1" s="1419"/>
      <c r="C1" s="1419"/>
      <c r="D1" s="1419"/>
    </row>
    <row r="2" spans="1:4" ht="16.8">
      <c r="A2" s="1208" t="s">
        <v>14</v>
      </c>
      <c r="B2" s="1208" t="s">
        <v>1297</v>
      </c>
      <c r="C2" s="1216" t="s">
        <v>1298</v>
      </c>
      <c r="D2" s="1216" t="s">
        <v>523</v>
      </c>
    </row>
    <row r="3" spans="1:4" ht="30" customHeight="1">
      <c r="A3" s="199">
        <v>1</v>
      </c>
      <c r="B3" s="1218" t="s">
        <v>1311</v>
      </c>
      <c r="C3" s="1465" t="s">
        <v>1328</v>
      </c>
      <c r="D3" s="1218"/>
    </row>
    <row r="4" spans="1:4" ht="30" customHeight="1">
      <c r="A4" s="199">
        <v>2</v>
      </c>
      <c r="B4" s="1218" t="s">
        <v>1312</v>
      </c>
      <c r="C4" s="1466"/>
      <c r="D4" s="1206"/>
    </row>
    <row r="5" spans="1:4" ht="30" customHeight="1">
      <c r="A5" s="199">
        <v>3</v>
      </c>
      <c r="B5" s="1218" t="s">
        <v>1313</v>
      </c>
      <c r="C5" s="1466"/>
      <c r="D5" s="1218"/>
    </row>
    <row r="6" spans="1:4" ht="30" customHeight="1">
      <c r="A6" s="199">
        <v>4</v>
      </c>
      <c r="B6" s="1218" t="s">
        <v>1314</v>
      </c>
      <c r="C6" s="1466"/>
      <c r="D6" s="1206"/>
    </row>
    <row r="7" spans="1:4" ht="30" customHeight="1">
      <c r="A7" s="199">
        <v>5</v>
      </c>
      <c r="B7" s="1223" t="s">
        <v>1315</v>
      </c>
      <c r="C7" s="1466"/>
      <c r="D7" s="1206"/>
    </row>
    <row r="8" spans="1:4" ht="30" customHeight="1">
      <c r="A8" s="199">
        <v>6</v>
      </c>
      <c r="B8" s="1218" t="s">
        <v>1316</v>
      </c>
      <c r="C8" s="1466"/>
      <c r="D8" s="1206"/>
    </row>
    <row r="9" spans="1:4" ht="30" customHeight="1">
      <c r="A9" s="199">
        <v>7</v>
      </c>
      <c r="B9" s="1223" t="s">
        <v>1317</v>
      </c>
      <c r="C9" s="1467"/>
      <c r="D9" s="1206"/>
    </row>
  </sheetData>
  <mergeCells count="2">
    <mergeCell ref="A1:D1"/>
    <mergeCell ref="C3:C9"/>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7</vt:i4>
      </vt:variant>
    </vt:vector>
  </HeadingPairs>
  <TitlesOfParts>
    <vt:vector size="39" baseType="lpstr">
      <vt:lpstr>KL-NOTP</vt:lpstr>
      <vt:lpstr>THKP</vt:lpstr>
      <vt:lpstr>KPXD</vt:lpstr>
      <vt:lpstr>THKL</vt:lpstr>
      <vt:lpstr>KLTB</vt:lpstr>
      <vt:lpstr>CPTB</vt:lpstr>
      <vt:lpstr>DTCT</vt:lpstr>
      <vt:lpstr>PTDG</vt:lpstr>
      <vt:lpstr>THVL</vt:lpstr>
      <vt:lpstr>PTVT</vt:lpstr>
      <vt:lpstr>PLBGHĐ</vt:lpstr>
      <vt:lpstr>ĐONGIATĐ</vt:lpstr>
      <vt:lpstr>PL CTĐG</vt:lpstr>
      <vt:lpstr>Sheet2</vt:lpstr>
      <vt:lpstr>THĐGTĐ</vt:lpstr>
      <vt:lpstr>PTĐGTĐ</vt:lpstr>
      <vt:lpstr>THCĐ</vt:lpstr>
      <vt:lpstr>KLCT MC+KCG</vt:lpstr>
      <vt:lpstr>KLCT VSM +PQCD</vt:lpstr>
      <vt:lpstr>Mặt biển phàn quang 1</vt:lpstr>
      <vt:lpstr>CPKS</vt:lpstr>
      <vt:lpstr>Mặt biển phản quang 2</vt:lpstr>
      <vt:lpstr>số lượng cầu</vt:lpstr>
      <vt:lpstr>coc tiêu,km, biển báo</vt:lpstr>
      <vt:lpstr>TH phao,</vt:lpstr>
      <vt:lpstr>TH BH</vt:lpstr>
      <vt:lpstr>TH rãnh kín</vt:lpstr>
      <vt:lpstr>Sheet1</vt:lpstr>
      <vt:lpstr>Sheet3</vt:lpstr>
      <vt:lpstr>danh mục định mức</vt:lpstr>
      <vt:lpstr>Thuyết minh đơn giá</vt:lpstr>
      <vt:lpstr>Thuyết minh công thức</vt:lpstr>
      <vt:lpstr>CPTB!Print_Titles</vt:lpstr>
      <vt:lpstr>DTCT!Print_Titles</vt:lpstr>
      <vt:lpstr>KLTB!Print_Titles</vt:lpstr>
      <vt:lpstr>'PL CTĐG'!Print_Titles</vt:lpstr>
      <vt:lpstr>PTDG!Print_Titles</vt:lpstr>
      <vt:lpstr>PTVT!Print_Titles</vt:lpstr>
      <vt:lpstr>THKL!Print_Titles</vt:lpstr>
    </vt:vector>
  </TitlesOfParts>
  <Company>TBVP DAI HAI - Vinh Long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 Chinh......</dc:creator>
  <cp:lastModifiedBy>HP</cp:lastModifiedBy>
  <cp:lastPrinted>2024-12-30T06:55:29Z</cp:lastPrinted>
  <dcterms:created xsi:type="dcterms:W3CDTF">2000-12-11T20:34:23Z</dcterms:created>
  <dcterms:modified xsi:type="dcterms:W3CDTF">2024-12-31T00:41:40Z</dcterms:modified>
</cp:coreProperties>
</file>

<file path=package/services/digital-signature/_rels/origin.psdsor.rels>&#65279;<?xml version="1.0" encoding="utf-8"?><Relationships xmlns="http://schemas.openxmlformats.org/package/2006/relationships"><Relationship Type="http://schemas.openxmlformats.org/package/2006/relationships/digital-signature/signature" Target="/package/services/digital-signature/xml-signature/48506a4e34f040f0aea69d318689aaea.psdsxs" Id="Rae40fce74af74b4b" /></Relationships>
</file>