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de9db1d798ee47cc" /></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32" yWindow="-216" windowWidth="10668" windowHeight="8400" tabRatio="419" firstSheet="3" activeTab="3"/>
  </bookViews>
  <sheets>
    <sheet name="DT trinh GD" sheetId="41" state="hidden" r:id="rId1"/>
    <sheet name="00000000" sheetId="16" state="veryHidden" r:id="rId2"/>
    <sheet name="00000001" sheetId="21" state="veryHidden" r:id="rId3"/>
    <sheet name="Bieu so 01" sheetId="48" r:id="rId4"/>
    <sheet name="Bieu so 02" sheetId="49" r:id="rId5"/>
    <sheet name="Bieu so 03" sheetId="50" r:id="rId6"/>
    <sheet name="Bieu so 04" sheetId="51" r:id="rId7"/>
    <sheet name="Bieu so 05" sheetId="52" r:id="rId8"/>
    <sheet name="Bieu so 06" sheetId="53" r:id="rId9"/>
    <sheet name="Bieu so 07" sheetId="43" state="hidden" r:id="rId10"/>
    <sheet name="Sheet1" sheetId="44" state="hidden" r:id="rId11"/>
    <sheet name="Bieu so 07 New" sheetId="54" r:id="rId12"/>
    <sheet name="Bieu so 08" sheetId="46" r:id="rId13"/>
    <sheet name="Phu luc chi tiet bieu so 8" sheetId="55" r:id="rId14"/>
    <sheet name="Bieu 9" sheetId="56" r:id="rId15"/>
    <sheet name="Giảm hỗ trợ NS" sheetId="45" state="hidden" r:id="rId16"/>
    <sheet name="QUỸ THƯỞNG" sheetId="47" state="hidden" r:id="rId17"/>
  </sheets>
  <externalReferences>
    <externalReference r:id="rId18"/>
    <externalReference r:id="rId19"/>
    <externalReference r:id="rId20"/>
  </externalReferences>
  <definedNames>
    <definedName name="__a1" hidden="1">{"'Sheet1'!$L$16"}</definedName>
    <definedName name="__PA3" hidden="1">{"'Sheet1'!$L$16"}</definedName>
    <definedName name="_dam24" localSheetId="2">[1]GIAVLIEU!$M$51</definedName>
    <definedName name="_dam24">[2]GIAVLIEU!$M$51</definedName>
    <definedName name="_Fill" localSheetId="2" hidden="1">#REF!</definedName>
    <definedName name="_Fill" localSheetId="4" hidden="1">#REF!</definedName>
    <definedName name="_Fill" localSheetId="11" hidden="1">#REF!</definedName>
    <definedName name="_Fill" hidden="1">#REF!</definedName>
    <definedName name="_Key1" hidden="1">#REF!</definedName>
    <definedName name="_Key2" hidden="1">#REF!</definedName>
    <definedName name="_KL3" localSheetId="11">#REF!</definedName>
    <definedName name="_KL3">#REF!</definedName>
    <definedName name="_Order1" hidden="1">255</definedName>
    <definedName name="_Order2" hidden="1">255</definedName>
    <definedName name="_Sort" hidden="1">#REF!</definedName>
    <definedName name="_TVL3" localSheetId="11">#REF!</definedName>
    <definedName name="_TVL3">#REF!</definedName>
    <definedName name="anscount" hidden="1">3</definedName>
    <definedName name="BCBo" hidden="1">{"'Sheet1'!$L$16"}</definedName>
    <definedName name="CTCT1" hidden="1">{"'Sheet1'!$L$16"}</definedName>
    <definedName name="go" localSheetId="2">[1]GIAVLIEU!$M$70</definedName>
    <definedName name="go">[2]GIAVLIEU!$M$70</definedName>
    <definedName name="goi" localSheetId="2">[1]GIAVLIEU!$M$67</definedName>
    <definedName name="goi">[2]GIAVLIEU!$M$67</definedName>
    <definedName name="HS" localSheetId="2">#REF!</definedName>
    <definedName name="HS">#REF!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KL" localSheetId="11">#REF!</definedName>
    <definedName name="KL">#REF!</definedName>
    <definedName name="_xlnm.Print_Area" localSheetId="9">'Bieu so 07'!$A$1:$AE$88</definedName>
    <definedName name="_xlnm.Print_Area" localSheetId="11">'Bieu so 07 New'!$A$1:$AE$92</definedName>
    <definedName name="_xlnm.Print_Titles" localSheetId="14">'Bieu 9'!$5:$7</definedName>
    <definedName name="_xlnm.Print_Titles" localSheetId="3">'Bieu so 01'!$5:$6</definedName>
    <definedName name="_xlnm.Print_Titles" localSheetId="4">'Bieu so 02'!$6:$7</definedName>
    <definedName name="_xlnm.Print_Titles" localSheetId="5">'Bieu so 03'!$6:$7</definedName>
    <definedName name="_xlnm.Print_Titles" localSheetId="6">'Bieu so 04'!$5:$5</definedName>
    <definedName name="_xlnm.Print_Titles" localSheetId="7">'Bieu so 05'!$5:$6</definedName>
    <definedName name="_xlnm.Print_Titles" localSheetId="8">'Bieu so 06'!$5:$6</definedName>
    <definedName name="_xlnm.Print_Titles" localSheetId="9">'Bieu so 07'!$5:$8</definedName>
    <definedName name="_xlnm.Print_Titles" localSheetId="11">'Bieu so 07 New'!$5:$8</definedName>
    <definedName name="_xlnm.Print_Titles" localSheetId="12">'Bieu so 08'!$5:$6</definedName>
    <definedName name="_xlnm.Print_Titles" localSheetId="0">'DT trinh GD'!$6:$9</definedName>
    <definedName name="_xlnm.Print_Titles" localSheetId="13">'Phu luc chi tiet bieu so 8'!$4:$6</definedName>
    <definedName name="_xlnm.Print_Titles" localSheetId="16">'QUỸ THƯỞNG'!$4:$6</definedName>
    <definedName name="theph" localSheetId="2">[1]GIAVLIEU!$M$41</definedName>
    <definedName name="theph">[2]GIAVLIEU!$M$41</definedName>
    <definedName name="TVL">#REF!</definedName>
    <definedName name="wrn.chi._.tiÆt." hidden="1">{#N/A,#N/A,FALSE,"Chi tiÆt"}</definedName>
    <definedName name="yyyyyyyyyyyyyyyyyyyyyyyyyyyyyyyy" hidden="1">#REF!</definedName>
  </definedNames>
  <calcPr calcId="144525"/>
</workbook>
</file>

<file path=xl/calcChain.xml><?xml version="1.0" encoding="utf-8"?>
<calcChain xmlns="http://schemas.openxmlformats.org/spreadsheetml/2006/main">
  <c r="I31" i="56" l="1"/>
  <c r="H31" i="56"/>
  <c r="G31" i="56"/>
  <c r="F31" i="56"/>
  <c r="E31" i="56"/>
  <c r="D31" i="56"/>
  <c r="I27" i="56"/>
  <c r="H27" i="56"/>
  <c r="H26" i="56" s="1"/>
  <c r="H9" i="56" s="1"/>
  <c r="G27" i="56"/>
  <c r="G26" i="56" s="1"/>
  <c r="F27" i="56"/>
  <c r="F26" i="56" s="1"/>
  <c r="E27" i="56"/>
  <c r="E26" i="56" s="1"/>
  <c r="I26" i="56"/>
  <c r="I10" i="56"/>
  <c r="H10" i="56"/>
  <c r="G10" i="56"/>
  <c r="F10" i="56"/>
  <c r="E10" i="56"/>
  <c r="D10" i="56"/>
  <c r="D9" i="56" s="1"/>
  <c r="I9" i="56"/>
  <c r="D125" i="55"/>
  <c r="D124" i="55"/>
  <c r="D123" i="55"/>
  <c r="D122" i="55"/>
  <c r="D121" i="55"/>
  <c r="D120" i="55"/>
  <c r="I119" i="55"/>
  <c r="I100" i="55" s="1"/>
  <c r="I99" i="55" s="1"/>
  <c r="G119" i="55"/>
  <c r="F119" i="55"/>
  <c r="E119" i="55"/>
  <c r="D119" i="55" s="1"/>
  <c r="D118" i="55"/>
  <c r="D117" i="55"/>
  <c r="I116" i="55"/>
  <c r="G116" i="55"/>
  <c r="F116" i="55"/>
  <c r="E116" i="55"/>
  <c r="D116" i="55"/>
  <c r="D115" i="55"/>
  <c r="D114" i="55"/>
  <c r="D113" i="55"/>
  <c r="D112" i="55"/>
  <c r="D111" i="55"/>
  <c r="D110" i="55"/>
  <c r="D109" i="55"/>
  <c r="D108" i="55"/>
  <c r="D107" i="55"/>
  <c r="D106" i="55"/>
  <c r="D105" i="55"/>
  <c r="D104" i="55"/>
  <c r="D103" i="55"/>
  <c r="D102" i="55"/>
  <c r="I101" i="55"/>
  <c r="D101" i="55" s="1"/>
  <c r="H101" i="55"/>
  <c r="G101" i="55"/>
  <c r="F101" i="55"/>
  <c r="E101" i="55"/>
  <c r="H100" i="55"/>
  <c r="H99" i="55" s="1"/>
  <c r="G100" i="55"/>
  <c r="G99" i="55" s="1"/>
  <c r="F100" i="55"/>
  <c r="F99" i="55" s="1"/>
  <c r="E100" i="55"/>
  <c r="E99" i="55" s="1"/>
  <c r="D99" i="55" s="1"/>
  <c r="D98" i="55"/>
  <c r="D97" i="55"/>
  <c r="D96" i="55"/>
  <c r="I95" i="55"/>
  <c r="I94" i="55" s="1"/>
  <c r="H95" i="55"/>
  <c r="H94" i="55" s="1"/>
  <c r="G95" i="55"/>
  <c r="G94" i="55" s="1"/>
  <c r="D94" i="55" s="1"/>
  <c r="F95" i="55"/>
  <c r="E95" i="55"/>
  <c r="D95" i="55" s="1"/>
  <c r="F94" i="55"/>
  <c r="E94" i="55"/>
  <c r="D93" i="55"/>
  <c r="D92" i="55"/>
  <c r="D91" i="55"/>
  <c r="I90" i="55"/>
  <c r="D90" i="55" s="1"/>
  <c r="G90" i="55"/>
  <c r="F90" i="55"/>
  <c r="E90" i="55"/>
  <c r="D89" i="55"/>
  <c r="I88" i="55"/>
  <c r="F88" i="55"/>
  <c r="F85" i="55" s="1"/>
  <c r="E88" i="55"/>
  <c r="E85" i="55" s="1"/>
  <c r="D88" i="55"/>
  <c r="D87" i="55"/>
  <c r="D86" i="55" s="1"/>
  <c r="I86" i="55"/>
  <c r="G86" i="55"/>
  <c r="G85" i="55" s="1"/>
  <c r="F86" i="55"/>
  <c r="E86" i="55"/>
  <c r="D84" i="55"/>
  <c r="D83" i="55"/>
  <c r="D82" i="55"/>
  <c r="I81" i="55"/>
  <c r="D81" i="55" s="1"/>
  <c r="G81" i="55"/>
  <c r="F81" i="55"/>
  <c r="E81" i="55"/>
  <c r="D80" i="55"/>
  <c r="D79" i="55"/>
  <c r="D78" i="55"/>
  <c r="I77" i="55"/>
  <c r="I76" i="55" s="1"/>
  <c r="G77" i="55"/>
  <c r="G76" i="55" s="1"/>
  <c r="F77" i="55"/>
  <c r="F76" i="55" s="1"/>
  <c r="E77" i="55"/>
  <c r="D77" i="55" s="1"/>
  <c r="D75" i="55"/>
  <c r="D74" i="55"/>
  <c r="I73" i="55"/>
  <c r="G73" i="55"/>
  <c r="F73" i="55"/>
  <c r="E73" i="55"/>
  <c r="D73" i="55" s="1"/>
  <c r="D72" i="55"/>
  <c r="D71" i="55"/>
  <c r="D70" i="55"/>
  <c r="D69" i="55"/>
  <c r="D68" i="55"/>
  <c r="I67" i="55"/>
  <c r="G67" i="55"/>
  <c r="F67" i="55"/>
  <c r="E67" i="55"/>
  <c r="D67" i="55"/>
  <c r="D66" i="55"/>
  <c r="I65" i="55"/>
  <c r="D65" i="55" s="1"/>
  <c r="G65" i="55"/>
  <c r="F65" i="55"/>
  <c r="E65" i="55"/>
  <c r="D64" i="55"/>
  <c r="D63" i="55"/>
  <c r="I62" i="55"/>
  <c r="I61" i="55" s="1"/>
  <c r="G62" i="55"/>
  <c r="G61" i="55" s="1"/>
  <c r="F62" i="55"/>
  <c r="F61" i="55" s="1"/>
  <c r="E62" i="55"/>
  <c r="E61" i="55" s="1"/>
  <c r="D61" i="55" s="1"/>
  <c r="D60" i="55"/>
  <c r="D59" i="55"/>
  <c r="D58" i="55"/>
  <c r="D57" i="55"/>
  <c r="D56" i="55"/>
  <c r="I55" i="55"/>
  <c r="I54" i="55" s="1"/>
  <c r="F55" i="55"/>
  <c r="F54" i="55" s="1"/>
  <c r="E55" i="55"/>
  <c r="D55" i="55" s="1"/>
  <c r="G54" i="55"/>
  <c r="D53" i="55"/>
  <c r="I52" i="55"/>
  <c r="I51" i="55" s="1"/>
  <c r="G52" i="55"/>
  <c r="G51" i="55" s="1"/>
  <c r="F52" i="55"/>
  <c r="D52" i="55" s="1"/>
  <c r="E52" i="55"/>
  <c r="E51" i="55" s="1"/>
  <c r="D50" i="55"/>
  <c r="D49" i="55"/>
  <c r="D48" i="55"/>
  <c r="D47" i="55"/>
  <c r="D46" i="55"/>
  <c r="I45" i="55"/>
  <c r="I20" i="55" s="1"/>
  <c r="F45" i="55"/>
  <c r="E45" i="55"/>
  <c r="D45" i="55" s="1"/>
  <c r="D44" i="55"/>
  <c r="D43" i="55"/>
  <c r="D42" i="55"/>
  <c r="D41" i="55"/>
  <c r="I40" i="55"/>
  <c r="G40" i="55"/>
  <c r="F40" i="55"/>
  <c r="D40" i="55" s="1"/>
  <c r="E40" i="55"/>
  <c r="D39" i="55"/>
  <c r="D38" i="55"/>
  <c r="I37" i="55"/>
  <c r="G37" i="55"/>
  <c r="F37" i="55"/>
  <c r="E37" i="55"/>
  <c r="D37" i="55"/>
  <c r="D36" i="55"/>
  <c r="D35" i="55"/>
  <c r="D34" i="55"/>
  <c r="D33" i="55"/>
  <c r="D32" i="55"/>
  <c r="D31" i="55"/>
  <c r="D30" i="55"/>
  <c r="D29" i="55"/>
  <c r="I28" i="55"/>
  <c r="G28" i="55"/>
  <c r="F28" i="55"/>
  <c r="E28" i="55"/>
  <c r="D28" i="55"/>
  <c r="D27" i="55"/>
  <c r="D26" i="55"/>
  <c r="D25" i="55"/>
  <c r="D24" i="55"/>
  <c r="D23" i="55"/>
  <c r="D22" i="55"/>
  <c r="I21" i="55"/>
  <c r="G21" i="55"/>
  <c r="F21" i="55"/>
  <c r="E21" i="55"/>
  <c r="D21" i="55"/>
  <c r="G20" i="55"/>
  <c r="F20" i="55"/>
  <c r="E20" i="55"/>
  <c r="D20" i="55" s="1"/>
  <c r="D19" i="55"/>
  <c r="I18" i="55"/>
  <c r="G18" i="55"/>
  <c r="F18" i="55"/>
  <c r="E18" i="55"/>
  <c r="D18" i="55"/>
  <c r="D17" i="55"/>
  <c r="I16" i="55"/>
  <c r="I15" i="55" s="1"/>
  <c r="G16" i="55"/>
  <c r="G15" i="55" s="1"/>
  <c r="F16" i="55"/>
  <c r="F15" i="55" s="1"/>
  <c r="E16" i="55"/>
  <c r="E15" i="55" s="1"/>
  <c r="D15" i="55" s="1"/>
  <c r="D14" i="55"/>
  <c r="D13" i="55"/>
  <c r="D12" i="55"/>
  <c r="D11" i="55"/>
  <c r="I10" i="55"/>
  <c r="I9" i="55" s="1"/>
  <c r="G10" i="55"/>
  <c r="G9" i="55" s="1"/>
  <c r="F10" i="55"/>
  <c r="D10" i="55" s="1"/>
  <c r="E10" i="55"/>
  <c r="E9" i="55" s="1"/>
  <c r="D51" i="55" l="1"/>
  <c r="E9" i="56"/>
  <c r="G8" i="55"/>
  <c r="H8" i="55"/>
  <c r="F9" i="56"/>
  <c r="G9" i="56"/>
  <c r="D85" i="55"/>
  <c r="D9" i="55"/>
  <c r="E8" i="55"/>
  <c r="I8" i="55"/>
  <c r="D16" i="55"/>
  <c r="D62" i="55"/>
  <c r="D100" i="55"/>
  <c r="I85" i="55"/>
  <c r="F51" i="55"/>
  <c r="E54" i="55"/>
  <c r="D54" i="55" s="1"/>
  <c r="F9" i="55"/>
  <c r="F8" i="55" s="1"/>
  <c r="E76" i="55"/>
  <c r="D76" i="55" s="1"/>
  <c r="D8" i="55" l="1"/>
  <c r="A3" i="54" l="1"/>
  <c r="AE88" i="54"/>
  <c r="AD88" i="54"/>
  <c r="AC88" i="54"/>
  <c r="AB88" i="54"/>
  <c r="AA88" i="54"/>
  <c r="Z88" i="54"/>
  <c r="Y88" i="54"/>
  <c r="X88" i="54"/>
  <c r="W88" i="54"/>
  <c r="V88" i="54"/>
  <c r="U88" i="54"/>
  <c r="T88" i="54"/>
  <c r="S88" i="54"/>
  <c r="R88" i="54"/>
  <c r="Q88" i="54"/>
  <c r="P88" i="54"/>
  <c r="O88" i="54"/>
  <c r="N88" i="54"/>
  <c r="M88" i="54"/>
  <c r="L88" i="54"/>
  <c r="K88" i="54"/>
  <c r="J88" i="54"/>
  <c r="I88" i="54"/>
  <c r="H88" i="54"/>
  <c r="G88" i="54"/>
  <c r="F88" i="54"/>
  <c r="D88" i="54"/>
  <c r="C88" i="54" s="1"/>
  <c r="B88" i="54"/>
  <c r="A88" i="54"/>
  <c r="Y87" i="54"/>
  <c r="G87" i="54"/>
  <c r="D87" i="54"/>
  <c r="C87" i="54" s="1"/>
  <c r="X86" i="54"/>
  <c r="G86" i="54"/>
  <c r="C86" i="54" s="1"/>
  <c r="B86" i="54"/>
  <c r="A86" i="54"/>
  <c r="G85" i="54"/>
  <c r="F85" i="54"/>
  <c r="E85" i="54"/>
  <c r="E88" i="54" s="1"/>
  <c r="D85" i="54"/>
  <c r="C85" i="54"/>
  <c r="B85" i="54"/>
  <c r="A85" i="54"/>
  <c r="AB84" i="54"/>
  <c r="N84" i="54"/>
  <c r="G84" i="54"/>
  <c r="D84" i="54"/>
  <c r="C84" i="54" s="1"/>
  <c r="B84" i="54"/>
  <c r="A84" i="54"/>
  <c r="AE83" i="54"/>
  <c r="X83" i="54"/>
  <c r="W83" i="54"/>
  <c r="V83" i="54"/>
  <c r="U83" i="54"/>
  <c r="T83" i="54"/>
  <c r="S83" i="54"/>
  <c r="R83" i="54"/>
  <c r="Q83" i="54"/>
  <c r="P83" i="54"/>
  <c r="O83" i="54"/>
  <c r="N83" i="54"/>
  <c r="M83" i="54"/>
  <c r="L83" i="54"/>
  <c r="K83" i="54"/>
  <c r="J83" i="54"/>
  <c r="I83" i="54"/>
  <c r="H83" i="54"/>
  <c r="G83" i="54"/>
  <c r="F83" i="54"/>
  <c r="D83" i="54"/>
  <c r="C83" i="54" s="1"/>
  <c r="B83" i="54"/>
  <c r="A83" i="54"/>
  <c r="AE82" i="54"/>
  <c r="AA82" i="54"/>
  <c r="X82" i="54"/>
  <c r="W82" i="54"/>
  <c r="V82" i="54"/>
  <c r="U82" i="54"/>
  <c r="T82" i="54"/>
  <c r="S82" i="54"/>
  <c r="R82" i="54"/>
  <c r="Q82" i="54"/>
  <c r="P82" i="54"/>
  <c r="O82" i="54"/>
  <c r="N82" i="54"/>
  <c r="M82" i="54"/>
  <c r="L82" i="54"/>
  <c r="K82" i="54"/>
  <c r="J82" i="54"/>
  <c r="I82" i="54"/>
  <c r="H82" i="54"/>
  <c r="G82" i="54"/>
  <c r="F82" i="54"/>
  <c r="D82" i="54"/>
  <c r="C82" i="54"/>
  <c r="B82" i="54"/>
  <c r="A82" i="54"/>
  <c r="AE81" i="54"/>
  <c r="X81" i="54"/>
  <c r="W81" i="54"/>
  <c r="V81" i="54"/>
  <c r="U81" i="54"/>
  <c r="T81" i="54"/>
  <c r="S81" i="54"/>
  <c r="R81" i="54"/>
  <c r="Q81" i="54"/>
  <c r="P81" i="54"/>
  <c r="O81" i="54"/>
  <c r="N81" i="54"/>
  <c r="M81" i="54"/>
  <c r="L81" i="54"/>
  <c r="K81" i="54"/>
  <c r="J81" i="54"/>
  <c r="I81" i="54"/>
  <c r="H81" i="54"/>
  <c r="G81" i="54"/>
  <c r="F81" i="54"/>
  <c r="D81" i="54"/>
  <c r="C81" i="54"/>
  <c r="B81" i="54"/>
  <c r="A81" i="54"/>
  <c r="AE80" i="54"/>
  <c r="X80" i="54"/>
  <c r="W80" i="54"/>
  <c r="V80" i="54"/>
  <c r="U80" i="54"/>
  <c r="T80" i="54"/>
  <c r="S80" i="54"/>
  <c r="R80" i="54"/>
  <c r="Q80" i="54"/>
  <c r="P80" i="54"/>
  <c r="O80" i="54"/>
  <c r="N80" i="54"/>
  <c r="M80" i="54"/>
  <c r="L80" i="54"/>
  <c r="K80" i="54"/>
  <c r="J80" i="54"/>
  <c r="I80" i="54"/>
  <c r="H80" i="54"/>
  <c r="G80" i="54"/>
  <c r="F80" i="54"/>
  <c r="D80" i="54"/>
  <c r="C80" i="54"/>
  <c r="B80" i="54"/>
  <c r="A80" i="54"/>
  <c r="AE79" i="54"/>
  <c r="X79" i="54"/>
  <c r="W79" i="54"/>
  <c r="V79" i="54"/>
  <c r="U79" i="54"/>
  <c r="T79" i="54"/>
  <c r="S79" i="54"/>
  <c r="R79" i="54"/>
  <c r="Q79" i="54"/>
  <c r="P79" i="54"/>
  <c r="O79" i="54"/>
  <c r="N79" i="54"/>
  <c r="M79" i="54"/>
  <c r="L79" i="54"/>
  <c r="K79" i="54"/>
  <c r="J79" i="54"/>
  <c r="I79" i="54"/>
  <c r="H79" i="54"/>
  <c r="G79" i="54"/>
  <c r="F79" i="54"/>
  <c r="D79" i="54"/>
  <c r="C79" i="54"/>
  <c r="B79" i="54"/>
  <c r="A79" i="54"/>
  <c r="AE78" i="54"/>
  <c r="X78" i="54"/>
  <c r="W78" i="54"/>
  <c r="V78" i="54"/>
  <c r="U78" i="54"/>
  <c r="T78" i="54"/>
  <c r="S78" i="54"/>
  <c r="R78" i="54"/>
  <c r="Q78" i="54"/>
  <c r="P78" i="54"/>
  <c r="O78" i="54"/>
  <c r="N78" i="54"/>
  <c r="M78" i="54"/>
  <c r="L78" i="54"/>
  <c r="K78" i="54"/>
  <c r="J78" i="54"/>
  <c r="I78" i="54"/>
  <c r="H78" i="54"/>
  <c r="G78" i="54"/>
  <c r="F78" i="54"/>
  <c r="D78" i="54"/>
  <c r="C78" i="54"/>
  <c r="B78" i="54"/>
  <c r="A78" i="54"/>
  <c r="AE77" i="54"/>
  <c r="X77" i="54"/>
  <c r="W77" i="54"/>
  <c r="V77" i="54"/>
  <c r="U77" i="54"/>
  <c r="T77" i="54"/>
  <c r="S77" i="54"/>
  <c r="R77" i="54"/>
  <c r="Q77" i="54"/>
  <c r="P77" i="54"/>
  <c r="O77" i="54"/>
  <c r="N77" i="54"/>
  <c r="M77" i="54"/>
  <c r="L77" i="54"/>
  <c r="K77" i="54"/>
  <c r="J77" i="54"/>
  <c r="I77" i="54"/>
  <c r="H77" i="54"/>
  <c r="G77" i="54"/>
  <c r="F77" i="54"/>
  <c r="D77" i="54"/>
  <c r="C77" i="54"/>
  <c r="B77" i="54"/>
  <c r="A77" i="54"/>
  <c r="AE76" i="54"/>
  <c r="X76" i="54"/>
  <c r="W76" i="54"/>
  <c r="V76" i="54"/>
  <c r="U76" i="54"/>
  <c r="T76" i="54"/>
  <c r="S76" i="54"/>
  <c r="R76" i="54"/>
  <c r="Q76" i="54"/>
  <c r="P76" i="54"/>
  <c r="O76" i="54"/>
  <c r="N76" i="54"/>
  <c r="M76" i="54"/>
  <c r="L76" i="54"/>
  <c r="K76" i="54"/>
  <c r="J76" i="54"/>
  <c r="I76" i="54"/>
  <c r="H76" i="54"/>
  <c r="G76" i="54"/>
  <c r="F76" i="54"/>
  <c r="D76" i="54"/>
  <c r="C76" i="54"/>
  <c r="B76" i="54"/>
  <c r="AE75" i="54"/>
  <c r="X75" i="54"/>
  <c r="W75" i="54"/>
  <c r="V75" i="54"/>
  <c r="U75" i="54"/>
  <c r="T75" i="54"/>
  <c r="S75" i="54"/>
  <c r="R75" i="54"/>
  <c r="Q75" i="54"/>
  <c r="P75" i="54"/>
  <c r="O75" i="54"/>
  <c r="N75" i="54"/>
  <c r="M75" i="54"/>
  <c r="L75" i="54"/>
  <c r="K75" i="54"/>
  <c r="J75" i="54"/>
  <c r="I75" i="54"/>
  <c r="H75" i="54"/>
  <c r="G75" i="54"/>
  <c r="F75" i="54"/>
  <c r="D75" i="54"/>
  <c r="C75" i="54" s="1"/>
  <c r="B75" i="54"/>
  <c r="AE74" i="54"/>
  <c r="Z74" i="54"/>
  <c r="X74" i="54"/>
  <c r="W74" i="54"/>
  <c r="V74" i="54"/>
  <c r="U74" i="54"/>
  <c r="T74" i="54"/>
  <c r="S74" i="54"/>
  <c r="R74" i="54"/>
  <c r="Q74" i="54"/>
  <c r="P74" i="54"/>
  <c r="O74" i="54"/>
  <c r="N74" i="54"/>
  <c r="M74" i="54"/>
  <c r="L74" i="54"/>
  <c r="K74" i="54"/>
  <c r="J74" i="54"/>
  <c r="I74" i="54"/>
  <c r="H74" i="54"/>
  <c r="G74" i="54"/>
  <c r="F74" i="54"/>
  <c r="D74" i="54"/>
  <c r="C74" i="54" s="1"/>
  <c r="B74" i="54"/>
  <c r="AE73" i="54"/>
  <c r="X73" i="54"/>
  <c r="W73" i="54"/>
  <c r="V73" i="54"/>
  <c r="U73" i="54"/>
  <c r="T73" i="54"/>
  <c r="S73" i="54"/>
  <c r="R73" i="54"/>
  <c r="Q73" i="54"/>
  <c r="P73" i="54"/>
  <c r="O73" i="54"/>
  <c r="N73" i="54"/>
  <c r="M73" i="54"/>
  <c r="L73" i="54"/>
  <c r="K73" i="54"/>
  <c r="J73" i="54"/>
  <c r="I73" i="54"/>
  <c r="H73" i="54"/>
  <c r="G73" i="54"/>
  <c r="F73" i="54"/>
  <c r="D73" i="54"/>
  <c r="C73" i="54"/>
  <c r="B73" i="54"/>
  <c r="A73" i="54"/>
  <c r="AE72" i="54"/>
  <c r="X72" i="54"/>
  <c r="W72" i="54"/>
  <c r="V72" i="54"/>
  <c r="U72" i="54"/>
  <c r="T72" i="54"/>
  <c r="S72" i="54"/>
  <c r="R72" i="54"/>
  <c r="Q72" i="54"/>
  <c r="P72" i="54"/>
  <c r="O72" i="54"/>
  <c r="N72" i="54"/>
  <c r="M72" i="54"/>
  <c r="L72" i="54"/>
  <c r="K72" i="54"/>
  <c r="J72" i="54"/>
  <c r="I72" i="54"/>
  <c r="H72" i="54"/>
  <c r="G72" i="54"/>
  <c r="F72" i="54"/>
  <c r="D72" i="54"/>
  <c r="C72" i="54"/>
  <c r="B72" i="54"/>
  <c r="AE71" i="54"/>
  <c r="X71" i="54"/>
  <c r="W71" i="54"/>
  <c r="V71" i="54"/>
  <c r="U71" i="54"/>
  <c r="T71" i="54"/>
  <c r="S71" i="54"/>
  <c r="R71" i="54"/>
  <c r="Q71" i="54"/>
  <c r="P71" i="54"/>
  <c r="O71" i="54"/>
  <c r="N71" i="54"/>
  <c r="M71" i="54"/>
  <c r="L71" i="54"/>
  <c r="K71" i="54"/>
  <c r="J71" i="54"/>
  <c r="I71" i="54"/>
  <c r="H71" i="54"/>
  <c r="G71" i="54"/>
  <c r="C71" i="54" s="1"/>
  <c r="F71" i="54"/>
  <c r="D71" i="54"/>
  <c r="B71" i="54"/>
  <c r="AC70" i="54"/>
  <c r="G70" i="54"/>
  <c r="C70" i="54"/>
  <c r="B70" i="54"/>
  <c r="AE69" i="54"/>
  <c r="AC69" i="54"/>
  <c r="X69" i="54"/>
  <c r="W69" i="54"/>
  <c r="V69" i="54"/>
  <c r="U69" i="54"/>
  <c r="T69" i="54"/>
  <c r="S69" i="54"/>
  <c r="R69" i="54"/>
  <c r="Q69" i="54"/>
  <c r="P69" i="54"/>
  <c r="O69" i="54"/>
  <c r="N69" i="54"/>
  <c r="M69" i="54"/>
  <c r="L69" i="54"/>
  <c r="K69" i="54"/>
  <c r="J69" i="54"/>
  <c r="I69" i="54"/>
  <c r="H69" i="54"/>
  <c r="G69" i="54"/>
  <c r="C69" i="54" s="1"/>
  <c r="F69" i="54"/>
  <c r="D69" i="54"/>
  <c r="AE68" i="54"/>
  <c r="AC68" i="54"/>
  <c r="X68" i="54"/>
  <c r="W68" i="54"/>
  <c r="V68" i="54"/>
  <c r="U68" i="54"/>
  <c r="T68" i="54"/>
  <c r="S68" i="54"/>
  <c r="R68" i="54"/>
  <c r="Q68" i="54"/>
  <c r="P68" i="54"/>
  <c r="O68" i="54"/>
  <c r="N68" i="54"/>
  <c r="M68" i="54"/>
  <c r="L68" i="54"/>
  <c r="K68" i="54"/>
  <c r="J68" i="54"/>
  <c r="I68" i="54"/>
  <c r="H68" i="54"/>
  <c r="G68" i="54"/>
  <c r="F68" i="54"/>
  <c r="D68" i="54"/>
  <c r="C68" i="54"/>
  <c r="AE67" i="54"/>
  <c r="AC67" i="54"/>
  <c r="X67" i="54"/>
  <c r="W67" i="54"/>
  <c r="V67" i="54"/>
  <c r="U67" i="54"/>
  <c r="T67" i="54"/>
  <c r="S67" i="54"/>
  <c r="R67" i="54"/>
  <c r="Q67" i="54"/>
  <c r="P67" i="54"/>
  <c r="O67" i="54"/>
  <c r="N67" i="54"/>
  <c r="M67" i="54"/>
  <c r="L67" i="54"/>
  <c r="K67" i="54"/>
  <c r="J67" i="54"/>
  <c r="I67" i="54"/>
  <c r="H67" i="54"/>
  <c r="G67" i="54"/>
  <c r="F67" i="54"/>
  <c r="D67" i="54"/>
  <c r="C67" i="54" s="1"/>
  <c r="AE66" i="54"/>
  <c r="AC66" i="54"/>
  <c r="X66" i="54"/>
  <c r="W66" i="54"/>
  <c r="V66" i="54"/>
  <c r="U66" i="54"/>
  <c r="T66" i="54"/>
  <c r="S66" i="54"/>
  <c r="R66" i="54"/>
  <c r="Q66" i="54"/>
  <c r="P66" i="54"/>
  <c r="O66" i="54"/>
  <c r="N66" i="54"/>
  <c r="M66" i="54"/>
  <c r="L66" i="54"/>
  <c r="K66" i="54"/>
  <c r="J66" i="54"/>
  <c r="I66" i="54"/>
  <c r="H66" i="54"/>
  <c r="G66" i="54"/>
  <c r="F66" i="54"/>
  <c r="D66" i="54"/>
  <c r="C66" i="54"/>
  <c r="AE65" i="54"/>
  <c r="AC65" i="54"/>
  <c r="X65" i="54"/>
  <c r="W65" i="54"/>
  <c r="V65" i="54"/>
  <c r="U65" i="54"/>
  <c r="T65" i="54"/>
  <c r="S65" i="54"/>
  <c r="R65" i="54"/>
  <c r="Q65" i="54"/>
  <c r="P65" i="54"/>
  <c r="O65" i="54"/>
  <c r="N65" i="54"/>
  <c r="M65" i="54"/>
  <c r="L65" i="54"/>
  <c r="K65" i="54"/>
  <c r="J65" i="54"/>
  <c r="I65" i="54"/>
  <c r="H65" i="54"/>
  <c r="G65" i="54"/>
  <c r="F65" i="54"/>
  <c r="D65" i="54"/>
  <c r="C65" i="54" s="1"/>
  <c r="C64" i="54"/>
  <c r="U63" i="54"/>
  <c r="G63" i="54"/>
  <c r="C63" i="54"/>
  <c r="B63" i="54"/>
  <c r="U62" i="54"/>
  <c r="G62" i="54"/>
  <c r="C62" i="54"/>
  <c r="B62" i="54"/>
  <c r="U61" i="54"/>
  <c r="T61" i="54"/>
  <c r="S61" i="54"/>
  <c r="R61" i="54"/>
  <c r="Q61" i="54"/>
  <c r="P61" i="54"/>
  <c r="O61" i="54"/>
  <c r="N61" i="54"/>
  <c r="G61" i="54"/>
  <c r="C61" i="54"/>
  <c r="B61" i="54"/>
  <c r="AE60" i="54"/>
  <c r="AC60" i="54"/>
  <c r="X60" i="54"/>
  <c r="W60" i="54"/>
  <c r="V60" i="54"/>
  <c r="U60" i="54"/>
  <c r="T60" i="54"/>
  <c r="S60" i="54"/>
  <c r="R60" i="54"/>
  <c r="Q60" i="54"/>
  <c r="P60" i="54"/>
  <c r="O60" i="54"/>
  <c r="N60" i="54"/>
  <c r="M60" i="54"/>
  <c r="L60" i="54"/>
  <c r="K60" i="54"/>
  <c r="J60" i="54"/>
  <c r="I60" i="54"/>
  <c r="H60" i="54"/>
  <c r="G60" i="54"/>
  <c r="C60" i="54" s="1"/>
  <c r="F60" i="54"/>
  <c r="D60" i="54"/>
  <c r="AE59" i="54"/>
  <c r="AC59" i="54"/>
  <c r="X59" i="54"/>
  <c r="W59" i="54"/>
  <c r="V59" i="54"/>
  <c r="U59" i="54"/>
  <c r="T59" i="54"/>
  <c r="S59" i="54"/>
  <c r="R59" i="54"/>
  <c r="Q59" i="54"/>
  <c r="P59" i="54"/>
  <c r="O59" i="54"/>
  <c r="N59" i="54"/>
  <c r="M59" i="54"/>
  <c r="L59" i="54"/>
  <c r="K59" i="54"/>
  <c r="J59" i="54"/>
  <c r="I59" i="54"/>
  <c r="H59" i="54"/>
  <c r="G59" i="54"/>
  <c r="F59" i="54"/>
  <c r="D59" i="54"/>
  <c r="C59" i="54" s="1"/>
  <c r="AE58" i="54"/>
  <c r="AC58" i="54"/>
  <c r="X58" i="54"/>
  <c r="W58" i="54"/>
  <c r="V58" i="54"/>
  <c r="U58" i="54"/>
  <c r="T58" i="54"/>
  <c r="S58" i="54"/>
  <c r="R58" i="54"/>
  <c r="Q58" i="54"/>
  <c r="P58" i="54"/>
  <c r="O58" i="54"/>
  <c r="N58" i="54"/>
  <c r="M58" i="54"/>
  <c r="L58" i="54"/>
  <c r="K58" i="54"/>
  <c r="J58" i="54"/>
  <c r="I58" i="54"/>
  <c r="H58" i="54"/>
  <c r="G58" i="54"/>
  <c r="F58" i="54"/>
  <c r="D58" i="54"/>
  <c r="C58" i="54" s="1"/>
  <c r="AE57" i="54"/>
  <c r="AC57" i="54"/>
  <c r="X57" i="54"/>
  <c r="W57" i="54"/>
  <c r="V57" i="54"/>
  <c r="U57" i="54"/>
  <c r="T57" i="54"/>
  <c r="S57" i="54"/>
  <c r="R57" i="54"/>
  <c r="Q57" i="54"/>
  <c r="P57" i="54"/>
  <c r="O57" i="54"/>
  <c r="N57" i="54"/>
  <c r="M57" i="54"/>
  <c r="L57" i="54"/>
  <c r="K57" i="54"/>
  <c r="J57" i="54"/>
  <c r="I57" i="54"/>
  <c r="H57" i="54"/>
  <c r="G57" i="54"/>
  <c r="C57" i="54" s="1"/>
  <c r="F57" i="54"/>
  <c r="D57" i="54"/>
  <c r="AE56" i="54"/>
  <c r="AC56" i="54"/>
  <c r="X56" i="54"/>
  <c r="W56" i="54"/>
  <c r="V56" i="54"/>
  <c r="U56" i="54"/>
  <c r="T56" i="54"/>
  <c r="S56" i="54"/>
  <c r="R56" i="54"/>
  <c r="Q56" i="54"/>
  <c r="P56" i="54"/>
  <c r="O56" i="54"/>
  <c r="N56" i="54"/>
  <c r="M56" i="54"/>
  <c r="L56" i="54"/>
  <c r="K56" i="54"/>
  <c r="J56" i="54"/>
  <c r="I56" i="54"/>
  <c r="H56" i="54"/>
  <c r="G56" i="54"/>
  <c r="F56" i="54"/>
  <c r="D56" i="54"/>
  <c r="C56" i="54"/>
  <c r="AE55" i="54"/>
  <c r="AC55" i="54"/>
  <c r="X55" i="54"/>
  <c r="W55" i="54"/>
  <c r="V55" i="54"/>
  <c r="U55" i="54"/>
  <c r="T55" i="54"/>
  <c r="S55" i="54"/>
  <c r="R55" i="54"/>
  <c r="Q55" i="54"/>
  <c r="P55" i="54"/>
  <c r="O55" i="54"/>
  <c r="N55" i="54"/>
  <c r="M55" i="54"/>
  <c r="L55" i="54"/>
  <c r="K55" i="54"/>
  <c r="J55" i="54"/>
  <c r="I55" i="54"/>
  <c r="H55" i="54"/>
  <c r="G55" i="54"/>
  <c r="F55" i="54"/>
  <c r="D55" i="54"/>
  <c r="C55" i="54" s="1"/>
  <c r="AE54" i="54"/>
  <c r="AC54" i="54"/>
  <c r="X54" i="54"/>
  <c r="W54" i="54"/>
  <c r="V54" i="54"/>
  <c r="U54" i="54"/>
  <c r="T54" i="54"/>
  <c r="S54" i="54"/>
  <c r="R54" i="54"/>
  <c r="Q54" i="54"/>
  <c r="P54" i="54"/>
  <c r="O54" i="54"/>
  <c r="N54" i="54"/>
  <c r="M54" i="54"/>
  <c r="L54" i="54"/>
  <c r="K54" i="54"/>
  <c r="J54" i="54"/>
  <c r="I54" i="54"/>
  <c r="H54" i="54"/>
  <c r="G54" i="54"/>
  <c r="F54" i="54"/>
  <c r="D54" i="54"/>
  <c r="C54" i="54"/>
  <c r="AE53" i="54"/>
  <c r="AC53" i="54"/>
  <c r="X53" i="54"/>
  <c r="W53" i="54"/>
  <c r="V53" i="54"/>
  <c r="U53" i="54"/>
  <c r="T53" i="54"/>
  <c r="S53" i="54"/>
  <c r="R53" i="54"/>
  <c r="Q53" i="54"/>
  <c r="P53" i="54"/>
  <c r="O53" i="54"/>
  <c r="N53" i="54"/>
  <c r="M53" i="54"/>
  <c r="L53" i="54"/>
  <c r="K53" i="54"/>
  <c r="J53" i="54"/>
  <c r="I53" i="54"/>
  <c r="H53" i="54"/>
  <c r="G53" i="54"/>
  <c r="F53" i="54"/>
  <c r="D53" i="54"/>
  <c r="C53" i="54" s="1"/>
  <c r="AE52" i="54"/>
  <c r="AC52" i="54"/>
  <c r="X52" i="54"/>
  <c r="W52" i="54"/>
  <c r="V52" i="54"/>
  <c r="U52" i="54"/>
  <c r="T52" i="54"/>
  <c r="S52" i="54"/>
  <c r="R52" i="54"/>
  <c r="Q52" i="54"/>
  <c r="P52" i="54"/>
  <c r="O52" i="54"/>
  <c r="N52" i="54"/>
  <c r="M52" i="54"/>
  <c r="L52" i="54"/>
  <c r="K52" i="54"/>
  <c r="J52" i="54"/>
  <c r="I52" i="54"/>
  <c r="H52" i="54"/>
  <c r="G52" i="54"/>
  <c r="C52" i="54" s="1"/>
  <c r="F52" i="54"/>
  <c r="D52" i="54"/>
  <c r="AE51" i="54"/>
  <c r="AC51" i="54"/>
  <c r="X51" i="54"/>
  <c r="W51" i="54"/>
  <c r="V51" i="54"/>
  <c r="U51" i="54"/>
  <c r="T51" i="54"/>
  <c r="S51" i="54"/>
  <c r="R51" i="54"/>
  <c r="Q51" i="54"/>
  <c r="P51" i="54"/>
  <c r="O51" i="54"/>
  <c r="N51" i="54"/>
  <c r="M51" i="54"/>
  <c r="L51" i="54"/>
  <c r="K51" i="54"/>
  <c r="J51" i="54"/>
  <c r="I51" i="54"/>
  <c r="H51" i="54"/>
  <c r="G51" i="54"/>
  <c r="F51" i="54"/>
  <c r="D51" i="54"/>
  <c r="C51" i="54" s="1"/>
  <c r="U50" i="54"/>
  <c r="G50" i="54"/>
  <c r="C50" i="54"/>
  <c r="B50" i="54"/>
  <c r="AE49" i="54"/>
  <c r="AC49" i="54"/>
  <c r="X49" i="54"/>
  <c r="W49" i="54"/>
  <c r="V49" i="54"/>
  <c r="U49" i="54"/>
  <c r="T49" i="54"/>
  <c r="S49" i="54"/>
  <c r="R49" i="54"/>
  <c r="Q49" i="54"/>
  <c r="P49" i="54"/>
  <c r="O49" i="54"/>
  <c r="N49" i="54"/>
  <c r="M49" i="54"/>
  <c r="L49" i="54"/>
  <c r="K49" i="54"/>
  <c r="J49" i="54"/>
  <c r="I49" i="54"/>
  <c r="H49" i="54"/>
  <c r="G49" i="54"/>
  <c r="F49" i="54"/>
  <c r="D49" i="54"/>
  <c r="C49" i="54"/>
  <c r="AE48" i="54"/>
  <c r="AC48" i="54"/>
  <c r="X48" i="54"/>
  <c r="W48" i="54"/>
  <c r="V48" i="54"/>
  <c r="U48" i="54"/>
  <c r="T48" i="54"/>
  <c r="S48" i="54"/>
  <c r="R48" i="54"/>
  <c r="Q48" i="54"/>
  <c r="P48" i="54"/>
  <c r="O48" i="54"/>
  <c r="N48" i="54"/>
  <c r="M48" i="54"/>
  <c r="L48" i="54"/>
  <c r="K48" i="54"/>
  <c r="J48" i="54"/>
  <c r="I48" i="54"/>
  <c r="H48" i="54"/>
  <c r="G48" i="54"/>
  <c r="C48" i="54" s="1"/>
  <c r="F48" i="54"/>
  <c r="D48" i="54"/>
  <c r="AE47" i="54"/>
  <c r="AC47" i="54"/>
  <c r="X47" i="54"/>
  <c r="W47" i="54"/>
  <c r="V47" i="54"/>
  <c r="U47" i="54"/>
  <c r="T47" i="54"/>
  <c r="S47" i="54"/>
  <c r="R47" i="54"/>
  <c r="Q47" i="54"/>
  <c r="P47" i="54"/>
  <c r="O47" i="54"/>
  <c r="N47" i="54"/>
  <c r="M47" i="54"/>
  <c r="L47" i="54"/>
  <c r="K47" i="54"/>
  <c r="J47" i="54"/>
  <c r="I47" i="54"/>
  <c r="H47" i="54"/>
  <c r="G47" i="54"/>
  <c r="C47" i="54" s="1"/>
  <c r="F47" i="54"/>
  <c r="D47" i="54"/>
  <c r="B47" i="54"/>
  <c r="AE46" i="54"/>
  <c r="AC46" i="54"/>
  <c r="X46" i="54"/>
  <c r="W46" i="54"/>
  <c r="V46" i="54"/>
  <c r="U46" i="54"/>
  <c r="T46" i="54"/>
  <c r="S46" i="54"/>
  <c r="R46" i="54"/>
  <c r="Q46" i="54"/>
  <c r="P46" i="54"/>
  <c r="O46" i="54"/>
  <c r="N46" i="54"/>
  <c r="M46" i="54"/>
  <c r="L46" i="54"/>
  <c r="K46" i="54"/>
  <c r="J46" i="54"/>
  <c r="I46" i="54"/>
  <c r="H46" i="54"/>
  <c r="G46" i="54"/>
  <c r="C46" i="54" s="1"/>
  <c r="F46" i="54"/>
  <c r="D46" i="54"/>
  <c r="AE45" i="54"/>
  <c r="AC45" i="54"/>
  <c r="X45" i="54"/>
  <c r="W45" i="54"/>
  <c r="V45" i="54"/>
  <c r="U45" i="54"/>
  <c r="T45" i="54"/>
  <c r="S45" i="54"/>
  <c r="R45" i="54"/>
  <c r="Q45" i="54"/>
  <c r="P45" i="54"/>
  <c r="O45" i="54"/>
  <c r="N45" i="54"/>
  <c r="M45" i="54"/>
  <c r="L45" i="54"/>
  <c r="K45" i="54"/>
  <c r="J45" i="54"/>
  <c r="I45" i="54"/>
  <c r="H45" i="54"/>
  <c r="G45" i="54"/>
  <c r="F45" i="54"/>
  <c r="D45" i="54"/>
  <c r="C45" i="54" s="1"/>
  <c r="AE44" i="54"/>
  <c r="AC44" i="54"/>
  <c r="X44" i="54"/>
  <c r="W44" i="54"/>
  <c r="V44" i="54"/>
  <c r="U44" i="54"/>
  <c r="T44" i="54"/>
  <c r="S44" i="54"/>
  <c r="R44" i="54"/>
  <c r="Q44" i="54"/>
  <c r="P44" i="54"/>
  <c r="O44" i="54"/>
  <c r="N44" i="54"/>
  <c r="M44" i="54"/>
  <c r="L44" i="54"/>
  <c r="K44" i="54"/>
  <c r="J44" i="54"/>
  <c r="I44" i="54"/>
  <c r="H44" i="54"/>
  <c r="G44" i="54"/>
  <c r="F44" i="54"/>
  <c r="D44" i="54"/>
  <c r="C44" i="54" s="1"/>
  <c r="AE43" i="54"/>
  <c r="AC43" i="54"/>
  <c r="X43" i="54"/>
  <c r="W43" i="54"/>
  <c r="V43" i="54"/>
  <c r="U43" i="54"/>
  <c r="T43" i="54"/>
  <c r="S43" i="54"/>
  <c r="R43" i="54"/>
  <c r="Q43" i="54"/>
  <c r="P43" i="54"/>
  <c r="O43" i="54"/>
  <c r="N43" i="54"/>
  <c r="M43" i="54"/>
  <c r="L43" i="54"/>
  <c r="K43" i="54"/>
  <c r="J43" i="54"/>
  <c r="I43" i="54"/>
  <c r="H43" i="54"/>
  <c r="G43" i="54"/>
  <c r="F43" i="54"/>
  <c r="D43" i="54"/>
  <c r="C43" i="54"/>
  <c r="AE42" i="54"/>
  <c r="AC42" i="54"/>
  <c r="X42" i="54"/>
  <c r="W42" i="54"/>
  <c r="V42" i="54"/>
  <c r="U42" i="54"/>
  <c r="T42" i="54"/>
  <c r="S42" i="54"/>
  <c r="R42" i="54"/>
  <c r="Q42" i="54"/>
  <c r="P42" i="54"/>
  <c r="O42" i="54"/>
  <c r="N42" i="54"/>
  <c r="M42" i="54"/>
  <c r="L42" i="54"/>
  <c r="K42" i="54"/>
  <c r="J42" i="54"/>
  <c r="I42" i="54"/>
  <c r="H42" i="54"/>
  <c r="G42" i="54"/>
  <c r="C42" i="54" s="1"/>
  <c r="F42" i="54"/>
  <c r="D42" i="54"/>
  <c r="AE41" i="54"/>
  <c r="AC41" i="54"/>
  <c r="X41" i="54"/>
  <c r="W41" i="54"/>
  <c r="V41" i="54"/>
  <c r="U41" i="54"/>
  <c r="T41" i="54"/>
  <c r="S41" i="54"/>
  <c r="R41" i="54"/>
  <c r="Q41" i="54"/>
  <c r="P41" i="54"/>
  <c r="O41" i="54"/>
  <c r="N41" i="54"/>
  <c r="M41" i="54"/>
  <c r="L41" i="54"/>
  <c r="K41" i="54"/>
  <c r="J41" i="54"/>
  <c r="I41" i="54"/>
  <c r="H41" i="54"/>
  <c r="G41" i="54"/>
  <c r="F41" i="54"/>
  <c r="D41" i="54"/>
  <c r="C41" i="54" s="1"/>
  <c r="AE40" i="54"/>
  <c r="AC40" i="54"/>
  <c r="X40" i="54"/>
  <c r="W40" i="54"/>
  <c r="V40" i="54"/>
  <c r="U40" i="54"/>
  <c r="T40" i="54"/>
  <c r="S40" i="54"/>
  <c r="R40" i="54"/>
  <c r="Q40" i="54"/>
  <c r="P40" i="54"/>
  <c r="O40" i="54"/>
  <c r="N40" i="54"/>
  <c r="M40" i="54"/>
  <c r="L40" i="54"/>
  <c r="K40" i="54"/>
  <c r="J40" i="54"/>
  <c r="I40" i="54"/>
  <c r="H40" i="54"/>
  <c r="G40" i="54"/>
  <c r="F40" i="54"/>
  <c r="D40" i="54"/>
  <c r="C40" i="54" s="1"/>
  <c r="AE39" i="54"/>
  <c r="AC39" i="54"/>
  <c r="X39" i="54"/>
  <c r="W39" i="54"/>
  <c r="V39" i="54"/>
  <c r="U39" i="54"/>
  <c r="T39" i="54"/>
  <c r="S39" i="54"/>
  <c r="R39" i="54"/>
  <c r="Q39" i="54"/>
  <c r="P39" i="54"/>
  <c r="O39" i="54"/>
  <c r="N39" i="54"/>
  <c r="M39" i="54"/>
  <c r="L39" i="54"/>
  <c r="K39" i="54"/>
  <c r="J39" i="54"/>
  <c r="I39" i="54"/>
  <c r="H39" i="54"/>
  <c r="G39" i="54"/>
  <c r="C39" i="54" s="1"/>
  <c r="F39" i="54"/>
  <c r="D39" i="54"/>
  <c r="AE38" i="54"/>
  <c r="AC38" i="54"/>
  <c r="X38" i="54"/>
  <c r="W38" i="54"/>
  <c r="V38" i="54"/>
  <c r="U38" i="54"/>
  <c r="T38" i="54"/>
  <c r="S38" i="54"/>
  <c r="R38" i="54"/>
  <c r="Q38" i="54"/>
  <c r="P38" i="54"/>
  <c r="O38" i="54"/>
  <c r="N38" i="54"/>
  <c r="M38" i="54"/>
  <c r="L38" i="54"/>
  <c r="K38" i="54"/>
  <c r="J38" i="54"/>
  <c r="I38" i="54"/>
  <c r="H38" i="54"/>
  <c r="G38" i="54"/>
  <c r="F38" i="54"/>
  <c r="D38" i="54"/>
  <c r="C38" i="54"/>
  <c r="AE37" i="54"/>
  <c r="AC37" i="54"/>
  <c r="X37" i="54"/>
  <c r="W37" i="54"/>
  <c r="V37" i="54"/>
  <c r="U37" i="54"/>
  <c r="T37" i="54"/>
  <c r="S37" i="54"/>
  <c r="R37" i="54"/>
  <c r="Q37" i="54"/>
  <c r="P37" i="54"/>
  <c r="O37" i="54"/>
  <c r="N37" i="54"/>
  <c r="M37" i="54"/>
  <c r="L37" i="54"/>
  <c r="K37" i="54"/>
  <c r="J37" i="54"/>
  <c r="I37" i="54"/>
  <c r="H37" i="54"/>
  <c r="G37" i="54"/>
  <c r="F37" i="54"/>
  <c r="D37" i="54"/>
  <c r="C37" i="54" s="1"/>
  <c r="AE36" i="54"/>
  <c r="AC36" i="54"/>
  <c r="X36" i="54"/>
  <c r="W36" i="54"/>
  <c r="V36" i="54"/>
  <c r="U36" i="54"/>
  <c r="T36" i="54"/>
  <c r="S36" i="54"/>
  <c r="R36" i="54"/>
  <c r="Q36" i="54"/>
  <c r="P36" i="54"/>
  <c r="O36" i="54"/>
  <c r="N36" i="54"/>
  <c r="M36" i="54"/>
  <c r="L36" i="54"/>
  <c r="K36" i="54"/>
  <c r="J36" i="54"/>
  <c r="I36" i="54"/>
  <c r="H36" i="54"/>
  <c r="G36" i="54"/>
  <c r="F36" i="54"/>
  <c r="D36" i="54"/>
  <c r="C36" i="54"/>
  <c r="AE35" i="54"/>
  <c r="AC35" i="54"/>
  <c r="X35" i="54"/>
  <c r="W35" i="54"/>
  <c r="V35" i="54"/>
  <c r="U35" i="54"/>
  <c r="T35" i="54"/>
  <c r="S35" i="54"/>
  <c r="R35" i="54"/>
  <c r="Q35" i="54"/>
  <c r="P35" i="54"/>
  <c r="O35" i="54"/>
  <c r="N35" i="54"/>
  <c r="M35" i="54"/>
  <c r="L35" i="54"/>
  <c r="K35" i="54"/>
  <c r="J35" i="54"/>
  <c r="I35" i="54"/>
  <c r="H35" i="54"/>
  <c r="G35" i="54"/>
  <c r="C35" i="54" s="1"/>
  <c r="F35" i="54"/>
  <c r="D35" i="54"/>
  <c r="AE34" i="54"/>
  <c r="AC34" i="54"/>
  <c r="X34" i="54"/>
  <c r="W34" i="54"/>
  <c r="V34" i="54"/>
  <c r="U34" i="54"/>
  <c r="T34" i="54"/>
  <c r="S34" i="54"/>
  <c r="R34" i="54"/>
  <c r="Q34" i="54"/>
  <c r="P34" i="54"/>
  <c r="O34" i="54"/>
  <c r="N34" i="54"/>
  <c r="M34" i="54"/>
  <c r="L34" i="54"/>
  <c r="K34" i="54"/>
  <c r="J34" i="54"/>
  <c r="I34" i="54"/>
  <c r="H34" i="54"/>
  <c r="G34" i="54"/>
  <c r="F34" i="54"/>
  <c r="D34" i="54"/>
  <c r="C34" i="54" s="1"/>
  <c r="AE33" i="54"/>
  <c r="AC33" i="54"/>
  <c r="X33" i="54"/>
  <c r="W33" i="54"/>
  <c r="V33" i="54"/>
  <c r="U33" i="54"/>
  <c r="T33" i="54"/>
  <c r="S33" i="54"/>
  <c r="R33" i="54"/>
  <c r="Q33" i="54"/>
  <c r="P33" i="54"/>
  <c r="O33" i="54"/>
  <c r="N33" i="54"/>
  <c r="M33" i="54"/>
  <c r="L33" i="54"/>
  <c r="K33" i="54"/>
  <c r="J33" i="54"/>
  <c r="I33" i="54"/>
  <c r="H33" i="54"/>
  <c r="G33" i="54"/>
  <c r="F33" i="54"/>
  <c r="D33" i="54"/>
  <c r="C33" i="54" s="1"/>
  <c r="AE32" i="54"/>
  <c r="AC32" i="54"/>
  <c r="X32" i="54"/>
  <c r="W32" i="54"/>
  <c r="V32" i="54"/>
  <c r="U32" i="54"/>
  <c r="T32" i="54"/>
  <c r="S32" i="54"/>
  <c r="R32" i="54"/>
  <c r="Q32" i="54"/>
  <c r="P32" i="54"/>
  <c r="O32" i="54"/>
  <c r="N32" i="54"/>
  <c r="M32" i="54"/>
  <c r="L32" i="54"/>
  <c r="K32" i="54"/>
  <c r="J32" i="54"/>
  <c r="I32" i="54"/>
  <c r="H32" i="54"/>
  <c r="G32" i="54"/>
  <c r="F32" i="54"/>
  <c r="D32" i="54"/>
  <c r="C32" i="54" s="1"/>
  <c r="AE31" i="54"/>
  <c r="AC31" i="54"/>
  <c r="X31" i="54"/>
  <c r="W31" i="54"/>
  <c r="V31" i="54"/>
  <c r="U31" i="54"/>
  <c r="T31" i="54"/>
  <c r="S31" i="54"/>
  <c r="R31" i="54"/>
  <c r="Q31" i="54"/>
  <c r="P31" i="54"/>
  <c r="O31" i="54"/>
  <c r="N31" i="54"/>
  <c r="M31" i="54"/>
  <c r="L31" i="54"/>
  <c r="K31" i="54"/>
  <c r="J31" i="54"/>
  <c r="I31" i="54"/>
  <c r="H31" i="54"/>
  <c r="G31" i="54"/>
  <c r="F31" i="54"/>
  <c r="D31" i="54"/>
  <c r="C31" i="54"/>
  <c r="AE30" i="54"/>
  <c r="AC30" i="54"/>
  <c r="X30" i="54"/>
  <c r="W30" i="54"/>
  <c r="V30" i="54"/>
  <c r="U30" i="54"/>
  <c r="T30" i="54"/>
  <c r="S30" i="54"/>
  <c r="R30" i="54"/>
  <c r="Q30" i="54"/>
  <c r="P30" i="54"/>
  <c r="O30" i="54"/>
  <c r="N30" i="54"/>
  <c r="M30" i="54"/>
  <c r="L30" i="54"/>
  <c r="K30" i="54"/>
  <c r="J30" i="54"/>
  <c r="I30" i="54"/>
  <c r="H30" i="54"/>
  <c r="G30" i="54"/>
  <c r="C30" i="54" s="1"/>
  <c r="F30" i="54"/>
  <c r="D30" i="54"/>
  <c r="AE29" i="54"/>
  <c r="AC29" i="54"/>
  <c r="X29" i="54"/>
  <c r="W29" i="54"/>
  <c r="V29" i="54"/>
  <c r="U29" i="54"/>
  <c r="T29" i="54"/>
  <c r="S29" i="54"/>
  <c r="R29" i="54"/>
  <c r="Q29" i="54"/>
  <c r="P29" i="54"/>
  <c r="O29" i="54"/>
  <c r="N29" i="54"/>
  <c r="M29" i="54"/>
  <c r="L29" i="54"/>
  <c r="K29" i="54"/>
  <c r="J29" i="54"/>
  <c r="I29" i="54"/>
  <c r="H29" i="54"/>
  <c r="G29" i="54"/>
  <c r="F29" i="54"/>
  <c r="D29" i="54"/>
  <c r="C29" i="54" s="1"/>
  <c r="AE28" i="54"/>
  <c r="AC28" i="54"/>
  <c r="X28" i="54"/>
  <c r="W28" i="54"/>
  <c r="V28" i="54"/>
  <c r="U28" i="54"/>
  <c r="T28" i="54"/>
  <c r="S28" i="54"/>
  <c r="R28" i="54"/>
  <c r="Q28" i="54"/>
  <c r="P28" i="54"/>
  <c r="O28" i="54"/>
  <c r="N28" i="54"/>
  <c r="M28" i="54"/>
  <c r="L28" i="54"/>
  <c r="K28" i="54"/>
  <c r="J28" i="54"/>
  <c r="I28" i="54"/>
  <c r="H28" i="54"/>
  <c r="G28" i="54"/>
  <c r="F28" i="54"/>
  <c r="D28" i="54"/>
  <c r="C28" i="54" s="1"/>
  <c r="AE27" i="54"/>
  <c r="AC27" i="54"/>
  <c r="X27" i="54"/>
  <c r="W27" i="54"/>
  <c r="V27" i="54"/>
  <c r="U27" i="54"/>
  <c r="T27" i="54"/>
  <c r="S27" i="54"/>
  <c r="R27" i="54"/>
  <c r="Q27" i="54"/>
  <c r="P27" i="54"/>
  <c r="O27" i="54"/>
  <c r="N27" i="54"/>
  <c r="M27" i="54"/>
  <c r="L27" i="54"/>
  <c r="K27" i="54"/>
  <c r="J27" i="54"/>
  <c r="I27" i="54"/>
  <c r="H27" i="54"/>
  <c r="G27" i="54"/>
  <c r="C27" i="54" s="1"/>
  <c r="F27" i="54"/>
  <c r="D27" i="54"/>
  <c r="AE26" i="54"/>
  <c r="AC26" i="54"/>
  <c r="X26" i="54"/>
  <c r="W26" i="54"/>
  <c r="V26" i="54"/>
  <c r="U26" i="54"/>
  <c r="T26" i="54"/>
  <c r="S26" i="54"/>
  <c r="R26" i="54"/>
  <c r="Q26" i="54"/>
  <c r="P26" i="54"/>
  <c r="O26" i="54"/>
  <c r="N26" i="54"/>
  <c r="M26" i="54"/>
  <c r="L26" i="54"/>
  <c r="K26" i="54"/>
  <c r="J26" i="54"/>
  <c r="I26" i="54"/>
  <c r="H26" i="54"/>
  <c r="G26" i="54"/>
  <c r="F26" i="54"/>
  <c r="D26" i="54"/>
  <c r="C26" i="54"/>
  <c r="AE25" i="54"/>
  <c r="AC25" i="54"/>
  <c r="X25" i="54"/>
  <c r="W25" i="54"/>
  <c r="V25" i="54"/>
  <c r="U25" i="54"/>
  <c r="T25" i="54"/>
  <c r="S25" i="54"/>
  <c r="R25" i="54"/>
  <c r="Q25" i="54"/>
  <c r="P25" i="54"/>
  <c r="O25" i="54"/>
  <c r="N25" i="54"/>
  <c r="M25" i="54"/>
  <c r="L25" i="54"/>
  <c r="K25" i="54"/>
  <c r="J25" i="54"/>
  <c r="I25" i="54"/>
  <c r="H25" i="54"/>
  <c r="G25" i="54"/>
  <c r="F25" i="54"/>
  <c r="D25" i="54"/>
  <c r="C25" i="54" s="1"/>
  <c r="AE24" i="54"/>
  <c r="AC24" i="54"/>
  <c r="X24" i="54"/>
  <c r="W24" i="54"/>
  <c r="V24" i="54"/>
  <c r="U24" i="54"/>
  <c r="T24" i="54"/>
  <c r="S24" i="54"/>
  <c r="R24" i="54"/>
  <c r="Q24" i="54"/>
  <c r="P24" i="54"/>
  <c r="O24" i="54"/>
  <c r="N24" i="54"/>
  <c r="M24" i="54"/>
  <c r="L24" i="54"/>
  <c r="K24" i="54"/>
  <c r="J24" i="54"/>
  <c r="I24" i="54"/>
  <c r="H24" i="54"/>
  <c r="G24" i="54"/>
  <c r="F24" i="54"/>
  <c r="D24" i="54"/>
  <c r="C24" i="54"/>
  <c r="AE23" i="54"/>
  <c r="AC23" i="54"/>
  <c r="X23" i="54"/>
  <c r="W23" i="54"/>
  <c r="V23" i="54"/>
  <c r="U23" i="54"/>
  <c r="T23" i="54"/>
  <c r="S23" i="54"/>
  <c r="R23" i="54"/>
  <c r="Q23" i="54"/>
  <c r="P23" i="54"/>
  <c r="O23" i="54"/>
  <c r="N23" i="54"/>
  <c r="M23" i="54"/>
  <c r="L23" i="54"/>
  <c r="K23" i="54"/>
  <c r="J23" i="54"/>
  <c r="I23" i="54"/>
  <c r="H23" i="54"/>
  <c r="G23" i="54"/>
  <c r="F23" i="54"/>
  <c r="D23" i="54"/>
  <c r="C23" i="54" s="1"/>
  <c r="AE22" i="54"/>
  <c r="AC22" i="54"/>
  <c r="X22" i="54"/>
  <c r="W22" i="54"/>
  <c r="V22" i="54"/>
  <c r="U22" i="54"/>
  <c r="T22" i="54"/>
  <c r="S22" i="54"/>
  <c r="R22" i="54"/>
  <c r="Q22" i="54"/>
  <c r="P22" i="54"/>
  <c r="O22" i="54"/>
  <c r="N22" i="54"/>
  <c r="M22" i="54"/>
  <c r="L22" i="54"/>
  <c r="K22" i="54"/>
  <c r="J22" i="54"/>
  <c r="I22" i="54"/>
  <c r="H22" i="54"/>
  <c r="G22" i="54"/>
  <c r="F22" i="54"/>
  <c r="D22" i="54"/>
  <c r="C22" i="54" s="1"/>
  <c r="AE21" i="54"/>
  <c r="AC21" i="54"/>
  <c r="X21" i="54"/>
  <c r="W21" i="54"/>
  <c r="V21" i="54"/>
  <c r="U21" i="54"/>
  <c r="T21" i="54"/>
  <c r="S21" i="54"/>
  <c r="R21" i="54"/>
  <c r="Q21" i="54"/>
  <c r="P21" i="54"/>
  <c r="O21" i="54"/>
  <c r="N21" i="54"/>
  <c r="M21" i="54"/>
  <c r="L21" i="54"/>
  <c r="K21" i="54"/>
  <c r="J21" i="54"/>
  <c r="I21" i="54"/>
  <c r="H21" i="54"/>
  <c r="G21" i="54"/>
  <c r="F21" i="54"/>
  <c r="D21" i="54"/>
  <c r="C21" i="54" s="1"/>
  <c r="AE20" i="54"/>
  <c r="AC20" i="54"/>
  <c r="X20" i="54"/>
  <c r="W20" i="54"/>
  <c r="V20" i="54"/>
  <c r="U20" i="54"/>
  <c r="T20" i="54"/>
  <c r="S20" i="54"/>
  <c r="R20" i="54"/>
  <c r="Q20" i="54"/>
  <c r="P20" i="54"/>
  <c r="O20" i="54"/>
  <c r="N20" i="54"/>
  <c r="M20" i="54"/>
  <c r="L20" i="54"/>
  <c r="K20" i="54"/>
  <c r="J20" i="54"/>
  <c r="I20" i="54"/>
  <c r="H20" i="54"/>
  <c r="G20" i="54"/>
  <c r="F20" i="54"/>
  <c r="D20" i="54"/>
  <c r="C20" i="54" s="1"/>
  <c r="AE19" i="54"/>
  <c r="AC19" i="54"/>
  <c r="X19" i="54"/>
  <c r="W19" i="54"/>
  <c r="V19" i="54"/>
  <c r="U19" i="54"/>
  <c r="T19" i="54"/>
  <c r="S19" i="54"/>
  <c r="R19" i="54"/>
  <c r="Q19" i="54"/>
  <c r="P19" i="54"/>
  <c r="O19" i="54"/>
  <c r="N19" i="54"/>
  <c r="M19" i="54"/>
  <c r="L19" i="54"/>
  <c r="K19" i="54"/>
  <c r="J19" i="54"/>
  <c r="I19" i="54"/>
  <c r="H19" i="54"/>
  <c r="G19" i="54"/>
  <c r="F19" i="54"/>
  <c r="D19" i="54"/>
  <c r="C19" i="54"/>
  <c r="AE18" i="54"/>
  <c r="AC18" i="54"/>
  <c r="X18" i="54"/>
  <c r="W18" i="54"/>
  <c r="V18" i="54"/>
  <c r="U18" i="54"/>
  <c r="T18" i="54"/>
  <c r="S18" i="54"/>
  <c r="R18" i="54"/>
  <c r="Q18" i="54"/>
  <c r="P18" i="54"/>
  <c r="O18" i="54"/>
  <c r="N18" i="54"/>
  <c r="M18" i="54"/>
  <c r="L18" i="54"/>
  <c r="K18" i="54"/>
  <c r="J18" i="54"/>
  <c r="I18" i="54"/>
  <c r="H18" i="54"/>
  <c r="G18" i="54"/>
  <c r="C18" i="54" s="1"/>
  <c r="F18" i="54"/>
  <c r="D18" i="54"/>
  <c r="AE17" i="54"/>
  <c r="AC17" i="54"/>
  <c r="X17" i="54"/>
  <c r="W17" i="54"/>
  <c r="V17" i="54"/>
  <c r="U17" i="54"/>
  <c r="T17" i="54"/>
  <c r="S17" i="54"/>
  <c r="R17" i="54"/>
  <c r="Q17" i="54"/>
  <c r="P17" i="54"/>
  <c r="O17" i="54"/>
  <c r="N17" i="54"/>
  <c r="M17" i="54"/>
  <c r="L17" i="54"/>
  <c r="K17" i="54"/>
  <c r="J17" i="54"/>
  <c r="I17" i="54"/>
  <c r="H17" i="54"/>
  <c r="G17" i="54"/>
  <c r="F17" i="54"/>
  <c r="D17" i="54"/>
  <c r="C17" i="54" s="1"/>
  <c r="AE16" i="54"/>
  <c r="AC16" i="54"/>
  <c r="X16" i="54"/>
  <c r="W16" i="54"/>
  <c r="V16" i="54"/>
  <c r="U16" i="54"/>
  <c r="T16" i="54"/>
  <c r="S16" i="54"/>
  <c r="R16" i="54"/>
  <c r="Q16" i="54"/>
  <c r="P16" i="54"/>
  <c r="O16" i="54"/>
  <c r="N16" i="54"/>
  <c r="M16" i="54"/>
  <c r="L16" i="54"/>
  <c r="K16" i="54"/>
  <c r="J16" i="54"/>
  <c r="I16" i="54"/>
  <c r="H16" i="54"/>
  <c r="G16" i="54"/>
  <c r="F16" i="54"/>
  <c r="D16" i="54"/>
  <c r="C16" i="54" s="1"/>
  <c r="AE15" i="54"/>
  <c r="AC15" i="54"/>
  <c r="X15" i="54"/>
  <c r="W15" i="54"/>
  <c r="V15" i="54"/>
  <c r="U15" i="54"/>
  <c r="T15" i="54"/>
  <c r="S15" i="54"/>
  <c r="R15" i="54"/>
  <c r="Q15" i="54"/>
  <c r="P15" i="54"/>
  <c r="O15" i="54"/>
  <c r="N15" i="54"/>
  <c r="M15" i="54"/>
  <c r="L15" i="54"/>
  <c r="K15" i="54"/>
  <c r="J15" i="54"/>
  <c r="I15" i="54"/>
  <c r="H15" i="54"/>
  <c r="G15" i="54"/>
  <c r="C15" i="54" s="1"/>
  <c r="F15" i="54"/>
  <c r="D15" i="54"/>
  <c r="AE14" i="54"/>
  <c r="AC14" i="54"/>
  <c r="X14" i="54"/>
  <c r="W14" i="54"/>
  <c r="V14" i="54"/>
  <c r="U14" i="54"/>
  <c r="T14" i="54"/>
  <c r="S14" i="54"/>
  <c r="R14" i="54"/>
  <c r="Q14" i="54"/>
  <c r="P14" i="54"/>
  <c r="O14" i="54"/>
  <c r="N14" i="54"/>
  <c r="M14" i="54"/>
  <c r="L14" i="54"/>
  <c r="K14" i="54"/>
  <c r="J14" i="54"/>
  <c r="I14" i="54"/>
  <c r="H14" i="54"/>
  <c r="G14" i="54"/>
  <c r="F14" i="54"/>
  <c r="D14" i="54"/>
  <c r="C14" i="54"/>
  <c r="AE13" i="54"/>
  <c r="AC13" i="54"/>
  <c r="X13" i="54"/>
  <c r="W13" i="54"/>
  <c r="V13" i="54"/>
  <c r="U13" i="54"/>
  <c r="T13" i="54"/>
  <c r="S13" i="54"/>
  <c r="R13" i="54"/>
  <c r="Q13" i="54"/>
  <c r="P13" i="54"/>
  <c r="O13" i="54"/>
  <c r="N13" i="54"/>
  <c r="M13" i="54"/>
  <c r="L13" i="54"/>
  <c r="K13" i="54"/>
  <c r="J13" i="54"/>
  <c r="I13" i="54"/>
  <c r="H13" i="54"/>
  <c r="G13" i="54"/>
  <c r="F13" i="54"/>
  <c r="D13" i="54"/>
  <c r="C13" i="54" s="1"/>
  <c r="AE12" i="54"/>
  <c r="AC12" i="54"/>
  <c r="X12" i="54"/>
  <c r="W12" i="54"/>
  <c r="V12" i="54"/>
  <c r="U12" i="54"/>
  <c r="T12" i="54"/>
  <c r="S12" i="54"/>
  <c r="R12" i="54"/>
  <c r="Q12" i="54"/>
  <c r="P12" i="54"/>
  <c r="O12" i="54"/>
  <c r="N12" i="54"/>
  <c r="M12" i="54"/>
  <c r="L12" i="54"/>
  <c r="K12" i="54"/>
  <c r="J12" i="54"/>
  <c r="I12" i="54"/>
  <c r="H12" i="54"/>
  <c r="G12" i="54"/>
  <c r="F12" i="54"/>
  <c r="D12" i="54"/>
  <c r="C12" i="54"/>
  <c r="AE11" i="54"/>
  <c r="AC11" i="54"/>
  <c r="X11" i="54"/>
  <c r="W11" i="54"/>
  <c r="V11" i="54"/>
  <c r="U11" i="54"/>
  <c r="T11" i="54"/>
  <c r="S11" i="54"/>
  <c r="R11" i="54"/>
  <c r="Q11" i="54"/>
  <c r="P11" i="54"/>
  <c r="O11" i="54"/>
  <c r="N11" i="54"/>
  <c r="M11" i="54"/>
  <c r="L11" i="54"/>
  <c r="K11" i="54"/>
  <c r="J11" i="54"/>
  <c r="I11" i="54"/>
  <c r="H11" i="54"/>
  <c r="G11" i="54"/>
  <c r="C11" i="54" s="1"/>
  <c r="F11" i="54"/>
  <c r="D11" i="54"/>
  <c r="AE10" i="54"/>
  <c r="AC10" i="54"/>
  <c r="X10" i="54"/>
  <c r="W10" i="54"/>
  <c r="V10" i="54"/>
  <c r="U10" i="54"/>
  <c r="T10" i="54"/>
  <c r="S10" i="54"/>
  <c r="R10" i="54"/>
  <c r="Q10" i="54"/>
  <c r="P10" i="54"/>
  <c r="O10" i="54"/>
  <c r="N10" i="54"/>
  <c r="M10" i="54"/>
  <c r="L10" i="54"/>
  <c r="K10" i="54"/>
  <c r="J10" i="54"/>
  <c r="I10" i="54"/>
  <c r="H10" i="54"/>
  <c r="G10" i="54"/>
  <c r="F10" i="54"/>
  <c r="D10" i="54"/>
  <c r="C10" i="54" s="1"/>
  <c r="AE9" i="54"/>
  <c r="AC9" i="54"/>
  <c r="X9" i="54"/>
  <c r="W9" i="54"/>
  <c r="V9" i="54"/>
  <c r="U9" i="54"/>
  <c r="T9" i="54"/>
  <c r="S9" i="54"/>
  <c r="R9" i="54"/>
  <c r="Q9" i="54"/>
  <c r="P9" i="54"/>
  <c r="O9" i="54"/>
  <c r="N9" i="54"/>
  <c r="M9" i="54"/>
  <c r="L9" i="54"/>
  <c r="K9" i="54"/>
  <c r="J9" i="54"/>
  <c r="I9" i="54"/>
  <c r="H9" i="54"/>
  <c r="G9" i="54"/>
  <c r="F9" i="54"/>
  <c r="D9" i="54"/>
  <c r="C9" i="54" s="1"/>
  <c r="AA5" i="54"/>
  <c r="C43" i="51" l="1"/>
  <c r="C30" i="51"/>
  <c r="V156" i="41"/>
  <c r="L156" i="41"/>
  <c r="A3" i="46" l="1"/>
  <c r="A3" i="43"/>
  <c r="A3" i="53"/>
  <c r="A3" i="52"/>
  <c r="C34" i="53"/>
  <c r="C33" i="53"/>
  <c r="C32" i="53"/>
  <c r="C31" i="53"/>
  <c r="C30" i="53"/>
  <c r="C29" i="53" s="1"/>
  <c r="K29" i="53"/>
  <c r="J29" i="53"/>
  <c r="I29" i="53"/>
  <c r="H29" i="53"/>
  <c r="G29" i="53"/>
  <c r="F29" i="53"/>
  <c r="E29" i="53"/>
  <c r="D29" i="53"/>
  <c r="J28" i="53"/>
  <c r="H28" i="53"/>
  <c r="F28" i="53"/>
  <c r="E28" i="53"/>
  <c r="C27" i="53"/>
  <c r="K26" i="53"/>
  <c r="K24" i="53" s="1"/>
  <c r="J26" i="53"/>
  <c r="J24" i="53" s="1"/>
  <c r="I26" i="53"/>
  <c r="I24" i="53" s="1"/>
  <c r="I18" i="53" s="1"/>
  <c r="I51" i="52" s="1"/>
  <c r="I46" i="52" s="1"/>
  <c r="H26" i="53"/>
  <c r="C26" i="53" s="1"/>
  <c r="G26" i="53"/>
  <c r="F26" i="53"/>
  <c r="E26" i="53"/>
  <c r="E24" i="53" s="1"/>
  <c r="D26" i="53"/>
  <c r="D24" i="53" s="1"/>
  <c r="C25" i="53"/>
  <c r="G24" i="53"/>
  <c r="G18" i="53" s="1"/>
  <c r="G51" i="52" s="1"/>
  <c r="G46" i="52" s="1"/>
  <c r="F24" i="53"/>
  <c r="F18" i="53" s="1"/>
  <c r="F51" i="52" s="1"/>
  <c r="F46" i="52" s="1"/>
  <c r="K23" i="53"/>
  <c r="J23" i="53"/>
  <c r="I23" i="53"/>
  <c r="H23" i="53"/>
  <c r="G23" i="53"/>
  <c r="F23" i="53"/>
  <c r="E23" i="53"/>
  <c r="D23" i="53"/>
  <c r="C22" i="53"/>
  <c r="C21" i="53"/>
  <c r="C20" i="53"/>
  <c r="C19" i="53"/>
  <c r="C17" i="53"/>
  <c r="C16" i="53"/>
  <c r="C15" i="53"/>
  <c r="C14" i="53"/>
  <c r="K13" i="53"/>
  <c r="J13" i="53"/>
  <c r="I13" i="53"/>
  <c r="H13" i="53"/>
  <c r="G13" i="53"/>
  <c r="F13" i="53"/>
  <c r="E13" i="53"/>
  <c r="D13" i="53"/>
  <c r="C12" i="53"/>
  <c r="C11" i="53"/>
  <c r="C10" i="53"/>
  <c r="K9" i="53"/>
  <c r="J9" i="53"/>
  <c r="J8" i="53" s="1"/>
  <c r="I9" i="53"/>
  <c r="I8" i="53" s="1"/>
  <c r="H9" i="53"/>
  <c r="G9" i="53"/>
  <c r="F9" i="53"/>
  <c r="E9" i="53"/>
  <c r="D9" i="53"/>
  <c r="H8" i="53"/>
  <c r="D8" i="53"/>
  <c r="C50" i="52"/>
  <c r="C49" i="52"/>
  <c r="C48" i="52"/>
  <c r="C47" i="52"/>
  <c r="C42" i="52"/>
  <c r="C41" i="52"/>
  <c r="C40" i="52"/>
  <c r="K39" i="52"/>
  <c r="J39" i="52"/>
  <c r="I39" i="52"/>
  <c r="H39" i="52"/>
  <c r="G39" i="52"/>
  <c r="F39" i="52"/>
  <c r="E39" i="52"/>
  <c r="D39" i="52"/>
  <c r="C38" i="52"/>
  <c r="C37" i="52"/>
  <c r="C36" i="52"/>
  <c r="C35" i="52"/>
  <c r="C34" i="52"/>
  <c r="C33" i="52"/>
  <c r="C31" i="52"/>
  <c r="C30" i="52"/>
  <c r="G29" i="52"/>
  <c r="C29" i="52" s="1"/>
  <c r="F29" i="52"/>
  <c r="J28" i="52"/>
  <c r="H28" i="52"/>
  <c r="F28" i="52"/>
  <c r="C28" i="52"/>
  <c r="K27" i="52"/>
  <c r="J27" i="52"/>
  <c r="C27" i="52" s="1"/>
  <c r="K26" i="52"/>
  <c r="K44" i="52" s="1"/>
  <c r="J26" i="52"/>
  <c r="J44" i="52" s="1"/>
  <c r="I26" i="52"/>
  <c r="I44" i="52" s="1"/>
  <c r="H26" i="52"/>
  <c r="H44" i="52" s="1"/>
  <c r="G26" i="52"/>
  <c r="G44" i="52" s="1"/>
  <c r="F26" i="52"/>
  <c r="F44" i="52" s="1"/>
  <c r="E26" i="52"/>
  <c r="E44" i="52" s="1"/>
  <c r="D26" i="52"/>
  <c r="D44" i="52" s="1"/>
  <c r="C25" i="52"/>
  <c r="C24" i="52"/>
  <c r="C23" i="52"/>
  <c r="J22" i="52"/>
  <c r="H22" i="52"/>
  <c r="C22" i="52" s="1"/>
  <c r="C21" i="52"/>
  <c r="C20" i="52"/>
  <c r="C19" i="52"/>
  <c r="C18" i="52"/>
  <c r="C17" i="52"/>
  <c r="K16" i="52"/>
  <c r="K45" i="52" s="1"/>
  <c r="J16" i="52"/>
  <c r="J45" i="52" s="1"/>
  <c r="I16" i="52"/>
  <c r="I45" i="52" s="1"/>
  <c r="H16" i="52"/>
  <c r="H45" i="52" s="1"/>
  <c r="G16" i="52"/>
  <c r="G45" i="52" s="1"/>
  <c r="F16" i="52"/>
  <c r="F45" i="52" s="1"/>
  <c r="E16" i="52"/>
  <c r="E45" i="52" s="1"/>
  <c r="D16" i="52"/>
  <c r="D45" i="52" s="1"/>
  <c r="C13" i="52"/>
  <c r="C12" i="52"/>
  <c r="C11" i="52" s="1"/>
  <c r="K11" i="52"/>
  <c r="J11" i="52"/>
  <c r="I11" i="52"/>
  <c r="H11" i="52"/>
  <c r="G11" i="52"/>
  <c r="F11" i="52"/>
  <c r="F8" i="52" s="1"/>
  <c r="F7" i="52" s="1"/>
  <c r="E11" i="52"/>
  <c r="D11" i="52"/>
  <c r="C10" i="52"/>
  <c r="C9" i="52" s="1"/>
  <c r="K9" i="52"/>
  <c r="J9" i="52"/>
  <c r="J8" i="52" s="1"/>
  <c r="I9" i="52"/>
  <c r="H9" i="52"/>
  <c r="H8" i="52" s="1"/>
  <c r="G9" i="52"/>
  <c r="G8" i="52" s="1"/>
  <c r="G7" i="52" s="1"/>
  <c r="F9" i="52"/>
  <c r="E9" i="52"/>
  <c r="E8" i="52" s="1"/>
  <c r="D9" i="52"/>
  <c r="F43" i="52" l="1"/>
  <c r="E7" i="52"/>
  <c r="D7" i="53"/>
  <c r="C16" i="52"/>
  <c r="H7" i="52"/>
  <c r="I43" i="52"/>
  <c r="C9" i="53"/>
  <c r="K18" i="53"/>
  <c r="K51" i="52" s="1"/>
  <c r="K46" i="52" s="1"/>
  <c r="G43" i="52"/>
  <c r="C45" i="52"/>
  <c r="H43" i="52"/>
  <c r="K8" i="53"/>
  <c r="H24" i="53"/>
  <c r="H18" i="53" s="1"/>
  <c r="H51" i="52" s="1"/>
  <c r="H46" i="52" s="1"/>
  <c r="J18" i="53"/>
  <c r="J51" i="52" s="1"/>
  <c r="J46" i="52" s="1"/>
  <c r="I8" i="52"/>
  <c r="I7" i="52" s="1"/>
  <c r="J43" i="52"/>
  <c r="E8" i="53"/>
  <c r="E7" i="53" s="1"/>
  <c r="C23" i="53"/>
  <c r="D18" i="53"/>
  <c r="D51" i="52" s="1"/>
  <c r="J7" i="52"/>
  <c r="C26" i="52"/>
  <c r="K43" i="52"/>
  <c r="F8" i="53"/>
  <c r="F7" i="53" s="1"/>
  <c r="C28" i="53"/>
  <c r="C39" i="52"/>
  <c r="G8" i="53"/>
  <c r="G7" i="53" s="1"/>
  <c r="C13" i="53"/>
  <c r="D8" i="52"/>
  <c r="D7" i="52" s="1"/>
  <c r="C8" i="52"/>
  <c r="C7" i="52" s="1"/>
  <c r="K8" i="52"/>
  <c r="K7" i="52" s="1"/>
  <c r="C8" i="53"/>
  <c r="D43" i="52"/>
  <c r="C44" i="52"/>
  <c r="E43" i="52"/>
  <c r="C24" i="53"/>
  <c r="I7" i="53"/>
  <c r="D46" i="52"/>
  <c r="J7" i="53"/>
  <c r="E18" i="53"/>
  <c r="E51" i="52" s="1"/>
  <c r="E46" i="52" s="1"/>
  <c r="C51" i="52" l="1"/>
  <c r="C46" i="52" s="1"/>
  <c r="K7" i="53"/>
  <c r="C18" i="53"/>
  <c r="H7" i="53"/>
  <c r="C43" i="52"/>
  <c r="C7" i="53"/>
  <c r="A3" i="51" l="1"/>
  <c r="C55" i="51"/>
  <c r="C50" i="51"/>
  <c r="C47" i="51"/>
  <c r="C46" i="51"/>
  <c r="C45" i="51" s="1"/>
  <c r="C41" i="51"/>
  <c r="C33" i="51"/>
  <c r="C28" i="51"/>
  <c r="C26" i="51" s="1"/>
  <c r="C21" i="51"/>
  <c r="C13" i="51"/>
  <c r="C9" i="51"/>
  <c r="C8" i="51"/>
  <c r="C7" i="51" s="1"/>
  <c r="C23" i="51" l="1"/>
  <c r="C6" i="51" s="1"/>
  <c r="C61" i="51" s="1"/>
  <c r="A3" i="50"/>
  <c r="C44" i="50"/>
  <c r="C43" i="50"/>
  <c r="C42" i="50"/>
  <c r="C41" i="50"/>
  <c r="C40" i="50" s="1"/>
  <c r="D40" i="50"/>
  <c r="D37" i="50" s="1"/>
  <c r="D32" i="50" s="1"/>
  <c r="C39" i="50"/>
  <c r="C38" i="50" s="1"/>
  <c r="C37" i="50" s="1"/>
  <c r="C32" i="50" s="1"/>
  <c r="D38" i="50"/>
  <c r="C36" i="50"/>
  <c r="C35" i="50"/>
  <c r="D34" i="50"/>
  <c r="C34" i="50"/>
  <c r="C31" i="50"/>
  <c r="C30" i="50"/>
  <c r="C29" i="50"/>
  <c r="E28" i="50"/>
  <c r="C28" i="50" s="1"/>
  <c r="D28" i="50"/>
  <c r="D25" i="50" s="1"/>
  <c r="C27" i="50"/>
  <c r="C26" i="50"/>
  <c r="C24" i="50"/>
  <c r="C23" i="50" s="1"/>
  <c r="E23" i="50"/>
  <c r="D23" i="50"/>
  <c r="C22" i="50"/>
  <c r="C21" i="50"/>
  <c r="C20" i="50"/>
  <c r="C19" i="50"/>
  <c r="C18" i="50"/>
  <c r="C17" i="50"/>
  <c r="D16" i="50"/>
  <c r="C16" i="50" s="1"/>
  <c r="C15" i="50"/>
  <c r="D14" i="50"/>
  <c r="C14" i="50"/>
  <c r="E13" i="50"/>
  <c r="E11" i="50" s="1"/>
  <c r="C13" i="50"/>
  <c r="D12" i="50"/>
  <c r="C12" i="50" s="1"/>
  <c r="E10" i="50" l="1"/>
  <c r="C11" i="50"/>
  <c r="C10" i="50" s="1"/>
  <c r="E25" i="50"/>
  <c r="C25" i="50" s="1"/>
  <c r="C9" i="50" s="1"/>
  <c r="C8" i="50" s="1"/>
  <c r="D11" i="50"/>
  <c r="D10" i="50" s="1"/>
  <c r="D9" i="50" s="1"/>
  <c r="D8" i="50" s="1"/>
  <c r="D45" i="50" s="1"/>
  <c r="E9" i="50" l="1"/>
  <c r="E8" i="50" s="1"/>
  <c r="E45" i="50" s="1"/>
  <c r="C45" i="50" s="1"/>
  <c r="A3" i="49" l="1"/>
  <c r="E61" i="49"/>
  <c r="D61" i="49"/>
  <c r="C59" i="49"/>
  <c r="C58" i="49"/>
  <c r="C57" i="49"/>
  <c r="C56" i="49" s="1"/>
  <c r="D56" i="49"/>
  <c r="C53" i="49"/>
  <c r="C52" i="49"/>
  <c r="C51" i="49"/>
  <c r="C50" i="49"/>
  <c r="C49" i="49"/>
  <c r="E48" i="49"/>
  <c r="D48" i="49"/>
  <c r="C48" i="49"/>
  <c r="C43" i="49"/>
  <c r="C40" i="49"/>
  <c r="C39" i="49"/>
  <c r="C38" i="49"/>
  <c r="C37" i="49"/>
  <c r="C36" i="49"/>
  <c r="E35" i="49"/>
  <c r="D35" i="49"/>
  <c r="C33" i="49"/>
  <c r="C31" i="49" s="1"/>
  <c r="C32" i="49"/>
  <c r="D31" i="49"/>
  <c r="C30" i="49"/>
  <c r="C28" i="49"/>
  <c r="C27" i="49"/>
  <c r="C26" i="49"/>
  <c r="C25" i="49"/>
  <c r="E24" i="49"/>
  <c r="E62" i="49" s="1"/>
  <c r="D24" i="49"/>
  <c r="D62" i="49" s="1"/>
  <c r="C23" i="49"/>
  <c r="C22" i="49"/>
  <c r="C21" i="49"/>
  <c r="C20" i="49"/>
  <c r="C19" i="49"/>
  <c r="C18" i="49"/>
  <c r="C17" i="49"/>
  <c r="C16" i="49"/>
  <c r="E15" i="49"/>
  <c r="D15" i="49"/>
  <c r="C14" i="49"/>
  <c r="C13" i="49"/>
  <c r="C12" i="49"/>
  <c r="E11" i="49"/>
  <c r="D11" i="49"/>
  <c r="C49" i="48"/>
  <c r="C45" i="48"/>
  <c r="C41" i="48"/>
  <c r="C40" i="48" s="1"/>
  <c r="C30" i="48"/>
  <c r="C27" i="48"/>
  <c r="C15" i="48"/>
  <c r="C14" i="48"/>
  <c r="C12" i="48"/>
  <c r="C11" i="48"/>
  <c r="C8" i="48"/>
  <c r="C24" i="49" l="1"/>
  <c r="C11" i="49"/>
  <c r="E60" i="49"/>
  <c r="D9" i="49"/>
  <c r="D8" i="49" s="1"/>
  <c r="C26" i="48"/>
  <c r="C22" i="48" s="1"/>
  <c r="C51" i="48" s="1"/>
  <c r="C15" i="49"/>
  <c r="C10" i="49" s="1"/>
  <c r="C9" i="49" s="1"/>
  <c r="C8" i="49" s="1"/>
  <c r="C62" i="49"/>
  <c r="D60" i="49"/>
  <c r="C61" i="49"/>
  <c r="E9" i="49"/>
  <c r="E8" i="49" s="1"/>
  <c r="Y87" i="43"/>
  <c r="G87" i="43"/>
  <c r="H172" i="41"/>
  <c r="AA173" i="41"/>
  <c r="Y88" i="43" s="1"/>
  <c r="C60" i="49" l="1"/>
  <c r="AD169" i="41"/>
  <c r="O169" i="41"/>
  <c r="J15" i="41" l="1"/>
  <c r="AE157" i="41" l="1"/>
  <c r="D87" i="43" l="1"/>
  <c r="C87" i="43" s="1"/>
  <c r="H168" i="41"/>
  <c r="E172" i="41"/>
  <c r="D172" i="41" s="1"/>
  <c r="AB84" i="43" l="1"/>
  <c r="N84" i="43"/>
  <c r="W154" i="41" l="1"/>
  <c r="D115" i="41"/>
  <c r="C62" i="41"/>
  <c r="C63" i="41"/>
  <c r="C64" i="41"/>
  <c r="C65" i="41"/>
  <c r="C109" i="41"/>
  <c r="C132" i="41"/>
  <c r="V125" i="41"/>
  <c r="V117" i="41"/>
  <c r="M112" i="41"/>
  <c r="V126" i="41"/>
  <c r="V119" i="41"/>
  <c r="V122" i="41"/>
  <c r="V120" i="41"/>
  <c r="V121" i="41"/>
  <c r="T79" i="41"/>
  <c r="V79" i="41"/>
  <c r="V32" i="41"/>
  <c r="V26" i="41"/>
  <c r="V38" i="41"/>
  <c r="V43" i="41"/>
  <c r="O58" i="41"/>
  <c r="S58" i="41"/>
  <c r="M153" i="41"/>
  <c r="K21" i="41"/>
  <c r="V13" i="41"/>
  <c r="I13" i="41"/>
  <c r="V104" i="41"/>
  <c r="V60" i="41"/>
  <c r="L21" i="41" l="1"/>
  <c r="L104" i="41"/>
  <c r="B46" i="47" l="1"/>
  <c r="C42" i="47"/>
  <c r="C40" i="47"/>
  <c r="C39" i="47"/>
  <c r="C38" i="47"/>
  <c r="C37" i="47"/>
  <c r="C36" i="47"/>
  <c r="C35" i="47"/>
  <c r="C34" i="47"/>
  <c r="C33" i="47"/>
  <c r="C32" i="47"/>
  <c r="C31" i="47"/>
  <c r="C30" i="47"/>
  <c r="C28" i="47"/>
  <c r="C27" i="47"/>
  <c r="C26" i="47"/>
  <c r="C25" i="47"/>
  <c r="C24" i="47"/>
  <c r="C22" i="47"/>
  <c r="C20" i="47"/>
  <c r="C19" i="47"/>
  <c r="C17" i="47"/>
  <c r="C16" i="47"/>
  <c r="C15" i="47"/>
  <c r="C13" i="47"/>
  <c r="C10" i="47"/>
  <c r="C9" i="47"/>
  <c r="C8" i="47"/>
  <c r="C7" i="47"/>
  <c r="I122" i="41"/>
  <c r="W155" i="41"/>
  <c r="V129" i="41"/>
  <c r="V128" i="41"/>
  <c r="M128" i="41"/>
  <c r="P127" i="41"/>
  <c r="Q125" i="41"/>
  <c r="V124" i="41"/>
  <c r="V123" i="41"/>
  <c r="N122" i="41"/>
  <c r="T121" i="41"/>
  <c r="Q121" i="41"/>
  <c r="T120" i="41"/>
  <c r="Q120" i="41"/>
  <c r="V106" i="41"/>
  <c r="T106" i="41"/>
  <c r="H63" i="41"/>
  <c r="H64" i="41"/>
  <c r="C41" i="47" l="1"/>
  <c r="C29" i="47"/>
  <c r="D223" i="41" l="1"/>
  <c r="C64" i="43"/>
  <c r="X86" i="43" l="1"/>
  <c r="A86" i="43"/>
  <c r="B86" i="43"/>
  <c r="D9" i="46" l="1"/>
  <c r="O89" i="41"/>
  <c r="AD173" i="41" l="1"/>
  <c r="AB88" i="43" s="1"/>
  <c r="H169" i="41" l="1"/>
  <c r="H170" i="41"/>
  <c r="G85" i="43" s="1"/>
  <c r="D168" i="41" l="1"/>
  <c r="C168" i="41" s="1"/>
  <c r="Q156" i="41"/>
  <c r="O155" i="41"/>
  <c r="AJ156" i="41" l="1"/>
  <c r="AB173" i="41" l="1"/>
  <c r="Z88" i="43" s="1"/>
  <c r="AC173" i="41"/>
  <c r="AA88" i="43" s="1"/>
  <c r="G83" i="43"/>
  <c r="G84" i="43"/>
  <c r="AA82" i="43"/>
  <c r="Z74" i="43"/>
  <c r="AA5" i="43"/>
  <c r="B74" i="43"/>
  <c r="H160" i="41" l="1"/>
  <c r="H167" i="41"/>
  <c r="P99" i="41"/>
  <c r="V52" i="41" l="1"/>
  <c r="AK130" i="41"/>
  <c r="AJ130" i="41"/>
  <c r="V47" i="41" l="1"/>
  <c r="M47" i="41"/>
  <c r="T80" i="41"/>
  <c r="V80" i="41"/>
  <c r="V25" i="41"/>
  <c r="O133" i="41"/>
  <c r="O131" i="41"/>
  <c r="U85" i="41"/>
  <c r="V85" i="41"/>
  <c r="M52" i="41"/>
  <c r="M36" i="41"/>
  <c r="V36" i="41"/>
  <c r="V65" i="41"/>
  <c r="V76" i="41"/>
  <c r="R76" i="41"/>
  <c r="U112" i="41"/>
  <c r="O112" i="41"/>
  <c r="N112" i="41"/>
  <c r="V107" i="41"/>
  <c r="H107" i="41" s="1"/>
  <c r="V103" i="41"/>
  <c r="M103" i="41"/>
  <c r="V14" i="41"/>
  <c r="I14" i="41"/>
  <c r="K22" i="41"/>
  <c r="V22" i="41"/>
  <c r="V91" i="41"/>
  <c r="O91" i="41"/>
  <c r="M69" i="41"/>
  <c r="V69" i="41"/>
  <c r="M42" i="41"/>
  <c r="V42" i="41"/>
  <c r="V31" i="41"/>
  <c r="V28" i="41" s="1"/>
  <c r="O56" i="41"/>
  <c r="C7" i="46" l="1"/>
  <c r="H171" i="41" l="1"/>
  <c r="G86" i="43" l="1"/>
  <c r="C86" i="43" s="1"/>
  <c r="D171" i="41"/>
  <c r="C171" i="41" s="1"/>
  <c r="AJ72" i="41"/>
  <c r="J136" i="41" l="1"/>
  <c r="K136" i="41"/>
  <c r="L136" i="41"/>
  <c r="M136" i="41"/>
  <c r="N136" i="41"/>
  <c r="O136" i="41"/>
  <c r="P136" i="41"/>
  <c r="Q136" i="41"/>
  <c r="R136" i="41"/>
  <c r="S136" i="41"/>
  <c r="T136" i="41"/>
  <c r="U136" i="41"/>
  <c r="V136" i="41"/>
  <c r="W136" i="41"/>
  <c r="X136" i="41"/>
  <c r="Y136" i="41"/>
  <c r="Z136" i="41"/>
  <c r="AE136" i="41"/>
  <c r="AF136" i="41"/>
  <c r="AG136" i="41"/>
  <c r="I136" i="41"/>
  <c r="O61" i="43"/>
  <c r="P61" i="43"/>
  <c r="Q61" i="43"/>
  <c r="R61" i="43"/>
  <c r="S61" i="43"/>
  <c r="T61" i="43"/>
  <c r="U61" i="43"/>
  <c r="N61" i="43"/>
  <c r="B61" i="43"/>
  <c r="H149" i="41"/>
  <c r="G61" i="43" s="1"/>
  <c r="C61" i="43" s="1"/>
  <c r="H136" i="41" l="1"/>
  <c r="D149" i="41"/>
  <c r="AI149" i="41" l="1"/>
  <c r="C149" i="41"/>
  <c r="AK94" i="41" l="1"/>
  <c r="AJ94" i="41"/>
  <c r="C23" i="47" l="1"/>
  <c r="AH118" i="41"/>
  <c r="AJ118" i="41"/>
  <c r="AK118" i="41"/>
  <c r="AK33" i="41"/>
  <c r="C11" i="47" s="1"/>
  <c r="AJ33" i="41"/>
  <c r="AK49" i="41"/>
  <c r="AJ49" i="41"/>
  <c r="AK82" i="41"/>
  <c r="AJ82" i="41"/>
  <c r="AK66" i="41"/>
  <c r="AJ66" i="41"/>
  <c r="AK39" i="41"/>
  <c r="AJ39" i="41"/>
  <c r="C18" i="47" l="1"/>
  <c r="C21" i="47"/>
  <c r="C14" i="47"/>
  <c r="C12" i="47"/>
  <c r="AJ173" i="41"/>
  <c r="AK173" i="41"/>
  <c r="C46" i="47" l="1"/>
  <c r="C36" i="46"/>
  <c r="K19" i="41" l="1"/>
  <c r="N61" i="41"/>
  <c r="O61" i="41"/>
  <c r="P61" i="41"/>
  <c r="Q61" i="41"/>
  <c r="R61" i="41"/>
  <c r="S61" i="41"/>
  <c r="T61" i="41"/>
  <c r="U61" i="41"/>
  <c r="V61" i="41"/>
  <c r="W61" i="41"/>
  <c r="X61" i="41"/>
  <c r="M61" i="41"/>
  <c r="I11" i="41"/>
  <c r="I10" i="41"/>
  <c r="E85" i="43"/>
  <c r="H19" i="41" l="1"/>
  <c r="K18" i="41"/>
  <c r="H55" i="41"/>
  <c r="M67" i="41" l="1"/>
  <c r="O67" i="41"/>
  <c r="AF94" i="41" l="1"/>
  <c r="AF173" i="41" s="1"/>
  <c r="H158" i="41"/>
  <c r="M111" i="45"/>
  <c r="W108" i="45"/>
  <c r="H104" i="45"/>
  <c r="C104" i="45" s="1"/>
  <c r="H103" i="45"/>
  <c r="D103" i="45"/>
  <c r="C103" i="45" s="1"/>
  <c r="H102" i="45"/>
  <c r="C102" i="45" s="1"/>
  <c r="H101" i="45"/>
  <c r="C101" i="45" s="1"/>
  <c r="H100" i="45"/>
  <c r="C100" i="45" s="1"/>
  <c r="H99" i="45"/>
  <c r="C99" i="45" s="1"/>
  <c r="H98" i="45"/>
  <c r="C98" i="45"/>
  <c r="H97" i="45"/>
  <c r="C97" i="45" s="1"/>
  <c r="H96" i="45"/>
  <c r="C96" i="45" s="1"/>
  <c r="H95" i="45"/>
  <c r="C95" i="45" s="1"/>
  <c r="H94" i="45"/>
  <c r="C94" i="45" s="1"/>
  <c r="D94" i="45"/>
  <c r="H93" i="45"/>
  <c r="D93" i="45"/>
  <c r="H92" i="45"/>
  <c r="D92" i="45"/>
  <c r="H91" i="45"/>
  <c r="D91" i="45"/>
  <c r="H90" i="45"/>
  <c r="C90" i="45" s="1"/>
  <c r="D90" i="45"/>
  <c r="H89" i="45"/>
  <c r="D89" i="45"/>
  <c r="H88" i="45"/>
  <c r="D88" i="45"/>
  <c r="H87" i="45"/>
  <c r="D87" i="45"/>
  <c r="H86" i="45"/>
  <c r="C86" i="45" s="1"/>
  <c r="D86" i="45"/>
  <c r="H85" i="45"/>
  <c r="C85" i="45" s="1"/>
  <c r="D85" i="45"/>
  <c r="H84" i="45"/>
  <c r="C84" i="45" s="1"/>
  <c r="D84" i="45"/>
  <c r="H83" i="45"/>
  <c r="C83" i="45" s="1"/>
  <c r="D83" i="45"/>
  <c r="H82" i="45"/>
  <c r="C82" i="45" s="1"/>
  <c r="D82" i="45"/>
  <c r="H81" i="45"/>
  <c r="C81" i="45" s="1"/>
  <c r="H80" i="45"/>
  <c r="D80" i="45"/>
  <c r="C80" i="45"/>
  <c r="H79" i="45"/>
  <c r="C79" i="45" s="1"/>
  <c r="D79" i="45"/>
  <c r="H78" i="45"/>
  <c r="C78" i="45" s="1"/>
  <c r="H77" i="45"/>
  <c r="D77" i="45"/>
  <c r="D75" i="45" s="1"/>
  <c r="C77" i="45"/>
  <c r="H76" i="45"/>
  <c r="C76" i="45" s="1"/>
  <c r="AC75" i="45"/>
  <c r="AB75" i="45"/>
  <c r="Y75" i="45"/>
  <c r="X75" i="45"/>
  <c r="W75" i="45"/>
  <c r="V75" i="45"/>
  <c r="U75" i="45"/>
  <c r="T75" i="45"/>
  <c r="S75" i="45"/>
  <c r="R75" i="45"/>
  <c r="Q75" i="45"/>
  <c r="P75" i="45"/>
  <c r="O75" i="45"/>
  <c r="N75" i="45"/>
  <c r="M75" i="45"/>
  <c r="L75" i="45"/>
  <c r="K75" i="45"/>
  <c r="J75" i="45"/>
  <c r="I75" i="45"/>
  <c r="G75" i="45"/>
  <c r="F75" i="45"/>
  <c r="E75" i="45"/>
  <c r="H74" i="45"/>
  <c r="C74" i="45" s="1"/>
  <c r="D74" i="45"/>
  <c r="H73" i="45"/>
  <c r="C73" i="45" s="1"/>
  <c r="D73" i="45"/>
  <c r="H72" i="45"/>
  <c r="C72" i="45" s="1"/>
  <c r="H71" i="45"/>
  <c r="C71" i="45" s="1"/>
  <c r="D71" i="45"/>
  <c r="H70" i="45"/>
  <c r="C70" i="45" s="1"/>
  <c r="D70" i="45"/>
  <c r="H69" i="45"/>
  <c r="C69" i="45" s="1"/>
  <c r="D69" i="45"/>
  <c r="H68" i="45"/>
  <c r="C68" i="45" s="1"/>
  <c r="D68" i="45"/>
  <c r="H67" i="45"/>
  <c r="C67" i="45" s="1"/>
  <c r="D67" i="45"/>
  <c r="H66" i="45"/>
  <c r="C66" i="45" s="1"/>
  <c r="D66" i="45"/>
  <c r="H65" i="45"/>
  <c r="C65" i="45" s="1"/>
  <c r="D65" i="45"/>
  <c r="H64" i="45"/>
  <c r="C64" i="45" s="1"/>
  <c r="D64" i="45"/>
  <c r="H63" i="45"/>
  <c r="C63" i="45" s="1"/>
  <c r="D63" i="45"/>
  <c r="D59" i="45" s="1"/>
  <c r="H62" i="45"/>
  <c r="C62" i="45" s="1"/>
  <c r="D62" i="45"/>
  <c r="H61" i="45"/>
  <c r="C61" i="45" s="1"/>
  <c r="D61" i="45"/>
  <c r="H60" i="45"/>
  <c r="C60" i="45" s="1"/>
  <c r="D60" i="45"/>
  <c r="AC59" i="45"/>
  <c r="AB59" i="45"/>
  <c r="Y59" i="45"/>
  <c r="X59" i="45"/>
  <c r="W59" i="45"/>
  <c r="V59" i="45"/>
  <c r="U59" i="45"/>
  <c r="T59" i="45"/>
  <c r="S59" i="45"/>
  <c r="R59" i="45"/>
  <c r="Q59" i="45"/>
  <c r="P59" i="45"/>
  <c r="O59" i="45"/>
  <c r="N59" i="45"/>
  <c r="M59" i="45"/>
  <c r="L59" i="45"/>
  <c r="K59" i="45"/>
  <c r="J59" i="45"/>
  <c r="I59" i="45"/>
  <c r="G59" i="45"/>
  <c r="F59" i="45"/>
  <c r="E59" i="45"/>
  <c r="H58" i="45"/>
  <c r="D58" i="45"/>
  <c r="C58" i="45"/>
  <c r="H57" i="45"/>
  <c r="D57" i="45"/>
  <c r="C57" i="45"/>
  <c r="H56" i="45"/>
  <c r="D56" i="45"/>
  <c r="C56" i="45"/>
  <c r="H55" i="45"/>
  <c r="C55" i="45" s="1"/>
  <c r="D55" i="45"/>
  <c r="H54" i="45"/>
  <c r="C54" i="45"/>
  <c r="AC53" i="45"/>
  <c r="AB53" i="45"/>
  <c r="Y53" i="45"/>
  <c r="X53" i="45"/>
  <c r="W53" i="45"/>
  <c r="V53" i="45"/>
  <c r="U53" i="45"/>
  <c r="T53" i="45"/>
  <c r="S53" i="45"/>
  <c r="R53" i="45"/>
  <c r="Q53" i="45"/>
  <c r="P53" i="45"/>
  <c r="O53" i="45"/>
  <c r="N53" i="45"/>
  <c r="M53" i="45"/>
  <c r="L53" i="45"/>
  <c r="K53" i="45"/>
  <c r="J53" i="45"/>
  <c r="I53" i="45"/>
  <c r="H53" i="45"/>
  <c r="C53" i="45" s="1"/>
  <c r="G53" i="45"/>
  <c r="F53" i="45"/>
  <c r="E53" i="45"/>
  <c r="D53" i="45"/>
  <c r="H52" i="45"/>
  <c r="C52" i="45" s="1"/>
  <c r="AC51" i="45"/>
  <c r="AB51" i="45"/>
  <c r="Y51" i="45"/>
  <c r="X51" i="45"/>
  <c r="W51" i="45"/>
  <c r="U51" i="45"/>
  <c r="T51" i="45"/>
  <c r="S51" i="45"/>
  <c r="R51" i="45"/>
  <c r="Q51" i="45"/>
  <c r="P51" i="45"/>
  <c r="O51" i="45"/>
  <c r="N51" i="45"/>
  <c r="M51" i="45"/>
  <c r="L51" i="45"/>
  <c r="K51" i="45"/>
  <c r="J51" i="45"/>
  <c r="I51" i="45"/>
  <c r="H51" i="45"/>
  <c r="C51" i="45" s="1"/>
  <c r="G51" i="45"/>
  <c r="F51" i="45"/>
  <c r="E51" i="45"/>
  <c r="D51" i="45"/>
  <c r="H50" i="45"/>
  <c r="H49" i="45"/>
  <c r="C49" i="45" s="1"/>
  <c r="AC48" i="45"/>
  <c r="AB48" i="45"/>
  <c r="Y48" i="45"/>
  <c r="X48" i="45"/>
  <c r="W48" i="45"/>
  <c r="V48" i="45"/>
  <c r="U48" i="45"/>
  <c r="T48" i="45"/>
  <c r="S48" i="45"/>
  <c r="R48" i="45"/>
  <c r="Q48" i="45"/>
  <c r="P48" i="45"/>
  <c r="O48" i="45"/>
  <c r="N48" i="45"/>
  <c r="M48" i="45"/>
  <c r="L48" i="45"/>
  <c r="K48" i="45"/>
  <c r="J48" i="45"/>
  <c r="I48" i="45"/>
  <c r="G48" i="45"/>
  <c r="F48" i="45"/>
  <c r="E48" i="45"/>
  <c r="D48" i="45"/>
  <c r="H46" i="45"/>
  <c r="H45" i="45" s="1"/>
  <c r="C45" i="45" s="1"/>
  <c r="AC45" i="45"/>
  <c r="AB45" i="45"/>
  <c r="Y45" i="45"/>
  <c r="X45" i="45"/>
  <c r="W45" i="45"/>
  <c r="V45" i="45"/>
  <c r="U45" i="45"/>
  <c r="T45" i="45"/>
  <c r="S45" i="45"/>
  <c r="R45" i="45"/>
  <c r="Q45" i="45"/>
  <c r="P45" i="45"/>
  <c r="O45" i="45"/>
  <c r="N45" i="45"/>
  <c r="M45" i="45"/>
  <c r="L45" i="45"/>
  <c r="K45" i="45"/>
  <c r="J45" i="45"/>
  <c r="I45" i="45"/>
  <c r="G45" i="45"/>
  <c r="F45" i="45"/>
  <c r="E45" i="45"/>
  <c r="D45" i="45"/>
  <c r="H44" i="45"/>
  <c r="C44" i="45" s="1"/>
  <c r="H43" i="45"/>
  <c r="C43" i="45"/>
  <c r="H42" i="45"/>
  <c r="C42" i="45" s="1"/>
  <c r="AC41" i="45"/>
  <c r="AB41" i="45"/>
  <c r="Y41" i="45"/>
  <c r="X41" i="45"/>
  <c r="W41" i="45"/>
  <c r="V41" i="45"/>
  <c r="U41" i="45"/>
  <c r="T41" i="45"/>
  <c r="S41" i="45"/>
  <c r="R41" i="45"/>
  <c r="Q41" i="45"/>
  <c r="P41" i="45"/>
  <c r="O41" i="45"/>
  <c r="N41" i="45"/>
  <c r="M41" i="45"/>
  <c r="L41" i="45"/>
  <c r="K41" i="45"/>
  <c r="J41" i="45"/>
  <c r="I41" i="45"/>
  <c r="G41" i="45"/>
  <c r="F41" i="45"/>
  <c r="E41" i="45"/>
  <c r="D41" i="45"/>
  <c r="H40" i="45"/>
  <c r="C40" i="45" s="1"/>
  <c r="AC39" i="45"/>
  <c r="AB39" i="45"/>
  <c r="Y39" i="45"/>
  <c r="X39" i="45"/>
  <c r="W39" i="45"/>
  <c r="V39" i="45"/>
  <c r="U39" i="45"/>
  <c r="T39" i="45"/>
  <c r="S39" i="45"/>
  <c r="R39" i="45"/>
  <c r="Q39" i="45"/>
  <c r="P39" i="45"/>
  <c r="O39" i="45"/>
  <c r="N39" i="45"/>
  <c r="M39" i="45"/>
  <c r="L39" i="45"/>
  <c r="K39" i="45"/>
  <c r="J39" i="45"/>
  <c r="I39" i="45"/>
  <c r="H39" i="45"/>
  <c r="C39" i="45" s="1"/>
  <c r="G39" i="45"/>
  <c r="F39" i="45"/>
  <c r="E39" i="45"/>
  <c r="D39" i="45"/>
  <c r="H38" i="45"/>
  <c r="C38" i="45" s="1"/>
  <c r="AC37" i="45"/>
  <c r="AB37" i="45"/>
  <c r="Y37" i="45"/>
  <c r="X37" i="45"/>
  <c r="W37" i="45"/>
  <c r="V37" i="45"/>
  <c r="U37" i="45"/>
  <c r="T37" i="45"/>
  <c r="S37" i="45"/>
  <c r="R37" i="45"/>
  <c r="Q37" i="45"/>
  <c r="P37" i="45"/>
  <c r="O37" i="45"/>
  <c r="N37" i="45"/>
  <c r="M37" i="45"/>
  <c r="L37" i="45"/>
  <c r="K37" i="45"/>
  <c r="J37" i="45"/>
  <c r="I37" i="45"/>
  <c r="H37" i="45"/>
  <c r="C37" i="45" s="1"/>
  <c r="G37" i="45"/>
  <c r="F37" i="45"/>
  <c r="E37" i="45"/>
  <c r="D37" i="45"/>
  <c r="H36" i="45"/>
  <c r="C36" i="45" s="1"/>
  <c r="D36" i="45"/>
  <c r="H35" i="45"/>
  <c r="C35" i="45" s="1"/>
  <c r="D35" i="45"/>
  <c r="H34" i="45"/>
  <c r="C34" i="45" s="1"/>
  <c r="H33" i="45"/>
  <c r="C33" i="45" s="1"/>
  <c r="H32" i="45"/>
  <c r="C32" i="45" s="1"/>
  <c r="H31" i="45"/>
  <c r="C31" i="45" s="1"/>
  <c r="H30" i="45"/>
  <c r="C30" i="45" s="1"/>
  <c r="H29" i="45"/>
  <c r="C29" i="45" s="1"/>
  <c r="AC28" i="45"/>
  <c r="AB28" i="45"/>
  <c r="Y28" i="45"/>
  <c r="X28" i="45"/>
  <c r="W28" i="45"/>
  <c r="V28" i="45"/>
  <c r="U28" i="45"/>
  <c r="T28" i="45"/>
  <c r="S28" i="45"/>
  <c r="R28" i="45"/>
  <c r="Q28" i="45"/>
  <c r="P28" i="45"/>
  <c r="O28" i="45"/>
  <c r="N28" i="45"/>
  <c r="M28" i="45"/>
  <c r="L28" i="45"/>
  <c r="K28" i="45"/>
  <c r="J28" i="45"/>
  <c r="I28" i="45"/>
  <c r="G28" i="45"/>
  <c r="F28" i="45"/>
  <c r="E28" i="45"/>
  <c r="D28" i="45"/>
  <c r="H27" i="45"/>
  <c r="H26" i="45" s="1"/>
  <c r="C26" i="45" s="1"/>
  <c r="C27" i="45"/>
  <c r="AC26" i="45"/>
  <c r="AB26" i="45"/>
  <c r="Y26" i="45"/>
  <c r="X26" i="45"/>
  <c r="W26" i="45"/>
  <c r="V26" i="45"/>
  <c r="U26" i="45"/>
  <c r="T26" i="45"/>
  <c r="S26" i="45"/>
  <c r="R26" i="45"/>
  <c r="Q26" i="45"/>
  <c r="P26" i="45"/>
  <c r="O26" i="45"/>
  <c r="N26" i="45"/>
  <c r="M26" i="45"/>
  <c r="L26" i="45"/>
  <c r="K26" i="45"/>
  <c r="J26" i="45"/>
  <c r="I26" i="45"/>
  <c r="G26" i="45"/>
  <c r="F26" i="45"/>
  <c r="E26" i="45"/>
  <c r="D26" i="45"/>
  <c r="H25" i="45"/>
  <c r="H24" i="45" s="1"/>
  <c r="C24" i="45" s="1"/>
  <c r="AC24" i="45"/>
  <c r="AB24" i="45"/>
  <c r="AA24" i="45"/>
  <c r="Z24" i="45"/>
  <c r="Y24" i="45"/>
  <c r="X24" i="45"/>
  <c r="W24" i="45"/>
  <c r="V24" i="45"/>
  <c r="U24" i="45"/>
  <c r="T24" i="45"/>
  <c r="S24" i="45"/>
  <c r="R24" i="45"/>
  <c r="Q24" i="45"/>
  <c r="P24" i="45"/>
  <c r="O24" i="45"/>
  <c r="N24" i="45"/>
  <c r="M24" i="45"/>
  <c r="L24" i="45"/>
  <c r="K24" i="45"/>
  <c r="J24" i="45"/>
  <c r="I24" i="45"/>
  <c r="G24" i="45"/>
  <c r="F24" i="45"/>
  <c r="E24" i="45"/>
  <c r="D24" i="45"/>
  <c r="H23" i="45"/>
  <c r="C23" i="45" s="1"/>
  <c r="AC22" i="45"/>
  <c r="AB22" i="45"/>
  <c r="Y22" i="45"/>
  <c r="X22" i="45"/>
  <c r="W22" i="45"/>
  <c r="V22" i="45"/>
  <c r="U22" i="45"/>
  <c r="T22" i="45"/>
  <c r="S22" i="45"/>
  <c r="R22" i="45"/>
  <c r="Q22" i="45"/>
  <c r="P22" i="45"/>
  <c r="O22" i="45"/>
  <c r="N22" i="45"/>
  <c r="M22" i="45"/>
  <c r="L22" i="45"/>
  <c r="K22" i="45"/>
  <c r="J22" i="45"/>
  <c r="I22" i="45"/>
  <c r="G22" i="45"/>
  <c r="F22" i="45"/>
  <c r="E22" i="45"/>
  <c r="D22" i="45"/>
  <c r="C21" i="45"/>
  <c r="H19" i="45"/>
  <c r="C19" i="45" s="1"/>
  <c r="AC18" i="45"/>
  <c r="AB18" i="45"/>
  <c r="AA18" i="45"/>
  <c r="AA105" i="45" s="1"/>
  <c r="AA113" i="45" s="1"/>
  <c r="Z18" i="45"/>
  <c r="Z105" i="45" s="1"/>
  <c r="Z113" i="45" s="1"/>
  <c r="Y18" i="45"/>
  <c r="X18" i="45"/>
  <c r="W18" i="45"/>
  <c r="V18" i="45"/>
  <c r="U18" i="45"/>
  <c r="T18" i="45"/>
  <c r="S18" i="45"/>
  <c r="R18" i="45"/>
  <c r="Q18" i="45"/>
  <c r="P18" i="45"/>
  <c r="O18" i="45"/>
  <c r="N18" i="45"/>
  <c r="M18" i="45"/>
  <c r="L18" i="45"/>
  <c r="K18" i="45"/>
  <c r="J18" i="45"/>
  <c r="I18" i="45"/>
  <c r="G18" i="45"/>
  <c r="F18" i="45"/>
  <c r="E18" i="45"/>
  <c r="D18" i="45"/>
  <c r="C17" i="45"/>
  <c r="C16" i="45"/>
  <c r="AC15" i="45"/>
  <c r="AB15" i="45"/>
  <c r="Y15" i="45"/>
  <c r="X15" i="45"/>
  <c r="W15" i="45"/>
  <c r="V15" i="45"/>
  <c r="U15" i="45"/>
  <c r="T15" i="45"/>
  <c r="S15" i="45"/>
  <c r="R15" i="45"/>
  <c r="Q15" i="45"/>
  <c r="P15" i="45"/>
  <c r="O15" i="45"/>
  <c r="N15" i="45"/>
  <c r="M15" i="45"/>
  <c r="L15" i="45"/>
  <c r="K15" i="45"/>
  <c r="J15" i="45"/>
  <c r="I15" i="45"/>
  <c r="H15" i="45"/>
  <c r="C15" i="45" s="1"/>
  <c r="G15" i="45"/>
  <c r="F15" i="45"/>
  <c r="E15" i="45"/>
  <c r="D15" i="45"/>
  <c r="AC13" i="45"/>
  <c r="AB13" i="45"/>
  <c r="Y13" i="45"/>
  <c r="X13" i="45"/>
  <c r="W13" i="45"/>
  <c r="V13" i="45"/>
  <c r="U13" i="45"/>
  <c r="T13" i="45"/>
  <c r="S13" i="45"/>
  <c r="R13" i="45"/>
  <c r="Q13" i="45"/>
  <c r="P13" i="45"/>
  <c r="O13" i="45"/>
  <c r="N13" i="45"/>
  <c r="M13" i="45"/>
  <c r="L13" i="45"/>
  <c r="K13" i="45"/>
  <c r="J13" i="45"/>
  <c r="I13" i="45"/>
  <c r="H13" i="45"/>
  <c r="C13" i="45" s="1"/>
  <c r="G13" i="45"/>
  <c r="F13" i="45"/>
  <c r="E13" i="45"/>
  <c r="D13" i="45"/>
  <c r="C12" i="45"/>
  <c r="H11" i="45"/>
  <c r="C11" i="45" s="1"/>
  <c r="AC10" i="45"/>
  <c r="AB10" i="45"/>
  <c r="AB105" i="45" s="1"/>
  <c r="AB113" i="45" s="1"/>
  <c r="X10" i="45"/>
  <c r="W10" i="45"/>
  <c r="V10" i="45"/>
  <c r="U10" i="45"/>
  <c r="T10" i="45"/>
  <c r="S10" i="45"/>
  <c r="R10" i="45"/>
  <c r="Q10" i="45"/>
  <c r="P10" i="45"/>
  <c r="O10" i="45"/>
  <c r="N10" i="45"/>
  <c r="M10" i="45"/>
  <c r="L10" i="45"/>
  <c r="K10" i="45"/>
  <c r="J10" i="45"/>
  <c r="I10" i="45"/>
  <c r="G10" i="45"/>
  <c r="F10" i="45"/>
  <c r="E10" i="45"/>
  <c r="D10" i="45"/>
  <c r="C9" i="45"/>
  <c r="C8" i="45"/>
  <c r="AC7" i="45"/>
  <c r="Y7" i="45"/>
  <c r="Y105" i="45" s="1"/>
  <c r="Y113" i="45" s="1"/>
  <c r="X7" i="45"/>
  <c r="W7" i="45"/>
  <c r="U7" i="45"/>
  <c r="T7" i="45"/>
  <c r="S7" i="45"/>
  <c r="R7" i="45"/>
  <c r="Q7" i="45"/>
  <c r="P7" i="45"/>
  <c r="P105" i="45" s="1"/>
  <c r="P113" i="45" s="1"/>
  <c r="P111" i="45" s="1"/>
  <c r="O7" i="45"/>
  <c r="M7" i="45"/>
  <c r="L7" i="45"/>
  <c r="K7" i="45"/>
  <c r="I7" i="45"/>
  <c r="D7" i="45"/>
  <c r="J105" i="45" l="1"/>
  <c r="J113" i="45" s="1"/>
  <c r="C88" i="45"/>
  <c r="I105" i="45"/>
  <c r="I113" i="45" s="1"/>
  <c r="C89" i="45"/>
  <c r="C93" i="45"/>
  <c r="S105" i="45"/>
  <c r="S113" i="45" s="1"/>
  <c r="S111" i="45" s="1"/>
  <c r="E105" i="45"/>
  <c r="V105" i="45"/>
  <c r="V113" i="45" s="1"/>
  <c r="V111" i="45" s="1"/>
  <c r="C92" i="45"/>
  <c r="L105" i="45"/>
  <c r="L113" i="45" s="1"/>
  <c r="U105" i="45"/>
  <c r="U113" i="45" s="1"/>
  <c r="U111" i="45" s="1"/>
  <c r="W105" i="45"/>
  <c r="W113" i="45" s="1"/>
  <c r="W111" i="45" s="1"/>
  <c r="C87" i="45"/>
  <c r="C91" i="45"/>
  <c r="T105" i="45"/>
  <c r="T113" i="45" s="1"/>
  <c r="T111" i="45" s="1"/>
  <c r="X105" i="45"/>
  <c r="X113" i="45" s="1"/>
  <c r="AC105" i="45"/>
  <c r="AC113" i="45" s="1"/>
  <c r="G105" i="45"/>
  <c r="N105" i="45"/>
  <c r="N113" i="45" s="1"/>
  <c r="K105" i="45"/>
  <c r="K113" i="45" s="1"/>
  <c r="H48" i="45"/>
  <c r="C48" i="45" s="1"/>
  <c r="H28" i="45"/>
  <c r="C28" i="45" s="1"/>
  <c r="H10" i="45"/>
  <c r="C10" i="45" s="1"/>
  <c r="H18" i="45"/>
  <c r="C18" i="45" s="1"/>
  <c r="H22" i="45"/>
  <c r="C22" i="45" s="1"/>
  <c r="C25" i="45"/>
  <c r="Q105" i="45"/>
  <c r="Q113" i="45" s="1"/>
  <c r="Q111" i="45" s="1"/>
  <c r="M105" i="45"/>
  <c r="M113" i="45" s="1"/>
  <c r="O105" i="45"/>
  <c r="O113" i="45" s="1"/>
  <c r="R105" i="45"/>
  <c r="R113" i="45" s="1"/>
  <c r="R111" i="45" s="1"/>
  <c r="H41" i="45"/>
  <c r="C41" i="45" s="1"/>
  <c r="H75" i="45"/>
  <c r="F105" i="45"/>
  <c r="D105" i="45"/>
  <c r="C50" i="45"/>
  <c r="H59" i="45"/>
  <c r="C59" i="45" s="1"/>
  <c r="H7" i="45"/>
  <c r="C7" i="45" s="1"/>
  <c r="C46" i="45"/>
  <c r="W94" i="41"/>
  <c r="X94" i="41"/>
  <c r="Y94" i="41"/>
  <c r="Z94" i="41"/>
  <c r="AE94" i="41"/>
  <c r="AG94" i="41"/>
  <c r="AH94" i="41"/>
  <c r="AI94" i="41"/>
  <c r="V95" i="41"/>
  <c r="H113" i="45" l="1"/>
  <c r="C113" i="45" s="1"/>
  <c r="C75" i="45"/>
  <c r="C105" i="45" s="1"/>
  <c r="C106" i="45" s="1"/>
  <c r="C107" i="45" s="1"/>
  <c r="C108" i="45" s="1"/>
  <c r="C109" i="45" s="1"/>
  <c r="C110" i="45" s="1"/>
  <c r="C111" i="45" s="1"/>
  <c r="H105" i="45"/>
  <c r="H106" i="45" s="1"/>
  <c r="H107" i="45" s="1"/>
  <c r="H108" i="45" s="1"/>
  <c r="H109" i="45" s="1"/>
  <c r="B70" i="43"/>
  <c r="C112" i="45" l="1"/>
  <c r="AD88" i="43"/>
  <c r="H110" i="45"/>
  <c r="H111" i="45" s="1"/>
  <c r="H112" i="45" s="1"/>
  <c r="B71" i="43"/>
  <c r="B84" i="43" l="1"/>
  <c r="E88" i="43"/>
  <c r="A85" i="43"/>
  <c r="B85" i="43"/>
  <c r="F85" i="43"/>
  <c r="E170" i="41"/>
  <c r="D170" i="41" l="1"/>
  <c r="C170" i="41" s="1"/>
  <c r="D85" i="43"/>
  <c r="C85" i="43" s="1"/>
  <c r="A84" i="43"/>
  <c r="A88" i="43"/>
  <c r="B88" i="43"/>
  <c r="E169" i="41"/>
  <c r="D169" i="41" s="1"/>
  <c r="C169" i="41" s="1"/>
  <c r="E173" i="41" l="1"/>
  <c r="D84" i="43"/>
  <c r="C84" i="43" s="1"/>
  <c r="L78" i="43" l="1"/>
  <c r="O82" i="43"/>
  <c r="H15" i="41" l="1"/>
  <c r="D15" i="41" s="1"/>
  <c r="C15" i="41" s="1"/>
  <c r="H92" i="41" l="1"/>
  <c r="D92" i="41" s="1"/>
  <c r="C92" i="41" s="1"/>
  <c r="K82" i="41" l="1"/>
  <c r="L82" i="41"/>
  <c r="H70" i="41"/>
  <c r="D70" i="41" s="1"/>
  <c r="C70" i="41" s="1"/>
  <c r="H71" i="41"/>
  <c r="H75" i="41"/>
  <c r="D75" i="41" s="1"/>
  <c r="C75" i="41" s="1"/>
  <c r="F18" i="41"/>
  <c r="G18" i="41"/>
  <c r="F23" i="41"/>
  <c r="G23" i="41"/>
  <c r="F28" i="41"/>
  <c r="G28" i="41"/>
  <c r="F33" i="41"/>
  <c r="G33" i="41"/>
  <c r="F39" i="41"/>
  <c r="G39" i="41"/>
  <c r="F44" i="41"/>
  <c r="G44" i="41"/>
  <c r="F49" i="41"/>
  <c r="G49" i="41"/>
  <c r="F54" i="41"/>
  <c r="G54" i="41"/>
  <c r="F66" i="41"/>
  <c r="G66" i="41"/>
  <c r="F72" i="41"/>
  <c r="G72" i="41"/>
  <c r="F77" i="41"/>
  <c r="G77" i="41"/>
  <c r="F82" i="41"/>
  <c r="G82" i="41"/>
  <c r="F88" i="41"/>
  <c r="G88" i="41"/>
  <c r="F94" i="41"/>
  <c r="G94" i="41"/>
  <c r="F101" i="41"/>
  <c r="G101" i="41"/>
  <c r="F118" i="41"/>
  <c r="G118" i="41"/>
  <c r="F130" i="41"/>
  <c r="G130" i="41"/>
  <c r="D110" i="41"/>
  <c r="C110" i="41" s="1"/>
  <c r="H21" i="41"/>
  <c r="D21" i="41" s="1"/>
  <c r="C21" i="41" s="1"/>
  <c r="H104" i="41"/>
  <c r="D104" i="41" s="1"/>
  <c r="C104" i="41" s="1"/>
  <c r="D111" i="41"/>
  <c r="C111" i="41" s="1"/>
  <c r="G173" i="41" l="1"/>
  <c r="F173" i="41"/>
  <c r="G200" i="41"/>
  <c r="F200" i="41"/>
  <c r="H110" i="41"/>
  <c r="F88" i="43" l="1"/>
  <c r="D72" i="43" l="1"/>
  <c r="F72" i="43"/>
  <c r="H72" i="43"/>
  <c r="I72" i="43"/>
  <c r="J72" i="43"/>
  <c r="K72" i="43"/>
  <c r="L72" i="43"/>
  <c r="M72" i="43"/>
  <c r="N72" i="43"/>
  <c r="O72" i="43"/>
  <c r="P72" i="43"/>
  <c r="Q72" i="43"/>
  <c r="R72" i="43"/>
  <c r="S72" i="43"/>
  <c r="T72" i="43"/>
  <c r="U72" i="43"/>
  <c r="V72" i="43"/>
  <c r="W72" i="43"/>
  <c r="X72" i="43"/>
  <c r="AE72" i="43"/>
  <c r="D73" i="43"/>
  <c r="F73" i="43"/>
  <c r="H73" i="43"/>
  <c r="I73" i="43"/>
  <c r="J73" i="43"/>
  <c r="K73" i="43"/>
  <c r="L73" i="43"/>
  <c r="M73" i="43"/>
  <c r="N73" i="43"/>
  <c r="O73" i="43"/>
  <c r="P73" i="43"/>
  <c r="Q73" i="43"/>
  <c r="R73" i="43"/>
  <c r="S73" i="43"/>
  <c r="T73" i="43"/>
  <c r="U73" i="43"/>
  <c r="V73" i="43"/>
  <c r="W73" i="43"/>
  <c r="X73" i="43"/>
  <c r="AE73" i="43"/>
  <c r="A82" i="43"/>
  <c r="B82" i="43"/>
  <c r="D82" i="43"/>
  <c r="F82" i="43"/>
  <c r="H82" i="43"/>
  <c r="I82" i="43"/>
  <c r="J82" i="43"/>
  <c r="K82" i="43"/>
  <c r="M82" i="43"/>
  <c r="N82" i="43"/>
  <c r="P82" i="43"/>
  <c r="Q82" i="43"/>
  <c r="R82" i="43"/>
  <c r="S82" i="43"/>
  <c r="T82" i="43"/>
  <c r="U82" i="43"/>
  <c r="V82" i="43"/>
  <c r="W82" i="43"/>
  <c r="X82" i="43"/>
  <c r="AE82" i="43"/>
  <c r="A83" i="43"/>
  <c r="B83" i="43"/>
  <c r="D83" i="43"/>
  <c r="C83" i="43" s="1"/>
  <c r="F83" i="43"/>
  <c r="H83" i="43"/>
  <c r="I83" i="43"/>
  <c r="J83" i="43"/>
  <c r="K83" i="43"/>
  <c r="L83" i="43"/>
  <c r="M83" i="43"/>
  <c r="N83" i="43"/>
  <c r="O83" i="43"/>
  <c r="P83" i="43"/>
  <c r="Q83" i="43"/>
  <c r="R83" i="43"/>
  <c r="S83" i="43"/>
  <c r="T83" i="43"/>
  <c r="U83" i="43"/>
  <c r="V83" i="43"/>
  <c r="W83" i="43"/>
  <c r="X83" i="43"/>
  <c r="AE83" i="43"/>
  <c r="A81" i="43"/>
  <c r="H57" i="41"/>
  <c r="D57" i="41" s="1"/>
  <c r="C57" i="41" s="1"/>
  <c r="H91" i="41" l="1"/>
  <c r="D91" i="41" s="1"/>
  <c r="C91" i="41" s="1"/>
  <c r="L82" i="43" l="1"/>
  <c r="H31" i="41"/>
  <c r="D31" i="41" s="1"/>
  <c r="C31" i="41" s="1"/>
  <c r="H123" i="41"/>
  <c r="H125" i="41"/>
  <c r="H114" i="41"/>
  <c r="D114" i="41" s="1"/>
  <c r="C114" i="41" s="1"/>
  <c r="H22" i="41" l="1"/>
  <c r="D22" i="41" s="1"/>
  <c r="C22" i="41" s="1"/>
  <c r="H97" i="41"/>
  <c r="D97" i="41" s="1"/>
  <c r="C97" i="41" s="1"/>
  <c r="H131" i="41"/>
  <c r="H132" i="41"/>
  <c r="H103" i="41"/>
  <c r="D103" i="41" s="1"/>
  <c r="C103" i="41" s="1"/>
  <c r="H85" i="41"/>
  <c r="D85" i="41" s="1"/>
  <c r="C85" i="41" s="1"/>
  <c r="H76" i="41"/>
  <c r="D76" i="41" s="1"/>
  <c r="C76" i="41" s="1"/>
  <c r="H69" i="41"/>
  <c r="D69" i="41" s="1"/>
  <c r="C69" i="41" s="1"/>
  <c r="H52" i="41"/>
  <c r="D52" i="41" s="1"/>
  <c r="C52" i="41" s="1"/>
  <c r="H47" i="41"/>
  <c r="D47" i="41" s="1"/>
  <c r="C47" i="41" s="1"/>
  <c r="H42" i="41"/>
  <c r="D42" i="41" s="1"/>
  <c r="C42" i="41" s="1"/>
  <c r="H36" i="41"/>
  <c r="D36" i="41" s="1"/>
  <c r="C36" i="41" s="1"/>
  <c r="H14" i="41"/>
  <c r="H13" i="41"/>
  <c r="H76" i="43"/>
  <c r="I76" i="43"/>
  <c r="J76" i="43"/>
  <c r="K76" i="43"/>
  <c r="L76" i="43"/>
  <c r="M76" i="43"/>
  <c r="N76" i="43"/>
  <c r="O76" i="43"/>
  <c r="P76" i="43"/>
  <c r="Q76" i="43"/>
  <c r="R76" i="43"/>
  <c r="S76" i="43"/>
  <c r="T76" i="43"/>
  <c r="U76" i="43"/>
  <c r="V76" i="43"/>
  <c r="W76" i="43"/>
  <c r="X76" i="43"/>
  <c r="AE76" i="43"/>
  <c r="D167" i="41" l="1"/>
  <c r="C167" i="41" s="1"/>
  <c r="G82" i="43"/>
  <c r="C82" i="43" s="1"/>
  <c r="H80" i="41"/>
  <c r="D80" i="41" s="1"/>
  <c r="C80" i="41" s="1"/>
  <c r="O130" i="41"/>
  <c r="B76" i="43"/>
  <c r="B77" i="43"/>
  <c r="B81" i="43"/>
  <c r="D81" i="43"/>
  <c r="F81" i="43"/>
  <c r="H81" i="43"/>
  <c r="I81" i="43"/>
  <c r="J81" i="43"/>
  <c r="K81" i="43"/>
  <c r="L81" i="43"/>
  <c r="M81" i="43"/>
  <c r="N81" i="43"/>
  <c r="O81" i="43"/>
  <c r="P81" i="43"/>
  <c r="Q81" i="43"/>
  <c r="R81" i="43"/>
  <c r="S81" i="43"/>
  <c r="T81" i="43"/>
  <c r="U81" i="43"/>
  <c r="V81" i="43"/>
  <c r="W81" i="43"/>
  <c r="X81" i="43"/>
  <c r="AE81" i="43"/>
  <c r="B72" i="43"/>
  <c r="A73" i="43"/>
  <c r="B73" i="43"/>
  <c r="D74" i="43"/>
  <c r="F74" i="43"/>
  <c r="H74" i="43"/>
  <c r="I74" i="43"/>
  <c r="J74" i="43"/>
  <c r="K74" i="43"/>
  <c r="L74" i="43"/>
  <c r="M74" i="43"/>
  <c r="N74" i="43"/>
  <c r="O74" i="43"/>
  <c r="P74" i="43"/>
  <c r="Q74" i="43"/>
  <c r="R74" i="43"/>
  <c r="S74" i="43"/>
  <c r="T74" i="43"/>
  <c r="U74" i="43"/>
  <c r="V74" i="43"/>
  <c r="W74" i="43"/>
  <c r="X74" i="43"/>
  <c r="AE74" i="43"/>
  <c r="B75" i="43"/>
  <c r="D75" i="43"/>
  <c r="F75" i="43"/>
  <c r="H75" i="43"/>
  <c r="I75" i="43"/>
  <c r="J75" i="43"/>
  <c r="K75" i="43"/>
  <c r="L75" i="43"/>
  <c r="M75" i="43"/>
  <c r="N75" i="43"/>
  <c r="O75" i="43"/>
  <c r="P75" i="43"/>
  <c r="Q75" i="43"/>
  <c r="R75" i="43"/>
  <c r="S75" i="43"/>
  <c r="T75" i="43"/>
  <c r="U75" i="43"/>
  <c r="V75" i="43"/>
  <c r="W75" i="43"/>
  <c r="X75" i="43"/>
  <c r="AE75" i="43"/>
  <c r="D76" i="43"/>
  <c r="F76" i="43"/>
  <c r="A77" i="43"/>
  <c r="D77" i="43"/>
  <c r="F77" i="43"/>
  <c r="H77" i="43"/>
  <c r="I77" i="43"/>
  <c r="J77" i="43"/>
  <c r="K77" i="43"/>
  <c r="L77" i="43"/>
  <c r="M77" i="43"/>
  <c r="N77" i="43"/>
  <c r="O77" i="43"/>
  <c r="P77" i="43"/>
  <c r="Q77" i="43"/>
  <c r="R77" i="43"/>
  <c r="S77" i="43"/>
  <c r="T77" i="43"/>
  <c r="U77" i="43"/>
  <c r="V77" i="43"/>
  <c r="W77" i="43"/>
  <c r="X77" i="43"/>
  <c r="AE77" i="43"/>
  <c r="A78" i="43"/>
  <c r="B78" i="43"/>
  <c r="D78" i="43"/>
  <c r="F78" i="43"/>
  <c r="H78" i="43"/>
  <c r="I78" i="43"/>
  <c r="J78" i="43"/>
  <c r="K78" i="43"/>
  <c r="M78" i="43"/>
  <c r="N78" i="43"/>
  <c r="O78" i="43"/>
  <c r="P78" i="43"/>
  <c r="Q78" i="43"/>
  <c r="R78" i="43"/>
  <c r="S78" i="43"/>
  <c r="T78" i="43"/>
  <c r="U78" i="43"/>
  <c r="V78" i="43"/>
  <c r="W78" i="43"/>
  <c r="X78" i="43"/>
  <c r="AE78" i="43"/>
  <c r="A79" i="43"/>
  <c r="B79" i="43"/>
  <c r="D79" i="43"/>
  <c r="F79" i="43"/>
  <c r="H79" i="43"/>
  <c r="I79" i="43"/>
  <c r="J79" i="43"/>
  <c r="K79" i="43"/>
  <c r="L79" i="43"/>
  <c r="M79" i="43"/>
  <c r="N79" i="43"/>
  <c r="O79" i="43"/>
  <c r="P79" i="43"/>
  <c r="Q79" i="43"/>
  <c r="R79" i="43"/>
  <c r="S79" i="43"/>
  <c r="T79" i="43"/>
  <c r="U79" i="43"/>
  <c r="V79" i="43"/>
  <c r="W79" i="43"/>
  <c r="X79" i="43"/>
  <c r="AE79" i="43"/>
  <c r="A80" i="43"/>
  <c r="B80" i="43"/>
  <c r="D80" i="43"/>
  <c r="F80" i="43"/>
  <c r="H80" i="43"/>
  <c r="I80" i="43"/>
  <c r="J80" i="43"/>
  <c r="K80" i="43"/>
  <c r="L80" i="43"/>
  <c r="M80" i="43"/>
  <c r="N80" i="43"/>
  <c r="O80" i="43"/>
  <c r="P80" i="43"/>
  <c r="Q80" i="43"/>
  <c r="R80" i="43"/>
  <c r="S80" i="43"/>
  <c r="T80" i="43"/>
  <c r="U80" i="43"/>
  <c r="V80" i="43"/>
  <c r="W80" i="43"/>
  <c r="X80" i="43"/>
  <c r="AE80" i="43"/>
  <c r="D71" i="43"/>
  <c r="F71" i="43"/>
  <c r="H71" i="43"/>
  <c r="I71" i="43"/>
  <c r="J71" i="43"/>
  <c r="K71" i="43"/>
  <c r="L71" i="43"/>
  <c r="M71" i="43"/>
  <c r="N71" i="43"/>
  <c r="O71" i="43"/>
  <c r="P71" i="43"/>
  <c r="Q71" i="43"/>
  <c r="R71" i="43"/>
  <c r="S71" i="43"/>
  <c r="T71" i="43"/>
  <c r="U71" i="43"/>
  <c r="V71" i="43"/>
  <c r="W71" i="43"/>
  <c r="X71" i="43"/>
  <c r="AE71" i="43"/>
  <c r="AC70" i="43"/>
  <c r="G70" i="43" s="1"/>
  <c r="C70" i="43" s="1"/>
  <c r="B47" i="43"/>
  <c r="H162" i="41" l="1"/>
  <c r="G76" i="43" s="1"/>
  <c r="C76" i="43" s="1"/>
  <c r="H163" i="41"/>
  <c r="H164" i="41"/>
  <c r="G78" i="43" s="1"/>
  <c r="C78" i="43" s="1"/>
  <c r="H165" i="41"/>
  <c r="G79" i="43" s="1"/>
  <c r="C79" i="43" s="1"/>
  <c r="H166" i="41"/>
  <c r="D166" i="41" s="1"/>
  <c r="C166" i="41" s="1"/>
  <c r="H161" i="41"/>
  <c r="D164" i="41" l="1"/>
  <c r="C164" i="41" s="1"/>
  <c r="D162" i="41"/>
  <c r="C162" i="41" s="1"/>
  <c r="D161" i="41"/>
  <c r="C161" i="41" s="1"/>
  <c r="G75" i="43"/>
  <c r="C75" i="43" s="1"/>
  <c r="G80" i="43"/>
  <c r="C80" i="43" s="1"/>
  <c r="G81" i="43"/>
  <c r="C81" i="43" s="1"/>
  <c r="D163" i="41"/>
  <c r="C163" i="41" s="1"/>
  <c r="G77" i="43"/>
  <c r="C77" i="43" s="1"/>
  <c r="D165" i="41"/>
  <c r="C165" i="41" s="1"/>
  <c r="D160" i="41" l="1"/>
  <c r="C160" i="41" s="1"/>
  <c r="G74" i="43"/>
  <c r="C74" i="43" s="1"/>
  <c r="H159" i="41"/>
  <c r="G73" i="43"/>
  <c r="C73" i="43" s="1"/>
  <c r="H157" i="41"/>
  <c r="G72" i="43" l="1"/>
  <c r="C72" i="43" s="1"/>
  <c r="D159" i="41"/>
  <c r="C159" i="41" s="1"/>
  <c r="D158" i="41"/>
  <c r="C158" i="41" s="1"/>
  <c r="G71" i="43"/>
  <c r="C71" i="43" s="1"/>
  <c r="D157" i="41"/>
  <c r="C157" i="41" s="1"/>
  <c r="AI136" i="41" l="1"/>
  <c r="E196" i="41" l="1"/>
  <c r="AH82" i="41"/>
  <c r="AH72" i="41" l="1"/>
  <c r="O73" i="41"/>
  <c r="AH18" i="41" l="1"/>
  <c r="AH33" i="41" l="1"/>
  <c r="AH54" i="41" l="1"/>
  <c r="AH39" i="41"/>
  <c r="AH28" i="41"/>
  <c r="AH130" i="41" l="1"/>
  <c r="AH50" i="41"/>
  <c r="AH49" i="41" s="1"/>
  <c r="H50" i="41" l="1"/>
  <c r="AH46" i="41"/>
  <c r="AH44" i="41" s="1"/>
  <c r="AH90" i="41"/>
  <c r="AH88" i="41" s="1"/>
  <c r="AH61" i="41"/>
  <c r="AH101" i="41"/>
  <c r="H65" i="41"/>
  <c r="H62" i="41"/>
  <c r="H111" i="41" l="1"/>
  <c r="AH107" i="41"/>
  <c r="H113" i="41"/>
  <c r="D113" i="41" s="1"/>
  <c r="C113" i="41" s="1"/>
  <c r="H112" i="41"/>
  <c r="H116" i="41"/>
  <c r="D116" i="41" s="1"/>
  <c r="C116" i="41" s="1"/>
  <c r="H108" i="41" l="1"/>
  <c r="D108" i="41" s="1"/>
  <c r="C108" i="41" s="1"/>
  <c r="H25" i="41"/>
  <c r="D25" i="41" s="1"/>
  <c r="C25" i="41" s="1"/>
  <c r="H12" i="41"/>
  <c r="D12" i="41" s="1"/>
  <c r="C12" i="41" s="1"/>
  <c r="AH23" i="41"/>
  <c r="AH10" i="41"/>
  <c r="H183" i="41" l="1"/>
  <c r="H182" i="41"/>
  <c r="H181" i="41"/>
  <c r="H117" i="41"/>
  <c r="H106" i="41"/>
  <c r="H78" i="41" l="1"/>
  <c r="H156" i="41" l="1"/>
  <c r="H98" i="41"/>
  <c r="D98" i="41" s="1"/>
  <c r="C98" i="41" s="1"/>
  <c r="H86" i="41"/>
  <c r="D86" i="41" s="1"/>
  <c r="C86" i="41" s="1"/>
  <c r="H81" i="41"/>
  <c r="H74" i="41"/>
  <c r="D74" i="41" s="1"/>
  <c r="C74" i="41" s="1"/>
  <c r="H61" i="41"/>
  <c r="H58" i="41"/>
  <c r="D58" i="41" s="1"/>
  <c r="C58" i="41" s="1"/>
  <c r="H51" i="41"/>
  <c r="D51" i="41" s="1"/>
  <c r="C51" i="41" s="1"/>
  <c r="H46" i="41"/>
  <c r="D46" i="41" s="1"/>
  <c r="C46" i="41" s="1"/>
  <c r="H41" i="41"/>
  <c r="D41" i="41" s="1"/>
  <c r="C41" i="41" s="1"/>
  <c r="H37" i="41"/>
  <c r="D37" i="41" s="1"/>
  <c r="C37" i="41" s="1"/>
  <c r="H30" i="41"/>
  <c r="D30" i="41" s="1"/>
  <c r="C30" i="41" s="1"/>
  <c r="H32" i="41"/>
  <c r="H27" i="41"/>
  <c r="D27" i="41" s="1"/>
  <c r="C27" i="41" s="1"/>
  <c r="D81" i="41" l="1"/>
  <c r="C81" i="41" s="1"/>
  <c r="AH78" i="41"/>
  <c r="AH77" i="41" s="1"/>
  <c r="D71" i="41"/>
  <c r="C71" i="41" s="1"/>
  <c r="AH71" i="41"/>
  <c r="H155" i="41" l="1"/>
  <c r="H154" i="41" l="1"/>
  <c r="G67" i="43" l="1"/>
  <c r="J118" i="41"/>
  <c r="K118" i="41"/>
  <c r="L118" i="41"/>
  <c r="M118" i="41"/>
  <c r="N118" i="41"/>
  <c r="R118" i="41"/>
  <c r="S118" i="41"/>
  <c r="T118" i="41"/>
  <c r="U118" i="41"/>
  <c r="W118" i="41"/>
  <c r="X118" i="41"/>
  <c r="Y118" i="41"/>
  <c r="Z118" i="41"/>
  <c r="Z173" i="41" s="1"/>
  <c r="AE118" i="41"/>
  <c r="AG118" i="41"/>
  <c r="I118" i="41"/>
  <c r="U63" i="43"/>
  <c r="B63" i="43"/>
  <c r="P118" i="41"/>
  <c r="Q118" i="41"/>
  <c r="H105" i="41"/>
  <c r="D105" i="41" s="1"/>
  <c r="C105" i="41" s="1"/>
  <c r="H96" i="41"/>
  <c r="D96" i="41" s="1"/>
  <c r="C96" i="41" s="1"/>
  <c r="H90" i="41"/>
  <c r="D90" i="41" s="1"/>
  <c r="C90" i="41" s="1"/>
  <c r="H79" i="41"/>
  <c r="D79" i="41" s="1"/>
  <c r="C79" i="41" s="1"/>
  <c r="H38" i="41"/>
  <c r="D38" i="41" s="1"/>
  <c r="C38" i="41" s="1"/>
  <c r="Z200" i="41" l="1"/>
  <c r="Y18" i="41"/>
  <c r="O118" i="41" l="1"/>
  <c r="U54" i="41" l="1"/>
  <c r="H68" i="41" l="1"/>
  <c r="H26" i="41"/>
  <c r="D26" i="41" s="1"/>
  <c r="C26" i="41" s="1"/>
  <c r="H56" i="41"/>
  <c r="D56" i="41" s="1"/>
  <c r="C56" i="41" s="1"/>
  <c r="H59" i="41"/>
  <c r="D59" i="41" s="1"/>
  <c r="C59" i="41" s="1"/>
  <c r="H84" i="41"/>
  <c r="D84" i="41" s="1"/>
  <c r="C84" i="41" s="1"/>
  <c r="H35" i="41"/>
  <c r="D35" i="41" s="1"/>
  <c r="C35" i="41" s="1"/>
  <c r="D13" i="41"/>
  <c r="C13" i="41" s="1"/>
  <c r="H20" i="41"/>
  <c r="D20" i="41" s="1"/>
  <c r="C20" i="41" s="1"/>
  <c r="D68" i="41" l="1"/>
  <c r="C68" i="41" s="1"/>
  <c r="AH68" i="41"/>
  <c r="AH66" i="41" s="1"/>
  <c r="AH173" i="41" s="1"/>
  <c r="V118" i="41"/>
  <c r="AH200" i="41" l="1"/>
  <c r="R66" i="41"/>
  <c r="H11" i="41" l="1"/>
  <c r="D14" i="41"/>
  <c r="C14" i="41" s="1"/>
  <c r="H16" i="41"/>
  <c r="D16" i="41" s="1"/>
  <c r="C16" i="41" s="1"/>
  <c r="H17" i="41"/>
  <c r="E185" i="41"/>
  <c r="H43" i="41" l="1"/>
  <c r="D43" i="41" s="1"/>
  <c r="C43" i="41" s="1"/>
  <c r="V23" i="41"/>
  <c r="H53" i="41"/>
  <c r="D53" i="41" s="1"/>
  <c r="C53" i="41" s="1"/>
  <c r="H87" i="41"/>
  <c r="D87" i="41" s="1"/>
  <c r="C87" i="41" s="1"/>
  <c r="H185" i="41" l="1"/>
  <c r="H192" i="41"/>
  <c r="D185" i="41" l="1"/>
  <c r="D11" i="41"/>
  <c r="C11" i="41" s="1"/>
  <c r="D17" i="41"/>
  <c r="C17" i="41" s="1"/>
  <c r="E198" i="41"/>
  <c r="H190" i="41" l="1"/>
  <c r="D190" i="41" s="1"/>
  <c r="E189" i="41"/>
  <c r="H189" i="41"/>
  <c r="U62" i="43" l="1"/>
  <c r="B62" i="43"/>
  <c r="H150" i="41"/>
  <c r="D150" i="41" l="1"/>
  <c r="C150" i="41" s="1"/>
  <c r="G62" i="43"/>
  <c r="C62" i="43" s="1"/>
  <c r="U50" i="43"/>
  <c r="B50" i="43"/>
  <c r="H138" i="41" l="1"/>
  <c r="G50" i="43" s="1"/>
  <c r="C50" i="43" s="1"/>
  <c r="H196" i="41"/>
  <c r="H197" i="41"/>
  <c r="H198" i="41"/>
  <c r="D198" i="41" s="1"/>
  <c r="D138" i="41" l="1"/>
  <c r="C138" i="41" s="1"/>
  <c r="D197" i="41"/>
  <c r="D196" i="41"/>
  <c r="M66" i="41"/>
  <c r="AI196" i="41" l="1"/>
  <c r="H152" i="41"/>
  <c r="D152" i="41" s="1"/>
  <c r="C152" i="41" s="1"/>
  <c r="F18" i="43" l="1"/>
  <c r="H18" i="43"/>
  <c r="I18" i="43"/>
  <c r="J18" i="43"/>
  <c r="K18" i="43"/>
  <c r="L18" i="43"/>
  <c r="M18" i="43"/>
  <c r="N18" i="43"/>
  <c r="O18" i="43"/>
  <c r="P18" i="43"/>
  <c r="Q18" i="43"/>
  <c r="R18" i="43"/>
  <c r="S18" i="43"/>
  <c r="T18" i="43"/>
  <c r="V18" i="43"/>
  <c r="W18" i="43"/>
  <c r="X18" i="43"/>
  <c r="AC18" i="43"/>
  <c r="AE18" i="43"/>
  <c r="F19" i="43"/>
  <c r="H19" i="43"/>
  <c r="I19" i="43"/>
  <c r="J19" i="43"/>
  <c r="K19" i="43"/>
  <c r="L19" i="43"/>
  <c r="M19" i="43"/>
  <c r="N19" i="43"/>
  <c r="O19" i="43"/>
  <c r="P19" i="43"/>
  <c r="Q19" i="43"/>
  <c r="R19" i="43"/>
  <c r="S19" i="43"/>
  <c r="T19" i="43"/>
  <c r="U19" i="43"/>
  <c r="V19" i="43"/>
  <c r="W19" i="43"/>
  <c r="X19" i="43"/>
  <c r="AC19" i="43"/>
  <c r="AE19" i="43"/>
  <c r="F27" i="43"/>
  <c r="H27" i="43"/>
  <c r="I27" i="43"/>
  <c r="J27" i="43"/>
  <c r="K27" i="43"/>
  <c r="L27" i="43"/>
  <c r="M27" i="43"/>
  <c r="N27" i="43"/>
  <c r="O27" i="43"/>
  <c r="P27" i="43"/>
  <c r="Q27" i="43"/>
  <c r="R27" i="43"/>
  <c r="S27" i="43"/>
  <c r="T27" i="43"/>
  <c r="U27" i="43"/>
  <c r="V27" i="43"/>
  <c r="W27" i="43"/>
  <c r="X27" i="43"/>
  <c r="AC27" i="43"/>
  <c r="AE27" i="43"/>
  <c r="F28" i="43"/>
  <c r="H28" i="43"/>
  <c r="I28" i="43"/>
  <c r="J28" i="43"/>
  <c r="K28" i="43"/>
  <c r="L28" i="43"/>
  <c r="M28" i="43"/>
  <c r="N28" i="43"/>
  <c r="O28" i="43"/>
  <c r="P28" i="43"/>
  <c r="Q28" i="43"/>
  <c r="R28" i="43"/>
  <c r="S28" i="43"/>
  <c r="T28" i="43"/>
  <c r="U28" i="43"/>
  <c r="V28" i="43"/>
  <c r="W28" i="43"/>
  <c r="X28" i="43"/>
  <c r="AC28" i="43"/>
  <c r="AE28" i="43"/>
  <c r="F29" i="43"/>
  <c r="H29" i="43"/>
  <c r="I29" i="43"/>
  <c r="J29" i="43"/>
  <c r="K29" i="43"/>
  <c r="L29" i="43"/>
  <c r="M29" i="43"/>
  <c r="N29" i="43"/>
  <c r="O29" i="43"/>
  <c r="P29" i="43"/>
  <c r="Q29" i="43"/>
  <c r="R29" i="43"/>
  <c r="S29" i="43"/>
  <c r="T29" i="43"/>
  <c r="U29" i="43"/>
  <c r="V29" i="43"/>
  <c r="W29" i="43"/>
  <c r="X29" i="43"/>
  <c r="AC29" i="43"/>
  <c r="AE29" i="43"/>
  <c r="F30" i="43"/>
  <c r="H30" i="43"/>
  <c r="I30" i="43"/>
  <c r="J30" i="43"/>
  <c r="K30" i="43"/>
  <c r="L30" i="43"/>
  <c r="M30" i="43"/>
  <c r="N30" i="43"/>
  <c r="O30" i="43"/>
  <c r="P30" i="43"/>
  <c r="Q30" i="43"/>
  <c r="R30" i="43"/>
  <c r="S30" i="43"/>
  <c r="T30" i="43"/>
  <c r="U30" i="43"/>
  <c r="V30" i="43"/>
  <c r="W30" i="43"/>
  <c r="X30" i="43"/>
  <c r="AC30" i="43"/>
  <c r="AE30" i="43"/>
  <c r="F32" i="43"/>
  <c r="H32" i="43"/>
  <c r="I32" i="43"/>
  <c r="J32" i="43"/>
  <c r="K32" i="43"/>
  <c r="L32" i="43"/>
  <c r="M32" i="43"/>
  <c r="N32" i="43"/>
  <c r="O32" i="43"/>
  <c r="P32" i="43"/>
  <c r="Q32" i="43"/>
  <c r="R32" i="43"/>
  <c r="S32" i="43"/>
  <c r="T32" i="43"/>
  <c r="U32" i="43"/>
  <c r="V32" i="43"/>
  <c r="W32" i="43"/>
  <c r="X32" i="43"/>
  <c r="AC32" i="43"/>
  <c r="AE32" i="43"/>
  <c r="F33" i="43"/>
  <c r="H33" i="43"/>
  <c r="I33" i="43"/>
  <c r="J33" i="43"/>
  <c r="K33" i="43"/>
  <c r="L33" i="43"/>
  <c r="M33" i="43"/>
  <c r="N33" i="43"/>
  <c r="O33" i="43"/>
  <c r="P33" i="43"/>
  <c r="Q33" i="43"/>
  <c r="R33" i="43"/>
  <c r="S33" i="43"/>
  <c r="T33" i="43"/>
  <c r="U33" i="43"/>
  <c r="V33" i="43"/>
  <c r="W33" i="43"/>
  <c r="X33" i="43"/>
  <c r="AC33" i="43"/>
  <c r="AE33" i="43"/>
  <c r="F34" i="43"/>
  <c r="H34" i="43"/>
  <c r="I34" i="43"/>
  <c r="J34" i="43"/>
  <c r="K34" i="43"/>
  <c r="L34" i="43"/>
  <c r="M34" i="43"/>
  <c r="N34" i="43"/>
  <c r="O34" i="43"/>
  <c r="P34" i="43"/>
  <c r="Q34" i="43"/>
  <c r="R34" i="43"/>
  <c r="S34" i="43"/>
  <c r="T34" i="43"/>
  <c r="U34" i="43"/>
  <c r="V34" i="43"/>
  <c r="W34" i="43"/>
  <c r="X34" i="43"/>
  <c r="AC34" i="43"/>
  <c r="AE34" i="43"/>
  <c r="F35" i="43"/>
  <c r="H35" i="43"/>
  <c r="I35" i="43"/>
  <c r="J35" i="43"/>
  <c r="K35" i="43"/>
  <c r="L35" i="43"/>
  <c r="M35" i="43"/>
  <c r="N35" i="43"/>
  <c r="O35" i="43"/>
  <c r="P35" i="43"/>
  <c r="Q35" i="43"/>
  <c r="R35" i="43"/>
  <c r="S35" i="43"/>
  <c r="T35" i="43"/>
  <c r="U35" i="43"/>
  <c r="V35" i="43"/>
  <c r="W35" i="43"/>
  <c r="X35" i="43"/>
  <c r="AC35" i="43"/>
  <c r="AE35" i="43"/>
  <c r="F36" i="43"/>
  <c r="H36" i="43"/>
  <c r="I36" i="43"/>
  <c r="J36" i="43"/>
  <c r="K36" i="43"/>
  <c r="L36" i="43"/>
  <c r="M36" i="43"/>
  <c r="N36" i="43"/>
  <c r="O36" i="43"/>
  <c r="P36" i="43"/>
  <c r="Q36" i="43"/>
  <c r="R36" i="43"/>
  <c r="S36" i="43"/>
  <c r="T36" i="43"/>
  <c r="U36" i="43"/>
  <c r="V36" i="43"/>
  <c r="W36" i="43"/>
  <c r="X36" i="43"/>
  <c r="AC36" i="43"/>
  <c r="AE36" i="43"/>
  <c r="F37" i="43"/>
  <c r="H37" i="43"/>
  <c r="I37" i="43"/>
  <c r="J37" i="43"/>
  <c r="K37" i="43"/>
  <c r="L37" i="43"/>
  <c r="M37" i="43"/>
  <c r="N37" i="43"/>
  <c r="O37" i="43"/>
  <c r="P37" i="43"/>
  <c r="Q37" i="43"/>
  <c r="R37" i="43"/>
  <c r="S37" i="43"/>
  <c r="T37" i="43"/>
  <c r="U37" i="43"/>
  <c r="V37" i="43"/>
  <c r="W37" i="43"/>
  <c r="X37" i="43"/>
  <c r="AC37" i="43"/>
  <c r="AE37" i="43"/>
  <c r="F38" i="43"/>
  <c r="H38" i="43"/>
  <c r="I38" i="43"/>
  <c r="J38" i="43"/>
  <c r="K38" i="43"/>
  <c r="L38" i="43"/>
  <c r="M38" i="43"/>
  <c r="N38" i="43"/>
  <c r="O38" i="43"/>
  <c r="P38" i="43"/>
  <c r="Q38" i="43"/>
  <c r="R38" i="43"/>
  <c r="S38" i="43"/>
  <c r="T38" i="43"/>
  <c r="U38" i="43"/>
  <c r="V38" i="43"/>
  <c r="W38" i="43"/>
  <c r="X38" i="43"/>
  <c r="AC38" i="43"/>
  <c r="AE38" i="43"/>
  <c r="F39" i="43"/>
  <c r="H39" i="43"/>
  <c r="I39" i="43"/>
  <c r="J39" i="43"/>
  <c r="K39" i="43"/>
  <c r="L39" i="43"/>
  <c r="M39" i="43"/>
  <c r="N39" i="43"/>
  <c r="O39" i="43"/>
  <c r="P39" i="43"/>
  <c r="Q39" i="43"/>
  <c r="R39" i="43"/>
  <c r="S39" i="43"/>
  <c r="T39" i="43"/>
  <c r="U39" i="43"/>
  <c r="V39" i="43"/>
  <c r="W39" i="43"/>
  <c r="X39" i="43"/>
  <c r="AC39" i="43"/>
  <c r="AE39" i="43"/>
  <c r="F40" i="43"/>
  <c r="H40" i="43"/>
  <c r="I40" i="43"/>
  <c r="J40" i="43"/>
  <c r="K40" i="43"/>
  <c r="L40" i="43"/>
  <c r="M40" i="43"/>
  <c r="N40" i="43"/>
  <c r="O40" i="43"/>
  <c r="P40" i="43"/>
  <c r="Q40" i="43"/>
  <c r="R40" i="43"/>
  <c r="S40" i="43"/>
  <c r="T40" i="43"/>
  <c r="U40" i="43"/>
  <c r="V40" i="43"/>
  <c r="W40" i="43"/>
  <c r="X40" i="43"/>
  <c r="AC40" i="43"/>
  <c r="AE40" i="43"/>
  <c r="F41" i="43"/>
  <c r="H41" i="43"/>
  <c r="I41" i="43"/>
  <c r="J41" i="43"/>
  <c r="K41" i="43"/>
  <c r="L41" i="43"/>
  <c r="M41" i="43"/>
  <c r="N41" i="43"/>
  <c r="O41" i="43"/>
  <c r="P41" i="43"/>
  <c r="Q41" i="43"/>
  <c r="R41" i="43"/>
  <c r="S41" i="43"/>
  <c r="T41" i="43"/>
  <c r="U41" i="43"/>
  <c r="V41" i="43"/>
  <c r="W41" i="43"/>
  <c r="X41" i="43"/>
  <c r="AC41" i="43"/>
  <c r="AE41" i="43"/>
  <c r="F42" i="43"/>
  <c r="H42" i="43"/>
  <c r="I42" i="43"/>
  <c r="J42" i="43"/>
  <c r="K42" i="43"/>
  <c r="L42" i="43"/>
  <c r="M42" i="43"/>
  <c r="N42" i="43"/>
  <c r="O42" i="43"/>
  <c r="P42" i="43"/>
  <c r="Q42" i="43"/>
  <c r="R42" i="43"/>
  <c r="S42" i="43"/>
  <c r="T42" i="43"/>
  <c r="U42" i="43"/>
  <c r="V42" i="43"/>
  <c r="W42" i="43"/>
  <c r="X42" i="43"/>
  <c r="AC42" i="43"/>
  <c r="AE42" i="43"/>
  <c r="F44" i="43"/>
  <c r="H44" i="43"/>
  <c r="I44" i="43"/>
  <c r="J44" i="43"/>
  <c r="K44" i="43"/>
  <c r="L44" i="43"/>
  <c r="M44" i="43"/>
  <c r="N44" i="43"/>
  <c r="O44" i="43"/>
  <c r="P44" i="43"/>
  <c r="Q44" i="43"/>
  <c r="R44" i="43"/>
  <c r="S44" i="43"/>
  <c r="T44" i="43"/>
  <c r="U44" i="43"/>
  <c r="V44" i="43"/>
  <c r="W44" i="43"/>
  <c r="X44" i="43"/>
  <c r="AC44" i="43"/>
  <c r="AE44" i="43"/>
  <c r="F45" i="43"/>
  <c r="H45" i="43"/>
  <c r="I45" i="43"/>
  <c r="J45" i="43"/>
  <c r="K45" i="43"/>
  <c r="L45" i="43"/>
  <c r="M45" i="43"/>
  <c r="N45" i="43"/>
  <c r="O45" i="43"/>
  <c r="P45" i="43"/>
  <c r="Q45" i="43"/>
  <c r="R45" i="43"/>
  <c r="S45" i="43"/>
  <c r="T45" i="43"/>
  <c r="U45" i="43"/>
  <c r="V45" i="43"/>
  <c r="W45" i="43"/>
  <c r="X45" i="43"/>
  <c r="AC45" i="43"/>
  <c r="AE45" i="43"/>
  <c r="F46" i="43"/>
  <c r="H46" i="43"/>
  <c r="I46" i="43"/>
  <c r="J46" i="43"/>
  <c r="K46" i="43"/>
  <c r="L46" i="43"/>
  <c r="M46" i="43"/>
  <c r="N46" i="43"/>
  <c r="O46" i="43"/>
  <c r="P46" i="43"/>
  <c r="Q46" i="43"/>
  <c r="R46" i="43"/>
  <c r="S46" i="43"/>
  <c r="T46" i="43"/>
  <c r="U46" i="43"/>
  <c r="V46" i="43"/>
  <c r="W46" i="43"/>
  <c r="X46" i="43"/>
  <c r="AC46" i="43"/>
  <c r="AE46" i="43"/>
  <c r="F47" i="43"/>
  <c r="H47" i="43"/>
  <c r="I47" i="43"/>
  <c r="J47" i="43"/>
  <c r="K47" i="43"/>
  <c r="L47" i="43"/>
  <c r="M47" i="43"/>
  <c r="N47" i="43"/>
  <c r="O47" i="43"/>
  <c r="P47" i="43"/>
  <c r="Q47" i="43"/>
  <c r="R47" i="43"/>
  <c r="S47" i="43"/>
  <c r="T47" i="43"/>
  <c r="U47" i="43"/>
  <c r="V47" i="43"/>
  <c r="W47" i="43"/>
  <c r="X47" i="43"/>
  <c r="AC47" i="43"/>
  <c r="AE47" i="43"/>
  <c r="D48" i="43"/>
  <c r="F48" i="43"/>
  <c r="H48" i="43"/>
  <c r="I48" i="43"/>
  <c r="J48" i="43"/>
  <c r="K48" i="43"/>
  <c r="L48" i="43"/>
  <c r="M48" i="43"/>
  <c r="N48" i="43"/>
  <c r="O48" i="43"/>
  <c r="P48" i="43"/>
  <c r="Q48" i="43"/>
  <c r="R48" i="43"/>
  <c r="S48" i="43"/>
  <c r="T48" i="43"/>
  <c r="V48" i="43"/>
  <c r="W48" i="43"/>
  <c r="X48" i="43"/>
  <c r="AC48" i="43"/>
  <c r="AE48" i="43"/>
  <c r="D49" i="43"/>
  <c r="F49" i="43"/>
  <c r="H49" i="43"/>
  <c r="I49" i="43"/>
  <c r="J49" i="43"/>
  <c r="K49" i="43"/>
  <c r="L49" i="43"/>
  <c r="M49" i="43"/>
  <c r="N49" i="43"/>
  <c r="O49" i="43"/>
  <c r="P49" i="43"/>
  <c r="Q49" i="43"/>
  <c r="R49" i="43"/>
  <c r="S49" i="43"/>
  <c r="T49" i="43"/>
  <c r="U49" i="43"/>
  <c r="V49" i="43"/>
  <c r="W49" i="43"/>
  <c r="X49" i="43"/>
  <c r="AC49" i="43"/>
  <c r="AE49" i="43"/>
  <c r="D51" i="43"/>
  <c r="F51" i="43"/>
  <c r="H51" i="43"/>
  <c r="I51" i="43"/>
  <c r="J51" i="43"/>
  <c r="K51" i="43"/>
  <c r="L51" i="43"/>
  <c r="M51" i="43"/>
  <c r="N51" i="43"/>
  <c r="O51" i="43"/>
  <c r="P51" i="43"/>
  <c r="Q51" i="43"/>
  <c r="R51" i="43"/>
  <c r="S51" i="43"/>
  <c r="T51" i="43"/>
  <c r="U51" i="43"/>
  <c r="V51" i="43"/>
  <c r="W51" i="43"/>
  <c r="X51" i="43"/>
  <c r="AC51" i="43"/>
  <c r="AE51" i="43"/>
  <c r="D52" i="43"/>
  <c r="F52" i="43"/>
  <c r="H52" i="43"/>
  <c r="I52" i="43"/>
  <c r="J52" i="43"/>
  <c r="K52" i="43"/>
  <c r="L52" i="43"/>
  <c r="M52" i="43"/>
  <c r="N52" i="43"/>
  <c r="O52" i="43"/>
  <c r="P52" i="43"/>
  <c r="Q52" i="43"/>
  <c r="R52" i="43"/>
  <c r="S52" i="43"/>
  <c r="T52" i="43"/>
  <c r="U52" i="43"/>
  <c r="V52" i="43"/>
  <c r="W52" i="43"/>
  <c r="X52" i="43"/>
  <c r="AC52" i="43"/>
  <c r="AE52" i="43"/>
  <c r="D53" i="43"/>
  <c r="F53" i="43"/>
  <c r="H53" i="43"/>
  <c r="I53" i="43"/>
  <c r="J53" i="43"/>
  <c r="K53" i="43"/>
  <c r="L53" i="43"/>
  <c r="M53" i="43"/>
  <c r="N53" i="43"/>
  <c r="O53" i="43"/>
  <c r="P53" i="43"/>
  <c r="Q53" i="43"/>
  <c r="R53" i="43"/>
  <c r="S53" i="43"/>
  <c r="T53" i="43"/>
  <c r="U53" i="43"/>
  <c r="V53" i="43"/>
  <c r="W53" i="43"/>
  <c r="X53" i="43"/>
  <c r="AC53" i="43"/>
  <c r="AE53" i="43"/>
  <c r="D54" i="43"/>
  <c r="F54" i="43"/>
  <c r="H54" i="43"/>
  <c r="I54" i="43"/>
  <c r="J54" i="43"/>
  <c r="K54" i="43"/>
  <c r="L54" i="43"/>
  <c r="M54" i="43"/>
  <c r="N54" i="43"/>
  <c r="O54" i="43"/>
  <c r="P54" i="43"/>
  <c r="Q54" i="43"/>
  <c r="R54" i="43"/>
  <c r="S54" i="43"/>
  <c r="T54" i="43"/>
  <c r="U54" i="43"/>
  <c r="V54" i="43"/>
  <c r="W54" i="43"/>
  <c r="X54" i="43"/>
  <c r="AC54" i="43"/>
  <c r="AE54" i="43"/>
  <c r="D55" i="43"/>
  <c r="F55" i="43"/>
  <c r="H55" i="43"/>
  <c r="I55" i="43"/>
  <c r="J55" i="43"/>
  <c r="K55" i="43"/>
  <c r="L55" i="43"/>
  <c r="M55" i="43"/>
  <c r="N55" i="43"/>
  <c r="O55" i="43"/>
  <c r="P55" i="43"/>
  <c r="Q55" i="43"/>
  <c r="R55" i="43"/>
  <c r="S55" i="43"/>
  <c r="T55" i="43"/>
  <c r="U55" i="43"/>
  <c r="V55" i="43"/>
  <c r="W55" i="43"/>
  <c r="X55" i="43"/>
  <c r="AC55" i="43"/>
  <c r="AE55" i="43"/>
  <c r="D56" i="43"/>
  <c r="F56" i="43"/>
  <c r="H56" i="43"/>
  <c r="I56" i="43"/>
  <c r="J56" i="43"/>
  <c r="K56" i="43"/>
  <c r="L56" i="43"/>
  <c r="M56" i="43"/>
  <c r="N56" i="43"/>
  <c r="O56" i="43"/>
  <c r="P56" i="43"/>
  <c r="Q56" i="43"/>
  <c r="R56" i="43"/>
  <c r="S56" i="43"/>
  <c r="T56" i="43"/>
  <c r="U56" i="43"/>
  <c r="V56" i="43"/>
  <c r="W56" i="43"/>
  <c r="X56" i="43"/>
  <c r="AC56" i="43"/>
  <c r="AE56" i="43"/>
  <c r="D57" i="43"/>
  <c r="F57" i="43"/>
  <c r="H57" i="43"/>
  <c r="I57" i="43"/>
  <c r="J57" i="43"/>
  <c r="K57" i="43"/>
  <c r="L57" i="43"/>
  <c r="M57" i="43"/>
  <c r="N57" i="43"/>
  <c r="O57" i="43"/>
  <c r="P57" i="43"/>
  <c r="Q57" i="43"/>
  <c r="R57" i="43"/>
  <c r="S57" i="43"/>
  <c r="T57" i="43"/>
  <c r="U57" i="43"/>
  <c r="V57" i="43"/>
  <c r="W57" i="43"/>
  <c r="X57" i="43"/>
  <c r="AC57" i="43"/>
  <c r="AE57" i="43"/>
  <c r="D58" i="43"/>
  <c r="F58" i="43"/>
  <c r="H58" i="43"/>
  <c r="I58" i="43"/>
  <c r="J58" i="43"/>
  <c r="K58" i="43"/>
  <c r="L58" i="43"/>
  <c r="M58" i="43"/>
  <c r="N58" i="43"/>
  <c r="O58" i="43"/>
  <c r="P58" i="43"/>
  <c r="Q58" i="43"/>
  <c r="R58" i="43"/>
  <c r="S58" i="43"/>
  <c r="T58" i="43"/>
  <c r="U58" i="43"/>
  <c r="V58" i="43"/>
  <c r="W58" i="43"/>
  <c r="X58" i="43"/>
  <c r="AC58" i="43"/>
  <c r="AE58" i="43"/>
  <c r="D59" i="43"/>
  <c r="F59" i="43"/>
  <c r="H59" i="43"/>
  <c r="I59" i="43"/>
  <c r="J59" i="43"/>
  <c r="K59" i="43"/>
  <c r="L59" i="43"/>
  <c r="M59" i="43"/>
  <c r="N59" i="43"/>
  <c r="O59" i="43"/>
  <c r="P59" i="43"/>
  <c r="Q59" i="43"/>
  <c r="R59" i="43"/>
  <c r="S59" i="43"/>
  <c r="T59" i="43"/>
  <c r="U59" i="43"/>
  <c r="V59" i="43"/>
  <c r="W59" i="43"/>
  <c r="X59" i="43"/>
  <c r="AC59" i="43"/>
  <c r="AE59" i="43"/>
  <c r="D60" i="43"/>
  <c r="F60" i="43"/>
  <c r="H60" i="43"/>
  <c r="I60" i="43"/>
  <c r="J60" i="43"/>
  <c r="K60" i="43"/>
  <c r="L60" i="43"/>
  <c r="M60" i="43"/>
  <c r="N60" i="43"/>
  <c r="O60" i="43"/>
  <c r="P60" i="43"/>
  <c r="Q60" i="43"/>
  <c r="R60" i="43"/>
  <c r="S60" i="43"/>
  <c r="T60" i="43"/>
  <c r="U60" i="43"/>
  <c r="V60" i="43"/>
  <c r="W60" i="43"/>
  <c r="X60" i="43"/>
  <c r="AC60" i="43"/>
  <c r="AE60" i="43"/>
  <c r="D65" i="43"/>
  <c r="C65" i="43" s="1"/>
  <c r="F65" i="43"/>
  <c r="G65" i="43"/>
  <c r="H65" i="43"/>
  <c r="I65" i="43"/>
  <c r="J65" i="43"/>
  <c r="K65" i="43"/>
  <c r="L65" i="43"/>
  <c r="M65" i="43"/>
  <c r="N65" i="43"/>
  <c r="O65" i="43"/>
  <c r="P65" i="43"/>
  <c r="Q65" i="43"/>
  <c r="R65" i="43"/>
  <c r="S65" i="43"/>
  <c r="T65" i="43"/>
  <c r="U65" i="43"/>
  <c r="V65" i="43"/>
  <c r="W65" i="43"/>
  <c r="X65" i="43"/>
  <c r="AC65" i="43"/>
  <c r="AE65" i="43"/>
  <c r="F66" i="43"/>
  <c r="H66" i="43"/>
  <c r="I66" i="43"/>
  <c r="J66" i="43"/>
  <c r="K66" i="43"/>
  <c r="L66" i="43"/>
  <c r="M66" i="43"/>
  <c r="N66" i="43"/>
  <c r="O66" i="43"/>
  <c r="P66" i="43"/>
  <c r="Q66" i="43"/>
  <c r="R66" i="43"/>
  <c r="S66" i="43"/>
  <c r="T66" i="43"/>
  <c r="U66" i="43"/>
  <c r="V66" i="43"/>
  <c r="W66" i="43"/>
  <c r="X66" i="43"/>
  <c r="AC66" i="43"/>
  <c r="AE66" i="43"/>
  <c r="F67" i="43"/>
  <c r="H67" i="43"/>
  <c r="I67" i="43"/>
  <c r="J67" i="43"/>
  <c r="K67" i="43"/>
  <c r="L67" i="43"/>
  <c r="M67" i="43"/>
  <c r="N67" i="43"/>
  <c r="O67" i="43"/>
  <c r="P67" i="43"/>
  <c r="Q67" i="43"/>
  <c r="R67" i="43"/>
  <c r="S67" i="43"/>
  <c r="T67" i="43"/>
  <c r="U67" i="43"/>
  <c r="V67" i="43"/>
  <c r="W67" i="43"/>
  <c r="X67" i="43"/>
  <c r="AC67" i="43"/>
  <c r="AE67" i="43"/>
  <c r="F68" i="43"/>
  <c r="H68" i="43"/>
  <c r="I68" i="43"/>
  <c r="J68" i="43"/>
  <c r="K68" i="43"/>
  <c r="L68" i="43"/>
  <c r="M68" i="43"/>
  <c r="N68" i="43"/>
  <c r="O68" i="43"/>
  <c r="P68" i="43"/>
  <c r="Q68" i="43"/>
  <c r="R68" i="43"/>
  <c r="S68" i="43"/>
  <c r="T68" i="43"/>
  <c r="U68" i="43"/>
  <c r="V68" i="43"/>
  <c r="W68" i="43"/>
  <c r="X68" i="43"/>
  <c r="AC68" i="43"/>
  <c r="AE68" i="43"/>
  <c r="F69" i="43"/>
  <c r="H69" i="43"/>
  <c r="I69" i="43"/>
  <c r="J69" i="43"/>
  <c r="K69" i="43"/>
  <c r="L69" i="43"/>
  <c r="M69" i="43"/>
  <c r="N69" i="43"/>
  <c r="O69" i="43"/>
  <c r="P69" i="43"/>
  <c r="Q69" i="43"/>
  <c r="R69" i="43"/>
  <c r="S69" i="43"/>
  <c r="T69" i="43"/>
  <c r="U69" i="43"/>
  <c r="V69" i="43"/>
  <c r="W69" i="43"/>
  <c r="X69" i="43"/>
  <c r="AC69" i="43"/>
  <c r="AE69" i="43"/>
  <c r="X10" i="43"/>
  <c r="F9" i="43"/>
  <c r="AC9" i="43"/>
  <c r="U18" i="43"/>
  <c r="H140" i="41" l="1"/>
  <c r="U48" i="43"/>
  <c r="H83" i="41"/>
  <c r="D140" i="41" l="1"/>
  <c r="C140" i="41" s="1"/>
  <c r="G52" i="43"/>
  <c r="C52" i="43" s="1"/>
  <c r="F43" i="43"/>
  <c r="I130" i="41"/>
  <c r="J130" i="41"/>
  <c r="K130" i="41"/>
  <c r="L130" i="41"/>
  <c r="M130" i="41"/>
  <c r="N130" i="41"/>
  <c r="P130" i="41"/>
  <c r="Q130" i="41"/>
  <c r="R130" i="41"/>
  <c r="S130" i="41"/>
  <c r="T130" i="41"/>
  <c r="U130" i="41"/>
  <c r="V130" i="41"/>
  <c r="W130" i="41"/>
  <c r="X130" i="41"/>
  <c r="Y130" i="41"/>
  <c r="AE130" i="41"/>
  <c r="AG130" i="41"/>
  <c r="F31" i="43"/>
  <c r="M43" i="43" l="1"/>
  <c r="M31" i="43"/>
  <c r="AE43" i="43"/>
  <c r="AE31" i="43"/>
  <c r="L43" i="43"/>
  <c r="L31" i="43"/>
  <c r="V43" i="43"/>
  <c r="V31" i="43"/>
  <c r="S43" i="43"/>
  <c r="S31" i="43"/>
  <c r="AC43" i="43"/>
  <c r="AC31" i="43"/>
  <c r="J43" i="43"/>
  <c r="J31" i="43"/>
  <c r="N43" i="43"/>
  <c r="N31" i="43"/>
  <c r="K43" i="43"/>
  <c r="K31" i="43"/>
  <c r="T43" i="43"/>
  <c r="T31" i="43"/>
  <c r="R43" i="43"/>
  <c r="R31" i="43"/>
  <c r="Q43" i="43"/>
  <c r="Q31" i="43"/>
  <c r="W43" i="43"/>
  <c r="W31" i="43"/>
  <c r="I43" i="43"/>
  <c r="I31" i="43"/>
  <c r="P43" i="43"/>
  <c r="P31" i="43"/>
  <c r="X43" i="43"/>
  <c r="X31" i="43"/>
  <c r="U43" i="43"/>
  <c r="U31" i="43"/>
  <c r="H43" i="43"/>
  <c r="H31" i="43"/>
  <c r="O43" i="43"/>
  <c r="O31" i="43"/>
  <c r="F14" i="43"/>
  <c r="I39" i="41"/>
  <c r="H14" i="43" s="1"/>
  <c r="J39" i="41"/>
  <c r="I14" i="43" s="1"/>
  <c r="K39" i="41"/>
  <c r="J14" i="43" s="1"/>
  <c r="L39" i="41"/>
  <c r="K14" i="43" s="1"/>
  <c r="M39" i="41"/>
  <c r="L14" i="43" s="1"/>
  <c r="N39" i="41"/>
  <c r="M14" i="43" s="1"/>
  <c r="O39" i="41"/>
  <c r="N14" i="43" s="1"/>
  <c r="P39" i="41"/>
  <c r="O14" i="43" s="1"/>
  <c r="Q39" i="41"/>
  <c r="P14" i="43" s="1"/>
  <c r="R39" i="41"/>
  <c r="Q14" i="43" s="1"/>
  <c r="S39" i="41"/>
  <c r="R14" i="43" s="1"/>
  <c r="T39" i="41"/>
  <c r="S14" i="43" s="1"/>
  <c r="U39" i="41"/>
  <c r="T14" i="43" s="1"/>
  <c r="V39" i="41"/>
  <c r="U14" i="43" s="1"/>
  <c r="W39" i="41"/>
  <c r="V14" i="43" s="1"/>
  <c r="X39" i="41"/>
  <c r="W14" i="43" s="1"/>
  <c r="Y39" i="41"/>
  <c r="X14" i="43" s="1"/>
  <c r="AE39" i="41"/>
  <c r="AC14" i="43" s="1"/>
  <c r="AG39" i="41"/>
  <c r="AE14" i="43" s="1"/>
  <c r="I18" i="41" l="1"/>
  <c r="J18" i="41"/>
  <c r="L18" i="41"/>
  <c r="M18" i="41"/>
  <c r="N18" i="41"/>
  <c r="O18" i="41"/>
  <c r="P18" i="41"/>
  <c r="Q18" i="41"/>
  <c r="R18" i="41"/>
  <c r="S18" i="41"/>
  <c r="T18" i="41"/>
  <c r="U18" i="41"/>
  <c r="V18" i="41"/>
  <c r="W18" i="41"/>
  <c r="X18" i="41"/>
  <c r="AE18" i="41"/>
  <c r="AG18" i="41"/>
  <c r="D16" i="43"/>
  <c r="F16" i="43"/>
  <c r="I49" i="41"/>
  <c r="H16" i="43" s="1"/>
  <c r="J49" i="41"/>
  <c r="I16" i="43" s="1"/>
  <c r="K49" i="41"/>
  <c r="J16" i="43" s="1"/>
  <c r="L49" i="41"/>
  <c r="K16" i="43" s="1"/>
  <c r="M49" i="41"/>
  <c r="L16" i="43" s="1"/>
  <c r="N49" i="41"/>
  <c r="M16" i="43" s="1"/>
  <c r="O49" i="41"/>
  <c r="N16" i="43" s="1"/>
  <c r="P49" i="41"/>
  <c r="O16" i="43" s="1"/>
  <c r="Q49" i="41"/>
  <c r="P16" i="43" s="1"/>
  <c r="R49" i="41"/>
  <c r="Q16" i="43" s="1"/>
  <c r="S49" i="41"/>
  <c r="R16" i="43" s="1"/>
  <c r="T49" i="41"/>
  <c r="S16" i="43" s="1"/>
  <c r="U49" i="41"/>
  <c r="T16" i="43" s="1"/>
  <c r="V49" i="41"/>
  <c r="U16" i="43" s="1"/>
  <c r="W49" i="41"/>
  <c r="V16" i="43" s="1"/>
  <c r="X49" i="41"/>
  <c r="W16" i="43" s="1"/>
  <c r="Y49" i="41"/>
  <c r="X16" i="43" s="1"/>
  <c r="AE49" i="41"/>
  <c r="AC16" i="43" s="1"/>
  <c r="AG49" i="41"/>
  <c r="AE16" i="43" s="1"/>
  <c r="F24" i="43"/>
  <c r="I88" i="41"/>
  <c r="H24" i="43" s="1"/>
  <c r="J88" i="41"/>
  <c r="I24" i="43" s="1"/>
  <c r="K88" i="41"/>
  <c r="J24" i="43" s="1"/>
  <c r="L88" i="41"/>
  <c r="K24" i="43" s="1"/>
  <c r="M88" i="41"/>
  <c r="L24" i="43" s="1"/>
  <c r="N88" i="41"/>
  <c r="M24" i="43" s="1"/>
  <c r="O88" i="41"/>
  <c r="N24" i="43" s="1"/>
  <c r="P88" i="41"/>
  <c r="O24" i="43" s="1"/>
  <c r="Q88" i="41"/>
  <c r="P24" i="43" s="1"/>
  <c r="R88" i="41"/>
  <c r="Q24" i="43" s="1"/>
  <c r="S88" i="41"/>
  <c r="R24" i="43" s="1"/>
  <c r="T88" i="41"/>
  <c r="S24" i="43" s="1"/>
  <c r="U88" i="41"/>
  <c r="T24" i="43" s="1"/>
  <c r="V88" i="41"/>
  <c r="U24" i="43" s="1"/>
  <c r="W88" i="41"/>
  <c r="V24" i="43" s="1"/>
  <c r="X88" i="41"/>
  <c r="W24" i="43" s="1"/>
  <c r="Y88" i="41"/>
  <c r="X24" i="43" s="1"/>
  <c r="AE88" i="41"/>
  <c r="AC24" i="43" s="1"/>
  <c r="AG88" i="41"/>
  <c r="AE24" i="43" s="1"/>
  <c r="F20" i="43"/>
  <c r="I66" i="41"/>
  <c r="H20" i="43" s="1"/>
  <c r="J66" i="41"/>
  <c r="I20" i="43" s="1"/>
  <c r="K66" i="41"/>
  <c r="J20" i="43" s="1"/>
  <c r="L66" i="41"/>
  <c r="K20" i="43" s="1"/>
  <c r="L20" i="43"/>
  <c r="N66" i="41"/>
  <c r="M20" i="43" s="1"/>
  <c r="O66" i="41"/>
  <c r="N20" i="43" s="1"/>
  <c r="P66" i="41"/>
  <c r="O20" i="43" s="1"/>
  <c r="Q66" i="41"/>
  <c r="P20" i="43" s="1"/>
  <c r="Q20" i="43"/>
  <c r="S66" i="41"/>
  <c r="R20" i="43" s="1"/>
  <c r="T66" i="41"/>
  <c r="S20" i="43" s="1"/>
  <c r="U66" i="41"/>
  <c r="T20" i="43" s="1"/>
  <c r="V66" i="41"/>
  <c r="U20" i="43" s="1"/>
  <c r="W66" i="41"/>
  <c r="V20" i="43" s="1"/>
  <c r="X66" i="41"/>
  <c r="W20" i="43" s="1"/>
  <c r="Y66" i="41"/>
  <c r="X20" i="43" s="1"/>
  <c r="AE66" i="41"/>
  <c r="AC20" i="43" s="1"/>
  <c r="AG66" i="41"/>
  <c r="AE20" i="43" s="1"/>
  <c r="AE10" i="43" l="1"/>
  <c r="W10" i="43"/>
  <c r="U10" i="43"/>
  <c r="S10" i="43"/>
  <c r="Q10" i="43"/>
  <c r="O10" i="43"/>
  <c r="M10" i="43"/>
  <c r="K10" i="43"/>
  <c r="I10" i="43"/>
  <c r="AC10" i="43"/>
  <c r="V10" i="43"/>
  <c r="T10" i="43"/>
  <c r="R10" i="43"/>
  <c r="P10" i="43"/>
  <c r="N10" i="43"/>
  <c r="L10" i="43"/>
  <c r="J10" i="43"/>
  <c r="H10" i="43"/>
  <c r="F10" i="43"/>
  <c r="F22" i="43"/>
  <c r="I77" i="41"/>
  <c r="H22" i="43" s="1"/>
  <c r="J77" i="41"/>
  <c r="I22" i="43" s="1"/>
  <c r="K77" i="41"/>
  <c r="J22" i="43" s="1"/>
  <c r="L77" i="41"/>
  <c r="K22" i="43" s="1"/>
  <c r="M77" i="41"/>
  <c r="N77" i="41"/>
  <c r="M22" i="43" s="1"/>
  <c r="O77" i="41"/>
  <c r="N22" i="43" s="1"/>
  <c r="P77" i="41"/>
  <c r="O22" i="43" s="1"/>
  <c r="Q77" i="41"/>
  <c r="P22" i="43" s="1"/>
  <c r="R77" i="41"/>
  <c r="Q22" i="43" s="1"/>
  <c r="S77" i="41"/>
  <c r="R22" i="43" s="1"/>
  <c r="T77" i="41"/>
  <c r="U77" i="41"/>
  <c r="T22" i="43" s="1"/>
  <c r="V77" i="41"/>
  <c r="U22" i="43" s="1"/>
  <c r="W77" i="41"/>
  <c r="V22" i="43" s="1"/>
  <c r="X77" i="41"/>
  <c r="W22" i="43" s="1"/>
  <c r="Y77" i="41"/>
  <c r="X22" i="43" s="1"/>
  <c r="AE77" i="41"/>
  <c r="AC22" i="43" s="1"/>
  <c r="AG77" i="41"/>
  <c r="AE22" i="43" s="1"/>
  <c r="S22" i="43" l="1"/>
  <c r="L22" i="43"/>
  <c r="F12" i="43"/>
  <c r="I28" i="41"/>
  <c r="H12" i="43" s="1"/>
  <c r="J28" i="41"/>
  <c r="I12" i="43" s="1"/>
  <c r="K28" i="41"/>
  <c r="J12" i="43" s="1"/>
  <c r="L28" i="41"/>
  <c r="K12" i="43" s="1"/>
  <c r="M28" i="41"/>
  <c r="L12" i="43" s="1"/>
  <c r="N28" i="41"/>
  <c r="M12" i="43" s="1"/>
  <c r="O28" i="41"/>
  <c r="N12" i="43" s="1"/>
  <c r="P28" i="41"/>
  <c r="O12" i="43" s="1"/>
  <c r="Q28" i="41"/>
  <c r="P12" i="43" s="1"/>
  <c r="R28" i="41"/>
  <c r="Q12" i="43" s="1"/>
  <c r="S28" i="41"/>
  <c r="R12" i="43" s="1"/>
  <c r="T28" i="41"/>
  <c r="S12" i="43" s="1"/>
  <c r="U28" i="41"/>
  <c r="T12" i="43" s="1"/>
  <c r="U12" i="43"/>
  <c r="W28" i="41"/>
  <c r="V12" i="43" s="1"/>
  <c r="X28" i="41"/>
  <c r="W12" i="43" s="1"/>
  <c r="Y28" i="41"/>
  <c r="X12" i="43" s="1"/>
  <c r="AE28" i="41"/>
  <c r="AG28" i="41"/>
  <c r="D26" i="43"/>
  <c r="F26" i="43"/>
  <c r="I101" i="41"/>
  <c r="H26" i="43" s="1"/>
  <c r="J101" i="41"/>
  <c r="I26" i="43" s="1"/>
  <c r="K101" i="41"/>
  <c r="J26" i="43" s="1"/>
  <c r="L101" i="41"/>
  <c r="K26" i="43" s="1"/>
  <c r="N101" i="41"/>
  <c r="M26" i="43" s="1"/>
  <c r="O101" i="41"/>
  <c r="N26" i="43" s="1"/>
  <c r="P101" i="41"/>
  <c r="O26" i="43" s="1"/>
  <c r="Q101" i="41"/>
  <c r="P26" i="43" s="1"/>
  <c r="R101" i="41"/>
  <c r="Q26" i="43" s="1"/>
  <c r="S101" i="41"/>
  <c r="R26" i="43" s="1"/>
  <c r="T101" i="41"/>
  <c r="S26" i="43" s="1"/>
  <c r="U101" i="41"/>
  <c r="T26" i="43" s="1"/>
  <c r="W101" i="41"/>
  <c r="V26" i="43" s="1"/>
  <c r="X101" i="41"/>
  <c r="W26" i="43" s="1"/>
  <c r="Y101" i="41"/>
  <c r="X26" i="43" s="1"/>
  <c r="AE101" i="41"/>
  <c r="AC26" i="43" s="1"/>
  <c r="AG101" i="41"/>
  <c r="AE26" i="43" s="1"/>
  <c r="V101" i="41"/>
  <c r="U26" i="43" s="1"/>
  <c r="H102" i="41"/>
  <c r="F21" i="43"/>
  <c r="I72" i="41"/>
  <c r="H21" i="43" s="1"/>
  <c r="J72" i="41"/>
  <c r="I21" i="43" s="1"/>
  <c r="K72" i="41"/>
  <c r="J21" i="43" s="1"/>
  <c r="L72" i="41"/>
  <c r="K21" i="43" s="1"/>
  <c r="M72" i="41"/>
  <c r="L21" i="43" s="1"/>
  <c r="N72" i="41"/>
  <c r="M21" i="43" s="1"/>
  <c r="O72" i="41"/>
  <c r="N21" i="43" s="1"/>
  <c r="P72" i="41"/>
  <c r="O21" i="43" s="1"/>
  <c r="Q72" i="41"/>
  <c r="P21" i="43" s="1"/>
  <c r="S72" i="41"/>
  <c r="R21" i="43" s="1"/>
  <c r="T72" i="41"/>
  <c r="S21" i="43" s="1"/>
  <c r="U72" i="41"/>
  <c r="T21" i="43" s="1"/>
  <c r="V72" i="41"/>
  <c r="U21" i="43" s="1"/>
  <c r="W72" i="41"/>
  <c r="V21" i="43" s="1"/>
  <c r="X72" i="41"/>
  <c r="W21" i="43" s="1"/>
  <c r="Y72" i="41"/>
  <c r="X21" i="43" s="1"/>
  <c r="AE72" i="41"/>
  <c r="AC21" i="43" s="1"/>
  <c r="AG72" i="41"/>
  <c r="AE21" i="43" s="1"/>
  <c r="F17" i="43"/>
  <c r="I54" i="41"/>
  <c r="J54" i="41"/>
  <c r="K54" i="41"/>
  <c r="L54" i="41"/>
  <c r="M54" i="41"/>
  <c r="N54" i="41"/>
  <c r="O54" i="41"/>
  <c r="P54" i="41"/>
  <c r="Q54" i="41"/>
  <c r="R54" i="41"/>
  <c r="S54" i="41"/>
  <c r="T54" i="41"/>
  <c r="T17" i="43"/>
  <c r="V54" i="41"/>
  <c r="W54" i="41"/>
  <c r="X54" i="41"/>
  <c r="Y54" i="41"/>
  <c r="AE54" i="41"/>
  <c r="AG54" i="41"/>
  <c r="F15" i="43"/>
  <c r="I44" i="41"/>
  <c r="H15" i="43" s="1"/>
  <c r="J44" i="41"/>
  <c r="I15" i="43" s="1"/>
  <c r="K44" i="41"/>
  <c r="J15" i="43" s="1"/>
  <c r="L44" i="41"/>
  <c r="K15" i="43" s="1"/>
  <c r="N44" i="41"/>
  <c r="M15" i="43" s="1"/>
  <c r="O44" i="41"/>
  <c r="N15" i="43" s="1"/>
  <c r="P44" i="41"/>
  <c r="O15" i="43" s="1"/>
  <c r="Q44" i="41"/>
  <c r="P15" i="43" s="1"/>
  <c r="R44" i="41"/>
  <c r="Q15" i="43" s="1"/>
  <c r="S44" i="41"/>
  <c r="R15" i="43" s="1"/>
  <c r="T44" i="41"/>
  <c r="S15" i="43" s="1"/>
  <c r="U44" i="41"/>
  <c r="T15" i="43" s="1"/>
  <c r="V44" i="41"/>
  <c r="U15" i="43" s="1"/>
  <c r="W44" i="41"/>
  <c r="V15" i="43" s="1"/>
  <c r="X44" i="41"/>
  <c r="W15" i="43" s="1"/>
  <c r="Y44" i="41"/>
  <c r="X15" i="43" s="1"/>
  <c r="AE44" i="41"/>
  <c r="AC15" i="43" s="1"/>
  <c r="AG44" i="41"/>
  <c r="AE15" i="43" s="1"/>
  <c r="M44" i="41"/>
  <c r="L15" i="43" s="1"/>
  <c r="AE12" i="43" l="1"/>
  <c r="AC12" i="43"/>
  <c r="S17" i="43"/>
  <c r="Q17" i="43"/>
  <c r="N17" i="43"/>
  <c r="I17" i="43"/>
  <c r="H17" i="43"/>
  <c r="O17" i="43"/>
  <c r="AC17" i="43"/>
  <c r="M17" i="43"/>
  <c r="V17" i="43"/>
  <c r="U17" i="43"/>
  <c r="L17" i="43"/>
  <c r="J17" i="43"/>
  <c r="R17" i="43"/>
  <c r="P17" i="43"/>
  <c r="AE17" i="43"/>
  <c r="X17" i="43"/>
  <c r="W17" i="43"/>
  <c r="K17" i="43"/>
  <c r="R72" i="41"/>
  <c r="M101" i="41"/>
  <c r="L26" i="43" s="1"/>
  <c r="H101" i="41"/>
  <c r="G26" i="43" s="1"/>
  <c r="C26" i="43" s="1"/>
  <c r="D102" i="41"/>
  <c r="I23" i="41"/>
  <c r="J23" i="41"/>
  <c r="I11" i="43" s="1"/>
  <c r="K23" i="41"/>
  <c r="J11" i="43" s="1"/>
  <c r="L23" i="41"/>
  <c r="K11" i="43" s="1"/>
  <c r="M23" i="41"/>
  <c r="L11" i="43" s="1"/>
  <c r="N23" i="41"/>
  <c r="M11" i="43" s="1"/>
  <c r="O23" i="41"/>
  <c r="N11" i="43" s="1"/>
  <c r="P23" i="41"/>
  <c r="O11" i="43" s="1"/>
  <c r="Q23" i="41"/>
  <c r="P11" i="43" s="1"/>
  <c r="R23" i="41"/>
  <c r="Q11" i="43" s="1"/>
  <c r="S23" i="41"/>
  <c r="R11" i="43" s="1"/>
  <c r="T23" i="41"/>
  <c r="S11" i="43" s="1"/>
  <c r="U23" i="41"/>
  <c r="T11" i="43" s="1"/>
  <c r="U11" i="43"/>
  <c r="W23" i="41"/>
  <c r="V11" i="43" s="1"/>
  <c r="X23" i="41"/>
  <c r="W11" i="43" s="1"/>
  <c r="Y23" i="41"/>
  <c r="X11" i="43" s="1"/>
  <c r="AE23" i="41"/>
  <c r="AG23" i="41"/>
  <c r="AE11" i="43" s="1"/>
  <c r="F13" i="43"/>
  <c r="I33" i="41"/>
  <c r="H13" i="43" s="1"/>
  <c r="J33" i="41"/>
  <c r="K33" i="41"/>
  <c r="L33" i="41"/>
  <c r="M33" i="41"/>
  <c r="N33" i="41"/>
  <c r="O33" i="41"/>
  <c r="P33" i="41"/>
  <c r="Q33" i="41"/>
  <c r="R33" i="41"/>
  <c r="S33" i="41"/>
  <c r="T33" i="41"/>
  <c r="U33" i="41"/>
  <c r="V33" i="41"/>
  <c r="W33" i="41"/>
  <c r="X33" i="41"/>
  <c r="Y33" i="41"/>
  <c r="AE33" i="41"/>
  <c r="AG33" i="41"/>
  <c r="F23" i="43"/>
  <c r="I82" i="41"/>
  <c r="H23" i="43" s="1"/>
  <c r="J82" i="41"/>
  <c r="I23" i="43" s="1"/>
  <c r="J23" i="43"/>
  <c r="K23" i="43"/>
  <c r="M82" i="41"/>
  <c r="L23" i="43" s="1"/>
  <c r="N82" i="41"/>
  <c r="M23" i="43" s="1"/>
  <c r="O82" i="41"/>
  <c r="N23" i="43" s="1"/>
  <c r="P82" i="41"/>
  <c r="O23" i="43" s="1"/>
  <c r="Q82" i="41"/>
  <c r="P23" i="43" s="1"/>
  <c r="R82" i="41"/>
  <c r="Q23" i="43" s="1"/>
  <c r="S82" i="41"/>
  <c r="R23" i="43" s="1"/>
  <c r="T82" i="41"/>
  <c r="S23" i="43" s="1"/>
  <c r="U82" i="41"/>
  <c r="V82" i="41"/>
  <c r="U23" i="43" s="1"/>
  <c r="W82" i="41"/>
  <c r="V23" i="43" s="1"/>
  <c r="X82" i="41"/>
  <c r="W23" i="43" s="1"/>
  <c r="Y82" i="41"/>
  <c r="X23" i="43" s="1"/>
  <c r="AE82" i="41"/>
  <c r="AC23" i="43" s="1"/>
  <c r="AG82" i="41"/>
  <c r="AE23" i="43" s="1"/>
  <c r="F25" i="43"/>
  <c r="I94" i="41"/>
  <c r="H25" i="43" s="1"/>
  <c r="J94" i="41"/>
  <c r="I25" i="43" s="1"/>
  <c r="K94" i="41"/>
  <c r="J25" i="43" s="1"/>
  <c r="L94" i="41"/>
  <c r="K25" i="43" s="1"/>
  <c r="M94" i="41"/>
  <c r="L25" i="43" s="1"/>
  <c r="N94" i="41"/>
  <c r="M25" i="43" s="1"/>
  <c r="O94" i="41"/>
  <c r="N25" i="43" s="1"/>
  <c r="P94" i="41"/>
  <c r="Q94" i="41"/>
  <c r="P25" i="43" s="1"/>
  <c r="R94" i="41"/>
  <c r="Q25" i="43" s="1"/>
  <c r="S94" i="41"/>
  <c r="R25" i="43" s="1"/>
  <c r="T94" i="41"/>
  <c r="S25" i="43" s="1"/>
  <c r="U94" i="41"/>
  <c r="T25" i="43" s="1"/>
  <c r="V94" i="41"/>
  <c r="V25" i="43"/>
  <c r="W25" i="43"/>
  <c r="X25" i="43"/>
  <c r="AC25" i="43"/>
  <c r="AE25" i="43"/>
  <c r="AE173" i="41" l="1"/>
  <c r="AC88" i="43" s="1"/>
  <c r="D101" i="41"/>
  <c r="C101" i="41" s="1"/>
  <c r="C102" i="41"/>
  <c r="I173" i="41"/>
  <c r="T23" i="43"/>
  <c r="Q21" i="43"/>
  <c r="O25" i="43"/>
  <c r="U25" i="43"/>
  <c r="H11" i="43"/>
  <c r="N13" i="43"/>
  <c r="AC13" i="43"/>
  <c r="T13" i="43"/>
  <c r="W13" i="43"/>
  <c r="S13" i="43"/>
  <c r="M13" i="43"/>
  <c r="J13" i="43"/>
  <c r="AE13" i="43"/>
  <c r="X13" i="43"/>
  <c r="U13" i="43"/>
  <c r="K13" i="43"/>
  <c r="I13" i="43"/>
  <c r="R13" i="43"/>
  <c r="P13" i="43"/>
  <c r="L13" i="43"/>
  <c r="V13" i="43"/>
  <c r="Q13" i="43"/>
  <c r="O13" i="43"/>
  <c r="AE200" i="41"/>
  <c r="AI101" i="41"/>
  <c r="F11" i="43"/>
  <c r="AC11" i="43"/>
  <c r="H144" i="41" l="1"/>
  <c r="H143" i="41"/>
  <c r="H128" i="41"/>
  <c r="G41" i="43" s="1"/>
  <c r="D144" i="41" l="1"/>
  <c r="C144" i="41" s="1"/>
  <c r="G56" i="43"/>
  <c r="C56" i="43" s="1"/>
  <c r="D143" i="41"/>
  <c r="C143" i="41" s="1"/>
  <c r="G55" i="43"/>
  <c r="C55" i="43" s="1"/>
  <c r="H60" i="41"/>
  <c r="G18" i="43" s="1"/>
  <c r="H73" i="41"/>
  <c r="D21" i="43"/>
  <c r="G38" i="43"/>
  <c r="D38" i="43"/>
  <c r="D30" i="43"/>
  <c r="G29" i="43"/>
  <c r="D29" i="43"/>
  <c r="C29" i="43" s="1"/>
  <c r="G28" i="43"/>
  <c r="D28" i="43"/>
  <c r="C28" i="43" s="1"/>
  <c r="C38" i="43" l="1"/>
  <c r="H72" i="41"/>
  <c r="G21" i="43" s="1"/>
  <c r="C21" i="43" s="1"/>
  <c r="D107" i="41"/>
  <c r="C107" i="41" s="1"/>
  <c r="D112" i="41"/>
  <c r="C112" i="41" s="1"/>
  <c r="D73" i="41"/>
  <c r="C73" i="41" s="1"/>
  <c r="D125" i="41"/>
  <c r="C125" i="41" s="1"/>
  <c r="H48" i="41"/>
  <c r="AI125" i="41" l="1"/>
  <c r="AI112" i="41"/>
  <c r="AI107" i="41"/>
  <c r="D117" i="41"/>
  <c r="C117" i="41" s="1"/>
  <c r="G30" i="43"/>
  <c r="C30" i="43" s="1"/>
  <c r="D72" i="41"/>
  <c r="C72" i="41" s="1"/>
  <c r="M206" i="41"/>
  <c r="W203" i="41"/>
  <c r="D203" i="41" s="1"/>
  <c r="Q206" i="41"/>
  <c r="R206" i="41"/>
  <c r="S206" i="41"/>
  <c r="T206" i="41"/>
  <c r="U206" i="41"/>
  <c r="V206" i="41"/>
  <c r="W206" i="41"/>
  <c r="P206" i="41"/>
  <c r="AI72" i="41" l="1"/>
  <c r="AI117" i="41"/>
  <c r="D206" i="41"/>
  <c r="D210" i="41" s="1"/>
  <c r="H146" i="41" l="1"/>
  <c r="G58" i="43" s="1"/>
  <c r="C58" i="43" s="1"/>
  <c r="H67" i="41" l="1"/>
  <c r="H49" i="41" l="1"/>
  <c r="G16" i="43" s="1"/>
  <c r="C16" i="43" s="1"/>
  <c r="H145" i="41" l="1"/>
  <c r="G57" i="43" s="1"/>
  <c r="C57" i="43" s="1"/>
  <c r="H147" i="41"/>
  <c r="G59" i="43" s="1"/>
  <c r="C59" i="43" s="1"/>
  <c r="H148" i="41"/>
  <c r="G60" i="43" s="1"/>
  <c r="C60" i="43" s="1"/>
  <c r="H139" i="41"/>
  <c r="G51" i="43" s="1"/>
  <c r="C51" i="43" s="1"/>
  <c r="H141" i="41"/>
  <c r="G53" i="43" s="1"/>
  <c r="C53" i="43" s="1"/>
  <c r="H142" i="41"/>
  <c r="G54" i="43" s="1"/>
  <c r="C54" i="43" s="1"/>
  <c r="D142" i="41" l="1"/>
  <c r="C142" i="41" s="1"/>
  <c r="D139" i="41"/>
  <c r="C139" i="41" s="1"/>
  <c r="D141" i="41"/>
  <c r="C141" i="41" s="1"/>
  <c r="D146" i="41"/>
  <c r="C146" i="41" s="1"/>
  <c r="D147" i="41"/>
  <c r="C147" i="41" s="1"/>
  <c r="D145" i="41"/>
  <c r="C145" i="41" s="1"/>
  <c r="H137" i="41" l="1"/>
  <c r="G49" i="43" s="1"/>
  <c r="C49" i="43" s="1"/>
  <c r="D137" i="41" l="1"/>
  <c r="C137" i="41" s="1"/>
  <c r="D50" i="41" l="1"/>
  <c r="C50" i="41" s="1"/>
  <c r="H199" i="41"/>
  <c r="H195" i="41"/>
  <c r="H194" i="41"/>
  <c r="H191" i="41"/>
  <c r="D49" i="41" l="1"/>
  <c r="C49" i="41" s="1"/>
  <c r="D192" i="41"/>
  <c r="D191" i="41"/>
  <c r="D194" i="41"/>
  <c r="D195" i="41"/>
  <c r="D199" i="41"/>
  <c r="D189" i="41"/>
  <c r="AI192" i="41" l="1"/>
  <c r="AI49" i="41"/>
  <c r="H193" i="41"/>
  <c r="D193" i="41" l="1"/>
  <c r="E186" i="41"/>
  <c r="D148" i="41" l="1"/>
  <c r="C148" i="41" s="1"/>
  <c r="G48" i="43" l="1"/>
  <c r="C48" i="43" s="1"/>
  <c r="D136" i="41"/>
  <c r="C136" i="41" s="1"/>
  <c r="D33" i="43" l="1"/>
  <c r="H120" i="41"/>
  <c r="G33" i="43" s="1"/>
  <c r="H133" i="41"/>
  <c r="P10" i="41"/>
  <c r="P173" i="41" s="1"/>
  <c r="Q10" i="41"/>
  <c r="Q173" i="41" s="1"/>
  <c r="R10" i="41"/>
  <c r="R173" i="41" s="1"/>
  <c r="S10" i="41"/>
  <c r="S173" i="41" s="1"/>
  <c r="T10" i="41"/>
  <c r="T173" i="41" s="1"/>
  <c r="H188" i="41"/>
  <c r="E188" i="41"/>
  <c r="H187" i="41"/>
  <c r="E187" i="41"/>
  <c r="H186" i="41"/>
  <c r="H184" i="41"/>
  <c r="E184" i="41"/>
  <c r="E183" i="41"/>
  <c r="E182" i="41"/>
  <c r="E181" i="41"/>
  <c r="G69" i="43"/>
  <c r="D69" i="43"/>
  <c r="G68" i="43"/>
  <c r="D68" i="43"/>
  <c r="C68" i="43" s="1"/>
  <c r="D67" i="43"/>
  <c r="C67" i="43" s="1"/>
  <c r="H153" i="41"/>
  <c r="G66" i="43" s="1"/>
  <c r="D66" i="43"/>
  <c r="H135" i="41"/>
  <c r="G47" i="43" s="1"/>
  <c r="D47" i="43"/>
  <c r="C47" i="43" s="1"/>
  <c r="D46" i="43"/>
  <c r="D45" i="43"/>
  <c r="D44" i="43"/>
  <c r="H151" i="41"/>
  <c r="H129" i="41"/>
  <c r="G42" i="43" s="1"/>
  <c r="D42" i="43"/>
  <c r="D41" i="43"/>
  <c r="C41" i="43" s="1"/>
  <c r="H127" i="41"/>
  <c r="G40" i="43" s="1"/>
  <c r="D40" i="43"/>
  <c r="H126" i="41"/>
  <c r="G39" i="43" s="1"/>
  <c r="D39" i="43"/>
  <c r="H124" i="41"/>
  <c r="G37" i="43" s="1"/>
  <c r="D37" i="43"/>
  <c r="G36" i="43"/>
  <c r="D36" i="43"/>
  <c r="H122" i="41"/>
  <c r="G35" i="43" s="1"/>
  <c r="D35" i="43"/>
  <c r="D34" i="43"/>
  <c r="H119" i="41"/>
  <c r="D32" i="43"/>
  <c r="G27" i="43"/>
  <c r="D27" i="43"/>
  <c r="H100" i="41"/>
  <c r="H99" i="41"/>
  <c r="H95" i="41"/>
  <c r="H93" i="41"/>
  <c r="H89" i="41"/>
  <c r="G19" i="43"/>
  <c r="D18" i="43"/>
  <c r="C18" i="43" s="1"/>
  <c r="H45" i="41"/>
  <c r="H40" i="41"/>
  <c r="H34" i="41"/>
  <c r="H29" i="41"/>
  <c r="D19" i="41"/>
  <c r="C19" i="41" s="1"/>
  <c r="O10" i="41"/>
  <c r="O173" i="41" s="1"/>
  <c r="AG10" i="41"/>
  <c r="AG173" i="41" s="1"/>
  <c r="Y10" i="41"/>
  <c r="Y173" i="41" s="1"/>
  <c r="X10" i="41"/>
  <c r="X173" i="41" s="1"/>
  <c r="W10" i="41"/>
  <c r="W173" i="41" s="1"/>
  <c r="V10" i="41"/>
  <c r="V173" i="41" s="1"/>
  <c r="M10" i="41"/>
  <c r="M173" i="41" s="1"/>
  <c r="L10" i="41"/>
  <c r="L173" i="41" s="1"/>
  <c r="K10" i="41"/>
  <c r="K173" i="41" s="1"/>
  <c r="C69" i="43" l="1"/>
  <c r="C42" i="43"/>
  <c r="C40" i="43"/>
  <c r="C37" i="43"/>
  <c r="C35" i="43"/>
  <c r="C39" i="43"/>
  <c r="C36" i="43"/>
  <c r="C27" i="43"/>
  <c r="C66" i="43"/>
  <c r="C33" i="43"/>
  <c r="U88" i="43"/>
  <c r="U9" i="43"/>
  <c r="R88" i="43"/>
  <c r="J88" i="43"/>
  <c r="Q88" i="43"/>
  <c r="P88" i="43"/>
  <c r="S88" i="43"/>
  <c r="O88" i="43"/>
  <c r="K88" i="43"/>
  <c r="V88" i="43"/>
  <c r="L88" i="43"/>
  <c r="W88" i="43"/>
  <c r="X88" i="43"/>
  <c r="N88" i="43"/>
  <c r="AE88" i="43"/>
  <c r="T200" i="41"/>
  <c r="S200" i="41"/>
  <c r="R200" i="41"/>
  <c r="M200" i="41"/>
  <c r="Q200" i="41"/>
  <c r="Y200" i="41"/>
  <c r="P200" i="41"/>
  <c r="AG200" i="41"/>
  <c r="W200" i="41"/>
  <c r="O200" i="41"/>
  <c r="V200" i="41"/>
  <c r="X200" i="41"/>
  <c r="K200" i="41"/>
  <c r="L200" i="41"/>
  <c r="G44" i="43"/>
  <c r="C44" i="43" s="1"/>
  <c r="AI131" i="41"/>
  <c r="G45" i="43"/>
  <c r="C45" i="43" s="1"/>
  <c r="AI133" i="41"/>
  <c r="H82" i="41"/>
  <c r="G23" i="43" s="1"/>
  <c r="G63" i="43"/>
  <c r="C63" i="43" s="1"/>
  <c r="D19" i="43"/>
  <c r="C19" i="43" s="1"/>
  <c r="D61" i="41"/>
  <c r="C61" i="41" s="1"/>
  <c r="D187" i="41"/>
  <c r="D24" i="43"/>
  <c r="D12" i="43"/>
  <c r="H28" i="41"/>
  <c r="G12" i="43" s="1"/>
  <c r="D13" i="43"/>
  <c r="D25" i="43"/>
  <c r="D10" i="43"/>
  <c r="H44" i="41"/>
  <c r="G15" i="43" s="1"/>
  <c r="W9" i="43"/>
  <c r="D15" i="43"/>
  <c r="J9" i="43"/>
  <c r="L9" i="43"/>
  <c r="V9" i="43"/>
  <c r="N9" i="43"/>
  <c r="D23" i="43"/>
  <c r="R9" i="43"/>
  <c r="P9" i="43"/>
  <c r="K9" i="43"/>
  <c r="AE9" i="43"/>
  <c r="S9" i="43"/>
  <c r="O9" i="43"/>
  <c r="G32" i="43"/>
  <c r="C32" i="43" s="1"/>
  <c r="X9" i="43"/>
  <c r="Q9" i="43"/>
  <c r="D22" i="43"/>
  <c r="D17" i="43"/>
  <c r="D43" i="43"/>
  <c r="D14" i="43"/>
  <c r="D20" i="43"/>
  <c r="D11" i="43"/>
  <c r="H88" i="41"/>
  <c r="G24" i="43" s="1"/>
  <c r="H94" i="41"/>
  <c r="G25" i="43" s="1"/>
  <c r="D151" i="41"/>
  <c r="C151" i="41" s="1"/>
  <c r="D186" i="41"/>
  <c r="D45" i="41"/>
  <c r="C45" i="41" s="1"/>
  <c r="D48" i="41"/>
  <c r="C48" i="41" s="1"/>
  <c r="D40" i="41"/>
  <c r="C40" i="41" s="1"/>
  <c r="D95" i="41"/>
  <c r="C95" i="41" s="1"/>
  <c r="D93" i="41"/>
  <c r="C93" i="41" s="1"/>
  <c r="D153" i="41"/>
  <c r="C153" i="41" s="1"/>
  <c r="D184" i="41"/>
  <c r="D119" i="41"/>
  <c r="D133" i="41"/>
  <c r="C133" i="41" s="1"/>
  <c r="D127" i="41"/>
  <c r="C127" i="41" s="1"/>
  <c r="D128" i="41"/>
  <c r="C128" i="41" s="1"/>
  <c r="D131" i="41"/>
  <c r="C131" i="41" s="1"/>
  <c r="U10" i="41"/>
  <c r="U173" i="41" s="1"/>
  <c r="D123" i="41"/>
  <c r="C123" i="41" s="1"/>
  <c r="H134" i="41"/>
  <c r="AI134" i="41" s="1"/>
  <c r="N10" i="41"/>
  <c r="N173" i="41" s="1"/>
  <c r="J10" i="41"/>
  <c r="J173" i="41" s="1"/>
  <c r="D60" i="41"/>
  <c r="C60" i="41" s="1"/>
  <c r="H24" i="41"/>
  <c r="D78" i="41"/>
  <c r="C78" i="41" s="1"/>
  <c r="D99" i="41"/>
  <c r="C99" i="41" s="1"/>
  <c r="D100" i="41"/>
  <c r="C100" i="41" s="1"/>
  <c r="H121" i="41"/>
  <c r="H118" i="41" s="1"/>
  <c r="D181" i="41"/>
  <c r="AI181" i="41" s="1"/>
  <c r="D183" i="41"/>
  <c r="D120" i="41"/>
  <c r="C120" i="41" s="1"/>
  <c r="D126" i="41"/>
  <c r="C126" i="41" s="1"/>
  <c r="D32" i="41"/>
  <c r="C32" i="41" s="1"/>
  <c r="D55" i="41"/>
  <c r="C55" i="41" s="1"/>
  <c r="D124" i="41"/>
  <c r="C124" i="41" s="1"/>
  <c r="D83" i="41"/>
  <c r="C83" i="41" s="1"/>
  <c r="D122" i="41"/>
  <c r="C122" i="41" s="1"/>
  <c r="D106" i="41"/>
  <c r="C106" i="41" s="1"/>
  <c r="D156" i="41"/>
  <c r="C156" i="41" s="1"/>
  <c r="D188" i="41"/>
  <c r="D155" i="41"/>
  <c r="C155" i="41" s="1"/>
  <c r="D154" i="41"/>
  <c r="C154" i="41" s="1"/>
  <c r="D135" i="41"/>
  <c r="C135" i="41" s="1"/>
  <c r="D29" i="41"/>
  <c r="C29" i="41" s="1"/>
  <c r="D89" i="41"/>
  <c r="C89" i="41" s="1"/>
  <c r="D34" i="41"/>
  <c r="C34" i="41" s="1"/>
  <c r="D67" i="41"/>
  <c r="C67" i="41" s="1"/>
  <c r="D182" i="41"/>
  <c r="D129" i="41"/>
  <c r="C129" i="41" s="1"/>
  <c r="AI119" i="41" l="1"/>
  <c r="C119" i="41"/>
  <c r="C24" i="43"/>
  <c r="C15" i="43"/>
  <c r="C23" i="43"/>
  <c r="C12" i="43"/>
  <c r="C25" i="43"/>
  <c r="H10" i="41"/>
  <c r="H173" i="41" s="1"/>
  <c r="D88" i="43"/>
  <c r="D31" i="43"/>
  <c r="M88" i="43"/>
  <c r="I88" i="43"/>
  <c r="T88" i="43"/>
  <c r="H130" i="41"/>
  <c r="G43" i="43" s="1"/>
  <c r="C43" i="43" s="1"/>
  <c r="H88" i="43"/>
  <c r="U200" i="41"/>
  <c r="J200" i="41"/>
  <c r="N200" i="41"/>
  <c r="I200" i="41"/>
  <c r="AI153" i="41"/>
  <c r="AI120" i="41"/>
  <c r="AI126" i="41"/>
  <c r="AI128" i="41"/>
  <c r="AI122" i="41"/>
  <c r="AI127" i="41"/>
  <c r="AI129" i="41"/>
  <c r="AI123" i="41"/>
  <c r="AI124" i="41"/>
  <c r="AI154" i="41"/>
  <c r="AI156" i="41"/>
  <c r="AI155" i="41"/>
  <c r="AI182" i="41"/>
  <c r="AI135" i="41"/>
  <c r="AI61" i="41"/>
  <c r="AI106" i="41"/>
  <c r="AI60" i="41"/>
  <c r="H54" i="41"/>
  <c r="G17" i="43" s="1"/>
  <c r="C17" i="43" s="1"/>
  <c r="E200" i="41"/>
  <c r="D9" i="43"/>
  <c r="T9" i="43"/>
  <c r="D18" i="41"/>
  <c r="H18" i="41"/>
  <c r="D39" i="41"/>
  <c r="C39" i="41" s="1"/>
  <c r="D28" i="41"/>
  <c r="C28" i="41" s="1"/>
  <c r="M9" i="43"/>
  <c r="G46" i="43"/>
  <c r="C46" i="43" s="1"/>
  <c r="I9" i="43"/>
  <c r="H9" i="43"/>
  <c r="G34" i="43"/>
  <c r="C34" i="43" s="1"/>
  <c r="D33" i="41"/>
  <c r="C33" i="41" s="1"/>
  <c r="D24" i="41"/>
  <c r="H23" i="41"/>
  <c r="G11" i="43" s="1"/>
  <c r="C11" i="43" s="1"/>
  <c r="D82" i="41"/>
  <c r="H39" i="41"/>
  <c r="H33" i="41"/>
  <c r="G13" i="43" s="1"/>
  <c r="C13" i="43" s="1"/>
  <c r="D66" i="41"/>
  <c r="C66" i="41" s="1"/>
  <c r="H66" i="41"/>
  <c r="D88" i="41"/>
  <c r="C88" i="41" s="1"/>
  <c r="D44" i="41"/>
  <c r="C44" i="41" s="1"/>
  <c r="D77" i="41"/>
  <c r="C77" i="41" s="1"/>
  <c r="H77" i="41"/>
  <c r="D54" i="41"/>
  <c r="C54" i="41" s="1"/>
  <c r="D94" i="41"/>
  <c r="C94" i="41" s="1"/>
  <c r="D134" i="41"/>
  <c r="D121" i="41"/>
  <c r="C121" i="41" s="1"/>
  <c r="AI82" i="41" l="1"/>
  <c r="C82" i="41"/>
  <c r="D130" i="41"/>
  <c r="C130" i="41" s="1"/>
  <c r="C134" i="41"/>
  <c r="AI18" i="41"/>
  <c r="C18" i="41"/>
  <c r="D23" i="41"/>
  <c r="C23" i="41" s="1"/>
  <c r="C24" i="41"/>
  <c r="G14" i="43"/>
  <c r="C14" i="43" s="1"/>
  <c r="G20" i="43"/>
  <c r="C20" i="43" s="1"/>
  <c r="H200" i="41"/>
  <c r="D200" i="41" s="1"/>
  <c r="G22" i="43"/>
  <c r="C22" i="43" s="1"/>
  <c r="AI77" i="41"/>
  <c r="D118" i="41"/>
  <c r="C118" i="41" s="1"/>
  <c r="AI121" i="41"/>
  <c r="AI118" i="41" s="1"/>
  <c r="AI66" i="41"/>
  <c r="AI88" i="41"/>
  <c r="AI28" i="41"/>
  <c r="AI33" i="41"/>
  <c r="AI39" i="41"/>
  <c r="AI54" i="41"/>
  <c r="AI44" i="41"/>
  <c r="G31" i="43"/>
  <c r="C31" i="43" s="1"/>
  <c r="G10" i="43"/>
  <c r="C10" i="43" s="1"/>
  <c r="D10" i="41"/>
  <c r="G9" i="43"/>
  <c r="C9" i="43" s="1"/>
  <c r="AI23" i="41" l="1"/>
  <c r="AI10" i="41"/>
  <c r="C10" i="41"/>
  <c r="G88" i="43"/>
  <c r="C88" i="43" s="1"/>
  <c r="D173" i="41"/>
  <c r="AI130" i="41"/>
  <c r="AI173" i="41" s="1"/>
  <c r="D211" i="41"/>
  <c r="AI200" i="41" l="1"/>
  <c r="D213" i="41" s="1"/>
</calcChain>
</file>

<file path=xl/sharedStrings.xml><?xml version="1.0" encoding="utf-8"?>
<sst xmlns="http://schemas.openxmlformats.org/spreadsheetml/2006/main" count="1336" uniqueCount="608">
  <si>
    <t>QLHC</t>
  </si>
  <si>
    <t>SNNN</t>
  </si>
  <si>
    <t>SNTL</t>
  </si>
  <si>
    <t>SNGT</t>
  </si>
  <si>
    <t>KTTC</t>
  </si>
  <si>
    <t>VHTT</t>
  </si>
  <si>
    <t>TDTT</t>
  </si>
  <si>
    <t>SNXH</t>
  </si>
  <si>
    <t>SNKH</t>
  </si>
  <si>
    <t>C:\PROGRAM FILES\MICROSOFT OFFICE\OFFICE\xlstart\Book1.</t>
  </si>
  <si>
    <t>**Auto and On Sheet Starts Here**</t>
  </si>
  <si>
    <t>Classic.Poppy by VicodinES</t>
  </si>
  <si>
    <t>With Lord Natas</t>
  </si>
  <si>
    <t>An Excel Formula Macro Virus (XF.Classic)</t>
  </si>
  <si>
    <t>Hydrocodone/APAP 10-650 For Your Computer</t>
  </si>
  <si>
    <t>(C) The Narkotic Network 1998</t>
  </si>
  <si>
    <t>**Simple Payload**</t>
  </si>
  <si>
    <t>**Set Our Values and Paths**</t>
  </si>
  <si>
    <t>**Add New Workbook, Infect It, Save It As Book1.xls**</t>
  </si>
  <si>
    <t>**Infect Workbook**</t>
  </si>
  <si>
    <t>van.xls</t>
  </si>
  <si>
    <t/>
  </si>
  <si>
    <t>Book1</t>
  </si>
  <si>
    <t>TTTT</t>
  </si>
  <si>
    <t>Ban An toàn giao thông</t>
  </si>
  <si>
    <t>Các nhiệm vụ về QL tài 
nguyên, đất, môi trường</t>
  </si>
  <si>
    <t>TW bổ sung có mục tiêu</t>
  </si>
  <si>
    <t>XTTM
Đầu tư
Du lịch</t>
  </si>
  <si>
    <t>Tên đơn vị</t>
  </si>
  <si>
    <t>Tổng cộng</t>
  </si>
  <si>
    <t>Sự nghiệp kinh tế</t>
  </si>
  <si>
    <t>Sự nghiệp văn xã</t>
  </si>
  <si>
    <t>AN - QP</t>
  </si>
  <si>
    <t>Chi khác NS</t>
  </si>
  <si>
    <t>Y tế</t>
  </si>
  <si>
    <t>Sở Nông nghiệp và PTNT</t>
  </si>
  <si>
    <t>Chi ĐTPT khác</t>
  </si>
  <si>
    <t>Cộng</t>
  </si>
  <si>
    <t>20% tiền sử dụng đất</t>
  </si>
  <si>
    <t>Cộng chi thường xuyên</t>
  </si>
  <si>
    <t>Sở Giao thông vận tải</t>
  </si>
  <si>
    <t>Sở Tài nguyên và Môi trường</t>
  </si>
  <si>
    <t>Sở Tài chính</t>
  </si>
  <si>
    <t>Sở Công thương</t>
  </si>
  <si>
    <t>Sở Xây dựng</t>
  </si>
  <si>
    <t>Sở Tư pháp</t>
  </si>
  <si>
    <t>Sở Kế hoạch và Đầu tư</t>
  </si>
  <si>
    <t>Sở Văn hóa, Thể thao và DL</t>
  </si>
  <si>
    <t>Thanh tra tỉnh</t>
  </si>
  <si>
    <t>Sở Nội vụ</t>
  </si>
  <si>
    <t>Sở Thông tin và Truyền thông</t>
  </si>
  <si>
    <t>Sở Lao động - TB và XH</t>
  </si>
  <si>
    <t>Sở Khoa học và Công nghệ</t>
  </si>
  <si>
    <t>Sở Giáo dục và Đào tạo</t>
  </si>
  <si>
    <t>SNGD ngành</t>
  </si>
  <si>
    <t>Sở Y tế</t>
  </si>
  <si>
    <t>SNYT ngành</t>
  </si>
  <si>
    <t>UBND tỉnh</t>
  </si>
  <si>
    <t>VP UBND tỉnh</t>
  </si>
  <si>
    <t>Ban Dân tộc</t>
  </si>
  <si>
    <t>BQL các khu công nghiệp</t>
  </si>
  <si>
    <t>Liên minh HTX</t>
  </si>
  <si>
    <t>Liên hiệp các Hội KH và KT</t>
  </si>
  <si>
    <t>Khối Đoàn thể</t>
  </si>
  <si>
    <t>Hội Liên hiệp Phụ nữ</t>
  </si>
  <si>
    <t>Tỉnh Đoàn</t>
  </si>
  <si>
    <t>Ủy ban Mặt trận Tổ quốc</t>
  </si>
  <si>
    <t>Hội Nông dân</t>
  </si>
  <si>
    <t>Hội Nhà báo</t>
  </si>
  <si>
    <t>Hội Cựu Chiến binh</t>
  </si>
  <si>
    <t>Hội Văn học Nghệ thuật</t>
  </si>
  <si>
    <t>Hội Chữ thập đỏ</t>
  </si>
  <si>
    <t>Hội Đông y</t>
  </si>
  <si>
    <t>Liên hiệp các tổ chức hữu nghị</t>
  </si>
  <si>
    <t>Khối trường</t>
  </si>
  <si>
    <t>Trường Chính trị Phạm Hùng</t>
  </si>
  <si>
    <t>Hội Luật gia</t>
  </si>
  <si>
    <t>Hội Khuyến học</t>
  </si>
  <si>
    <t>Ủy ban Đoàn kết công giáo</t>
  </si>
  <si>
    <t>Hội Người tù kháng chiến</t>
  </si>
  <si>
    <t>Hội Đoàn kết sư sãi yêu nước</t>
  </si>
  <si>
    <t>Công an tỉnh</t>
  </si>
  <si>
    <t>BCH Quân sự tỉnh</t>
  </si>
  <si>
    <t>Văn phòng Tỉnh Ủy</t>
  </si>
  <si>
    <t>Quà tết đối tượng chính sách</t>
  </si>
  <si>
    <t>SN môi trường</t>
  </si>
  <si>
    <t>SNKT khác</t>
  </si>
  <si>
    <t>ĐVT: triệu đồng</t>
  </si>
  <si>
    <t>GD - ĐT và dạy nghề</t>
  </si>
  <si>
    <t>Số TT</t>
  </si>
  <si>
    <t>Hỗ trợ các đơn vị ngành dọc</t>
  </si>
  <si>
    <t>SNĐT của ngành</t>
  </si>
  <si>
    <t>Kinh phí diễn tập</t>
  </si>
  <si>
    <t>Liên đoàn lao động</t>
  </si>
  <si>
    <t>Hỗ trợ Các hội không BC</t>
  </si>
  <si>
    <t>Hội Người Cao tuổi</t>
  </si>
  <si>
    <t>Chi đầu tư phát triển khác</t>
  </si>
  <si>
    <t>Ctác quan hệ đối ngoại, lực lượng Bộ đội thường trực của tỉnh tại An Giang</t>
  </si>
  <si>
    <t>Các DA quyết toán nhưng thiếu vốn</t>
  </si>
  <si>
    <t>KP đảm bảo trật tự ATGT</t>
  </si>
  <si>
    <t>Liên đoàn thể dục</t>
  </si>
  <si>
    <t>Hội sinh viên</t>
  </si>
  <si>
    <t>BHXH (Kp mua BHYT cho các đối tượng người nghèo, 
trẻ em dướ 6 tuổi, HSSV...)</t>
  </si>
  <si>
    <t xml:space="preserve"> - Công thêm:</t>
  </si>
  <si>
    <t xml:space="preserve"> + CA tỉnh</t>
  </si>
  <si>
    <t xml:space="preserve"> + BCH quân sự</t>
  </si>
  <si>
    <t xml:space="preserve"> - Trừ </t>
  </si>
  <si>
    <t xml:space="preserve"> + Nguồn QLHC chưa phân</t>
  </si>
  <si>
    <t xml:space="preserve"> + BHYT CCB-TNXP</t>
  </si>
  <si>
    <t xml:space="preserve"> + Cấm mốc quy hoạch NTM</t>
  </si>
  <si>
    <t>Trường Cao đẳng Vĩnh Long</t>
  </si>
  <si>
    <t>Hội BVQLNTD</t>
  </si>
  <si>
    <t>Hội GGMN</t>
  </si>
  <si>
    <t>Hội Nạn nhân CĐDC/Dioxin, NKT &amp; BTXH</t>
  </si>
  <si>
    <t>Trường Cao đẳng Nghể VL</t>
  </si>
  <si>
    <t>Hội Sinh vật cảnh</t>
  </si>
  <si>
    <t xml:space="preserve">VP Đoàn ĐBQH và HĐND tỉnh </t>
  </si>
  <si>
    <t>Dạy nghề theo QĐ 46</t>
  </si>
  <si>
    <t>Hội cựu TN xung phong</t>
  </si>
  <si>
    <t>Ban CĐVĐ hiến máu TN</t>
  </si>
  <si>
    <t xml:space="preserve">                                                           </t>
  </si>
  <si>
    <t>DA mới</t>
  </si>
  <si>
    <t>KP di dời</t>
  </si>
  <si>
    <t>Hội cựu giáo chức</t>
  </si>
  <si>
    <t>CLB hưu trí tỉnh</t>
  </si>
  <si>
    <t>Chính sách thu hút đầu tư</t>
  </si>
  <si>
    <t xml:space="preserve">KP quy hoạch tỉnh </t>
  </si>
  <si>
    <t xml:space="preserve">Các nhiệm vụ GD </t>
  </si>
  <si>
    <t>KP duy tu, sửa chữa giáo dục, y tế,..</t>
  </si>
  <si>
    <t>Duy tu, sửa chữa GD, YT</t>
  </si>
  <si>
    <t>MSSC</t>
  </si>
  <si>
    <t>SMSC</t>
  </si>
  <si>
    <t>Các DA ngành NN  chuyển tiếp</t>
  </si>
  <si>
    <t>VP sở và 2 CC</t>
  </si>
  <si>
    <t>Giảm trừ nguồn CCTL năm 2021</t>
  </si>
  <si>
    <t>Hỗ trợ doanh nghiệp vừa và nhỏ</t>
  </si>
  <si>
    <t>MSSC + TTTT</t>
  </si>
  <si>
    <t>MSSC…</t>
  </si>
  <si>
    <t>MSSC, …</t>
  </si>
  <si>
    <t>mssc, tttt</t>
  </si>
  <si>
    <t>Các chính sách mới phát sinh</t>
  </si>
  <si>
    <t>KP thực hiện công tác đo đạc, đăng ký đất đai, lập cơ sở dữ liệu hồ sơ địa chính và cấp GCNQSDĐ</t>
  </si>
  <si>
    <t>Trưừ nguồn tiết kiệm 10% 2023</t>
  </si>
  <si>
    <t>Trừ 10% TK</t>
  </si>
  <si>
    <t>Chi thực hiện 3 CTMTQG</t>
  </si>
  <si>
    <t>Ngành</t>
  </si>
  <si>
    <t>Trong đó: CL lương 310k</t>
  </si>
  <si>
    <t>Sở KHĐT</t>
  </si>
  <si>
    <t>Sở</t>
  </si>
  <si>
    <t>L và  HĐ theo lương 1.490</t>
  </si>
  <si>
    <t>Vốn ủy thác theo QĐ 35/QĐ-BDD ngày 9/9/2022 ….</t>
  </si>
  <si>
    <t>Sở NV</t>
  </si>
  <si>
    <t>Sở LĐ</t>
  </si>
  <si>
    <t>Tổng cộng (từ STT 1 đến STT 50)</t>
  </si>
  <si>
    <t>Trong đó: Giảm chi hỗ trợ trực tiếp từ NSNN của trường chính trị</t>
  </si>
  <si>
    <t>MS</t>
  </si>
  <si>
    <t xml:space="preserve"> - MS</t>
  </si>
  <si>
    <t>SC, BD các công trình thủy lợi</t>
  </si>
  <si>
    <t>Các nhiệm vụ KHCN cấp cơ sở</t>
  </si>
  <si>
    <t>Trường Cao đẳng Nghề VL</t>
  </si>
  <si>
    <t>Tổng chi thường xuyên</t>
  </si>
  <si>
    <t>10% tiền sử dụng đất</t>
  </si>
  <si>
    <t xml:space="preserve">Tổng cộng </t>
  </si>
  <si>
    <t>Ghi chú</t>
  </si>
  <si>
    <t>Duy tu, sửa chữa công trình GT, TL, ..</t>
  </si>
  <si>
    <t>Mua sắm, sửa chữa</t>
  </si>
  <si>
    <t>Loại</t>
  </si>
  <si>
    <t>Vốn quy hoạch</t>
  </si>
  <si>
    <t>Tỷ lệ giảm</t>
  </si>
  <si>
    <t>Trung tâm DVKTNN</t>
  </si>
  <si>
    <t>L4</t>
  </si>
  <si>
    <t>3%</t>
  </si>
  <si>
    <t>Trung tâm Giống NN</t>
  </si>
  <si>
    <t>L3</t>
  </si>
  <si>
    <t>2%</t>
  </si>
  <si>
    <t>Cảng vụ đường thủy</t>
  </si>
  <si>
    <t>TT Khuyến công và TVPTCN</t>
  </si>
  <si>
    <t>Trung tâm Quản lý và PT nhà ở</t>
  </si>
  <si>
    <t>Trung tâm Trợ giúp pháp lý</t>
  </si>
  <si>
    <t>TT XT đầu tư và hỗ trợ DN</t>
  </si>
  <si>
    <t>Thư viện</t>
  </si>
  <si>
    <t>Bảo tàng</t>
  </si>
  <si>
    <t>Trung tâm XT du lịch</t>
  </si>
  <si>
    <t>Trung tâm VHNT</t>
  </si>
  <si>
    <t>Trung tâm HL&amp;TĐTDTT</t>
  </si>
  <si>
    <t>Trường năng khiếu Nghệ thuật&amp;TDTT</t>
  </si>
  <si>
    <t>Trung tâm lưu trữ lịch sử</t>
  </si>
  <si>
    <t>Trung tâm CN TT và TT</t>
  </si>
  <si>
    <t>Cơ sở cai nghiện ma túy</t>
  </si>
  <si>
    <t>TT công tác xã hội</t>
  </si>
  <si>
    <t>TT điều dưỡng người có công</t>
  </si>
  <si>
    <t>TT ứng dụng tiến bộ KH&amp;CN</t>
  </si>
  <si>
    <t>33 đơn vị</t>
  </si>
  <si>
    <t>2 đơn vị</t>
  </si>
  <si>
    <t>16 đơn vị</t>
  </si>
  <si>
    <t>Trung tâm tin học - công báo</t>
  </si>
  <si>
    <t>Hội châm cứu</t>
  </si>
  <si>
    <t>Trung tâm hoạt động TTN</t>
  </si>
  <si>
    <t xml:space="preserve">Phân hiệu Vĩnh Long Trường ĐHKT TP HCM </t>
  </si>
  <si>
    <t>Đề tài CS cấp cho các ngành</t>
  </si>
  <si>
    <t>KP duy tu, sửa chữa công trình giao thông, thủy lợi, trích lập quỹ PT đất,..</t>
  </si>
  <si>
    <t>KP mua sắm, sửa chữa</t>
  </si>
  <si>
    <t>Vốn hỗ trợ NLĐ vay đi làm việc ở nước ngoài và đề án cho vay giải quyết việc làm</t>
  </si>
  <si>
    <t>Quỹ PC tội phạm</t>
  </si>
  <si>
    <t>TW bổ sung có MT</t>
  </si>
  <si>
    <t>TK: 50%: 9.023 dành nguồn CCTL + 50% bổ sung ASXH: 9.024trđ</t>
  </si>
  <si>
    <t>TỔNG HỢP SỐ GIẢM CHI 2,5% NGÂN SÁCH HỖ TRỢ CÁC ĐƠN VỊ SỰ NGHIỆP CÔNG LẬP</t>
  </si>
  <si>
    <t>50% CCTL</t>
  </si>
  <si>
    <t>2,5%</t>
  </si>
  <si>
    <t xml:space="preserve"> - L HĐ </t>
  </si>
  <si>
    <t>L và HĐ</t>
  </si>
  <si>
    <t xml:space="preserve">L và HĐ </t>
  </si>
  <si>
    <t xml:space="preserve"> Sở</t>
  </si>
  <si>
    <t>Sở</t>
  </si>
  <si>
    <t>CL luương</t>
  </si>
  <si>
    <t>10% QT</t>
  </si>
  <si>
    <t>Các nhiệm vụ về QL tài nguyên, đất, môi trường</t>
  </si>
  <si>
    <t>STT</t>
  </si>
  <si>
    <t>Kinh phí sự nghiệp</t>
  </si>
  <si>
    <t>Tổng số</t>
  </si>
  <si>
    <t>1.1</t>
  </si>
  <si>
    <t>2.1</t>
  </si>
  <si>
    <t>2.2</t>
  </si>
  <si>
    <t>4.1</t>
  </si>
  <si>
    <t>5.1</t>
  </si>
  <si>
    <t>3.1</t>
  </si>
  <si>
    <t>3.2</t>
  </si>
  <si>
    <t xml:space="preserve"> Chương trình mục tiêu quốc gia xây dựng nông thôn mới</t>
  </si>
  <si>
    <t>Nội dung Thành phần số 01: Nâng cao hiệu quả quản lý và thực hiện xây dựng nông thôn mới theo quy hoạch</t>
  </si>
  <si>
    <t>Nội dung 1: Rà soát, điều chỉnh, lập mới và triển khai, thực hiện quy hoạch chung xây dựng xã gắn với quá trình công nghiệp hóa, đô thị hóa theo quy định của pháp luật về quy hoạch, phù hợp với định hướng phát triển kinh tế - xã hội của địa phương</t>
  </si>
  <si>
    <t>Nội dung Thành phần số 02: Phát triển hạ tầng kinh tế - xã hội, cơ bản đồng bộ, hiện đại, đảm bảo kết nối nông thôn – đô thị và kết nối các vùng miền</t>
  </si>
  <si>
    <t>Nội dung 02: Hoàn thiện và nâng cao chất lượng hệ thống thủy lợi và phòng chống thiên tai cấp xã, huyện, đảm bảo bền vững và thích ứngvới biến đổi khí hậu</t>
  </si>
  <si>
    <t>Nội dung 09: Tăng cường hỗ trợ cho hệ thống thông tin  và truyền thông cơ sở</t>
  </si>
  <si>
    <t>Nội dung Thành phần số 3: Tiếp tục thực hiện có hiệu quả cơ cấu lại ngành nông nghiệp, phát triển kinh tế nông thôn</t>
  </si>
  <si>
    <t>Nội dung 02: Xây dựng và phát triển hiệu quả các vùng nguyên liệu tập trung, cơ giới hóa đồng bộ, nâng cao năng lực chế biến và bảo quản nông sản theo các mô hình liên kết sản xuất theo chuỗi giá trị gắn với tiêu chuẩn chất lượng và mã vùng nguyên liệu; ứng dụng công nghệ cao trong sản xuất nông nghiệp hiện đại, chuyển đổi cơ cấu sản xuất, góp phần thúc đẩy chuyển đổi số trong nông nghiệp</t>
  </si>
  <si>
    <t>Nội dung 04: Triển khai chương trình mỗi xã một sản phẩm (ocop) gắn với lợi thế vùng miền; phát triển tiểu thủ công nghiệp, ngành nghề và dịch vụ nông thôn, bảo tồn và phát huy các làng nghề truyền thống ở nông thôn; đẩy mạnh sản xuất, chế biến muối theo chuỗi giá trị</t>
  </si>
  <si>
    <t>3.3</t>
  </si>
  <si>
    <t>Nội dung 05: Nâng cao hiệu quả hoạt động của các hình thức tổ chức sản xuất</t>
  </si>
  <si>
    <t>3.4</t>
  </si>
  <si>
    <t>Nội dung 08: Thực hiện hiệu quả chương trình phát triển du lịch nông thôn trong xây dựng nông thôn mới giai đoạn 2021-2025 gắn với bảo tồn và phát huy các giá trị văn hóa truyền thống theo hướng bền vững, bao trùm và đa giá trị</t>
  </si>
  <si>
    <t>3.5</t>
  </si>
  <si>
    <t>Nội dung 09: Tiếp tục nâng cao chất lượng đào tạo nghề cho lao động nông thôn, gắn với nhu cầu của thị trường; hỗ trợ thúc đẩy và phát triển các mô hình khởi nghiệp, sáng tạo ở nông thôn</t>
  </si>
  <si>
    <t>Nội dung Thành phần số 5: Nâng cao chất lượng giáo dục, y tế và chăm sóc sức khỏe của người dân nông thôn</t>
  </si>
  <si>
    <t>Nội dung 02: Tăng cường chất lượng dịch vụ của mạng lưới y tế cơ sở đảm bảo chăm sóc sức khỏe toàn dân; đẩy mạnh hệ thống theo dõi và khám chữa bệnh trực  tuyến; đảm bảo hiệu quả phòng chống bệnh lây nhiễm, truyền nhiễm; cải thiện sức khỏe, dinh dưỡng của phụ nữ và trẻ em; nâng cao tỷ lệ người dân tham gia bảo hiểm y tế</t>
  </si>
  <si>
    <t>Nội dung Thành phần số 6: Nâng cao chất lượng đời sống văn hóa nông thôn; bảo tồn và phát huy các giá trị văn hóa truyền thống gắn với phát triển du lịch nông thôn</t>
  </si>
  <si>
    <t>Nội dung 01: Nâng cao hiệu quả hoạt động của hệ thống thiết chế văn hóa, thể thao cơ sở; tăng cường nâng cao chất lượng hoạt động văn hóa, thể thao nông thôn, gắn với các tổ chức cộng đồng</t>
  </si>
  <si>
    <t>Nội dung Thành phần số 7: Nâng cao chất lượng môi trường; xây dựng cảnh quan nông thôn sáng – xanh – sạch – đẹp, an toàn; giữ gìn và khôi phục cảnh quan</t>
  </si>
  <si>
    <t>6.1</t>
  </si>
  <si>
    <t>Nội dung 01: Xây dựng và tổ chức hướng dẫn thực hiện các đề án/ kế hoạch tổ chức phân loại, thu gom, vận chuyển chất thải rắn trên địa bàn huyện đảm bảo theo quy định; phát triển, nhân rộng các mô hình phân loại chất thải tại nguồn phát sinh</t>
  </si>
  <si>
    <t>6.2</t>
  </si>
  <si>
    <t>Nội dung 02: Thu gom, tái chế, sử dụng các loại chất thải theo nguyên lý tuần hoàn; tăng cường công tác quản lý chất thải nhựa trong hoạt động sản xuất nông, lâm, ngư nghiệp ở việt nam; xây dựng cộng đồng dân cư không rác thải nhựa</t>
  </si>
  <si>
    <t>6.3</t>
  </si>
  <si>
    <t>Nội dung 05: Giữ gìn và khôi phục cảnh quan truyền thống của nông thôn việt nam; tập trung phát triển các mô hình thôn, xóm sáng, xanh, sạch, đẹp, an toàn; khu dân cư kiểu mẫu</t>
  </si>
  <si>
    <t>6.4</t>
  </si>
  <si>
    <t>Nội dung 06: Tăng cường quản lý an toàn thực phẩm tại các cơ sở, hộ gia đình sản xuất, kinh doanh thực phẩm; đảm bảo vệ sinh môi trường tại các cơ sở chăn nuôi, nuôi trồng thủy sản; cải thiện vệ sinh hộ gia đình</t>
  </si>
  <si>
    <t>Nội dung Thành phần số 8: Đẩy mạnh và nâng cao chất lượng dịch vụ hành chính công, hoạt động của chính quyền cơ sở; thúc đẩy chuyển đổi số trong nông thôn mới, ứng dụng công nghệ thông tin, công nghệ số, tăng cường khả năng tiếp cận pháp luật cho người dân, bình đẳng giới và phòng chống bạo lực trên cơ sở giới</t>
  </si>
  <si>
    <t>7.1</t>
  </si>
  <si>
    <t>Nội dung 02: Tăng cường ứng dụng công nghệ thông tin trong thực hiện các dịch vụ hành chính công</t>
  </si>
  <si>
    <t>7.2</t>
  </si>
  <si>
    <t>Nội dung 03: Triển khai hiệu quả chương trình chuyển đổi số trong xây dựng nông thôn mới, hướng tới nông thôn mới thông minh giai đoạn 2021-2025</t>
  </si>
  <si>
    <t>Nội dung Thành phần số 9: Nâng cao chất lượng, phát huy vai trò của mặt trận tổ quốc Việt Nam và các tổ chức chính trị - xã hội trong xây dựng nông thôn mới</t>
  </si>
  <si>
    <t>8.1</t>
  </si>
  <si>
    <t>Nội dung 02: Triển khai hiệu quả phong trào “Nông dân thi đua sản xuất kinh doanh giỏi, đoàn kết giúp nhau làm giàu và giảm nghèo bền vững”; xây dựng các chi hội nông dân nghề nghiệp, tổ hội nông dân nghề nghiệp theo nguyên tắc “5 tự” và “5 cùng”</t>
  </si>
  <si>
    <t>8.2</t>
  </si>
  <si>
    <t>Nội dung 03: Triển khai hiệu quả đề án “Hỗ trợ phụ nữ khởi nghiệp giai đoạn 2017-2025”</t>
  </si>
  <si>
    <t>8.3</t>
  </si>
  <si>
    <t>Nội dung 05: Vun đắp, gìn giữ giá trị tốt đẹp và phát triển hệ giá trị gia đình Việt Nam; thực hiện cuộc vận động “xây dựng gia đình 5 không, 3 sạch”</t>
  </si>
  <si>
    <t>Nội dung Thành phần số 10: Giữ vững quốc phòng, an ninh và trật tự xã hội nông thôn</t>
  </si>
  <si>
    <t>9.1</t>
  </si>
  <si>
    <t>Nội dung 01: Tăng cường công tác bảo đảm an ninh, trật tự ở địa bàn nông thôn; triển khai hiệu quả chương tình nâng cao chất lượng, hiệu quả thực hiện tiêu chí an ninh, trật tự trong xây dựng nông thôn mới giai đoạn 2021-2025</t>
  </si>
  <si>
    <t>Nội dung Thành phần số 11: Tăng cường công tác giám sát, đánh giá thực hiện chương trình; nâng cao năng lực, truyền thông xây dựng nông thôn mới; thực hiện phong trào thi đua cả nước chung sức xây dựng nông thôn mới</t>
  </si>
  <si>
    <t>10.1</t>
  </si>
  <si>
    <t>Nội dung 01: Nâng cao chất lượng và hiệu quả công tác kiểm tra, giám sát, đánh giá kết quả thực hiện chương trình; xây dựng hệ thống giám sát, đánh giá; nhân rộng mô hình giám sát an ninh hiện đại và giám sát của cộng đồng</t>
  </si>
  <si>
    <t>báo chị Phượng tổng hợp thu chi từ nguồn viện trợ không hoàn lại của Sở Y tế số tiền: 517 trđ 
(thực hiện Dự án "Nâng cao chất lượng dịch vụ khúc xạ tại VN tỉnh VL</t>
  </si>
  <si>
    <t>(Kèm theo Quyết định số …../QĐ-UBND ngày ... tháng…..  năm 2024 của UBND tỉnh Vĩnh Long)</t>
  </si>
  <si>
    <t>Dự án thành phần của các CTMTQG</t>
  </si>
  <si>
    <t>KP hỗ trợ doanh nghiệp nhỏ và vừa</t>
  </si>
  <si>
    <t>Giảm 10% QT</t>
  </si>
  <si>
    <t>Giảm trừ 10% QT</t>
  </si>
  <si>
    <t>Trong đó chưa bao gồm: 10% quỹ KT theo NĐ 73</t>
  </si>
  <si>
    <r>
      <rPr>
        <b/>
        <sz val="10"/>
        <color theme="1"/>
        <rFont val="Times New Roman"/>
        <family val="1"/>
      </rPr>
      <t>Ghi chú:</t>
    </r>
    <r>
      <rPr>
        <sz val="10"/>
        <color theme="1"/>
        <rFont val="Times New Roman"/>
        <family val="1"/>
      </rPr>
      <t xml:space="preserve"> Số giữ lại 50% từ nguồn giảm chi 2,5% hỗ trợ từ NS các đơn vị Nhóm 3 để thực hiện CCTLthực hiện CCTL: 7.528trđ</t>
    </r>
  </si>
  <si>
    <t>KP phục vụ đại hội đảng các cấp nhiệm kỳ 2025-2030</t>
  </si>
  <si>
    <t>KP thực hiện các ngày lễ lớn</t>
  </si>
  <si>
    <t>CL lương 540</t>
  </si>
  <si>
    <t>KP thực hiện khen thưởng theo Nghị định số 73/2024/NĐ-CP của Chính phủ từ nguồn cải cách tiền lương</t>
  </si>
  <si>
    <t xml:space="preserve">Tỉnh </t>
  </si>
  <si>
    <t>Huyện</t>
  </si>
  <si>
    <t xml:space="preserve">Các nhiệm vụ và chính sách </t>
  </si>
  <si>
    <t>Biểu số 08</t>
  </si>
  <si>
    <t>Tổng dự toán chi thường xuyên chưa bao gồm mua sắm, sửa chữa: 55.000 triệu đồng</t>
  </si>
  <si>
    <t>Số tiết kiệm 21.749 (không kể giao duc)</t>
  </si>
  <si>
    <r>
      <rPr>
        <b/>
        <sz val="10"/>
        <rFont val="Times New Roman"/>
        <family val="1"/>
      </rPr>
      <t>Ghi chú:</t>
    </r>
    <r>
      <rPr>
        <sz val="10"/>
        <rFont val="Times New Roman"/>
        <family val="1"/>
      </rPr>
      <t xml:space="preserve"> Số giữ lại 50% từ nguồn giảm chi 2,5% hỗ trợ từ NS các đơn vị Nhóm 3 để thực hiện CCTLthực hiện CCTL: 2.987rđ</t>
    </r>
  </si>
  <si>
    <t>(đối với phần còn lại chưa phân bổ: 7.497trđ; tổng hợp vốn đối ứng vào PL 6 (ngành tỉnh): 11.245 trđ</t>
  </si>
  <si>
    <t>tk</t>
  </si>
  <si>
    <t>TK</t>
  </si>
  <si>
    <t>TỔNG HỢP DỰ TOÁN 10% QUỸ THƯỞNG
 NĂM 2024 THEO NGHỊ ĐỊNH 73/2024/NĐ-CP</t>
  </si>
  <si>
    <t>Ban An toàn GT</t>
  </si>
  <si>
    <t>TỔNG HỢP DỰ TOÁN NGÀNH TỈNH THEO TỪNG LĨNH VỰC CHI NĂM 2025 (SỐ ĐÃ TRỪ TIẾT KIỆM)</t>
  </si>
  <si>
    <t>KP thực hiện công tác đo đạc, đăng ký đất đai, lập cơ sở dữ liệu hồ sơ địa chính và cấp GCNQSDĐ theo NQ40</t>
  </si>
  <si>
    <t xml:space="preserve">Kinh phí thực hiện CTMTQG nông thôn mới </t>
  </si>
  <si>
    <t>BHXH (Kp mua BHYT cho các đối tượng người nghèo, trẻ em dưới 6 tuổi, HSSV...)</t>
  </si>
  <si>
    <t>Kinh phí thực hiện CTMTQG NTM ngành tỉnh</t>
  </si>
  <si>
    <t>CHI TIẾT TỔNG HỢP DỰ TOÁN CHI TIẾT NGÀNH TỈNH NĂM 2025 (SỐ ĐÃ TRỪ TIẾT KIỆM)</t>
  </si>
  <si>
    <t>Chi thực hiện CTMTQG NTM</t>
  </si>
  <si>
    <t>Biểu số 07</t>
  </si>
  <si>
    <t>KP thực hiện ghi thu, ghi chi tiền thuê đất được nhà đầu tư ứng trước để bồi thường, giải phóng mặt bằng theo phương án được cấp có thẩm quyền phê duyệt</t>
  </si>
  <si>
    <t>ĐVT: Triệu đồng</t>
  </si>
  <si>
    <t>Biểu số 01</t>
  </si>
  <si>
    <t>TỔNG HỢP CÁC NGUỒN VỐN THỰC HIỆN DỰ TOÁN NĂM 2025</t>
  </si>
  <si>
    <t>Stt</t>
  </si>
  <si>
    <t>Tên nguồn</t>
  </si>
  <si>
    <t xml:space="preserve">Dự toán NSĐP năm 2025 </t>
  </si>
  <si>
    <t>A</t>
  </si>
  <si>
    <t>B</t>
  </si>
  <si>
    <t>I</t>
  </si>
  <si>
    <t>Từ nguồn địa phương</t>
  </si>
  <si>
    <t>Nguồn NSĐP được hưởng từ các khoản thu nội địa</t>
  </si>
  <si>
    <t>Nguồn CCTL năm 2024 chuyển sang năm 2025</t>
  </si>
  <si>
    <t>Từ nguồn kết dư ngân sách cấp tỉnh</t>
  </si>
  <si>
    <t>Xổ số kiến thiết các năm trước</t>
  </si>
  <si>
    <t>Tiền sử dụng đất các năm trước</t>
  </si>
  <si>
    <t>Nguồn kết dư cân đối ngân sách cấp tỉnh năm 2023</t>
  </si>
  <si>
    <t>Nguồn thu viện trợ, tài trợ</t>
  </si>
  <si>
    <t>Nguồn Đài Phát thanh và Truyền hình Vĩnh Long tài trợ nộp vào NSNN</t>
  </si>
  <si>
    <t>Nguồn vốn công đoàn ngành ngân hàng tài trợ</t>
  </si>
  <si>
    <t>Nguồn viện trợ không hoàn lại của nước ngoài</t>
  </si>
  <si>
    <t>Nguồn mượn của Đài Phát thanh và Truyền hình Vĩnh Long</t>
  </si>
  <si>
    <t>Nguồn dự phòng ngân sách cấp tỉnh năm 2024</t>
  </si>
  <si>
    <t>II</t>
  </si>
  <si>
    <t>Từ nguồn ngân sách cấp trên bổ sung</t>
  </si>
  <si>
    <t xml:space="preserve">Bổ sung cân đối </t>
  </si>
  <si>
    <t xml:space="preserve">Bổ sung cân đối tăng thêm </t>
  </si>
  <si>
    <t>Bổ sung lương</t>
  </si>
  <si>
    <t>Bổ sung mục tiêu từ ngân sách trung ương</t>
  </si>
  <si>
    <t>a</t>
  </si>
  <si>
    <t>Bổ sung vốn đầu tư để thực hiện các dự án, nhiệm vụ</t>
  </si>
  <si>
    <t xml:space="preserve"> -</t>
  </si>
  <si>
    <t>Vốn ngoài nước</t>
  </si>
  <si>
    <t>Vốn trong nước</t>
  </si>
  <si>
    <t>b</t>
  </si>
  <si>
    <t>Bổ sung vốn sự nghiệp để thực hiện các chế độ chính sách, nhiệm vụ</t>
  </si>
  <si>
    <t>Hỗ trợ các Hội văn học nghệ thuật địa phương</t>
  </si>
  <si>
    <t>Hỗ trợ các Hội nhà báo địa phương</t>
  </si>
  <si>
    <t>KP thực hiện các chính sách an sinh xã hội</t>
  </si>
  <si>
    <t>KP hỗ trợ địa phương sản xuất lúa</t>
  </si>
  <si>
    <t>Vốn dự bị động viên</t>
  </si>
  <si>
    <t>KP đảm bảo trật tư ATGT</t>
  </si>
  <si>
    <t>KP quản lý, bảo trì đường bộ</t>
  </si>
  <si>
    <t>KP hỗ trợ để đảm bảo mặt bằng dự toán chi NSĐP</t>
  </si>
  <si>
    <t>c</t>
  </si>
  <si>
    <t>Bổ sung vốn thực hiện chương trình MTQG</t>
  </si>
  <si>
    <t>Vốn đầu tư</t>
  </si>
  <si>
    <t>CTMTQG giảm nghèo bền vững</t>
  </si>
  <si>
    <t>CTMTQG phát triển KTXH vùng đồng bào dân tộc thiểu số</t>
  </si>
  <si>
    <t>CTMTQG xây dựng nông thôn mới</t>
  </si>
  <si>
    <t>Vốn sự nghiệp</t>
  </si>
  <si>
    <t xml:space="preserve">Nguồn trung ương bổ sung thực hiện chính sách đào tạo cán bộ quân sự cấp xã theo Quyết định số 799/QĐ-TTg của Thủ tướng Chính phủ </t>
  </si>
  <si>
    <t>III</t>
  </si>
  <si>
    <t>Từ nguồn bội chi (nguồn vốn vay)</t>
  </si>
  <si>
    <t>DỰ TOÁN THU NGÂN SÁCH NHÀ NƯỚC NĂM 2025</t>
  </si>
  <si>
    <t>Chỉ tiêu</t>
  </si>
  <si>
    <t>Dự toán năm 2025</t>
  </si>
  <si>
    <t>Tỉnh</t>
  </si>
  <si>
    <t>TỔNG THU NSNN TRÊN ĐỊA BÀN (I+II)</t>
  </si>
  <si>
    <t>THU NỘI ĐỊA</t>
  </si>
  <si>
    <t>Thu từ khu vực doanh nghiệp nhà nước</t>
  </si>
  <si>
    <t>Thu từ khu vực doanh nghiệp trung ương</t>
  </si>
  <si>
    <t xml:space="preserve"> - Thuế giá trị gia tăng</t>
  </si>
  <si>
    <t xml:space="preserve"> - Thuế tiêu thụ đặc biệt</t>
  </si>
  <si>
    <t xml:space="preserve"> - Thuế thu nhập doanh nghiệp</t>
  </si>
  <si>
    <t>Thu từ khu vực doanh nghiệp địa phương</t>
  </si>
  <si>
    <t xml:space="preserve"> - Thuế tài nguyên</t>
  </si>
  <si>
    <t>Thu từ khu vực doanh nghiệp có vốn ĐTNN</t>
  </si>
  <si>
    <t>Trong đó: Thuế tối thiểu toàn cầu</t>
  </si>
  <si>
    <t>Thu từ khu vực kinh tế ngoài quốc doanh</t>
  </si>
  <si>
    <t>Thuế thu nhập cá nhân</t>
  </si>
  <si>
    <t>- Thuế TN từ SXKD của cá nhân</t>
  </si>
  <si>
    <t>Thuế bảo vệ môi trường</t>
  </si>
  <si>
    <t>- Thu từ hàng hóa nhập khẩu</t>
  </si>
  <si>
    <t>- Thu từ hàng hóa sản xuất trong nước</t>
  </si>
  <si>
    <t>Lệ phí trước bạ</t>
  </si>
  <si>
    <t xml:space="preserve">Phí - lệ phí </t>
  </si>
  <si>
    <t>Bao gồm : - Phí, lệ phí trung ương</t>
  </si>
  <si>
    <t xml:space="preserve">                - Phí, lệ phí địa phương</t>
  </si>
  <si>
    <t>- Trong đó: + Phí BVMT đối với khai thác khoáng sản</t>
  </si>
  <si>
    <t>+ Phí BVMT đối với nước thải</t>
  </si>
  <si>
    <t xml:space="preserve">+ Lệ phí môn bài </t>
  </si>
  <si>
    <t>Thuế sử dụng đất phi nông nghiệp</t>
  </si>
  <si>
    <t>Thu tiền cho thuê đất, thuê mặt nước</t>
  </si>
  <si>
    <t>Trong đó, số ghi thu ghi chi tiền thuê đất để GPMB và thu xử lý tài sản công</t>
  </si>
  <si>
    <t>Thu tiền sử dụng đất</t>
  </si>
  <si>
    <t>Thu tiền thuê và bán nhà ở thuộc SHNN</t>
  </si>
  <si>
    <t>Thu từ hoạt động xổ số</t>
  </si>
  <si>
    <t>Thu tiền cấp quyền khai thác tài nguyên
 khoáng sản, tài nguyên nước</t>
  </si>
  <si>
    <t xml:space="preserve">Thu khác ngân sách </t>
  </si>
  <si>
    <t>- Trung ương</t>
  </si>
  <si>
    <t>Trong đó: + Thu phạt vi phạm ATGT</t>
  </si>
  <si>
    <t xml:space="preserve">                   + Thu phạt VPHC do CQ Thuế thực hiện</t>
  </si>
  <si>
    <t>- Địa phương</t>
  </si>
  <si>
    <t xml:space="preserve"> Trong đó, thu tiền bảo vệ đất trồng lúa</t>
  </si>
  <si>
    <t>Thu từ quỹ đất công ích và thu hoa lợi,
 công sản khác</t>
  </si>
  <si>
    <t>Thu cổ tức, lợi nhuận được chia và LNST
 NSĐP hưởng 100%</t>
  </si>
  <si>
    <t>THU TỪ HOẠT ĐỘNG XUẤT NHẬP KHẨU</t>
  </si>
  <si>
    <t>Thuế giá trị gia tăng  từ hàng hóa nhập khẩu</t>
  </si>
  <si>
    <t>Thuế nhập khẩu</t>
  </si>
  <si>
    <t>Thu khác</t>
  </si>
  <si>
    <t>TỔNG THU NGÂN SÁCH ĐỊA PHƯƠNG ĐƯỢC HƯỞNG THEO PHÂN CẤP</t>
  </si>
  <si>
    <t>Các khoản thu NSĐP hưởng 100%</t>
  </si>
  <si>
    <t>Các khoản thu phân chia theo tỷ lệ %</t>
  </si>
  <si>
    <t>Biểu số 02</t>
  </si>
  <si>
    <t>Biểu số 03</t>
  </si>
  <si>
    <t xml:space="preserve">TỔNG HỢP DỰ TOÁN CHI NGÂN SÁCH ĐỊA PHƯƠNG NĂM 2025 </t>
  </si>
  <si>
    <t>TỔNG CHI NSĐP QUẢN LÝ (I+II)</t>
  </si>
  <si>
    <t xml:space="preserve">TỔNG CHI CÂN ĐỐI NSĐP </t>
  </si>
  <si>
    <t>Chi đầu tư phát triển</t>
  </si>
  <si>
    <t>Chi đầu tư XDCB</t>
  </si>
  <si>
    <t>Chi đầu tư xây dựng cơ bản vốn trong nước</t>
  </si>
  <si>
    <t>Chi từ nguồn thu tiền sử dụng đất</t>
  </si>
  <si>
    <t>Chi đầu tư từ nguồn XSKT</t>
  </si>
  <si>
    <t>Chi đầu tư từ nguồn bội chi NSĐP</t>
  </si>
  <si>
    <t>Chi từ nguồn kết dư Xổ số kiến thiết các năm trước</t>
  </si>
  <si>
    <t>Chi từ nguồn kết dư tiền sử dụng đất các năm trước</t>
  </si>
  <si>
    <t xml:space="preserve"> - KP thực hiện ghi thu, ghi chi tiền thuê đất được nhà đầu tư ứng trước để bồi thường, giải phóng mặt bằng theo phương án được cấp có thẩm quyền phê duyệt</t>
  </si>
  <si>
    <t>Chi thường xuyên</t>
  </si>
  <si>
    <t>Chi giáo dục, đào tạo và dạy nghề</t>
  </si>
  <si>
    <t>Chi khoa học công nghệ</t>
  </si>
  <si>
    <t>Các khoản chi thường xuyên khác còn lại</t>
  </si>
  <si>
    <t>Chi trả lãi vay</t>
  </si>
  <si>
    <t>Chi bổ sung Quỹ DTTC</t>
  </si>
  <si>
    <t>Dự phòng ngân sách</t>
  </si>
  <si>
    <t>Chi từ nguồn trung ương bổ sung có mục tiêu</t>
  </si>
  <si>
    <t>Bổ sung vốn sự nghiệp để thực hiện các chế độ, chính sách theo quy định</t>
  </si>
  <si>
    <t>Bổ sung mục tiêu vốn đầu tư</t>
  </si>
  <si>
    <t>Bổ sung KP thực hiện CTMTQG</t>
  </si>
  <si>
    <t>Chi trả nợ gốc</t>
  </si>
  <si>
    <t>Tổng chi NSĐP</t>
  </si>
  <si>
    <t>Biểu số 04</t>
  </si>
  <si>
    <t>TỔNG HỢP  DỰ TOÁN CHI NGÂN SÁCH CẤP TỈNH NĂM 2025</t>
  </si>
  <si>
    <t>Nội dung</t>
  </si>
  <si>
    <t>Dự toán 
năm 2025</t>
  </si>
  <si>
    <t>Tổng chi ngân sách cấp tỉnh</t>
  </si>
  <si>
    <t xml:space="preserve"> - Từ nguồn NS tập trung</t>
  </si>
  <si>
    <t xml:space="preserve"> - Từ nguồn thu tiền SDĐ </t>
  </si>
  <si>
    <t xml:space="preserve"> - Từ nguồn XSKT</t>
  </si>
  <si>
    <t xml:space="preserve"> - Nguồn Đài PTTH tài trợ nộp NSNN</t>
  </si>
  <si>
    <t xml:space="preserve"> - Từ nguồn trung ương BSMT</t>
  </si>
  <si>
    <t xml:space="preserve"> - Từ nguồn bội chi ngân sách địa phương (từ nguồn vốn vay)</t>
  </si>
  <si>
    <t xml:space="preserve"> - Nguồn kết dư XSKT các năm trước</t>
  </si>
  <si>
    <t xml:space="preserve"> - Nguồn kết dư tiền sử dụng đất các năm trước</t>
  </si>
  <si>
    <t xml:space="preserve"> - Nguồn vốn công đoàn ngành ngân hàng tài trợ</t>
  </si>
  <si>
    <t xml:space="preserve"> - Nguồn viện trợ không hoàn lại của nước ngoài</t>
  </si>
  <si>
    <t xml:space="preserve"> - Nguồn mượn của Đài Phát thanh và Truyền hình Vĩnh Long</t>
  </si>
  <si>
    <t xml:space="preserve"> - Nguồn dự phòng ngân sách cấp tỉnh năm 2024</t>
  </si>
  <si>
    <t xml:space="preserve">Chi đầu tư phát triển khác </t>
  </si>
  <si>
    <t>Trong đó:</t>
  </si>
  <si>
    <t>Chi hỗ trợ thu hút đầu tư - xúc tiến thương mại</t>
  </si>
  <si>
    <t>Chi sự nghiệp kinh tế</t>
  </si>
  <si>
    <t xml:space="preserve">Sự nghiệp nông nghiệp </t>
  </si>
  <si>
    <t>Sự nghiệp thủy lợi</t>
  </si>
  <si>
    <t>Sự nghiệp giao thông</t>
  </si>
  <si>
    <t>Kiến thiết thị chính</t>
  </si>
  <si>
    <t>Sự nghiệp kinh tế khác</t>
  </si>
  <si>
    <t>Chi sự nghiệp môi trường</t>
  </si>
  <si>
    <t>Chi sự nghiệp văn xã</t>
  </si>
  <si>
    <t>Sự nghiệp giáo dục đào tạo &amp; dạy nghề</t>
  </si>
  <si>
    <t>Sự nghiệp y tế</t>
  </si>
  <si>
    <t>Sự nghiệp văn hóa thông tin</t>
  </si>
  <si>
    <t>Sự nghiệp thông tin truyền thông</t>
  </si>
  <si>
    <t>Sự nghiệp thể dục thể thao</t>
  </si>
  <si>
    <t>Sự nghiệp khoa học công nghệ</t>
  </si>
  <si>
    <t>Sự nghiệp xã hội</t>
  </si>
  <si>
    <t>Chi quản lý hành chính</t>
  </si>
  <si>
    <t>Quản lý Nhà nước</t>
  </si>
  <si>
    <t>Khối Đảng</t>
  </si>
  <si>
    <t>Chi an ninh - quốc phòng</t>
  </si>
  <si>
    <t>An ninh</t>
  </si>
  <si>
    <t>Quốc phòng</t>
  </si>
  <si>
    <t>Chi khác ngân sách</t>
  </si>
  <si>
    <t>Chi từ nguồn TWBS có mục tiêu</t>
  </si>
  <si>
    <t>Chi bổ sung quỹ dự trữ tài chính</t>
  </si>
  <si>
    <t>IV</t>
  </si>
  <si>
    <t>V</t>
  </si>
  <si>
    <t>Chi trả nợ phí, lãi vay</t>
  </si>
  <si>
    <t>C</t>
  </si>
  <si>
    <t>Bổ sung ngân sách cấp dưới</t>
  </si>
  <si>
    <t>Bổ sung cân đối ổn định</t>
  </si>
  <si>
    <t>Bổ sung để đảm bảo dự toán chi cân đối NSĐP</t>
  </si>
  <si>
    <t xml:space="preserve">Bổ sung thực hiện CCTL </t>
  </si>
  <si>
    <t>Bổ sung vốn đầu tư từ nguồn XSKT</t>
  </si>
  <si>
    <t>Bổ sung có mục tiêu vốn sự nghiệp</t>
  </si>
  <si>
    <t>Biểu số 05</t>
  </si>
  <si>
    <t>TỔNG HỢP DỰ TOÁN THU NSNN HUYỆN, THỊ XÃ, THÀNH PHỐ NĂM 2025</t>
  </si>
  <si>
    <t>CCT KV I</t>
  </si>
  <si>
    <t>CCT KV II</t>
  </si>
  <si>
    <t>CCT KV III</t>
  </si>
  <si>
    <t>CCT KV IV</t>
  </si>
  <si>
    <t>Vĩnh Long</t>
  </si>
  <si>
    <t>Long Hồ</t>
  </si>
  <si>
    <t>Bình Minh</t>
  </si>
  <si>
    <t>Bình Tân</t>
  </si>
  <si>
    <t>Tam Bình</t>
  </si>
  <si>
    <t>Trà Ôn</t>
  </si>
  <si>
    <t>Mang Thít</t>
  </si>
  <si>
    <t>Vũng Liêm</t>
  </si>
  <si>
    <t>Tổng thu NSNN trên địa bàn</t>
  </si>
  <si>
    <t xml:space="preserve"> - Thu khác</t>
  </si>
  <si>
    <t>Trong đó số ghi thu ghi chi tiền thuê đất để GPMB và thu xử lý TS công</t>
  </si>
  <si>
    <t>- Thu từ xử phạt VPHC của lực lượng quản lý thị trường</t>
  </si>
  <si>
    <t>Thu ngân sách địa phương được hưởng theo phân cấp</t>
  </si>
  <si>
    <t>Thu bổ sung từ ngân sách cấp tỉnh</t>
  </si>
  <si>
    <t>Bổ sung để thực hiện CCTL từ 1,49 trđ/tháng đến 2,34 trđ/tháng</t>
  </si>
  <si>
    <t>Thu bổ sung vốn đầu tư từ nguồn XSKT</t>
  </si>
  <si>
    <t>Thu bổ sung mục tiêu vốn sự nghiệp</t>
  </si>
  <si>
    <t>TỔNG HỢP DỰ TOÁN CHI NSNN HUYỆN, THỊ XÃ, THÀNH PHỐ NĂM 2025</t>
  </si>
  <si>
    <t>Tổng chi ngân sách địa phương quản lý (I+II)</t>
  </si>
  <si>
    <t>Tổng chi cân đối ngân sách địa phương</t>
  </si>
  <si>
    <t>Chi XDCB tập trung</t>
  </si>
  <si>
    <t>Chi từ nguồn XSKT</t>
  </si>
  <si>
    <t>Chi sự nghiệp giáo dục đào tạo và dạy nghề</t>
  </si>
  <si>
    <t>Chi sự nghiệp khoa học và công nghệ</t>
  </si>
  <si>
    <t>Chi dự phòng</t>
  </si>
  <si>
    <t>Bổ sung mục tiêu vốn sự nghiệp</t>
  </si>
  <si>
    <t>KP thực hiện trợ cấp hàng tháng đối với đảng viên có huy hiệu 40 năm tuổi đảng trở lên theo Nghị quyết số 58/2017/NQ-HĐND tỉnh</t>
  </si>
  <si>
    <t>KP thực hiện trợ giúp xã hội đối với đối tượng khó khăn tại Điều 3 Nghị quyết số 30/2022/NQ-HĐND tỉnh</t>
  </si>
  <si>
    <t>KP thực hiện đưa lao động trẻ về làm việc tại tổ chức kinh tế tập thể trên địa bàn tỉnh theo Nghị quyết số 02/2023/NQ-HĐND tỉnh</t>
  </si>
  <si>
    <t>KP chi trả hợp đồng lao động thực hiện công việc hỗ trợ, phục vụ theo Nghị định số 111/2022/NĐ-CP của Chính phủ theo Nghị quyết số 05/2024/NQ-HĐND tỉnh</t>
  </si>
  <si>
    <t>KP hỗ trợ hoạt động ấp, khóm, khu và phụ cấp hàng tháng phó trưởng ấp, khóm, khu theo Nghị quyết số 22/2023/NQ-HĐND tỉnh</t>
  </si>
  <si>
    <t>KP hỗ trợ thực hiện Nghị quyết số 03/2020/NQ-HĐND và Nghị quyết số 36/2022/NQ-HĐND của HĐND tỉnh</t>
  </si>
  <si>
    <t xml:space="preserve">Hỗ trợ kinh phí những người hoạt động không chuyên trách cấp xã có trình độ đại học </t>
  </si>
  <si>
    <t xml:space="preserve">Hỗ trợ phụ cấp hàng tháng những người hoạt động không chuyên trách cấp xã, BHYT những người hoạt động không chuyên trách ấp </t>
  </si>
  <si>
    <t>KP cấm mốc quy hoạch chung nông thôn mới</t>
  </si>
  <si>
    <t xml:space="preserve">KP hỗ trợ dịch vụ công ích, thu gom vận chuyển rác thải </t>
  </si>
  <si>
    <t xml:space="preserve">Hỗ trợ quốc phòng an ninh </t>
  </si>
  <si>
    <t>KP hỗ trợ thực hiện Nghị quyết số 70/2017/NQ-HĐND, Nghị quyết số 33/2022/NQ-HĐND của HĐND tỉnh và Nghị định số 72/2020/NĐ-CP của Chính phủ</t>
  </si>
  <si>
    <t xml:space="preserve">KP hỗ trợ phục cấp hàng tháng, BHYT, BHXH cho lực lượng ANCS theo Nghị quyết số 08/2024/NQ-HĐND </t>
  </si>
  <si>
    <t>Hỗ trợ để đảm bảo mặt bằng dự toán chi NSĐP</t>
  </si>
  <si>
    <t>KP thực hiện các chính sách an sinh xã hội (*)</t>
  </si>
  <si>
    <t>KP hỗ trợ địa phương sản xuất lúa theo Nghị định số 112/2024/NĐ-CP</t>
  </si>
  <si>
    <t>KP thực hiện nhiệm vụ đảm bảo trật tự an toàn giao thông</t>
  </si>
  <si>
    <t>Ghi chú:</t>
  </si>
  <si>
    <t>(*) Chính sách miễn giảm học phí và hỗ trợ chi phí học tập theo NĐ số 81/2021/NĐ-CP; Hỗ trợ giáo dục mầm non theo Nghị định số 105; Hỗ trợ chi phí học tập cho học sinh khuyết tật theo TTLT 42; Hỗ trợ học sinh và trường phổ thông ở xã, thôn đặc biệt khó khăn theo NĐ 116/2020/NĐ-CP; Kinh phí thường xuyên cho đối tượng Bảo trợ xã hội theo NĐ số 76/2024/NĐ-CP; Hỗ trợ tiền điện cho hộ nghèo, hộ CSXH; Kinh phí mua BHYT đối tượng BTXH; Kinh phí mua BHYT đối tượng tại các xã ATK, đối tượng Cựu chiến binh, thanh niên xung phong, tham gia kháng chiến Lào, Cam phu chia.</t>
  </si>
  <si>
    <t xml:space="preserve">- Bao gồm số tiết kiệm 10% chi thường xuyên dự toán 2025 là 72.692 triệu đồng. </t>
  </si>
  <si>
    <t>- 50% tăng thu dự toán năm 2025 so dự toán năm 2024 là 22.200 triệu đồng.</t>
  </si>
  <si>
    <t>Biểu số 06</t>
  </si>
  <si>
    <r>
      <rPr>
        <b/>
        <sz val="12"/>
        <color theme="1"/>
        <rFont val="Times New Roman"/>
        <family val="1"/>
      </rPr>
      <t xml:space="preserve">Ghi chú: </t>
    </r>
    <r>
      <rPr>
        <sz val="12"/>
        <color theme="1"/>
        <rFont val="Times New Roman"/>
        <family val="1"/>
      </rPr>
      <t>TWBS thực hiện CTMTQG NTM số tiền: 32.753 triệu đồng, phân bổ: 25.256 triệu đồng, còn lại 7.497 triệu đồng</t>
    </r>
  </si>
  <si>
    <t>Văn phòng Tỉnh ủy</t>
  </si>
  <si>
    <t>Thu viện trợ từ Quỹ Fred Hollows Việt Nam (theo Quyết định số 1622/QĐ-UBND ngày 19/8/2024 của Chủ tịch UBND tỉnh)</t>
  </si>
  <si>
    <t>DỰ TOÁN CHI TIẾT ĐẾN DỰ ÁN THÀNH PHẦN NGUỒN BỔ SUNG CÓ MỤC TIÊU TỪ NGÂN SÁCH TRUNG ƯƠNG CHO NGÂN SÁCH ĐỊA PHƯƠNG THỰC HIỆN CHƯƠNG TRÌNH MỤC TIÊU QUỐC GIA NÔNG THÔN MỚI NĂM 2025</t>
  </si>
  <si>
    <t>Các khoản chi thường xuyên còn lại</t>
  </si>
  <si>
    <r>
      <rPr>
        <b/>
        <sz val="10"/>
        <rFont val="Times New Roman"/>
        <family val="1"/>
      </rPr>
      <t>Ghi chú:</t>
    </r>
    <r>
      <rPr>
        <sz val="10"/>
        <rFont val="Times New Roman"/>
        <family val="1"/>
      </rPr>
      <t xml:space="preserve"> chưa giao kinh phí chi thường xuyên để mua sắm tài sản, trang thiết bị, nguồn KTTC, số tiền 46.922trđ </t>
    </r>
  </si>
  <si>
    <r>
      <t xml:space="preserve">
PHỤ LỤC GIAO CHI TIẾT CỦA BIỂU SỐ 8 - DỰ TOÁN CHI TIẾT ĐẾN DỰ ÁN THÀNH PHẦN NGUỒN BỔ SUNG CÓ MỤC TIÊU TỪ NGÂN SÁCH TRUNG ƯƠNG CHO NGÂN SÁCH ĐỊA PHƯƠNG THỰC HIỆN CHƯƠNG TRÌNH MỤC TIÊU QUỐC GIA NÔNG THÔN MỚI NĂM 2025
</t>
    </r>
    <r>
      <rPr>
        <sz val="14"/>
        <rFont val="Times New Roman"/>
        <family val="1"/>
      </rPr>
      <t xml:space="preserve">                                                                                                                                                                                                                                                                                                                                                                                                                                                                                                                                              </t>
    </r>
  </si>
  <si>
    <t>Danh mục nội dung/dự án</t>
  </si>
  <si>
    <t>Cơ quan thực hiện</t>
  </si>
  <si>
    <t>Dự toán chi bổ sung có mục tiêu từ NSTW cho địa phương thực hiện CTMTQG năm 2025</t>
  </si>
  <si>
    <t>Trong đó chi tiết theo từng lĩnh vực chi</t>
  </si>
  <si>
    <t>Sự nghiệp GDDT</t>
  </si>
  <si>
    <t>Sự nghiệp VHTT</t>
  </si>
  <si>
    <t>Sự nghiệp y tế, dân số và gia đình</t>
  </si>
  <si>
    <t>An ninh-QP</t>
  </si>
  <si>
    <t>Sự nghiệp kinh tế</t>
  </si>
  <si>
    <t>(1)</t>
  </si>
  <si>
    <t>(2)</t>
  </si>
  <si>
    <t>(3)</t>
  </si>
  <si>
    <t>(4)=5+6+7+8+9</t>
  </si>
  <si>
    <t>(5)</t>
  </si>
  <si>
    <t>(6)</t>
  </si>
  <si>
    <t>(7)</t>
  </si>
  <si>
    <t>(8)</t>
  </si>
  <si>
    <t>(9)</t>
  </si>
  <si>
    <t>TỔNG CỘNG</t>
  </si>
  <si>
    <t>UBND huyện Long Hồ</t>
  </si>
  <si>
    <t>UBND Huyện Mang Thít</t>
  </si>
  <si>
    <t>UBND Huyện Trà Ôn</t>
  </si>
  <si>
    <t>UBND huyện Vũng Liêm</t>
  </si>
  <si>
    <t xml:space="preserve"> </t>
  </si>
  <si>
    <t>UBND Thị xã Bình Minh</t>
  </si>
  <si>
    <t>UBND huyện Tam Bình</t>
  </si>
  <si>
    <t>Sở Lao động - Thương 
binh và Xã hội</t>
  </si>
  <si>
    <t>VI</t>
  </si>
  <si>
    <t>VII</t>
  </si>
  <si>
    <t xml:space="preserve">UBND huyện Tam Bình </t>
  </si>
  <si>
    <t>VIII</t>
  </si>
  <si>
    <t>Nội dung 05: Vun đắp, gìn giữ giá trị tốt đẹp và phát triển hệ giá trị gia đình việt nam; thực hiện cuộc vận động “xây dựng gia đình 5 không, 3 sạch”</t>
  </si>
  <si>
    <t>Hội Liên hiệp Phụ nữ 
Việt Nam tỉnh Vĩnh Long</t>
  </si>
  <si>
    <t>IX</t>
  </si>
  <si>
    <t>X</t>
  </si>
  <si>
    <t xml:space="preserve">Chi nâng cao chất lượng và hiệu quả công tác kiểm tra, giám sát, đánh giá kết quả thực hiện Chương trình </t>
  </si>
  <si>
    <t>Cục Thống kê</t>
  </si>
  <si>
    <t>Bộ chỉ huy quân sự tỉnh</t>
  </si>
  <si>
    <t xml:space="preserve">Chi kiểm tra, giám sát và đánh giá kết quả thực hiện các nội dung thuộc các nội dung thành phần của Chương trình </t>
  </si>
  <si>
    <t>Chi đào tạo nâng cao năng lực đội ngũ cán bộ làm công tác xây dựng nông thôn mới các cấp, nâng cao nhận thức và chuyển đổi tư duy của người dân và cộng đồng; Đẩy mạnh, đa dạng hình thức thông tin, truyền thông; triển khai phong trào “Cả nước thi đua xây dựng nông thôn mới”</t>
  </si>
  <si>
    <t>Biểu số 09</t>
  </si>
  <si>
    <t xml:space="preserve"> ĐVT: Triệu đồng   </t>
  </si>
  <si>
    <t>Kinh phí NSĐP đối ứng thực hiện Chương trình năm 2025 theo tỷ lệ quy định tại NQ 47/2022/NQ-HĐND ngành tỉnh</t>
  </si>
  <si>
    <t>Tổng ngành tỉnh</t>
  </si>
  <si>
    <t>AN-QP</t>
  </si>
  <si>
    <t>(4)=(5)+(6)+(7)+(8)+(9)</t>
  </si>
  <si>
    <t>Sở Lao động - Thương binh và Xã hội</t>
  </si>
  <si>
    <t>UBND huyện Mang Thít</t>
  </si>
  <si>
    <t>UBND huyện Trà Ôn</t>
  </si>
  <si>
    <t>UBND huyện Bình Tân</t>
  </si>
  <si>
    <t>UBND thị xã Bình Minh</t>
  </si>
  <si>
    <t>Sở Nông nghiệp và Phát triển nông thôn</t>
  </si>
  <si>
    <t>Sở Văn hóa, Thể thao và Du lịch</t>
  </si>
  <si>
    <t>(Kèm theo Quyết định số          /QĐ-UBND ngày     /12/2024 của Ủy ban nhân dân tỉnh)</t>
  </si>
  <si>
    <t xml:space="preserve">PHỤ LỤC CHI TIẾT KINH PHÍ SỰ NGHIỆP NGÂN SÁCH TỈNH ĐỐI ỨNG 
THỰC HIỆN CHƯƠNG TRÌNH MỤC TIÊU QUỐC GIA NÔNG THÔN MỚI  NĂM 2025                                                                                        </t>
  </si>
  <si>
    <t>(Kèm theo Quyết định số            /QĐ-UBND ngày        /12/2024 của Ủy ban nhân dân tỉnh)</t>
  </si>
  <si>
    <t>(Kèm theo Quyết định số 2603/QĐ-UBND ngày 16/12/2024 của Ủy ban nhân dân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</si>
</sst>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0.00\ _₫_-;\-* #,##0.00\ _₫_-;_-* &quot;-&quot;??\ _₫_-;_-@_-"/>
    <numFmt numFmtId="165" formatCode="&quot;\&quot;#,##0;[Red]&quot;\&quot;\-#,##0"/>
    <numFmt numFmtId="166" formatCode="&quot;\&quot;#,##0.00;[Red]&quot;\&quot;\-#,##0.00"/>
    <numFmt numFmtId="167" formatCode="\$#,##0\ ;\(\$#,##0\)"/>
    <numFmt numFmtId="168" formatCode="&quot;\&quot;#,##0;[Red]&quot;\&quot;&quot;\&quot;\-#,##0"/>
    <numFmt numFmtId="169" formatCode="&quot;\&quot;#,##0.00;[Red]&quot;\&quot;&quot;\&quot;&quot;\&quot;&quot;\&quot;&quot;\&quot;&quot;\&quot;\-#,##0.00"/>
    <numFmt numFmtId="170" formatCode="_(* #,##0_);_(* \(#,##0\);_(* &quot;-&quot;??_);_(@_)"/>
    <numFmt numFmtId="171" formatCode="#,##0_ ;\-#,##0\ "/>
    <numFmt numFmtId="172" formatCode="0_)"/>
  </numFmts>
  <fonts count="93">
    <font>
      <sz val="12"/>
      <name val=".VnArial"/>
    </font>
    <font>
      <sz val="10"/>
      <name val="Arial"/>
      <family val="2"/>
    </font>
    <font>
      <b/>
      <sz val="18"/>
      <name val="Arial"/>
      <family val="2"/>
    </font>
    <font>
      <b/>
      <sz val="12"/>
      <name val="Arial"/>
      <family val="2"/>
    </font>
    <font>
      <sz val="10"/>
      <name val="VNtimes new roman"/>
      <family val="2"/>
    </font>
    <font>
      <sz val="14"/>
      <name val="뼻뮝"/>
      <family val="3"/>
      <charset val="129"/>
    </font>
    <font>
      <sz val="12"/>
      <name val="뼻뮝"/>
      <family val="1"/>
      <charset val="129"/>
    </font>
    <font>
      <sz val="12"/>
      <name val="바탕체"/>
      <family val="1"/>
      <charset val="129"/>
    </font>
    <font>
      <sz val="10"/>
      <name val="굴림체"/>
      <family val="3"/>
      <charset val="129"/>
    </font>
    <font>
      <sz val="10"/>
      <name val="돋움"/>
      <family val="3"/>
      <charset val="129"/>
    </font>
    <font>
      <b/>
      <sz val="10"/>
      <color indexed="10"/>
      <name val="Arial"/>
      <family val="2"/>
    </font>
    <font>
      <b/>
      <sz val="10"/>
      <color indexed="8"/>
      <name val="Arial"/>
      <family val="2"/>
    </font>
    <font>
      <sz val="8"/>
      <name val=".VnArial"/>
      <family val="2"/>
    </font>
    <font>
      <b/>
      <sz val="16"/>
      <name val="Times New Roman"/>
      <family val="1"/>
    </font>
    <font>
      <sz val="12"/>
      <name val="Times New Roman"/>
      <family val="1"/>
    </font>
    <font>
      <b/>
      <sz val="14"/>
      <name val="Times New Roman"/>
      <family val="1"/>
    </font>
    <font>
      <b/>
      <sz val="12"/>
      <name val="Times New Roman"/>
      <family val="1"/>
    </font>
    <font>
      <b/>
      <i/>
      <sz val="9"/>
      <name val="Times New Roman"/>
      <family val="1"/>
    </font>
    <font>
      <sz val="7"/>
      <name val="Times New Roman"/>
      <family val="1"/>
    </font>
    <font>
      <sz val="11"/>
      <name val="Times New Roman"/>
      <family val="1"/>
    </font>
    <font>
      <sz val="9"/>
      <name val="Times New Roman"/>
      <family val="1"/>
    </font>
    <font>
      <sz val="8"/>
      <name val="Times New Roman"/>
      <family val="1"/>
    </font>
    <font>
      <b/>
      <u/>
      <sz val="7"/>
      <name val="Times New Roman"/>
      <family val="1"/>
    </font>
    <font>
      <b/>
      <sz val="7"/>
      <name val="Times New Roman"/>
      <family val="1"/>
    </font>
    <font>
      <sz val="10"/>
      <name val="Times New Roman"/>
      <family val="1"/>
    </font>
    <font>
      <b/>
      <sz val="14"/>
      <color theme="1"/>
      <name val="Times New Roman"/>
      <family val="1"/>
    </font>
    <font>
      <sz val="12"/>
      <color theme="1"/>
      <name val="Times New Roman"/>
      <family val="1"/>
    </font>
    <font>
      <b/>
      <sz val="12"/>
      <color theme="1"/>
      <name val="Times New Roman"/>
      <family val="1"/>
    </font>
    <font>
      <b/>
      <i/>
      <sz val="9"/>
      <color theme="1"/>
      <name val="Times New Roman"/>
      <family val="1"/>
    </font>
    <font>
      <b/>
      <sz val="7"/>
      <color theme="1"/>
      <name val="Times New Roman"/>
      <family val="1"/>
    </font>
    <font>
      <i/>
      <sz val="7"/>
      <color theme="1"/>
      <name val="Times New Roman"/>
      <family val="1"/>
    </font>
    <font>
      <sz val="7"/>
      <color theme="1"/>
      <name val="Times New Roman"/>
      <family val="1"/>
    </font>
    <font>
      <u/>
      <sz val="7"/>
      <name val="Times New Roman"/>
      <family val="1"/>
    </font>
    <font>
      <sz val="7"/>
      <color rgb="FFFF0000"/>
      <name val="Times New Roman"/>
      <family val="1"/>
    </font>
    <font>
      <b/>
      <sz val="7"/>
      <color rgb="FFFF0000"/>
      <name val="Times New Roman"/>
      <family val="1"/>
    </font>
    <font>
      <sz val="10"/>
      <color theme="1"/>
      <name val="Times New Roman"/>
      <family val="1"/>
    </font>
    <font>
      <b/>
      <sz val="10"/>
      <color theme="1"/>
      <name val="Times New Roman"/>
      <family val="1"/>
    </font>
    <font>
      <i/>
      <sz val="12"/>
      <name val="Times New Roman"/>
      <family val="1"/>
    </font>
    <font>
      <b/>
      <u/>
      <sz val="7"/>
      <color rgb="FFFF0000"/>
      <name val="Times New Roman"/>
      <family val="1"/>
    </font>
    <font>
      <sz val="12"/>
      <name val=".VnArial"/>
      <family val="2"/>
    </font>
    <font>
      <sz val="6"/>
      <name val="Times New Roman"/>
      <family val="1"/>
    </font>
    <font>
      <i/>
      <sz val="7"/>
      <color rgb="FFFF0000"/>
      <name val="Times New Roman"/>
      <family val="1"/>
    </font>
    <font>
      <sz val="13"/>
      <color theme="1"/>
      <name val="Times New Roman"/>
      <family val="1"/>
    </font>
    <font>
      <b/>
      <sz val="13"/>
      <color theme="1"/>
      <name val="Times New Roman"/>
      <family val="1"/>
    </font>
    <font>
      <sz val="11"/>
      <color rgb="FF000000"/>
      <name val="Calibri"/>
      <family val="2"/>
    </font>
    <font>
      <sz val="10"/>
      <name val="Arial"/>
      <family val="2"/>
      <charset val="163"/>
    </font>
    <font>
      <i/>
      <sz val="7"/>
      <name val="Times New Roman"/>
      <family val="1"/>
    </font>
    <font>
      <b/>
      <i/>
      <sz val="7"/>
      <color rgb="FFFF0000"/>
      <name val="Times New Roman"/>
      <family val="1"/>
    </font>
    <font>
      <i/>
      <sz val="12"/>
      <color theme="1"/>
      <name val="Times New Roman"/>
      <family val="1"/>
    </font>
    <font>
      <b/>
      <i/>
      <sz val="7"/>
      <color theme="1"/>
      <name val="Times New Roman"/>
      <family val="1"/>
    </font>
    <font>
      <b/>
      <sz val="10"/>
      <name val="Times New Roman"/>
      <family val="1"/>
    </font>
    <font>
      <i/>
      <sz val="12"/>
      <color theme="0"/>
      <name val="Times New Roman"/>
      <family val="1"/>
    </font>
    <font>
      <b/>
      <sz val="16"/>
      <color theme="1"/>
      <name val="Times New Roman"/>
      <family val="1"/>
    </font>
    <font>
      <sz val="11"/>
      <color theme="1"/>
      <name val="Times New Roman"/>
      <family val="1"/>
    </font>
    <font>
      <sz val="9"/>
      <color theme="1"/>
      <name val="Times New Roman"/>
      <family val="1"/>
    </font>
    <font>
      <sz val="8"/>
      <color theme="1"/>
      <name val="Times New Roman"/>
      <family val="1"/>
    </font>
    <font>
      <b/>
      <u/>
      <sz val="7"/>
      <color theme="1"/>
      <name val="Times New Roman"/>
      <family val="1"/>
    </font>
    <font>
      <b/>
      <i/>
      <u/>
      <sz val="7"/>
      <color theme="1"/>
      <name val="Times New Roman"/>
      <family val="1"/>
    </font>
    <font>
      <u/>
      <sz val="7"/>
      <color theme="1"/>
      <name val="Times New Roman"/>
      <family val="1"/>
    </font>
    <font>
      <i/>
      <u/>
      <sz val="7"/>
      <color theme="1"/>
      <name val="Times New Roman"/>
      <family val="1"/>
    </font>
    <font>
      <b/>
      <i/>
      <u/>
      <sz val="7"/>
      <color rgb="FFFF0000"/>
      <name val="Times New Roman"/>
      <family val="1"/>
    </font>
    <font>
      <u/>
      <sz val="7"/>
      <color rgb="FFFF0000"/>
      <name val="Times New Roman"/>
      <family val="1"/>
    </font>
    <font>
      <b/>
      <sz val="12"/>
      <color rgb="FFFF0000"/>
      <name val="Times New Roman"/>
      <family val="1"/>
    </font>
    <font>
      <i/>
      <sz val="12"/>
      <color rgb="FFFF0000"/>
      <name val="Times New Roman"/>
      <family val="1"/>
    </font>
    <font>
      <sz val="12"/>
      <color theme="0"/>
      <name val="Times New Roman"/>
      <family val="1"/>
    </font>
    <font>
      <b/>
      <i/>
      <sz val="13"/>
      <color theme="1"/>
      <name val="Times New Roman"/>
      <family val="1"/>
    </font>
    <font>
      <sz val="12"/>
      <color theme="1"/>
      <name val=".VnArial"/>
      <family val="2"/>
    </font>
    <font>
      <i/>
      <sz val="13"/>
      <color theme="1"/>
      <name val="Times New Roman"/>
      <family val="1"/>
    </font>
    <font>
      <sz val="11"/>
      <color theme="1"/>
      <name val="Calibri"/>
      <family val="2"/>
      <scheme val="minor"/>
    </font>
    <font>
      <sz val="14"/>
      <color theme="1"/>
      <name val="Times New Roman"/>
      <family val="2"/>
      <charset val="163"/>
    </font>
    <font>
      <sz val="14"/>
      <color theme="1"/>
      <name val="Times New Roman"/>
      <family val="1"/>
    </font>
    <font>
      <sz val="11"/>
      <color indexed="8"/>
      <name val="Calibri"/>
      <family val="2"/>
    </font>
    <font>
      <sz val="11"/>
      <color theme="1"/>
      <name val="Times New Roman"/>
      <family val="2"/>
      <charset val="163"/>
    </font>
    <font>
      <b/>
      <u/>
      <sz val="13"/>
      <color theme="1"/>
      <name val="Times New Roman"/>
      <family val="1"/>
    </font>
    <font>
      <u/>
      <sz val="13"/>
      <color theme="1"/>
      <name val="Times New Roman"/>
      <family val="1"/>
    </font>
    <font>
      <sz val="13"/>
      <name val="Times New Roman"/>
      <family val="1"/>
    </font>
    <font>
      <sz val="12.5"/>
      <color theme="1"/>
      <name val="Times New Roman"/>
      <family val="1"/>
    </font>
    <font>
      <b/>
      <sz val="12.5"/>
      <color theme="1"/>
      <name val="Times New Roman"/>
      <family val="1"/>
    </font>
    <font>
      <i/>
      <sz val="12.5"/>
      <color theme="1"/>
      <name val="Times New Roman"/>
      <family val="1"/>
    </font>
    <font>
      <b/>
      <sz val="9"/>
      <name val="Times New Roman"/>
      <family val="1"/>
    </font>
    <font>
      <b/>
      <sz val="8"/>
      <name val="Times New Roman"/>
      <family val="1"/>
    </font>
    <font>
      <i/>
      <sz val="10"/>
      <name val="Times New Roman"/>
      <family val="1"/>
    </font>
    <font>
      <i/>
      <sz val="13"/>
      <name val="Times New Roman"/>
      <family val="1"/>
    </font>
    <font>
      <b/>
      <sz val="13"/>
      <name val="Times New Roman"/>
      <family val="1"/>
    </font>
    <font>
      <b/>
      <sz val="7"/>
      <color rgb="FF000099"/>
      <name val="Times New Roman"/>
      <family val="1"/>
    </font>
    <font>
      <sz val="14"/>
      <name val="Times New Roman"/>
      <family val="1"/>
    </font>
    <font>
      <sz val="11"/>
      <name val="Calibri"/>
      <family val="2"/>
      <scheme val="minor"/>
    </font>
    <font>
      <i/>
      <sz val="14"/>
      <name val="Times New Roman"/>
      <family val="1"/>
    </font>
    <font>
      <b/>
      <i/>
      <sz val="12"/>
      <name val="Times New Roman"/>
      <family val="1"/>
    </font>
    <font>
      <sz val="12"/>
      <color theme="1"/>
      <name val="Calibri"/>
      <family val="2"/>
      <scheme val="minor"/>
    </font>
    <font>
      <i/>
      <sz val="14"/>
      <color theme="1"/>
      <name val="Times New Roman"/>
      <family val="1"/>
    </font>
    <font>
      <b/>
      <i/>
      <sz val="12"/>
      <color theme="1"/>
      <name val="Times New Roman"/>
      <family val="1"/>
    </font>
    <font>
      <sz val="14"/>
      <name val="Calibri"/>
      <family val="2"/>
      <scheme val="minor"/>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s>
  <borders count="29">
    <border>
      <left/>
      <right/>
      <top/>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4">
    <xf numFmtId="0" fontId="0" fillId="0" borderId="0"/>
    <xf numFmtId="3" fontId="1" fillId="0" borderId="0" applyFont="0" applyFill="0" applyBorder="0" applyAlignment="0" applyProtection="0"/>
    <xf numFmtId="167"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1" applyNumberFormat="0" applyFont="0" applyFill="0" applyAlignment="0" applyProtection="0"/>
    <xf numFmtId="0" fontId="4" fillId="0" borderId="0"/>
    <xf numFmtId="0" fontId="4" fillId="0" borderId="0"/>
    <xf numFmtId="40" fontId="5" fillId="0" borderId="0" applyFont="0" applyFill="0" applyBorder="0" applyAlignment="0" applyProtection="0"/>
    <xf numFmtId="38"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0" fontId="1" fillId="0" borderId="0" applyFont="0" applyFill="0" applyBorder="0" applyAlignment="0" applyProtection="0"/>
    <xf numFmtId="0" fontId="6" fillId="0" borderId="0"/>
    <xf numFmtId="168" fontId="1" fillId="0" borderId="0" applyFont="0" applyFill="0" applyBorder="0" applyAlignment="0" applyProtection="0"/>
    <xf numFmtId="169" fontId="1"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0" fontId="8" fillId="0" borderId="0"/>
    <xf numFmtId="0" fontId="1" fillId="0" borderId="0"/>
    <xf numFmtId="43" fontId="39" fillId="0" borderId="0" applyFont="0" applyFill="0" applyBorder="0" applyAlignment="0" applyProtection="0"/>
    <xf numFmtId="0" fontId="44" fillId="0" borderId="0"/>
    <xf numFmtId="0" fontId="45" fillId="0" borderId="0"/>
    <xf numFmtId="0" fontId="68" fillId="0" borderId="0"/>
    <xf numFmtId="0" fontId="69" fillId="0" borderId="0"/>
    <xf numFmtId="164" fontId="69" fillId="0" borderId="0" applyFont="0" applyFill="0" applyBorder="0" applyAlignment="0" applyProtection="0"/>
    <xf numFmtId="0" fontId="68" fillId="0" borderId="0"/>
    <xf numFmtId="0" fontId="71" fillId="0" borderId="0"/>
    <xf numFmtId="0" fontId="72" fillId="0" borderId="0"/>
    <xf numFmtId="0" fontId="75" fillId="0" borderId="0"/>
    <xf numFmtId="43" fontId="75" fillId="0" borderId="0" applyFont="0" applyFill="0" applyBorder="0" applyAlignment="0" applyProtection="0"/>
    <xf numFmtId="164" fontId="68" fillId="0" borderId="0" applyFont="0" applyFill="0" applyBorder="0" applyAlignment="0" applyProtection="0"/>
  </cellStyleXfs>
  <cellXfs count="690">
    <xf numFmtId="0" fontId="0" fillId="0" borderId="0" xfId="0"/>
    <xf numFmtId="0" fontId="9" fillId="2" borderId="0" xfId="21" applyFont="1" applyFill="1"/>
    <xf numFmtId="0" fontId="1" fillId="0" borderId="0" xfId="21"/>
    <xf numFmtId="0" fontId="1" fillId="2" borderId="0" xfId="21" applyFill="1"/>
    <xf numFmtId="0" fontId="1" fillId="3" borderId="2" xfId="21" applyFill="1" applyBorder="1"/>
    <xf numFmtId="0" fontId="10" fillId="4" borderId="3" xfId="21" applyFont="1" applyFill="1" applyBorder="1" applyAlignment="1">
      <alignment horizontal="center"/>
    </xf>
    <xf numFmtId="0" fontId="11" fillId="5" borderId="4" xfId="21" applyFont="1" applyFill="1" applyBorder="1" applyAlignment="1">
      <alignment horizontal="center"/>
    </xf>
    <xf numFmtId="0" fontId="10" fillId="4" borderId="4" xfId="21" applyFont="1" applyFill="1" applyBorder="1" applyAlignment="1">
      <alignment horizontal="center"/>
    </xf>
    <xf numFmtId="0" fontId="10" fillId="4" borderId="5" xfId="21" applyFont="1" applyFill="1" applyBorder="1" applyAlignment="1">
      <alignment horizontal="center"/>
    </xf>
    <xf numFmtId="0" fontId="1" fillId="3" borderId="6" xfId="21" applyFill="1" applyBorder="1"/>
    <xf numFmtId="0" fontId="1" fillId="3" borderId="7" xfId="21" applyFill="1" applyBorder="1"/>
    <xf numFmtId="3" fontId="14" fillId="6" borderId="0" xfId="0" applyNumberFormat="1" applyFont="1" applyFill="1"/>
    <xf numFmtId="3" fontId="18" fillId="6" borderId="0" xfId="0" applyNumberFormat="1" applyFont="1" applyFill="1"/>
    <xf numFmtId="3" fontId="24" fillId="6" borderId="0" xfId="0" applyNumberFormat="1" applyFont="1" applyFill="1"/>
    <xf numFmtId="3" fontId="23" fillId="6" borderId="17" xfId="0" applyNumberFormat="1" applyFont="1" applyFill="1" applyBorder="1" applyAlignment="1">
      <alignment vertical="center"/>
    </xf>
    <xf numFmtId="3" fontId="15" fillId="6" borderId="0" xfId="0" applyNumberFormat="1" applyFont="1" applyFill="1" applyAlignment="1">
      <alignment horizontal="center"/>
    </xf>
    <xf numFmtId="3" fontId="16" fillId="6" borderId="0" xfId="0" applyNumberFormat="1" applyFont="1" applyFill="1" applyAlignment="1">
      <alignment horizontal="center"/>
    </xf>
    <xf numFmtId="3" fontId="23" fillId="6" borderId="0" xfId="0" applyNumberFormat="1" applyFont="1" applyFill="1"/>
    <xf numFmtId="3" fontId="29" fillId="6" borderId="18" xfId="0" applyNumberFormat="1" applyFont="1" applyFill="1" applyBorder="1"/>
    <xf numFmtId="3" fontId="23" fillId="6" borderId="17" xfId="0" applyNumberFormat="1" applyFont="1" applyFill="1" applyBorder="1" applyAlignment="1">
      <alignment horizontal="center" vertical="center"/>
    </xf>
    <xf numFmtId="3" fontId="18" fillId="6" borderId="0" xfId="0" applyNumberFormat="1" applyFont="1" applyFill="1" applyAlignment="1">
      <alignment vertical="center"/>
    </xf>
    <xf numFmtId="3" fontId="23" fillId="6" borderId="9" xfId="0" applyNumberFormat="1" applyFont="1" applyFill="1" applyBorder="1" applyAlignment="1">
      <alignment horizontal="center" vertical="center"/>
    </xf>
    <xf numFmtId="3" fontId="23" fillId="6" borderId="9" xfId="0" applyNumberFormat="1" applyFont="1" applyFill="1" applyBorder="1" applyAlignment="1">
      <alignment vertical="center"/>
    </xf>
    <xf numFmtId="3" fontId="29" fillId="6" borderId="17" xfId="0" applyNumberFormat="1" applyFont="1" applyFill="1" applyBorder="1" applyAlignment="1">
      <alignment horizontal="center" vertical="center"/>
    </xf>
    <xf numFmtId="3" fontId="31" fillId="6" borderId="0" xfId="0" applyNumberFormat="1" applyFont="1" applyFill="1" applyAlignment="1">
      <alignment vertical="center"/>
    </xf>
    <xf numFmtId="3" fontId="14" fillId="6" borderId="0" xfId="0" applyNumberFormat="1" applyFont="1" applyFill="1" applyAlignment="1">
      <alignment vertical="center"/>
    </xf>
    <xf numFmtId="3" fontId="26" fillId="6" borderId="0" xfId="0" applyNumberFormat="1" applyFont="1" applyFill="1" applyAlignment="1">
      <alignment vertical="center"/>
    </xf>
    <xf numFmtId="3" fontId="24" fillId="6" borderId="0" xfId="0" applyNumberFormat="1" applyFont="1" applyFill="1" applyAlignment="1">
      <alignment vertical="center"/>
    </xf>
    <xf numFmtId="3" fontId="29" fillId="6" borderId="10" xfId="0" applyNumberFormat="1" applyFont="1" applyFill="1" applyBorder="1" applyAlignment="1">
      <alignment vertical="center"/>
    </xf>
    <xf numFmtId="3" fontId="30" fillId="6" borderId="0" xfId="0" applyNumberFormat="1" applyFont="1" applyFill="1" applyAlignment="1">
      <alignment vertical="center"/>
    </xf>
    <xf numFmtId="3" fontId="35" fillId="6" borderId="0" xfId="0" applyNumberFormat="1" applyFont="1" applyFill="1" applyAlignment="1">
      <alignment vertical="center"/>
    </xf>
    <xf numFmtId="3" fontId="18" fillId="6" borderId="0" xfId="0" applyNumberFormat="1" applyFont="1" applyFill="1" applyAlignment="1">
      <alignment horizontal="center"/>
    </xf>
    <xf numFmtId="3" fontId="38" fillId="6" borderId="0" xfId="0" applyNumberFormat="1" applyFont="1" applyFill="1"/>
    <xf numFmtId="3" fontId="22" fillId="0" borderId="0" xfId="0" applyNumberFormat="1" applyFont="1" applyFill="1"/>
    <xf numFmtId="3" fontId="18" fillId="0" borderId="10" xfId="0" applyNumberFormat="1" applyFont="1" applyFill="1" applyBorder="1" applyAlignment="1">
      <alignment horizontal="center"/>
    </xf>
    <xf numFmtId="3" fontId="18" fillId="0" borderId="10" xfId="0" applyNumberFormat="1" applyFont="1" applyFill="1" applyBorder="1"/>
    <xf numFmtId="3" fontId="18" fillId="0" borderId="10" xfId="0" quotePrefix="1" applyNumberFormat="1" applyFont="1" applyFill="1" applyBorder="1" applyAlignment="1">
      <alignment horizontal="center"/>
    </xf>
    <xf numFmtId="3" fontId="18" fillId="0" borderId="0" xfId="0" applyNumberFormat="1" applyFont="1" applyFill="1"/>
    <xf numFmtId="3" fontId="22" fillId="0" borderId="10" xfId="0" applyNumberFormat="1" applyFont="1" applyFill="1" applyBorder="1" applyAlignment="1">
      <alignment horizontal="center"/>
    </xf>
    <xf numFmtId="3" fontId="22" fillId="0" borderId="10" xfId="0" applyNumberFormat="1" applyFont="1" applyFill="1" applyBorder="1"/>
    <xf numFmtId="43" fontId="18" fillId="0" borderId="10" xfId="22" applyFont="1" applyFill="1" applyBorder="1" applyAlignment="1">
      <alignment horizontal="center"/>
    </xf>
    <xf numFmtId="43" fontId="18" fillId="0" borderId="10" xfId="22" applyFont="1" applyFill="1" applyBorder="1"/>
    <xf numFmtId="43" fontId="18" fillId="0" borderId="0" xfId="22" applyFont="1" applyFill="1"/>
    <xf numFmtId="3" fontId="23" fillId="0" borderId="10" xfId="0" applyNumberFormat="1" applyFont="1" applyFill="1" applyBorder="1" applyAlignment="1">
      <alignment horizontal="center"/>
    </xf>
    <xf numFmtId="3" fontId="23" fillId="0" borderId="0" xfId="0" applyNumberFormat="1" applyFont="1" applyFill="1"/>
    <xf numFmtId="3" fontId="32" fillId="0" borderId="10" xfId="0" applyNumberFormat="1" applyFont="1" applyFill="1" applyBorder="1"/>
    <xf numFmtId="3" fontId="23" fillId="0" borderId="10" xfId="0" applyNumberFormat="1" applyFont="1" applyFill="1" applyBorder="1"/>
    <xf numFmtId="3" fontId="40" fillId="0" borderId="10" xfId="0" applyNumberFormat="1" applyFont="1" applyFill="1" applyBorder="1"/>
    <xf numFmtId="3" fontId="32" fillId="0" borderId="10" xfId="0" applyNumberFormat="1" applyFont="1" applyFill="1" applyBorder="1" applyAlignment="1">
      <alignment horizontal="center"/>
    </xf>
    <xf numFmtId="3" fontId="32" fillId="0" borderId="0" xfId="0" applyNumberFormat="1" applyFont="1" applyFill="1"/>
    <xf numFmtId="3" fontId="22" fillId="0" borderId="10" xfId="0" applyNumberFormat="1" applyFont="1" applyFill="1" applyBorder="1" applyAlignment="1">
      <alignment wrapText="1"/>
    </xf>
    <xf numFmtId="3" fontId="22" fillId="0" borderId="10" xfId="0" applyNumberFormat="1" applyFont="1" applyFill="1" applyBorder="1" applyAlignment="1">
      <alignment horizontal="center" vertical="center" wrapText="1"/>
    </xf>
    <xf numFmtId="3" fontId="22" fillId="0" borderId="10" xfId="0" applyNumberFormat="1" applyFont="1" applyFill="1" applyBorder="1" applyAlignment="1">
      <alignment vertical="center" wrapText="1"/>
    </xf>
    <xf numFmtId="3" fontId="22" fillId="0" borderId="10" xfId="0" applyNumberFormat="1" applyFont="1" applyFill="1" applyBorder="1" applyAlignment="1">
      <alignment vertical="center"/>
    </xf>
    <xf numFmtId="3" fontId="22" fillId="0" borderId="10" xfId="0" applyNumberFormat="1" applyFont="1" applyFill="1" applyBorder="1" applyAlignment="1">
      <alignment horizontal="center" vertical="center"/>
    </xf>
    <xf numFmtId="3" fontId="18" fillId="0" borderId="0" xfId="0" applyNumberFormat="1" applyFont="1" applyFill="1" applyAlignment="1">
      <alignment vertical="center"/>
    </xf>
    <xf numFmtId="3" fontId="22" fillId="0" borderId="16" xfId="0" applyNumberFormat="1" applyFont="1" applyFill="1" applyBorder="1" applyAlignment="1">
      <alignment vertical="center" wrapText="1"/>
    </xf>
    <xf numFmtId="3" fontId="22" fillId="0" borderId="16" xfId="0" applyNumberFormat="1" applyFont="1" applyFill="1" applyBorder="1" applyAlignment="1">
      <alignment horizontal="center"/>
    </xf>
    <xf numFmtId="3" fontId="22" fillId="0" borderId="16" xfId="0" applyNumberFormat="1" applyFont="1" applyFill="1" applyBorder="1"/>
    <xf numFmtId="3" fontId="22" fillId="0" borderId="15" xfId="0" applyNumberFormat="1" applyFont="1" applyFill="1" applyBorder="1"/>
    <xf numFmtId="3" fontId="22" fillId="0" borderId="15" xfId="0" applyNumberFormat="1" applyFont="1" applyFill="1" applyBorder="1" applyAlignment="1">
      <alignment horizontal="center"/>
    </xf>
    <xf numFmtId="3" fontId="24" fillId="6" borderId="0" xfId="0" applyNumberFormat="1" applyFont="1" applyFill="1" applyAlignment="1">
      <alignment horizontal="center"/>
    </xf>
    <xf numFmtId="3" fontId="22" fillId="7" borderId="10" xfId="0" applyNumberFormat="1" applyFont="1" applyFill="1" applyBorder="1" applyAlignment="1">
      <alignment horizontal="center"/>
    </xf>
    <xf numFmtId="3" fontId="22" fillId="7" borderId="10" xfId="0" applyNumberFormat="1" applyFont="1" applyFill="1" applyBorder="1"/>
    <xf numFmtId="3" fontId="22" fillId="7" borderId="0" xfId="0" applyNumberFormat="1" applyFont="1" applyFill="1"/>
    <xf numFmtId="3" fontId="18" fillId="7" borderId="10" xfId="0" applyNumberFormat="1" applyFont="1" applyFill="1" applyBorder="1" applyAlignment="1">
      <alignment horizontal="center"/>
    </xf>
    <xf numFmtId="3" fontId="18" fillId="7" borderId="10" xfId="0" applyNumberFormat="1" applyFont="1" applyFill="1" applyBorder="1"/>
    <xf numFmtId="3" fontId="18" fillId="7" borderId="10" xfId="0" quotePrefix="1" applyNumberFormat="1" applyFont="1" applyFill="1" applyBorder="1" applyAlignment="1">
      <alignment horizontal="center"/>
    </xf>
    <xf numFmtId="3" fontId="18" fillId="7" borderId="0" xfId="0" applyNumberFormat="1" applyFont="1" applyFill="1"/>
    <xf numFmtId="3" fontId="23" fillId="7" borderId="17" xfId="0" applyNumberFormat="1" applyFont="1" applyFill="1" applyBorder="1" applyAlignment="1">
      <alignment horizontal="center" vertical="center"/>
    </xf>
    <xf numFmtId="3" fontId="23" fillId="7" borderId="9" xfId="0" applyNumberFormat="1" applyFont="1" applyFill="1" applyBorder="1" applyAlignment="1">
      <alignment horizontal="center" vertical="center"/>
    </xf>
    <xf numFmtId="3" fontId="23" fillId="7" borderId="9" xfId="0" applyNumberFormat="1" applyFont="1" applyFill="1" applyBorder="1" applyAlignment="1">
      <alignment vertical="center"/>
    </xf>
    <xf numFmtId="3" fontId="23" fillId="7" borderId="0" xfId="0" applyNumberFormat="1" applyFont="1" applyFill="1"/>
    <xf numFmtId="3" fontId="33" fillId="6" borderId="0" xfId="0" applyNumberFormat="1" applyFont="1" applyFill="1"/>
    <xf numFmtId="3" fontId="33" fillId="7" borderId="10" xfId="0" applyNumberFormat="1" applyFont="1" applyFill="1" applyBorder="1" applyAlignment="1">
      <alignment horizontal="center"/>
    </xf>
    <xf numFmtId="3" fontId="33" fillId="7" borderId="10" xfId="0" applyNumberFormat="1" applyFont="1" applyFill="1" applyBorder="1"/>
    <xf numFmtId="3" fontId="33" fillId="7" borderId="0" xfId="0" applyNumberFormat="1" applyFont="1" applyFill="1"/>
    <xf numFmtId="3" fontId="38" fillId="7" borderId="10" xfId="0" applyNumberFormat="1" applyFont="1" applyFill="1" applyBorder="1" applyAlignment="1">
      <alignment horizontal="center"/>
    </xf>
    <xf numFmtId="3" fontId="38" fillId="7" borderId="10" xfId="0" applyNumberFormat="1" applyFont="1" applyFill="1" applyBorder="1"/>
    <xf numFmtId="3" fontId="38" fillId="7" borderId="0" xfId="0" applyNumberFormat="1" applyFont="1" applyFill="1"/>
    <xf numFmtId="3" fontId="38" fillId="6" borderId="10" xfId="0" applyNumberFormat="1" applyFont="1" applyFill="1" applyBorder="1" applyAlignment="1">
      <alignment horizontal="center"/>
    </xf>
    <xf numFmtId="3" fontId="38" fillId="6" borderId="10" xfId="0" applyNumberFormat="1" applyFont="1" applyFill="1" applyBorder="1"/>
    <xf numFmtId="3" fontId="33" fillId="6" borderId="10" xfId="0" applyNumberFormat="1" applyFont="1" applyFill="1" applyBorder="1" applyAlignment="1">
      <alignment horizontal="center"/>
    </xf>
    <xf numFmtId="3" fontId="33" fillId="6" borderId="10" xfId="0" applyNumberFormat="1" applyFont="1" applyFill="1" applyBorder="1"/>
    <xf numFmtId="3" fontId="33" fillId="6" borderId="10" xfId="0" quotePrefix="1" applyNumberFormat="1" applyFont="1" applyFill="1" applyBorder="1" applyAlignment="1">
      <alignment horizontal="center"/>
    </xf>
    <xf numFmtId="3" fontId="38" fillId="7" borderId="21" xfId="0" applyNumberFormat="1" applyFont="1" applyFill="1" applyBorder="1" applyAlignment="1">
      <alignment horizontal="center"/>
    </xf>
    <xf numFmtId="3" fontId="38" fillId="7" borderId="21" xfId="0" applyNumberFormat="1" applyFont="1" applyFill="1" applyBorder="1"/>
    <xf numFmtId="3" fontId="34" fillId="0" borderId="10" xfId="0" applyNumberFormat="1" applyFont="1" applyFill="1" applyBorder="1" applyAlignment="1">
      <alignment horizontal="center"/>
    </xf>
    <xf numFmtId="3" fontId="38" fillId="0" borderId="10" xfId="0" applyNumberFormat="1" applyFont="1" applyFill="1" applyBorder="1"/>
    <xf numFmtId="3" fontId="38" fillId="0" borderId="10" xfId="0" applyNumberFormat="1" applyFont="1" applyFill="1" applyBorder="1" applyAlignment="1">
      <alignment horizontal="center"/>
    </xf>
    <xf numFmtId="3" fontId="34" fillId="0" borderId="0" xfId="0" applyNumberFormat="1" applyFont="1" applyFill="1"/>
    <xf numFmtId="3" fontId="24" fillId="7" borderId="0" xfId="0" applyNumberFormat="1" applyFont="1" applyFill="1" applyAlignment="1">
      <alignment vertical="center"/>
    </xf>
    <xf numFmtId="0" fontId="42" fillId="0" borderId="0" xfId="0" applyFont="1"/>
    <xf numFmtId="0" fontId="43" fillId="6" borderId="0" xfId="0" applyFont="1" applyFill="1" applyBorder="1" applyAlignment="1">
      <alignment horizontal="center" vertical="center" wrapText="1"/>
    </xf>
    <xf numFmtId="0" fontId="43" fillId="6" borderId="0" xfId="0" applyFont="1" applyFill="1" applyBorder="1" applyAlignment="1">
      <alignment horizontal="center" vertical="center"/>
    </xf>
    <xf numFmtId="0" fontId="42" fillId="0" borderId="17" xfId="0" applyFont="1" applyBorder="1" applyAlignment="1">
      <alignment vertical="center" wrapText="1"/>
    </xf>
    <xf numFmtId="0" fontId="42" fillId="6" borderId="0" xfId="0" applyFont="1" applyFill="1" applyAlignment="1">
      <alignment horizontal="center" vertical="center"/>
    </xf>
    <xf numFmtId="0" fontId="42" fillId="6" borderId="0" xfId="0" applyFont="1" applyFill="1" applyAlignment="1">
      <alignment vertical="center"/>
    </xf>
    <xf numFmtId="0" fontId="43" fillId="6" borderId="0" xfId="0" applyFont="1" applyFill="1" applyAlignment="1">
      <alignment horizontal="right" vertical="center"/>
    </xf>
    <xf numFmtId="3" fontId="33" fillId="0" borderId="10" xfId="0" applyNumberFormat="1" applyFont="1" applyFill="1" applyBorder="1" applyAlignment="1">
      <alignment horizontal="center"/>
    </xf>
    <xf numFmtId="3" fontId="33" fillId="0" borderId="10" xfId="0" applyNumberFormat="1" applyFont="1" applyFill="1" applyBorder="1"/>
    <xf numFmtId="3" fontId="33" fillId="0" borderId="10" xfId="0" quotePrefix="1" applyNumberFormat="1" applyFont="1" applyFill="1" applyBorder="1" applyAlignment="1">
      <alignment horizontal="center"/>
    </xf>
    <xf numFmtId="3" fontId="33" fillId="0" borderId="0" xfId="0" applyNumberFormat="1" applyFont="1" applyFill="1"/>
    <xf numFmtId="3" fontId="37" fillId="6" borderId="0" xfId="0" applyNumberFormat="1" applyFont="1" applyFill="1" applyAlignment="1">
      <alignment vertical="center"/>
    </xf>
    <xf numFmtId="3" fontId="48" fillId="6" borderId="0" xfId="0" applyNumberFormat="1" applyFont="1" applyFill="1" applyAlignment="1">
      <alignment vertical="center"/>
    </xf>
    <xf numFmtId="3" fontId="26" fillId="6" borderId="0" xfId="0" applyNumberFormat="1" applyFont="1" applyFill="1"/>
    <xf numFmtId="3" fontId="48" fillId="6" borderId="0" xfId="0" applyNumberFormat="1" applyFont="1" applyFill="1"/>
    <xf numFmtId="3" fontId="25" fillId="6" borderId="0" xfId="0" applyNumberFormat="1" applyFont="1" applyFill="1" applyAlignment="1">
      <alignment horizontal="center"/>
    </xf>
    <xf numFmtId="3" fontId="27" fillId="6" borderId="0" xfId="0" applyNumberFormat="1" applyFont="1" applyFill="1" applyAlignment="1">
      <alignment horizontal="center"/>
    </xf>
    <xf numFmtId="3" fontId="30" fillId="6" borderId="0" xfId="0" applyNumberFormat="1" applyFont="1" applyFill="1"/>
    <xf numFmtId="3" fontId="31" fillId="6" borderId="0" xfId="0" applyNumberFormat="1" applyFont="1" applyFill="1"/>
    <xf numFmtId="3" fontId="31" fillId="6" borderId="18" xfId="0" applyNumberFormat="1" applyFont="1" applyFill="1" applyBorder="1" applyAlignment="1">
      <alignment horizontal="center"/>
    </xf>
    <xf numFmtId="3" fontId="31" fillId="6" borderId="18" xfId="0" applyNumberFormat="1" applyFont="1" applyFill="1" applyBorder="1"/>
    <xf numFmtId="3" fontId="31" fillId="6" borderId="18" xfId="0" applyNumberFormat="1" applyFont="1" applyFill="1" applyBorder="1" applyAlignment="1">
      <alignment horizontal="right"/>
    </xf>
    <xf numFmtId="3" fontId="56" fillId="6" borderId="18" xfId="0" applyNumberFormat="1" applyFont="1" applyFill="1" applyBorder="1" applyAlignment="1">
      <alignment horizontal="center"/>
    </xf>
    <xf numFmtId="3" fontId="56" fillId="6" borderId="18" xfId="0" applyNumberFormat="1" applyFont="1" applyFill="1" applyBorder="1"/>
    <xf numFmtId="3" fontId="57" fillId="6" borderId="0" xfId="0" applyNumberFormat="1" applyFont="1" applyFill="1"/>
    <xf numFmtId="3" fontId="56" fillId="6" borderId="0" xfId="0" applyNumberFormat="1" applyFont="1" applyFill="1"/>
    <xf numFmtId="3" fontId="58" fillId="6" borderId="18" xfId="0" applyNumberFormat="1" applyFont="1" applyFill="1" applyBorder="1"/>
    <xf numFmtId="3" fontId="30" fillId="6" borderId="0" xfId="0" applyNumberFormat="1" applyFont="1" applyFill="1" applyBorder="1"/>
    <xf numFmtId="3" fontId="31" fillId="6" borderId="0" xfId="0" applyNumberFormat="1" applyFont="1" applyFill="1" applyBorder="1"/>
    <xf numFmtId="3" fontId="57" fillId="6" borderId="18" xfId="0" applyNumberFormat="1" applyFont="1" applyFill="1" applyBorder="1"/>
    <xf numFmtId="3" fontId="31" fillId="6" borderId="18" xfId="0" applyNumberFormat="1" applyFont="1" applyFill="1" applyBorder="1" applyAlignment="1">
      <alignment wrapText="1"/>
    </xf>
    <xf numFmtId="3" fontId="59" fillId="6" borderId="0" xfId="0" applyNumberFormat="1" applyFont="1" applyFill="1"/>
    <xf numFmtId="3" fontId="58" fillId="6" borderId="0" xfId="0" applyNumberFormat="1" applyFont="1" applyFill="1"/>
    <xf numFmtId="3" fontId="29" fillId="6" borderId="18" xfId="0" applyNumberFormat="1" applyFont="1" applyFill="1" applyBorder="1" applyAlignment="1">
      <alignment horizontal="center"/>
    </xf>
    <xf numFmtId="3" fontId="29" fillId="6" borderId="18" xfId="0" applyNumberFormat="1" applyFont="1" applyFill="1" applyBorder="1" applyAlignment="1">
      <alignment wrapText="1"/>
    </xf>
    <xf numFmtId="3" fontId="29" fillId="6" borderId="18" xfId="0" applyNumberFormat="1" applyFont="1" applyFill="1" applyBorder="1" applyAlignment="1">
      <alignment vertical="center" wrapText="1"/>
    </xf>
    <xf numFmtId="3" fontId="29" fillId="6" borderId="8" xfId="0" applyNumberFormat="1" applyFont="1" applyFill="1" applyBorder="1"/>
    <xf numFmtId="3" fontId="29" fillId="6" borderId="9" xfId="0" applyNumberFormat="1" applyFont="1" applyFill="1" applyBorder="1" applyAlignment="1">
      <alignment horizontal="center"/>
    </xf>
    <xf numFmtId="3" fontId="29" fillId="6" borderId="9" xfId="0" applyNumberFormat="1" applyFont="1" applyFill="1" applyBorder="1" applyAlignment="1">
      <alignment vertical="center" wrapText="1"/>
    </xf>
    <xf numFmtId="3" fontId="29" fillId="6" borderId="17" xfId="0" applyNumberFormat="1" applyFont="1" applyFill="1" applyBorder="1" applyAlignment="1">
      <alignment vertical="center"/>
    </xf>
    <xf numFmtId="3" fontId="29" fillId="6" borderId="0" xfId="0" applyNumberFormat="1" applyFont="1" applyFill="1"/>
    <xf numFmtId="3" fontId="29" fillId="6" borderId="8" xfId="0" applyNumberFormat="1" applyFont="1" applyFill="1" applyBorder="1" applyAlignment="1">
      <alignment horizontal="center" vertical="center"/>
    </xf>
    <xf numFmtId="3" fontId="29" fillId="6" borderId="8" xfId="0" applyNumberFormat="1" applyFont="1" applyFill="1" applyBorder="1" applyAlignment="1">
      <alignment vertical="center"/>
    </xf>
    <xf numFmtId="3" fontId="49" fillId="6" borderId="0" xfId="0" applyNumberFormat="1" applyFont="1" applyFill="1"/>
    <xf numFmtId="3" fontId="56" fillId="6" borderId="10" xfId="0" applyNumberFormat="1" applyFont="1" applyFill="1" applyBorder="1" applyAlignment="1">
      <alignment horizontal="center"/>
    </xf>
    <xf numFmtId="3" fontId="56" fillId="6" borderId="10" xfId="0" applyNumberFormat="1" applyFont="1" applyFill="1" applyBorder="1"/>
    <xf numFmtId="3" fontId="56" fillId="6" borderId="19" xfId="0" applyNumberFormat="1" applyFont="1" applyFill="1" applyBorder="1"/>
    <xf numFmtId="3" fontId="56" fillId="6" borderId="10" xfId="0" applyNumberFormat="1" applyFont="1" applyFill="1" applyBorder="1" applyAlignment="1">
      <alignment wrapText="1"/>
    </xf>
    <xf numFmtId="3" fontId="56" fillId="6" borderId="10" xfId="0" applyNumberFormat="1" applyFont="1" applyFill="1" applyBorder="1" applyAlignment="1">
      <alignment vertical="center" wrapText="1"/>
    </xf>
    <xf numFmtId="3" fontId="56" fillId="6" borderId="10" xfId="0" applyNumberFormat="1" applyFont="1" applyFill="1" applyBorder="1" applyAlignment="1">
      <alignment vertical="center"/>
    </xf>
    <xf numFmtId="3" fontId="56" fillId="6" borderId="16" xfId="0" applyNumberFormat="1" applyFont="1" applyFill="1" applyBorder="1" applyAlignment="1">
      <alignment vertical="center" wrapText="1"/>
    </xf>
    <xf numFmtId="3" fontId="56" fillId="6" borderId="16" xfId="0" applyNumberFormat="1" applyFont="1" applyFill="1" applyBorder="1"/>
    <xf numFmtId="3" fontId="56" fillId="6" borderId="16" xfId="0" applyNumberFormat="1" applyFont="1" applyFill="1" applyBorder="1" applyAlignment="1">
      <alignment horizontal="center"/>
    </xf>
    <xf numFmtId="3" fontId="56" fillId="6" borderId="15" xfId="0" applyNumberFormat="1" applyFont="1" applyFill="1" applyBorder="1"/>
    <xf numFmtId="3" fontId="29" fillId="6" borderId="9" xfId="0" applyNumberFormat="1" applyFont="1" applyFill="1" applyBorder="1" applyAlignment="1">
      <alignment horizontal="center" vertical="center"/>
    </xf>
    <xf numFmtId="3" fontId="29" fillId="6" borderId="9" xfId="0" applyNumberFormat="1" applyFont="1" applyFill="1" applyBorder="1" applyAlignment="1">
      <alignment vertical="center"/>
    </xf>
    <xf numFmtId="3" fontId="35" fillId="6" borderId="0" xfId="0" applyNumberFormat="1" applyFont="1" applyFill="1"/>
    <xf numFmtId="3" fontId="31" fillId="6" borderId="0" xfId="0" applyNumberFormat="1" applyFont="1" applyFill="1" applyAlignment="1">
      <alignment wrapText="1"/>
    </xf>
    <xf numFmtId="3" fontId="34" fillId="6" borderId="18" xfId="0" applyNumberFormat="1" applyFont="1" applyFill="1" applyBorder="1" applyAlignment="1">
      <alignment vertical="center" wrapText="1"/>
    </xf>
    <xf numFmtId="3" fontId="34" fillId="6" borderId="18" xfId="0" applyNumberFormat="1" applyFont="1" applyFill="1" applyBorder="1"/>
    <xf numFmtId="3" fontId="29" fillId="6" borderId="22" xfId="0" applyNumberFormat="1" applyFont="1" applyFill="1" applyBorder="1" applyAlignment="1">
      <alignment vertical="center" wrapText="1"/>
    </xf>
    <xf numFmtId="3" fontId="29" fillId="6" borderId="22" xfId="0" applyNumberFormat="1" applyFont="1" applyFill="1" applyBorder="1"/>
    <xf numFmtId="3" fontId="29" fillId="6" borderId="17" xfId="0" applyNumberFormat="1" applyFont="1" applyFill="1" applyBorder="1" applyAlignment="1">
      <alignment horizontal="center"/>
    </xf>
    <xf numFmtId="3" fontId="29" fillId="6" borderId="17" xfId="0" applyNumberFormat="1" applyFont="1" applyFill="1" applyBorder="1"/>
    <xf numFmtId="3" fontId="52" fillId="6" borderId="0" xfId="0" applyNumberFormat="1" applyFont="1" applyFill="1" applyAlignment="1">
      <alignment horizontal="center"/>
    </xf>
    <xf numFmtId="3" fontId="31" fillId="6" borderId="0" xfId="0" applyNumberFormat="1" applyFont="1" applyFill="1" applyAlignment="1">
      <alignment horizontal="center"/>
    </xf>
    <xf numFmtId="3" fontId="29" fillId="6" borderId="22" xfId="0" applyNumberFormat="1" applyFont="1" applyFill="1" applyBorder="1" applyAlignment="1">
      <alignment vertical="center"/>
    </xf>
    <xf numFmtId="3" fontId="56" fillId="6" borderId="20" xfId="0" applyNumberFormat="1" applyFont="1" applyFill="1" applyBorder="1" applyAlignment="1">
      <alignment horizontal="center"/>
    </xf>
    <xf numFmtId="3" fontId="56" fillId="6" borderId="20" xfId="0" applyNumberFormat="1" applyFont="1" applyFill="1" applyBorder="1"/>
    <xf numFmtId="3" fontId="31" fillId="6" borderId="0" xfId="0" applyNumberFormat="1" applyFont="1" applyFill="1" applyAlignment="1">
      <alignment horizontal="center"/>
    </xf>
    <xf numFmtId="3" fontId="29" fillId="6" borderId="0" xfId="0" applyNumberFormat="1" applyFont="1" applyFill="1" applyAlignment="1">
      <alignment horizontal="right"/>
    </xf>
    <xf numFmtId="3" fontId="31" fillId="6" borderId="0" xfId="0" applyNumberFormat="1" applyFont="1" applyFill="1" applyAlignment="1">
      <alignment horizontal="center"/>
    </xf>
    <xf numFmtId="3" fontId="33" fillId="6" borderId="18" xfId="0" applyNumberFormat="1" applyFont="1" applyFill="1" applyBorder="1" applyAlignment="1">
      <alignment horizontal="center"/>
    </xf>
    <xf numFmtId="3" fontId="33" fillId="6" borderId="18" xfId="0" applyNumberFormat="1" applyFont="1" applyFill="1" applyBorder="1"/>
    <xf numFmtId="3" fontId="41" fillId="6" borderId="0" xfId="0" applyNumberFormat="1" applyFont="1" applyFill="1"/>
    <xf numFmtId="3" fontId="38" fillId="6" borderId="18" xfId="0" applyNumberFormat="1" applyFont="1" applyFill="1" applyBorder="1" applyAlignment="1">
      <alignment horizontal="center"/>
    </xf>
    <xf numFmtId="3" fontId="38" fillId="6" borderId="18" xfId="0" applyNumberFormat="1" applyFont="1" applyFill="1" applyBorder="1"/>
    <xf numFmtId="3" fontId="60" fillId="6" borderId="0" xfId="0" applyNumberFormat="1" applyFont="1" applyFill="1"/>
    <xf numFmtId="3" fontId="61" fillId="6" borderId="18" xfId="0" applyNumberFormat="1" applyFont="1" applyFill="1" applyBorder="1"/>
    <xf numFmtId="3" fontId="34" fillId="6" borderId="18" xfId="0" applyNumberFormat="1" applyFont="1" applyFill="1" applyBorder="1" applyAlignment="1">
      <alignment horizontal="center"/>
    </xf>
    <xf numFmtId="3" fontId="47" fillId="6" borderId="0" xfId="0" applyNumberFormat="1" applyFont="1" applyFill="1"/>
    <xf numFmtId="3" fontId="34" fillId="6" borderId="0" xfId="0" applyNumberFormat="1" applyFont="1" applyFill="1"/>
    <xf numFmtId="3" fontId="26" fillId="6" borderId="0" xfId="0" applyNumberFormat="1" applyFont="1" applyFill="1" applyAlignment="1">
      <alignment horizontal="center" vertical="center"/>
    </xf>
    <xf numFmtId="3" fontId="62" fillId="6" borderId="10" xfId="0" applyNumberFormat="1" applyFont="1" applyFill="1" applyBorder="1" applyAlignment="1">
      <alignment horizontal="center" vertical="center"/>
    </xf>
    <xf numFmtId="3" fontId="62" fillId="6" borderId="10" xfId="0" applyNumberFormat="1" applyFont="1" applyFill="1" applyBorder="1" applyAlignment="1">
      <alignment vertical="center" wrapText="1"/>
    </xf>
    <xf numFmtId="3" fontId="62" fillId="6" borderId="0" xfId="0" applyNumberFormat="1" applyFont="1" applyFill="1" applyAlignment="1">
      <alignment vertical="center"/>
    </xf>
    <xf numFmtId="3" fontId="27" fillId="6" borderId="10" xfId="0" applyNumberFormat="1" applyFont="1" applyFill="1" applyBorder="1" applyAlignment="1">
      <alignment horizontal="center" vertical="center"/>
    </xf>
    <xf numFmtId="3" fontId="27" fillId="6" borderId="10" xfId="0" applyNumberFormat="1" applyFont="1" applyFill="1" applyBorder="1" applyAlignment="1">
      <alignment vertical="center" wrapText="1"/>
    </xf>
    <xf numFmtId="3" fontId="27" fillId="6" borderId="0" xfId="0" applyNumberFormat="1" applyFont="1" applyFill="1" applyAlignment="1">
      <alignment vertical="center"/>
    </xf>
    <xf numFmtId="3" fontId="63" fillId="6" borderId="10" xfId="0" applyNumberFormat="1" applyFont="1" applyFill="1" applyBorder="1" applyAlignment="1">
      <alignment horizontal="center" vertical="center"/>
    </xf>
    <xf numFmtId="3" fontId="63" fillId="6" borderId="10" xfId="0" applyNumberFormat="1" applyFont="1" applyFill="1" applyBorder="1" applyAlignment="1">
      <alignment vertical="center" wrapText="1"/>
    </xf>
    <xf numFmtId="3" fontId="63" fillId="6" borderId="10" xfId="0" applyNumberFormat="1" applyFont="1" applyFill="1" applyBorder="1" applyAlignment="1">
      <alignment vertical="center"/>
    </xf>
    <xf numFmtId="3" fontId="63" fillId="6" borderId="0" xfId="0" applyNumberFormat="1" applyFont="1" applyFill="1" applyAlignment="1">
      <alignment vertical="center"/>
    </xf>
    <xf numFmtId="3" fontId="48" fillId="6" borderId="10" xfId="0" applyNumberFormat="1" applyFont="1" applyFill="1" applyBorder="1" applyAlignment="1">
      <alignment horizontal="center" vertical="center"/>
    </xf>
    <xf numFmtId="3" fontId="48" fillId="6" borderId="10" xfId="0" applyNumberFormat="1" applyFont="1" applyFill="1" applyBorder="1" applyAlignment="1">
      <alignment horizontal="justify" vertical="center" wrapText="1"/>
    </xf>
    <xf numFmtId="3" fontId="48" fillId="6" borderId="10" xfId="0" applyNumberFormat="1" applyFont="1" applyFill="1" applyBorder="1" applyAlignment="1">
      <alignment vertical="center"/>
    </xf>
    <xf numFmtId="3" fontId="48" fillId="6" borderId="10" xfId="0" applyNumberFormat="1" applyFont="1" applyFill="1" applyBorder="1" applyAlignment="1">
      <alignment vertical="center" wrapText="1"/>
    </xf>
    <xf numFmtId="3" fontId="27" fillId="6" borderId="17" xfId="0" applyNumberFormat="1" applyFont="1" applyFill="1" applyBorder="1" applyAlignment="1">
      <alignment horizontal="center" vertical="center"/>
    </xf>
    <xf numFmtId="3" fontId="27" fillId="6" borderId="17" xfId="0" applyNumberFormat="1" applyFont="1" applyFill="1" applyBorder="1" applyAlignment="1">
      <alignment horizontal="center" vertical="center" wrapText="1"/>
    </xf>
    <xf numFmtId="3" fontId="64" fillId="6" borderId="0" xfId="0" applyNumberFormat="1" applyFont="1" applyFill="1" applyAlignment="1">
      <alignment vertical="center"/>
    </xf>
    <xf numFmtId="3" fontId="26" fillId="6" borderId="8" xfId="0" applyNumberFormat="1" applyFont="1" applyFill="1" applyBorder="1" applyAlignment="1">
      <alignment horizontal="center" vertical="center"/>
    </xf>
    <xf numFmtId="3" fontId="26" fillId="6" borderId="8" xfId="0" applyNumberFormat="1" applyFont="1" applyFill="1" applyBorder="1" applyAlignment="1">
      <alignment vertical="center" wrapText="1"/>
    </xf>
    <xf numFmtId="3" fontId="26" fillId="6" borderId="8" xfId="0" applyNumberFormat="1" applyFont="1" applyFill="1" applyBorder="1" applyAlignment="1">
      <alignment vertical="center"/>
    </xf>
    <xf numFmtId="3" fontId="62" fillId="6" borderId="10" xfId="0" applyNumberFormat="1" applyFont="1" applyFill="1" applyBorder="1" applyAlignment="1">
      <alignment vertical="center"/>
    </xf>
    <xf numFmtId="3" fontId="27" fillId="6" borderId="10" xfId="0" applyNumberFormat="1" applyFont="1" applyFill="1" applyBorder="1" applyAlignment="1">
      <alignment vertical="center"/>
    </xf>
    <xf numFmtId="3" fontId="27" fillId="6" borderId="17" xfId="0" applyNumberFormat="1" applyFont="1" applyFill="1" applyBorder="1" applyAlignment="1">
      <alignment horizontal="right" vertical="center"/>
    </xf>
    <xf numFmtId="3" fontId="62" fillId="6" borderId="19" xfId="0" applyNumberFormat="1" applyFont="1" applyFill="1" applyBorder="1" applyAlignment="1">
      <alignment horizontal="center" vertical="center"/>
    </xf>
    <xf numFmtId="3" fontId="62" fillId="6" borderId="19" xfId="0" applyNumberFormat="1" applyFont="1" applyFill="1" applyBorder="1" applyAlignment="1">
      <alignment vertical="center" wrapText="1"/>
    </xf>
    <xf numFmtId="3" fontId="62" fillId="6" borderId="19" xfId="0" applyNumberFormat="1" applyFont="1" applyFill="1" applyBorder="1" applyAlignment="1">
      <alignment vertical="center"/>
    </xf>
    <xf numFmtId="3" fontId="23" fillId="7" borderId="9" xfId="0" applyNumberFormat="1" applyFont="1" applyFill="1" applyBorder="1" applyAlignment="1">
      <alignment horizontal="right" vertical="center"/>
    </xf>
    <xf numFmtId="3" fontId="31" fillId="7" borderId="0" xfId="0" applyNumberFormat="1" applyFont="1" applyFill="1"/>
    <xf numFmtId="3" fontId="52" fillId="7" borderId="0" xfId="0" applyNumberFormat="1" applyFont="1" applyFill="1" applyAlignment="1">
      <alignment horizontal="center"/>
    </xf>
    <xf numFmtId="3" fontId="26" fillId="7" borderId="0" xfId="0" applyNumberFormat="1" applyFont="1" applyFill="1"/>
    <xf numFmtId="3" fontId="31" fillId="7" borderId="6" xfId="0" applyNumberFormat="1"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9" xfId="0" applyFont="1" applyFill="1" applyBorder="1" applyAlignment="1">
      <alignment horizontal="center" vertical="center" wrapText="1"/>
    </xf>
    <xf numFmtId="3" fontId="56" fillId="7" borderId="20" xfId="0" applyNumberFormat="1" applyFont="1" applyFill="1" applyBorder="1"/>
    <xf numFmtId="3" fontId="29" fillId="7" borderId="17" xfId="0" applyNumberFormat="1" applyFont="1" applyFill="1" applyBorder="1" applyAlignment="1">
      <alignment horizontal="center" vertical="center"/>
    </xf>
    <xf numFmtId="3" fontId="29" fillId="7" borderId="8" xfId="0" applyNumberFormat="1" applyFont="1" applyFill="1" applyBorder="1" applyAlignment="1">
      <alignment horizontal="center" vertical="center"/>
    </xf>
    <xf numFmtId="3" fontId="56" fillId="7" borderId="10" xfId="0" applyNumberFormat="1" applyFont="1" applyFill="1" applyBorder="1"/>
    <xf numFmtId="3" fontId="56" fillId="7" borderId="10" xfId="0" applyNumberFormat="1" applyFont="1" applyFill="1" applyBorder="1" applyAlignment="1">
      <alignment wrapText="1"/>
    </xf>
    <xf numFmtId="3" fontId="56" fillId="7" borderId="10" xfId="0" applyNumberFormat="1" applyFont="1" applyFill="1" applyBorder="1" applyAlignment="1">
      <alignment vertical="center" wrapText="1"/>
    </xf>
    <xf numFmtId="3" fontId="56" fillId="7" borderId="16" xfId="0" applyNumberFormat="1" applyFont="1" applyFill="1" applyBorder="1" applyAlignment="1">
      <alignment vertical="center" wrapText="1"/>
    </xf>
    <xf numFmtId="3" fontId="56" fillId="7" borderId="15" xfId="0" applyNumberFormat="1" applyFont="1" applyFill="1" applyBorder="1"/>
    <xf numFmtId="3" fontId="29" fillId="7" borderId="9" xfId="0" applyNumberFormat="1" applyFont="1" applyFill="1" applyBorder="1" applyAlignment="1">
      <alignment horizontal="center" vertical="center"/>
    </xf>
    <xf numFmtId="3" fontId="31" fillId="7" borderId="0" xfId="0" applyNumberFormat="1" applyFont="1" applyFill="1" applyAlignment="1">
      <alignment horizontal="center"/>
    </xf>
    <xf numFmtId="3" fontId="35" fillId="7" borderId="0" xfId="0" applyNumberFormat="1" applyFont="1" applyFill="1" applyAlignment="1">
      <alignment vertical="center"/>
    </xf>
    <xf numFmtId="3" fontId="31" fillId="7" borderId="0" xfId="0" applyNumberFormat="1" applyFont="1" applyFill="1" applyAlignment="1">
      <alignment wrapText="1"/>
    </xf>
    <xf numFmtId="3" fontId="18" fillId="6" borderId="0" xfId="0" applyNumberFormat="1" applyFont="1" applyFill="1" applyAlignment="1">
      <alignment horizontal="center" vertical="center"/>
    </xf>
    <xf numFmtId="3" fontId="18" fillId="6" borderId="0" xfId="0" applyNumberFormat="1" applyFont="1" applyFill="1" applyAlignment="1">
      <alignment horizontal="right" vertical="center"/>
    </xf>
    <xf numFmtId="3" fontId="46" fillId="6" borderId="0" xfId="0" applyNumberFormat="1" applyFont="1" applyFill="1" applyAlignment="1">
      <alignment vertical="center"/>
    </xf>
    <xf numFmtId="3" fontId="23" fillId="6" borderId="0" xfId="0" applyNumberFormat="1" applyFont="1" applyFill="1" applyAlignment="1">
      <alignment vertical="center"/>
    </xf>
    <xf numFmtId="3" fontId="23" fillId="6" borderId="17" xfId="0" applyNumberFormat="1" applyFont="1" applyFill="1" applyBorder="1" applyAlignment="1">
      <alignment horizontal="center" vertical="center" wrapText="1"/>
    </xf>
    <xf numFmtId="3" fontId="23" fillId="6" borderId="17" xfId="0" applyNumberFormat="1" applyFont="1" applyFill="1" applyBorder="1" applyAlignment="1">
      <alignment horizontal="right" vertical="center"/>
    </xf>
    <xf numFmtId="3" fontId="24" fillId="6" borderId="0" xfId="0" applyNumberFormat="1" applyFont="1" applyFill="1" applyAlignment="1">
      <alignment horizontal="center" vertical="center"/>
    </xf>
    <xf numFmtId="3" fontId="24" fillId="6" borderId="0" xfId="0" applyNumberFormat="1" applyFont="1" applyFill="1" applyAlignment="1">
      <alignment horizontal="right" vertical="center"/>
    </xf>
    <xf numFmtId="3" fontId="56" fillId="7" borderId="6" xfId="0" applyNumberFormat="1" applyFont="1" applyFill="1" applyBorder="1"/>
    <xf numFmtId="3" fontId="52" fillId="6" borderId="0" xfId="0" applyNumberFormat="1" applyFont="1" applyFill="1" applyAlignment="1">
      <alignment horizontal="center"/>
    </xf>
    <xf numFmtId="49" fontId="43" fillId="6" borderId="17" xfId="0" applyNumberFormat="1" applyFont="1" applyFill="1" applyBorder="1" applyAlignment="1">
      <alignment horizontal="center" vertical="center" wrapText="1"/>
    </xf>
    <xf numFmtId="3" fontId="43" fillId="6" borderId="17" xfId="0" applyNumberFormat="1" applyFont="1" applyFill="1" applyBorder="1" applyAlignment="1">
      <alignment vertical="center"/>
    </xf>
    <xf numFmtId="0" fontId="43" fillId="6" borderId="6" xfId="0" applyFont="1" applyFill="1" applyBorder="1" applyAlignment="1">
      <alignment horizontal="left" vertical="center" wrapText="1"/>
    </xf>
    <xf numFmtId="170" fontId="43" fillId="6" borderId="17" xfId="22" applyNumberFormat="1" applyFont="1" applyFill="1" applyBorder="1" applyAlignment="1">
      <alignment horizontal="left" vertical="center"/>
    </xf>
    <xf numFmtId="0" fontId="43" fillId="0" borderId="11" xfId="23" applyFont="1" applyFill="1" applyBorder="1" applyAlignment="1">
      <alignment horizontal="center" vertical="center" wrapText="1"/>
    </xf>
    <xf numFmtId="0" fontId="43" fillId="0" borderId="17" xfId="0" applyFont="1" applyBorder="1" applyAlignment="1">
      <alignment vertical="center" wrapText="1"/>
    </xf>
    <xf numFmtId="170" fontId="43" fillId="0" borderId="13" xfId="22" applyNumberFormat="1" applyFont="1" applyFill="1" applyBorder="1" applyAlignment="1">
      <alignment horizontal="left" vertical="center"/>
    </xf>
    <xf numFmtId="0" fontId="42" fillId="0" borderId="11" xfId="0" applyFont="1" applyFill="1" applyBorder="1" applyAlignment="1">
      <alignment horizontal="center" vertical="center"/>
    </xf>
    <xf numFmtId="0" fontId="43" fillId="0" borderId="11" xfId="0" applyFont="1" applyFill="1" applyBorder="1" applyAlignment="1">
      <alignment horizontal="center" vertical="center"/>
    </xf>
    <xf numFmtId="43" fontId="42" fillId="0" borderId="11" xfId="22" applyFont="1" applyFill="1" applyBorder="1" applyAlignment="1">
      <alignment horizontal="center" vertical="center"/>
    </xf>
    <xf numFmtId="170" fontId="42" fillId="0" borderId="13" xfId="22" applyNumberFormat="1" applyFont="1" applyFill="1" applyBorder="1" applyAlignment="1">
      <alignment horizontal="left" vertical="center"/>
    </xf>
    <xf numFmtId="0" fontId="66" fillId="0" borderId="0" xfId="0" applyFont="1"/>
    <xf numFmtId="0" fontId="42" fillId="0" borderId="0" xfId="25" applyFont="1" applyAlignment="1">
      <alignment horizontal="center"/>
    </xf>
    <xf numFmtId="0" fontId="42" fillId="0" borderId="0" xfId="25" applyFont="1"/>
    <xf numFmtId="0" fontId="67" fillId="0" borderId="0" xfId="25" applyFont="1" applyAlignment="1">
      <alignment vertical="center"/>
    </xf>
    <xf numFmtId="0" fontId="42" fillId="0" borderId="9" xfId="25" applyFont="1" applyBorder="1" applyAlignment="1">
      <alignment horizontal="center" vertical="center"/>
    </xf>
    <xf numFmtId="3" fontId="67" fillId="0" borderId="17" xfId="25" applyNumberFormat="1" applyFont="1" applyBorder="1" applyAlignment="1">
      <alignment vertical="center"/>
    </xf>
    <xf numFmtId="3" fontId="42" fillId="0" borderId="17" xfId="25" applyNumberFormat="1" applyFont="1" applyBorder="1" applyAlignment="1">
      <alignment vertical="center"/>
    </xf>
    <xf numFmtId="0" fontId="67" fillId="0" borderId="17" xfId="25" applyFont="1" applyBorder="1" applyAlignment="1">
      <alignment horizontal="center" vertical="center"/>
    </xf>
    <xf numFmtId="0" fontId="42" fillId="0" borderId="17" xfId="25" applyFont="1" applyBorder="1" applyAlignment="1">
      <alignment horizontal="center" vertical="center"/>
    </xf>
    <xf numFmtId="3" fontId="42" fillId="6" borderId="17" xfId="25" applyNumberFormat="1" applyFont="1" applyFill="1" applyBorder="1" applyAlignment="1">
      <alignment vertical="center"/>
    </xf>
    <xf numFmtId="0" fontId="43" fillId="0" borderId="17" xfId="25" applyFont="1" applyBorder="1" applyAlignment="1">
      <alignment horizontal="center" vertical="center"/>
    </xf>
    <xf numFmtId="3" fontId="43" fillId="0" borderId="17" xfId="25" applyNumberFormat="1" applyFont="1" applyBorder="1" applyAlignment="1">
      <alignment vertical="center"/>
    </xf>
    <xf numFmtId="3" fontId="70" fillId="6" borderId="0" xfId="26" applyNumberFormat="1" applyFont="1" applyFill="1"/>
    <xf numFmtId="3" fontId="42" fillId="6" borderId="0" xfId="25" applyNumberFormat="1" applyFont="1" applyFill="1" applyAlignment="1">
      <alignment horizontal="center" vertical="center"/>
    </xf>
    <xf numFmtId="3" fontId="42" fillId="6" borderId="0" xfId="25" applyNumberFormat="1" applyFont="1" applyFill="1" applyAlignment="1">
      <alignment vertical="center" wrapText="1"/>
    </xf>
    <xf numFmtId="3" fontId="42" fillId="6" borderId="0" xfId="25" applyNumberFormat="1" applyFont="1" applyFill="1" applyAlignment="1">
      <alignment vertical="center"/>
    </xf>
    <xf numFmtId="3" fontId="42" fillId="6" borderId="0" xfId="26" applyNumberFormat="1" applyFont="1" applyFill="1" applyAlignment="1">
      <alignment horizontal="center" vertical="center"/>
    </xf>
    <xf numFmtId="3" fontId="43" fillId="6" borderId="9" xfId="26" applyNumberFormat="1" applyFont="1" applyFill="1" applyBorder="1" applyAlignment="1">
      <alignment horizontal="center" vertical="center" wrapText="1"/>
    </xf>
    <xf numFmtId="3" fontId="43" fillId="6" borderId="9" xfId="26" applyNumberFormat="1" applyFont="1" applyFill="1" applyBorder="1" applyAlignment="1">
      <alignment horizontal="left" vertical="center"/>
    </xf>
    <xf numFmtId="3" fontId="43" fillId="6" borderId="9" xfId="26" applyNumberFormat="1" applyFont="1" applyFill="1" applyBorder="1" applyAlignment="1">
      <alignment horizontal="right" vertical="center" wrapText="1"/>
    </xf>
    <xf numFmtId="3" fontId="43" fillId="6" borderId="17" xfId="26" applyNumberFormat="1" applyFont="1" applyFill="1" applyBorder="1" applyAlignment="1">
      <alignment horizontal="left" vertical="center"/>
    </xf>
    <xf numFmtId="3" fontId="43" fillId="6" borderId="17" xfId="27" applyNumberFormat="1" applyFont="1" applyFill="1" applyBorder="1" applyAlignment="1" applyProtection="1">
      <alignment vertical="center"/>
    </xf>
    <xf numFmtId="3" fontId="42" fillId="6" borderId="0" xfId="26" applyNumberFormat="1" applyFont="1" applyFill="1" applyAlignment="1">
      <alignment vertical="center"/>
    </xf>
    <xf numFmtId="3" fontId="43" fillId="6" borderId="17" xfId="26" applyNumberFormat="1" applyFont="1" applyFill="1" applyBorder="1" applyAlignment="1">
      <alignment horizontal="left" vertical="center" shrinkToFit="1"/>
    </xf>
    <xf numFmtId="3" fontId="42" fillId="6" borderId="17" xfId="26" applyNumberFormat="1" applyFont="1" applyFill="1" applyBorder="1" applyAlignment="1">
      <alignment horizontal="center" vertical="center"/>
    </xf>
    <xf numFmtId="3" fontId="42" fillId="6" borderId="17" xfId="26" applyNumberFormat="1" applyFont="1" applyFill="1" applyBorder="1" applyAlignment="1">
      <alignment horizontal="left" vertical="center" shrinkToFit="1"/>
    </xf>
    <xf numFmtId="3" fontId="42" fillId="6" borderId="17" xfId="27" applyNumberFormat="1" applyFont="1" applyFill="1" applyBorder="1" applyAlignment="1" applyProtection="1">
      <alignment vertical="center"/>
    </xf>
    <xf numFmtId="3" fontId="74" fillId="6" borderId="0" xfId="26" applyNumberFormat="1" applyFont="1" applyFill="1" applyAlignment="1">
      <alignment vertical="center"/>
    </xf>
    <xf numFmtId="3" fontId="43" fillId="6" borderId="17" xfId="28" applyNumberFormat="1" applyFont="1" applyFill="1" applyBorder="1" applyAlignment="1">
      <alignment horizontal="left" vertical="center" shrinkToFit="1"/>
    </xf>
    <xf numFmtId="3" fontId="65" fillId="6" borderId="17" xfId="26" applyNumberFormat="1" applyFont="1" applyFill="1" applyBorder="1" applyAlignment="1">
      <alignment horizontal="center" vertical="center"/>
    </xf>
    <xf numFmtId="3" fontId="67" fillId="6" borderId="17" xfId="26" applyNumberFormat="1" applyFont="1" applyFill="1" applyBorder="1" applyAlignment="1">
      <alignment horizontal="left" vertical="center" shrinkToFit="1"/>
    </xf>
    <xf numFmtId="3" fontId="67" fillId="6" borderId="17" xfId="27" applyNumberFormat="1" applyFont="1" applyFill="1" applyBorder="1" applyAlignment="1" applyProtection="1">
      <alignment vertical="center"/>
    </xf>
    <xf numFmtId="3" fontId="67" fillId="6" borderId="0" xfId="26" applyNumberFormat="1" applyFont="1" applyFill="1" applyAlignment="1">
      <alignment vertical="center"/>
    </xf>
    <xf numFmtId="3" fontId="43" fillId="6" borderId="17" xfId="29" applyNumberFormat="1" applyFont="1" applyFill="1" applyBorder="1" applyAlignment="1">
      <alignment horizontal="left" vertical="center" shrinkToFit="1"/>
    </xf>
    <xf numFmtId="3" fontId="42" fillId="6" borderId="17" xfId="26" quotePrefix="1" applyNumberFormat="1" applyFont="1" applyFill="1" applyBorder="1" applyAlignment="1">
      <alignment vertical="center" shrinkToFit="1"/>
    </xf>
    <xf numFmtId="3" fontId="42" fillId="6" borderId="17" xfId="29" quotePrefix="1" applyNumberFormat="1" applyFont="1" applyFill="1" applyBorder="1" applyAlignment="1">
      <alignment horizontal="left" vertical="center" shrinkToFit="1"/>
    </xf>
    <xf numFmtId="3" fontId="42" fillId="6" borderId="17" xfId="26" quotePrefix="1" applyNumberFormat="1" applyFont="1" applyFill="1" applyBorder="1" applyAlignment="1">
      <alignment horizontal="left" vertical="center" shrinkToFit="1"/>
    </xf>
    <xf numFmtId="3" fontId="67" fillId="6" borderId="17" xfId="26" applyNumberFormat="1" applyFont="1" applyFill="1" applyBorder="1" applyAlignment="1">
      <alignment horizontal="center" vertical="center"/>
    </xf>
    <xf numFmtId="3" fontId="43" fillId="6" borderId="17" xfId="29" applyNumberFormat="1" applyFont="1" applyFill="1" applyBorder="1" applyAlignment="1">
      <alignment horizontal="left" vertical="center" wrapText="1" shrinkToFit="1"/>
    </xf>
    <xf numFmtId="3" fontId="42" fillId="6" borderId="17" xfId="29" quotePrefix="1" applyNumberFormat="1" applyFont="1" applyFill="1" applyBorder="1" applyAlignment="1">
      <alignment vertical="center" shrinkToFit="1"/>
    </xf>
    <xf numFmtId="3" fontId="75" fillId="6" borderId="17" xfId="26" applyNumberFormat="1" applyFont="1" applyFill="1" applyBorder="1" applyAlignment="1">
      <alignment horizontal="left" vertical="center" shrinkToFit="1"/>
    </xf>
    <xf numFmtId="3" fontId="43" fillId="6" borderId="17" xfId="26" applyNumberFormat="1" applyFont="1" applyFill="1" applyBorder="1" applyAlignment="1">
      <alignment horizontal="right" vertical="center"/>
    </xf>
    <xf numFmtId="0" fontId="43" fillId="0" borderId="0" xfId="25" applyFont="1" applyAlignment="1">
      <alignment horizontal="right" vertical="center"/>
    </xf>
    <xf numFmtId="3" fontId="67" fillId="6" borderId="0" xfId="26" applyNumberFormat="1" applyFont="1" applyFill="1" applyAlignment="1">
      <alignment horizontal="center" vertical="center"/>
    </xf>
    <xf numFmtId="3" fontId="73" fillId="6" borderId="0" xfId="26" applyNumberFormat="1" applyFont="1" applyFill="1" applyAlignment="1">
      <alignment vertical="center"/>
    </xf>
    <xf numFmtId="0" fontId="67" fillId="0" borderId="0" xfId="26" applyFont="1" applyAlignment="1">
      <alignment vertical="center" wrapText="1"/>
    </xf>
    <xf numFmtId="3" fontId="43" fillId="6" borderId="17" xfId="26" applyNumberFormat="1" applyFont="1" applyFill="1" applyBorder="1" applyAlignment="1">
      <alignment vertical="center"/>
    </xf>
    <xf numFmtId="3" fontId="43" fillId="6" borderId="0" xfId="26" applyNumberFormat="1" applyFont="1" applyFill="1" applyAlignment="1">
      <alignment vertical="center"/>
    </xf>
    <xf numFmtId="3" fontId="42" fillId="6" borderId="17" xfId="26" applyNumberFormat="1" applyFont="1" applyFill="1" applyBorder="1" applyAlignment="1">
      <alignment vertical="center"/>
    </xf>
    <xf numFmtId="3" fontId="43" fillId="6" borderId="17" xfId="26" applyNumberFormat="1" applyFont="1" applyFill="1" applyBorder="1" applyAlignment="1">
      <alignment vertical="center" wrapText="1"/>
    </xf>
    <xf numFmtId="0" fontId="43" fillId="6" borderId="17" xfId="26" applyFont="1" applyFill="1" applyBorder="1" applyAlignment="1">
      <alignment vertical="center"/>
    </xf>
    <xf numFmtId="0" fontId="35" fillId="0" borderId="0" xfId="31" applyFont="1" applyAlignment="1">
      <alignment horizontal="center"/>
    </xf>
    <xf numFmtId="0" fontId="35" fillId="0" borderId="0" xfId="31" applyFont="1"/>
    <xf numFmtId="0" fontId="35" fillId="0" borderId="0" xfId="31" applyFont="1" applyBorder="1"/>
    <xf numFmtId="3" fontId="76" fillId="6" borderId="0" xfId="25" applyNumberFormat="1" applyFont="1" applyFill="1" applyAlignment="1">
      <alignment vertical="center" wrapText="1"/>
    </xf>
    <xf numFmtId="3" fontId="76" fillId="6" borderId="0" xfId="25" applyNumberFormat="1" applyFont="1" applyFill="1" applyAlignment="1">
      <alignment vertical="center"/>
    </xf>
    <xf numFmtId="3" fontId="77" fillId="6" borderId="0" xfId="25" applyNumberFormat="1" applyFont="1" applyFill="1" applyAlignment="1">
      <alignment vertical="center"/>
    </xf>
    <xf numFmtId="3" fontId="77" fillId="6" borderId="0" xfId="25" applyNumberFormat="1" applyFont="1" applyFill="1" applyAlignment="1">
      <alignment vertical="center" wrapText="1"/>
    </xf>
    <xf numFmtId="3" fontId="78" fillId="6" borderId="0" xfId="25" applyNumberFormat="1" applyFont="1" applyFill="1" applyAlignment="1">
      <alignment vertical="center" wrapText="1"/>
    </xf>
    <xf numFmtId="0" fontId="42" fillId="6" borderId="0" xfId="26" applyFont="1" applyFill="1" applyAlignment="1">
      <alignment horizontal="center" vertical="center"/>
    </xf>
    <xf numFmtId="3" fontId="43" fillId="6" borderId="17" xfId="26" applyNumberFormat="1" applyFont="1" applyFill="1" applyBorder="1" applyAlignment="1">
      <alignment horizontal="center" vertical="center" wrapText="1"/>
    </xf>
    <xf numFmtId="0" fontId="43" fillId="6" borderId="17" xfId="26" applyFont="1" applyFill="1" applyBorder="1" applyAlignment="1">
      <alignment horizontal="center" vertical="center"/>
    </xf>
    <xf numFmtId="0" fontId="43" fillId="6" borderId="17" xfId="26" applyFont="1" applyFill="1" applyBorder="1" applyAlignment="1">
      <alignment horizontal="left" vertical="center"/>
    </xf>
    <xf numFmtId="171" fontId="43" fillId="6" borderId="17" xfId="27" applyNumberFormat="1" applyFont="1" applyFill="1" applyBorder="1" applyAlignment="1" applyProtection="1">
      <alignment vertical="center"/>
    </xf>
    <xf numFmtId="0" fontId="42" fillId="6" borderId="0" xfId="26" applyFont="1" applyFill="1" applyAlignment="1">
      <alignment vertical="center"/>
    </xf>
    <xf numFmtId="0" fontId="43" fillId="6" borderId="17" xfId="26" applyFont="1" applyFill="1" applyBorder="1" applyAlignment="1">
      <alignment horizontal="left" vertical="center" shrinkToFit="1"/>
    </xf>
    <xf numFmtId="0" fontId="42" fillId="6" borderId="17" xfId="26" applyFont="1" applyFill="1" applyBorder="1" applyAlignment="1">
      <alignment horizontal="left" vertical="center" shrinkToFit="1"/>
    </xf>
    <xf numFmtId="171" fontId="42" fillId="6" borderId="17" xfId="27" applyNumberFormat="1" applyFont="1" applyFill="1" applyBorder="1" applyAlignment="1" applyProtection="1">
      <alignment vertical="center"/>
    </xf>
    <xf numFmtId="0" fontId="74" fillId="6" borderId="0" xfId="26" applyFont="1" applyFill="1" applyAlignment="1">
      <alignment vertical="center"/>
    </xf>
    <xf numFmtId="0" fontId="67" fillId="6" borderId="17" xfId="26" applyFont="1" applyFill="1" applyBorder="1" applyAlignment="1">
      <alignment horizontal="left" vertical="center" shrinkToFit="1"/>
    </xf>
    <xf numFmtId="171" fontId="67" fillId="6" borderId="17" xfId="27" applyNumberFormat="1" applyFont="1" applyFill="1" applyBorder="1" applyAlignment="1" applyProtection="1">
      <alignment vertical="center"/>
    </xf>
    <xf numFmtId="0" fontId="67" fillId="6" borderId="0" xfId="26" applyFont="1" applyFill="1" applyAlignment="1">
      <alignment vertical="center"/>
    </xf>
    <xf numFmtId="0" fontId="43" fillId="6" borderId="17" xfId="29" applyFont="1" applyFill="1" applyBorder="1" applyAlignment="1">
      <alignment horizontal="left" vertical="center" shrinkToFit="1"/>
    </xf>
    <xf numFmtId="171" fontId="43" fillId="6" borderId="17" xfId="26" applyNumberFormat="1" applyFont="1" applyFill="1" applyBorder="1" applyAlignment="1">
      <alignment vertical="center"/>
    </xf>
    <xf numFmtId="0" fontId="67" fillId="6" borderId="17" xfId="26" quotePrefix="1" applyFont="1" applyFill="1" applyBorder="1" applyAlignment="1">
      <alignment vertical="center" shrinkToFit="1"/>
    </xf>
    <xf numFmtId="171" fontId="67" fillId="6" borderId="17" xfId="27" applyNumberFormat="1" applyFont="1" applyFill="1" applyBorder="1" applyAlignment="1">
      <alignment vertical="center"/>
    </xf>
    <xf numFmtId="0" fontId="67" fillId="6" borderId="17" xfId="29" quotePrefix="1" applyFont="1" applyFill="1" applyBorder="1" applyAlignment="1">
      <alignment horizontal="left" vertical="center" shrinkToFit="1"/>
    </xf>
    <xf numFmtId="0" fontId="67" fillId="6" borderId="17" xfId="26" quotePrefix="1" applyFont="1" applyFill="1" applyBorder="1" applyAlignment="1">
      <alignment horizontal="left" vertical="center" shrinkToFit="1"/>
    </xf>
    <xf numFmtId="171" fontId="43" fillId="6" borderId="17" xfId="27" applyNumberFormat="1" applyFont="1" applyFill="1" applyBorder="1" applyAlignment="1">
      <alignment vertical="center"/>
    </xf>
    <xf numFmtId="0" fontId="67" fillId="6" borderId="17" xfId="29" applyFont="1" applyFill="1" applyBorder="1" applyAlignment="1">
      <alignment horizontal="left" vertical="center" shrinkToFit="1"/>
    </xf>
    <xf numFmtId="0" fontId="43" fillId="6" borderId="17" xfId="29" applyFont="1" applyFill="1" applyBorder="1" applyAlignment="1">
      <alignment horizontal="left" vertical="center" wrapText="1" shrinkToFit="1"/>
    </xf>
    <xf numFmtId="0" fontId="67" fillId="6" borderId="17" xfId="29" quotePrefix="1" applyFont="1" applyFill="1" applyBorder="1" applyAlignment="1">
      <alignment vertical="center" shrinkToFit="1"/>
    </xf>
    <xf numFmtId="0" fontId="42" fillId="6" borderId="17" xfId="26" applyFont="1" applyFill="1" applyBorder="1" applyAlignment="1">
      <alignment horizontal="center" vertical="center"/>
    </xf>
    <xf numFmtId="0" fontId="43" fillId="6" borderId="0" xfId="26" applyFont="1" applyFill="1" applyAlignment="1">
      <alignment vertical="center"/>
    </xf>
    <xf numFmtId="0" fontId="42" fillId="6" borderId="17" xfId="26" applyFont="1" applyFill="1" applyBorder="1" applyAlignment="1">
      <alignment vertical="center"/>
    </xf>
    <xf numFmtId="0" fontId="67" fillId="6" borderId="17" xfId="26" applyFont="1" applyFill="1" applyBorder="1" applyAlignment="1">
      <alignment horizontal="center" vertical="center"/>
    </xf>
    <xf numFmtId="3" fontId="67" fillId="6" borderId="17" xfId="26" applyNumberFormat="1" applyFont="1" applyFill="1" applyBorder="1" applyAlignment="1">
      <alignment vertical="center"/>
    </xf>
    <xf numFmtId="3" fontId="42" fillId="0" borderId="17" xfId="26" applyNumberFormat="1" applyFont="1" applyFill="1" applyBorder="1" applyAlignment="1">
      <alignment vertical="center"/>
    </xf>
    <xf numFmtId="3" fontId="67" fillId="0" borderId="17" xfId="26" applyNumberFormat="1" applyFont="1" applyFill="1" applyBorder="1" applyAlignment="1">
      <alignment vertical="center"/>
    </xf>
    <xf numFmtId="3" fontId="50" fillId="6" borderId="0" xfId="0" applyNumberFormat="1" applyFont="1" applyFill="1" applyAlignment="1">
      <alignment horizontal="center" vertical="center"/>
    </xf>
    <xf numFmtId="0" fontId="67" fillId="6" borderId="0" xfId="0" applyFont="1" applyFill="1" applyBorder="1" applyAlignment="1">
      <alignment horizontal="right" vertical="center"/>
    </xf>
    <xf numFmtId="0" fontId="42" fillId="0" borderId="0" xfId="25" applyFont="1" applyAlignment="1">
      <alignment horizontal="center" vertical="center"/>
    </xf>
    <xf numFmtId="0" fontId="42" fillId="0" borderId="0" xfId="25" applyFont="1" applyAlignment="1">
      <alignment vertical="center"/>
    </xf>
    <xf numFmtId="3" fontId="43" fillId="6" borderId="17" xfId="25" applyNumberFormat="1" applyFont="1" applyFill="1" applyBorder="1" applyAlignment="1">
      <alignment vertical="center" wrapText="1"/>
    </xf>
    <xf numFmtId="3" fontId="67" fillId="6" borderId="17" xfId="25" applyNumberFormat="1" applyFont="1" applyFill="1" applyBorder="1" applyAlignment="1">
      <alignment horizontal="center" vertical="center" wrapText="1"/>
    </xf>
    <xf numFmtId="3" fontId="67" fillId="6" borderId="17" xfId="25" applyNumberFormat="1" applyFont="1" applyFill="1" applyBorder="1" applyAlignment="1">
      <alignment vertical="center" wrapText="1"/>
    </xf>
    <xf numFmtId="3" fontId="42" fillId="6" borderId="17" xfId="25" applyNumberFormat="1" applyFont="1" applyFill="1" applyBorder="1" applyAlignment="1">
      <alignment horizontal="center" vertical="center" wrapText="1"/>
    </xf>
    <xf numFmtId="3" fontId="42" fillId="6" borderId="17" xfId="25" applyNumberFormat="1" applyFont="1" applyFill="1" applyBorder="1" applyAlignment="1">
      <alignment vertical="center" wrapText="1"/>
    </xf>
    <xf numFmtId="0" fontId="42" fillId="0" borderId="0" xfId="31" applyFont="1"/>
    <xf numFmtId="0" fontId="42" fillId="0" borderId="0" xfId="31" applyFont="1" applyAlignment="1"/>
    <xf numFmtId="0" fontId="67" fillId="0" borderId="0" xfId="31" applyFont="1" applyBorder="1"/>
    <xf numFmtId="3" fontId="43" fillId="6" borderId="0" xfId="26" applyNumberFormat="1" applyFont="1" applyFill="1" applyAlignment="1">
      <alignment horizontal="right" vertical="center"/>
    </xf>
    <xf numFmtId="0" fontId="73" fillId="6" borderId="0" xfId="26" applyFont="1" applyFill="1" applyAlignment="1">
      <alignment vertical="center"/>
    </xf>
    <xf numFmtId="0" fontId="75" fillId="0" borderId="0" xfId="31" applyFont="1" applyAlignment="1">
      <alignment horizontal="center" vertical="center"/>
    </xf>
    <xf numFmtId="0" fontId="75" fillId="0" borderId="0" xfId="31" applyFont="1" applyAlignment="1">
      <alignment vertical="center"/>
    </xf>
    <xf numFmtId="0" fontId="83" fillId="0" borderId="0" xfId="31" applyFont="1" applyAlignment="1">
      <alignment horizontal="right" vertical="center"/>
    </xf>
    <xf numFmtId="0" fontId="82" fillId="0" borderId="0" xfId="31" applyFont="1" applyAlignment="1">
      <alignment horizontal="right" vertical="center"/>
    </xf>
    <xf numFmtId="0" fontId="83" fillId="0" borderId="17" xfId="31" applyFont="1" applyBorder="1" applyAlignment="1">
      <alignment horizontal="center" vertical="center"/>
    </xf>
    <xf numFmtId="0" fontId="83" fillId="0" borderId="17" xfId="31" applyFont="1" applyBorder="1" applyAlignment="1">
      <alignment horizontal="center" vertical="center" wrapText="1"/>
    </xf>
    <xf numFmtId="0" fontId="82" fillId="0" borderId="17" xfId="31" applyFont="1" applyBorder="1" applyAlignment="1">
      <alignment horizontal="center"/>
    </xf>
    <xf numFmtId="3" fontId="82" fillId="6" borderId="17" xfId="32" applyNumberFormat="1" applyFont="1" applyFill="1" applyBorder="1" applyAlignment="1">
      <alignment vertical="center"/>
    </xf>
    <xf numFmtId="0" fontId="82" fillId="0" borderId="17" xfId="31" applyFont="1" applyBorder="1" applyAlignment="1">
      <alignment vertical="center" wrapText="1"/>
    </xf>
    <xf numFmtId="0" fontId="82" fillId="0" borderId="17" xfId="31" applyFont="1" applyBorder="1" applyAlignment="1">
      <alignment wrapText="1"/>
    </xf>
    <xf numFmtId="3" fontId="82" fillId="0" borderId="17" xfId="32" applyNumberFormat="1" applyFont="1" applyBorder="1" applyAlignment="1">
      <alignment vertical="center"/>
    </xf>
    <xf numFmtId="3" fontId="83" fillId="0" borderId="17" xfId="31" applyNumberFormat="1" applyFont="1" applyBorder="1" applyAlignment="1">
      <alignment horizontal="right" vertical="center"/>
    </xf>
    <xf numFmtId="3" fontId="43" fillId="6" borderId="17" xfId="25" applyNumberFormat="1" applyFont="1" applyFill="1" applyBorder="1" applyAlignment="1">
      <alignment horizontal="justify" vertical="center" wrapText="1"/>
    </xf>
    <xf numFmtId="3" fontId="67" fillId="6" borderId="17" xfId="25" applyNumberFormat="1" applyFont="1" applyFill="1" applyBorder="1" applyAlignment="1">
      <alignment horizontal="justify" vertical="center" wrapText="1"/>
    </xf>
    <xf numFmtId="0" fontId="67" fillId="0" borderId="17" xfId="25" applyFont="1" applyBorder="1" applyAlignment="1">
      <alignment horizontal="justify" vertical="center" wrapText="1"/>
    </xf>
    <xf numFmtId="3" fontId="42" fillId="6" borderId="17" xfId="25" applyNumberFormat="1" applyFont="1" applyFill="1" applyBorder="1" applyAlignment="1">
      <alignment horizontal="justify" vertical="center" wrapText="1"/>
    </xf>
    <xf numFmtId="3" fontId="67" fillId="0" borderId="17" xfId="25" applyNumberFormat="1" applyFont="1" applyBorder="1" applyAlignment="1">
      <alignment horizontal="justify" vertical="center" wrapText="1"/>
    </xf>
    <xf numFmtId="3" fontId="43" fillId="0" borderId="17" xfId="25" applyNumberFormat="1" applyFont="1" applyBorder="1" applyAlignment="1">
      <alignment horizontal="justify" vertical="center" wrapText="1"/>
    </xf>
    <xf numFmtId="0" fontId="42" fillId="0" borderId="0" xfId="0" applyFont="1" applyAlignment="1">
      <alignment vertical="center"/>
    </xf>
    <xf numFmtId="170" fontId="42" fillId="6" borderId="13" xfId="22" applyNumberFormat="1" applyFont="1" applyFill="1" applyBorder="1" applyAlignment="1">
      <alignment vertical="center"/>
    </xf>
    <xf numFmtId="170" fontId="42" fillId="0" borderId="13" xfId="22" applyNumberFormat="1" applyFont="1" applyFill="1" applyBorder="1" applyAlignment="1">
      <alignment vertical="center"/>
    </xf>
    <xf numFmtId="170" fontId="43" fillId="0" borderId="13" xfId="22" applyNumberFormat="1" applyFont="1" applyFill="1" applyBorder="1" applyAlignment="1">
      <alignment vertical="center"/>
    </xf>
    <xf numFmtId="170" fontId="65" fillId="0" borderId="13" xfId="22" applyNumberFormat="1" applyFont="1" applyFill="1" applyBorder="1" applyAlignment="1">
      <alignment vertical="center"/>
    </xf>
    <xf numFmtId="3" fontId="67" fillId="6" borderId="0" xfId="26" applyNumberFormat="1" applyFont="1" applyFill="1" applyAlignment="1">
      <alignment horizontal="center" vertical="center"/>
    </xf>
    <xf numFmtId="3" fontId="43" fillId="6" borderId="9" xfId="26" applyNumberFormat="1" applyFont="1" applyFill="1" applyBorder="1" applyAlignment="1">
      <alignment horizontal="center" vertical="center" wrapText="1"/>
    </xf>
    <xf numFmtId="3" fontId="43" fillId="6" borderId="9" xfId="26" applyNumberFormat="1" applyFont="1" applyFill="1" applyBorder="1" applyAlignment="1">
      <alignment horizontal="center" vertical="center"/>
    </xf>
    <xf numFmtId="3" fontId="43" fillId="6" borderId="17" xfId="26" applyNumberFormat="1" applyFont="1" applyFill="1" applyBorder="1" applyAlignment="1">
      <alignment horizontal="center" vertical="center"/>
    </xf>
    <xf numFmtId="3" fontId="67" fillId="6" borderId="0" xfId="25" applyNumberFormat="1" applyFont="1" applyFill="1" applyAlignment="1">
      <alignment horizontal="center" vertical="center"/>
    </xf>
    <xf numFmtId="3" fontId="43" fillId="6" borderId="17" xfId="25" applyNumberFormat="1" applyFont="1" applyFill="1" applyBorder="1" applyAlignment="1">
      <alignment horizontal="center" vertical="center"/>
    </xf>
    <xf numFmtId="3" fontId="43" fillId="6" borderId="17" xfId="25" applyNumberFormat="1" applyFont="1" applyFill="1" applyBorder="1" applyAlignment="1">
      <alignment horizontal="center" vertical="center" wrapText="1"/>
    </xf>
    <xf numFmtId="0" fontId="43" fillId="6" borderId="17" xfId="0" applyFont="1" applyFill="1" applyBorder="1" applyAlignment="1">
      <alignment horizontal="center" vertical="center" wrapText="1"/>
    </xf>
    <xf numFmtId="0" fontId="43" fillId="0" borderId="0" xfId="25" applyFont="1" applyAlignment="1">
      <alignment vertical="center"/>
    </xf>
    <xf numFmtId="3" fontId="67" fillId="6" borderId="17" xfId="25" applyNumberFormat="1" applyFont="1" applyFill="1" applyBorder="1" applyAlignment="1">
      <alignment vertical="center"/>
    </xf>
    <xf numFmtId="0" fontId="43" fillId="0" borderId="17" xfId="25" applyFont="1" applyBorder="1" applyAlignment="1">
      <alignment horizontal="justify" vertical="center"/>
    </xf>
    <xf numFmtId="0" fontId="42" fillId="0" borderId="17" xfId="25" applyFont="1" applyBorder="1" applyAlignment="1">
      <alignment horizontal="justify" vertical="center"/>
    </xf>
    <xf numFmtId="0" fontId="67" fillId="0" borderId="17" xfId="25" applyFont="1" applyBorder="1" applyAlignment="1">
      <alignment horizontal="justify" vertical="center"/>
    </xf>
    <xf numFmtId="0" fontId="42" fillId="0" borderId="17" xfId="25" applyFont="1" applyBorder="1" applyAlignment="1">
      <alignment horizontal="justify" vertical="center" wrapText="1"/>
    </xf>
    <xf numFmtId="0" fontId="82" fillId="0" borderId="17" xfId="25" applyFont="1" applyBorder="1" applyAlignment="1">
      <alignment horizontal="justify" vertical="center" wrapText="1"/>
    </xf>
    <xf numFmtId="0" fontId="75" fillId="0" borderId="17" xfId="25" applyFont="1" applyBorder="1" applyAlignment="1">
      <alignment horizontal="justify" vertical="center" wrapText="1"/>
    </xf>
    <xf numFmtId="0" fontId="67" fillId="6" borderId="17" xfId="25" applyFont="1" applyFill="1" applyBorder="1" applyAlignment="1">
      <alignment horizontal="justify" vertical="center" wrapText="1"/>
    </xf>
    <xf numFmtId="0" fontId="82" fillId="0" borderId="17" xfId="25" applyFont="1" applyBorder="1" applyAlignment="1">
      <alignment horizontal="justify" vertical="center"/>
    </xf>
    <xf numFmtId="3" fontId="43" fillId="6" borderId="0" xfId="25" applyNumberFormat="1" applyFont="1" applyFill="1" applyAlignment="1">
      <alignment horizontal="right" vertical="center"/>
    </xf>
    <xf numFmtId="3" fontId="43" fillId="6" borderId="9" xfId="26" applyNumberFormat="1" applyFont="1" applyFill="1" applyBorder="1" applyAlignment="1">
      <alignment horizontal="justify" vertical="center"/>
    </xf>
    <xf numFmtId="0" fontId="43" fillId="6" borderId="17" xfId="26" applyFont="1" applyFill="1" applyBorder="1" applyAlignment="1">
      <alignment horizontal="justify" vertical="center"/>
    </xf>
    <xf numFmtId="0" fontId="42" fillId="6" borderId="17" xfId="26" applyFont="1" applyFill="1" applyBorder="1" applyAlignment="1">
      <alignment horizontal="justify" vertical="center"/>
    </xf>
    <xf numFmtId="0" fontId="42" fillId="6" borderId="17" xfId="26" applyFont="1" applyFill="1" applyBorder="1" applyAlignment="1">
      <alignment horizontal="justify" vertical="center" wrapText="1"/>
    </xf>
    <xf numFmtId="0" fontId="67" fillId="6" borderId="17" xfId="26" applyFont="1" applyFill="1" applyBorder="1" applyAlignment="1">
      <alignment horizontal="justify" vertical="center" wrapText="1"/>
    </xf>
    <xf numFmtId="3" fontId="42" fillId="6" borderId="17" xfId="26" applyNumberFormat="1" applyFont="1" applyFill="1" applyBorder="1" applyAlignment="1">
      <alignment horizontal="justify" vertical="center" wrapText="1"/>
    </xf>
    <xf numFmtId="0" fontId="67" fillId="0" borderId="17" xfId="26" applyFont="1" applyFill="1" applyBorder="1" applyAlignment="1">
      <alignment horizontal="justify" vertical="center" wrapText="1"/>
    </xf>
    <xf numFmtId="0" fontId="42" fillId="0" borderId="17" xfId="26" applyFont="1" applyBorder="1" applyAlignment="1">
      <alignment horizontal="justify" vertical="center" wrapText="1"/>
    </xf>
    <xf numFmtId="0" fontId="43" fillId="0" borderId="0" xfId="0" applyFont="1" applyAlignment="1">
      <alignment horizontal="right" vertical="center"/>
    </xf>
    <xf numFmtId="3" fontId="84" fillId="6" borderId="0" xfId="0" applyNumberFormat="1" applyFont="1" applyFill="1" applyAlignment="1">
      <alignment vertical="center"/>
    </xf>
    <xf numFmtId="3" fontId="67" fillId="6" borderId="0" xfId="26" applyNumberFormat="1" applyFont="1" applyFill="1" applyAlignment="1">
      <alignment horizontal="center" vertical="center"/>
    </xf>
    <xf numFmtId="3" fontId="23" fillId="6" borderId="20" xfId="0" applyNumberFormat="1" applyFont="1" applyFill="1" applyBorder="1" applyAlignment="1">
      <alignment horizontal="center" vertical="center"/>
    </xf>
    <xf numFmtId="3" fontId="23" fillId="6" borderId="20" xfId="0" applyNumberFormat="1" applyFont="1" applyFill="1" applyBorder="1" applyAlignment="1">
      <alignment vertical="center" wrapText="1"/>
    </xf>
    <xf numFmtId="3" fontId="23" fillId="6" borderId="20" xfId="0" applyNumberFormat="1" applyFont="1" applyFill="1" applyBorder="1" applyAlignment="1">
      <alignment vertical="center"/>
    </xf>
    <xf numFmtId="3" fontId="23" fillId="6" borderId="18" xfId="0" applyNumberFormat="1" applyFont="1" applyFill="1" applyBorder="1" applyAlignment="1">
      <alignment horizontal="center" vertical="center"/>
    </xf>
    <xf numFmtId="3" fontId="23" fillId="6" borderId="18" xfId="0" applyNumberFormat="1" applyFont="1" applyFill="1" applyBorder="1" applyAlignment="1">
      <alignment vertical="center" wrapText="1"/>
    </xf>
    <xf numFmtId="3" fontId="23" fillId="6" borderId="18" xfId="0" applyNumberFormat="1" applyFont="1" applyFill="1" applyBorder="1" applyAlignment="1">
      <alignment vertical="center"/>
    </xf>
    <xf numFmtId="3" fontId="84" fillId="6" borderId="18" xfId="0" applyNumberFormat="1" applyFont="1" applyFill="1" applyBorder="1" applyAlignment="1">
      <alignment horizontal="center" vertical="center"/>
    </xf>
    <xf numFmtId="3" fontId="84" fillId="6" borderId="18" xfId="0" applyNumberFormat="1" applyFont="1" applyFill="1" applyBorder="1" applyAlignment="1">
      <alignment vertical="center" wrapText="1"/>
    </xf>
    <xf numFmtId="3" fontId="84" fillId="6" borderId="18" xfId="0" applyNumberFormat="1" applyFont="1" applyFill="1" applyBorder="1" applyAlignment="1">
      <alignment vertical="center"/>
    </xf>
    <xf numFmtId="3" fontId="46" fillId="6" borderId="18" xfId="0" applyNumberFormat="1" applyFont="1" applyFill="1" applyBorder="1" applyAlignment="1">
      <alignment horizontal="center" vertical="center"/>
    </xf>
    <xf numFmtId="3" fontId="46" fillId="6" borderId="18" xfId="0" applyNumberFormat="1" applyFont="1" applyFill="1" applyBorder="1" applyAlignment="1">
      <alignment vertical="center" wrapText="1"/>
    </xf>
    <xf numFmtId="3" fontId="46" fillId="6" borderId="18" xfId="0" applyNumberFormat="1" applyFont="1" applyFill="1" applyBorder="1" applyAlignment="1">
      <alignment vertical="center"/>
    </xf>
    <xf numFmtId="3" fontId="46" fillId="6" borderId="18" xfId="0" applyNumberFormat="1" applyFont="1" applyFill="1" applyBorder="1" applyAlignment="1">
      <alignment horizontal="justify" vertical="center" wrapText="1"/>
    </xf>
    <xf numFmtId="3" fontId="23" fillId="6" borderId="18" xfId="0" applyNumberFormat="1" applyFont="1" applyFill="1" applyBorder="1" applyAlignment="1">
      <alignment horizontal="right" vertical="center"/>
    </xf>
    <xf numFmtId="3" fontId="23" fillId="6" borderId="18" xfId="0" applyNumberFormat="1" applyFont="1" applyFill="1" applyBorder="1" applyAlignment="1">
      <alignment horizontal="left" vertical="center" wrapText="1"/>
    </xf>
    <xf numFmtId="3" fontId="23" fillId="8" borderId="18" xfId="0" applyNumberFormat="1" applyFont="1" applyFill="1" applyBorder="1" applyAlignment="1">
      <alignment horizontal="right" vertical="center"/>
    </xf>
    <xf numFmtId="3" fontId="23" fillId="6" borderId="24" xfId="0" applyNumberFormat="1" applyFont="1" applyFill="1" applyBorder="1" applyAlignment="1">
      <alignment horizontal="center" vertical="center"/>
    </xf>
    <xf numFmtId="3" fontId="23" fillId="6" borderId="24" xfId="0" applyNumberFormat="1" applyFont="1" applyFill="1" applyBorder="1" applyAlignment="1">
      <alignment vertical="center" wrapText="1"/>
    </xf>
    <xf numFmtId="0" fontId="43" fillId="6" borderId="17" xfId="26" applyFont="1" applyFill="1" applyBorder="1" applyAlignment="1">
      <alignment vertical="center" wrapText="1"/>
    </xf>
    <xf numFmtId="0" fontId="42" fillId="6" borderId="17" xfId="26" applyFont="1" applyFill="1" applyBorder="1" applyAlignment="1">
      <alignment vertical="center" wrapText="1"/>
    </xf>
    <xf numFmtId="0" fontId="83" fillId="0" borderId="17" xfId="31" applyFont="1" applyBorder="1" applyAlignment="1">
      <alignment vertical="center"/>
    </xf>
    <xf numFmtId="3" fontId="83" fillId="0" borderId="17" xfId="31" applyNumberFormat="1" applyFont="1" applyBorder="1" applyAlignment="1">
      <alignment vertical="center"/>
    </xf>
    <xf numFmtId="0" fontId="43" fillId="0" borderId="0" xfId="31" applyFont="1" applyBorder="1" applyAlignment="1">
      <alignment vertical="center"/>
    </xf>
    <xf numFmtId="0" fontId="75" fillId="0" borderId="17" xfId="31" applyFont="1" applyBorder="1" applyAlignment="1">
      <alignment horizontal="center" vertical="center"/>
    </xf>
    <xf numFmtId="0" fontId="75" fillId="0" borderId="17" xfId="31" applyFont="1" applyBorder="1" applyAlignment="1">
      <alignment vertical="center"/>
    </xf>
    <xf numFmtId="3" fontId="75" fillId="6" borderId="17" xfId="31" applyNumberFormat="1" applyFont="1" applyFill="1" applyBorder="1" applyAlignment="1">
      <alignment vertical="center"/>
    </xf>
    <xf numFmtId="0" fontId="42" fillId="0" borderId="0" xfId="31" applyFont="1" applyBorder="1" applyAlignment="1">
      <alignment vertical="center"/>
    </xf>
    <xf numFmtId="0" fontId="82" fillId="0" borderId="17" xfId="31" applyFont="1" applyBorder="1" applyAlignment="1">
      <alignment horizontal="center" vertical="center"/>
    </xf>
    <xf numFmtId="0" fontId="82" fillId="0" borderId="17" xfId="31" applyFont="1" applyBorder="1" applyAlignment="1">
      <alignment vertical="center"/>
    </xf>
    <xf numFmtId="0" fontId="67" fillId="0" borderId="0" xfId="31" applyFont="1" applyBorder="1" applyAlignment="1">
      <alignment vertical="center"/>
    </xf>
    <xf numFmtId="3" fontId="67" fillId="0" borderId="0" xfId="31" applyNumberFormat="1" applyFont="1" applyBorder="1" applyAlignment="1">
      <alignment vertical="center"/>
    </xf>
    <xf numFmtId="0" fontId="75" fillId="0" borderId="17" xfId="31" applyFont="1" applyBorder="1" applyAlignment="1">
      <alignment vertical="center" wrapText="1"/>
    </xf>
    <xf numFmtId="3" fontId="75" fillId="0" borderId="17" xfId="32" applyNumberFormat="1" applyFont="1" applyBorder="1" applyAlignment="1">
      <alignment vertical="center"/>
    </xf>
    <xf numFmtId="0" fontId="75" fillId="6" borderId="17" xfId="31" applyFont="1" applyFill="1" applyBorder="1" applyAlignment="1">
      <alignment horizontal="center" vertical="center"/>
    </xf>
    <xf numFmtId="3" fontId="75" fillId="0" borderId="17" xfId="31" applyNumberFormat="1" applyFont="1" applyBorder="1" applyAlignment="1">
      <alignment vertical="center"/>
    </xf>
    <xf numFmtId="0" fontId="82" fillId="6" borderId="17" xfId="31" applyFont="1" applyFill="1" applyBorder="1" applyAlignment="1">
      <alignment horizontal="center" vertical="center"/>
    </xf>
    <xf numFmtId="3" fontId="82" fillId="6" borderId="17" xfId="31" applyNumberFormat="1" applyFont="1" applyFill="1" applyBorder="1" applyAlignment="1">
      <alignment vertical="center"/>
    </xf>
    <xf numFmtId="3" fontId="82" fillId="0" borderId="17" xfId="31" applyNumberFormat="1" applyFont="1" applyBorder="1" applyAlignment="1">
      <alignment vertical="center"/>
    </xf>
    <xf numFmtId="0" fontId="83" fillId="6" borderId="17" xfId="31" applyFont="1" applyFill="1" applyBorder="1" applyAlignment="1">
      <alignment horizontal="center" vertical="center"/>
    </xf>
    <xf numFmtId="3" fontId="83" fillId="0" borderId="17" xfId="32" applyNumberFormat="1" applyFont="1" applyBorder="1" applyAlignment="1">
      <alignment vertical="center"/>
    </xf>
    <xf numFmtId="172" fontId="42" fillId="6" borderId="17" xfId="26" applyNumberFormat="1" applyFont="1" applyFill="1" applyBorder="1" applyAlignment="1">
      <alignment horizontal="center" vertical="center"/>
    </xf>
    <xf numFmtId="172" fontId="67" fillId="6" borderId="17" xfId="26" applyNumberFormat="1" applyFont="1" applyFill="1" applyBorder="1" applyAlignment="1">
      <alignment horizontal="center" vertical="center"/>
    </xf>
    <xf numFmtId="3" fontId="23" fillId="6" borderId="10" xfId="0" applyNumberFormat="1" applyFont="1" applyFill="1" applyBorder="1" applyAlignment="1">
      <alignment horizontal="center" vertical="center"/>
    </xf>
    <xf numFmtId="3" fontId="23" fillId="6" borderId="10" xfId="0" applyNumberFormat="1" applyFont="1" applyFill="1" applyBorder="1" applyAlignment="1">
      <alignment vertical="center"/>
    </xf>
    <xf numFmtId="3" fontId="46" fillId="6" borderId="10" xfId="0" applyNumberFormat="1" applyFont="1" applyFill="1" applyBorder="1" applyAlignment="1">
      <alignment horizontal="center" vertical="center"/>
    </xf>
    <xf numFmtId="3" fontId="46" fillId="6" borderId="10" xfId="0" applyNumberFormat="1" applyFont="1" applyFill="1" applyBorder="1" applyAlignment="1">
      <alignment vertical="center"/>
    </xf>
    <xf numFmtId="3" fontId="46" fillId="6" borderId="10" xfId="0" applyNumberFormat="1" applyFont="1" applyFill="1" applyBorder="1" applyAlignment="1">
      <alignment horizontal="justify" vertical="center" wrapText="1"/>
    </xf>
    <xf numFmtId="3" fontId="23" fillId="6" borderId="10" xfId="0" applyNumberFormat="1" applyFont="1" applyFill="1" applyBorder="1" applyAlignment="1">
      <alignment horizontal="right" vertical="center"/>
    </xf>
    <xf numFmtId="3" fontId="23" fillId="8" borderId="10" xfId="0" applyNumberFormat="1" applyFont="1" applyFill="1" applyBorder="1" applyAlignment="1">
      <alignment horizontal="right" vertical="center"/>
    </xf>
    <xf numFmtId="3" fontId="23" fillId="6" borderId="16" xfId="0" applyNumberFormat="1" applyFont="1" applyFill="1" applyBorder="1" applyAlignment="1">
      <alignment horizontal="center" vertical="center"/>
    </xf>
    <xf numFmtId="3" fontId="23" fillId="6" borderId="16" xfId="0" applyNumberFormat="1" applyFont="1" applyFill="1" applyBorder="1" applyAlignment="1">
      <alignment vertical="center" wrapText="1"/>
    </xf>
    <xf numFmtId="3" fontId="23" fillId="6" borderId="16" xfId="0" applyNumberFormat="1" applyFont="1" applyFill="1" applyBorder="1" applyAlignment="1">
      <alignment horizontal="right" vertical="center"/>
    </xf>
    <xf numFmtId="3" fontId="23" fillId="6" borderId="10" xfId="0" applyNumberFormat="1" applyFont="1" applyFill="1" applyBorder="1" applyAlignment="1">
      <alignment horizontal="justify" vertical="center" wrapText="1"/>
    </xf>
    <xf numFmtId="3" fontId="23" fillId="6" borderId="16" xfId="0" applyNumberFormat="1" applyFont="1" applyFill="1" applyBorder="1" applyAlignment="1">
      <alignment horizontal="justify" vertical="center" wrapText="1"/>
    </xf>
    <xf numFmtId="3" fontId="75" fillId="6" borderId="0" xfId="0" applyNumberFormat="1" applyFont="1" applyFill="1" applyAlignment="1">
      <alignment horizontal="center" vertical="center"/>
    </xf>
    <xf numFmtId="3" fontId="75" fillId="6" borderId="0" xfId="0" applyNumberFormat="1" applyFont="1" applyFill="1" applyAlignment="1">
      <alignment vertical="center"/>
    </xf>
    <xf numFmtId="3" fontId="75" fillId="6" borderId="0" xfId="0" applyNumberFormat="1" applyFont="1" applyFill="1" applyAlignment="1">
      <alignment horizontal="right" vertical="center"/>
    </xf>
    <xf numFmtId="3" fontId="83" fillId="6" borderId="0" xfId="0" applyNumberFormat="1" applyFont="1" applyFill="1" applyAlignment="1">
      <alignment horizontal="center" vertical="center"/>
    </xf>
    <xf numFmtId="0" fontId="86" fillId="0" borderId="0" xfId="25" applyFont="1"/>
    <xf numFmtId="0" fontId="15" fillId="0" borderId="14" xfId="25" applyFont="1" applyFill="1" applyBorder="1" applyAlignment="1">
      <alignment vertical="center" wrapText="1"/>
    </xf>
    <xf numFmtId="0" fontId="15" fillId="0" borderId="0" xfId="25" applyFont="1" applyFill="1" applyBorder="1" applyAlignment="1">
      <alignment vertical="center" wrapText="1"/>
    </xf>
    <xf numFmtId="49" fontId="16" fillId="0" borderId="17" xfId="25" quotePrefix="1" applyNumberFormat="1" applyFont="1" applyFill="1" applyBorder="1" applyAlignment="1">
      <alignment horizontal="center" vertical="center" wrapText="1"/>
    </xf>
    <xf numFmtId="0" fontId="16" fillId="0" borderId="17" xfId="25" quotePrefix="1" applyFont="1" applyFill="1" applyBorder="1" applyAlignment="1">
      <alignment horizontal="center" vertical="center" wrapText="1"/>
    </xf>
    <xf numFmtId="0" fontId="16" fillId="0" borderId="6" xfId="25" applyFont="1" applyFill="1" applyBorder="1" applyAlignment="1">
      <alignment horizontal="center" vertical="center" wrapText="1"/>
    </xf>
    <xf numFmtId="0" fontId="16" fillId="0" borderId="11" xfId="23" applyFont="1" applyFill="1" applyBorder="1" applyAlignment="1">
      <alignment horizontal="center" vertical="center" wrapText="1"/>
    </xf>
    <xf numFmtId="0" fontId="37" fillId="0" borderId="11" xfId="24" applyFont="1" applyFill="1" applyBorder="1" applyAlignment="1">
      <alignment horizontal="center" vertical="center"/>
    </xf>
    <xf numFmtId="0" fontId="14" fillId="0" borderId="11" xfId="25" applyFont="1" applyFill="1" applyBorder="1" applyAlignment="1">
      <alignment horizontal="center" vertical="center"/>
    </xf>
    <xf numFmtId="0" fontId="16" fillId="0" borderId="11" xfId="25" applyFont="1" applyFill="1" applyBorder="1" applyAlignment="1">
      <alignment horizontal="center" vertical="center"/>
    </xf>
    <xf numFmtId="0" fontId="88" fillId="0" borderId="11" xfId="25" applyFont="1" applyFill="1" applyBorder="1" applyAlignment="1">
      <alignment horizontal="center" vertical="center"/>
    </xf>
    <xf numFmtId="0" fontId="37" fillId="0" borderId="11" xfId="25" applyFont="1" applyFill="1" applyBorder="1" applyAlignment="1">
      <alignment horizontal="center" vertical="center"/>
    </xf>
    <xf numFmtId="0" fontId="14" fillId="6" borderId="11" xfId="25" applyFont="1" applyFill="1" applyBorder="1" applyAlignment="1">
      <alignment horizontal="center" vertical="center"/>
    </xf>
    <xf numFmtId="164" fontId="16" fillId="0" borderId="11" xfId="33" applyFont="1" applyFill="1" applyBorder="1" applyAlignment="1">
      <alignment horizontal="left" vertical="center"/>
    </xf>
    <xf numFmtId="164" fontId="88" fillId="0" borderId="11" xfId="33" applyFont="1" applyFill="1" applyBorder="1" applyAlignment="1">
      <alignment horizontal="left" vertical="center"/>
    </xf>
    <xf numFmtId="0" fontId="14" fillId="0" borderId="17" xfId="25" applyFont="1" applyFill="1" applyBorder="1" applyAlignment="1">
      <alignment horizontal="center" vertical="center"/>
    </xf>
    <xf numFmtId="0" fontId="68" fillId="0" borderId="0" xfId="25" applyFont="1" applyFill="1"/>
    <xf numFmtId="0" fontId="25" fillId="0" borderId="14" xfId="25" applyFont="1" applyFill="1" applyBorder="1" applyAlignment="1">
      <alignment vertical="center" wrapText="1"/>
    </xf>
    <xf numFmtId="49" fontId="27" fillId="0" borderId="17" xfId="25" quotePrefix="1" applyNumberFormat="1" applyFont="1" applyFill="1" applyBorder="1" applyAlignment="1">
      <alignment horizontal="center" vertical="center" wrapText="1"/>
    </xf>
    <xf numFmtId="0" fontId="27" fillId="0" borderId="17" xfId="25" quotePrefix="1" applyFont="1" applyFill="1" applyBorder="1" applyAlignment="1">
      <alignment horizontal="center" vertical="center" wrapText="1"/>
    </xf>
    <xf numFmtId="0" fontId="27" fillId="0" borderId="6" xfId="25" applyFont="1" applyFill="1" applyBorder="1" applyAlignment="1">
      <alignment horizontal="center" vertical="center" wrapText="1"/>
    </xf>
    <xf numFmtId="170" fontId="27" fillId="0" borderId="17" xfId="33" applyNumberFormat="1" applyFont="1" applyFill="1" applyBorder="1" applyAlignment="1">
      <alignment horizontal="left" vertical="center"/>
    </xf>
    <xf numFmtId="0" fontId="27" fillId="0" borderId="11" xfId="25" applyFont="1" applyFill="1" applyBorder="1" applyAlignment="1">
      <alignment horizontal="center" vertical="center"/>
    </xf>
    <xf numFmtId="0" fontId="26" fillId="0" borderId="11" xfId="25" applyFont="1" applyFill="1" applyBorder="1" applyAlignment="1">
      <alignment horizontal="center" vertical="center"/>
    </xf>
    <xf numFmtId="0" fontId="91" fillId="0" borderId="11" xfId="25" applyFont="1" applyFill="1" applyBorder="1" applyAlignment="1">
      <alignment horizontal="center" vertical="center"/>
    </xf>
    <xf numFmtId="0" fontId="48" fillId="0" borderId="11" xfId="25" applyFont="1" applyFill="1" applyBorder="1" applyAlignment="1">
      <alignment horizontal="center" vertical="center"/>
    </xf>
    <xf numFmtId="170" fontId="91" fillId="0" borderId="17" xfId="33" applyNumberFormat="1" applyFont="1" applyFill="1" applyBorder="1" applyAlignment="1">
      <alignment horizontal="left" vertical="center"/>
    </xf>
    <xf numFmtId="0" fontId="26" fillId="0" borderId="17" xfId="25" applyFont="1" applyFill="1" applyBorder="1" applyAlignment="1">
      <alignment horizontal="center" vertical="center"/>
    </xf>
    <xf numFmtId="170" fontId="26" fillId="0" borderId="17" xfId="25" applyNumberFormat="1" applyFont="1" applyFill="1" applyBorder="1" applyAlignment="1">
      <alignment vertical="center"/>
    </xf>
    <xf numFmtId="0" fontId="92" fillId="0" borderId="0" xfId="25" applyFont="1"/>
    <xf numFmtId="0" fontId="14" fillId="0" borderId="0" xfId="25" applyFont="1"/>
    <xf numFmtId="49" fontId="16" fillId="0" borderId="17" xfId="25" applyNumberFormat="1" applyFont="1" applyFill="1" applyBorder="1" applyAlignment="1">
      <alignment horizontal="center" vertical="center" wrapText="1"/>
    </xf>
    <xf numFmtId="0" fontId="16" fillId="0" borderId="17" xfId="25" applyFont="1" applyFill="1" applyBorder="1" applyAlignment="1">
      <alignment horizontal="left" vertical="center" wrapText="1"/>
    </xf>
    <xf numFmtId="170" fontId="16" fillId="0" borderId="17" xfId="33" applyNumberFormat="1" applyFont="1" applyFill="1" applyBorder="1" applyAlignment="1">
      <alignment horizontal="left" vertical="center"/>
    </xf>
    <xf numFmtId="170" fontId="16" fillId="0" borderId="13" xfId="33" applyNumberFormat="1" applyFont="1" applyFill="1" applyBorder="1" applyAlignment="1">
      <alignment horizontal="left" vertical="center"/>
    </xf>
    <xf numFmtId="0" fontId="37" fillId="0" borderId="0" xfId="25" applyFont="1"/>
    <xf numFmtId="0" fontId="16" fillId="0" borderId="0" xfId="25" applyFont="1"/>
    <xf numFmtId="0" fontId="88" fillId="0" borderId="0" xfId="25" applyFont="1"/>
    <xf numFmtId="170" fontId="14" fillId="0" borderId="17" xfId="33" applyNumberFormat="1" applyFont="1" applyFill="1" applyBorder="1" applyAlignment="1">
      <alignment vertical="center"/>
    </xf>
    <xf numFmtId="170" fontId="14" fillId="6" borderId="13" xfId="33" applyNumberFormat="1" applyFont="1" applyFill="1" applyBorder="1" applyAlignment="1">
      <alignment vertical="center"/>
    </xf>
    <xf numFmtId="170" fontId="14" fillId="6" borderId="17" xfId="33" applyNumberFormat="1" applyFont="1" applyFill="1" applyBorder="1" applyAlignment="1">
      <alignment vertical="center"/>
    </xf>
    <xf numFmtId="0" fontId="14" fillId="6" borderId="0" xfId="25" applyFont="1" applyFill="1"/>
    <xf numFmtId="170" fontId="88" fillId="0" borderId="13" xfId="33" applyNumberFormat="1" applyFont="1" applyFill="1" applyBorder="1" applyAlignment="1">
      <alignment horizontal="left" vertical="center"/>
    </xf>
    <xf numFmtId="170" fontId="88" fillId="0" borderId="17" xfId="33" applyNumberFormat="1" applyFont="1" applyFill="1" applyBorder="1" applyAlignment="1">
      <alignment horizontal="left" vertical="center"/>
    </xf>
    <xf numFmtId="170" fontId="14" fillId="0" borderId="17" xfId="25" applyNumberFormat="1" applyFont="1" applyFill="1" applyBorder="1" applyAlignment="1">
      <alignment vertical="center"/>
    </xf>
    <xf numFmtId="0" fontId="16" fillId="0" borderId="17" xfId="25" applyFont="1" applyBorder="1" applyAlignment="1">
      <alignment horizontal="justify" vertical="center" wrapText="1"/>
    </xf>
    <xf numFmtId="0" fontId="88" fillId="0" borderId="17" xfId="25" applyFont="1" applyBorder="1" applyAlignment="1">
      <alignment horizontal="justify" vertical="center" wrapText="1"/>
    </xf>
    <xf numFmtId="0" fontId="14" fillId="0" borderId="17" xfId="25" applyFont="1" applyBorder="1" applyAlignment="1">
      <alignment horizontal="justify" vertical="center"/>
    </xf>
    <xf numFmtId="0" fontId="16" fillId="6" borderId="17" xfId="25" applyFont="1" applyFill="1" applyBorder="1" applyAlignment="1">
      <alignment horizontal="justify" vertical="center" wrapText="1"/>
    </xf>
    <xf numFmtId="0" fontId="16" fillId="0" borderId="9" xfId="23" applyFont="1" applyFill="1" applyBorder="1" applyAlignment="1">
      <alignment horizontal="justify" vertical="center" wrapText="1"/>
    </xf>
    <xf numFmtId="0" fontId="16" fillId="0" borderId="17" xfId="23" applyFont="1" applyFill="1" applyBorder="1" applyAlignment="1">
      <alignment horizontal="justify" vertical="center" wrapText="1"/>
    </xf>
    <xf numFmtId="0" fontId="14" fillId="0" borderId="17" xfId="25" applyFont="1" applyFill="1" applyBorder="1" applyAlignment="1">
      <alignment horizontal="justify" vertical="center"/>
    </xf>
    <xf numFmtId="164" fontId="14" fillId="6" borderId="17" xfId="33" applyFont="1" applyFill="1" applyBorder="1" applyAlignment="1">
      <alignment horizontal="center" vertical="center" wrapText="1"/>
    </xf>
    <xf numFmtId="0" fontId="14" fillId="0" borderId="17" xfId="23" applyFont="1" applyFill="1" applyBorder="1" applyAlignment="1">
      <alignment horizontal="center" vertical="center" wrapText="1"/>
    </xf>
    <xf numFmtId="0" fontId="37" fillId="0" borderId="17" xfId="25" applyFont="1" applyFill="1" applyBorder="1" applyAlignment="1">
      <alignment horizontal="left" vertical="center" wrapText="1"/>
    </xf>
    <xf numFmtId="0" fontId="14" fillId="0" borderId="17" xfId="25" applyFont="1" applyFill="1" applyBorder="1" applyAlignment="1">
      <alignment horizontal="center" vertical="center" wrapText="1"/>
    </xf>
    <xf numFmtId="0" fontId="88" fillId="0" borderId="17" xfId="25" applyFont="1" applyFill="1" applyBorder="1" applyAlignment="1">
      <alignment horizontal="center" vertical="center" wrapText="1"/>
    </xf>
    <xf numFmtId="0" fontId="37" fillId="0" borderId="17" xfId="25" applyFont="1" applyFill="1" applyBorder="1" applyAlignment="1">
      <alignment horizontal="center" vertical="center" wrapText="1"/>
    </xf>
    <xf numFmtId="164" fontId="16" fillId="0" borderId="17" xfId="33" applyFont="1" applyFill="1" applyBorder="1" applyAlignment="1">
      <alignment horizontal="center" vertical="center" wrapText="1"/>
    </xf>
    <xf numFmtId="164" fontId="88" fillId="0" borderId="17" xfId="33" applyFont="1" applyFill="1" applyBorder="1" applyAlignment="1">
      <alignment horizontal="center" vertical="center" wrapText="1"/>
    </xf>
    <xf numFmtId="0" fontId="86" fillId="0" borderId="0" xfId="25" applyFont="1" applyAlignment="1">
      <alignment wrapText="1"/>
    </xf>
    <xf numFmtId="0" fontId="26" fillId="0" borderId="0" xfId="25" applyFont="1" applyFill="1"/>
    <xf numFmtId="0" fontId="70" fillId="0" borderId="0" xfId="25" applyFont="1" applyFill="1"/>
    <xf numFmtId="0" fontId="27" fillId="0" borderId="17" xfId="25" applyFont="1" applyFill="1" applyBorder="1" applyAlignment="1">
      <alignment horizontal="justify" vertical="center" wrapText="1"/>
    </xf>
    <xf numFmtId="0" fontId="26" fillId="0" borderId="17" xfId="25" applyFont="1" applyFill="1" applyBorder="1" applyAlignment="1">
      <alignment horizontal="justify" vertical="center"/>
    </xf>
    <xf numFmtId="0" fontId="27" fillId="0" borderId="9" xfId="23" applyFont="1" applyFill="1" applyBorder="1" applyAlignment="1">
      <alignment horizontal="justify" vertical="center" wrapText="1"/>
    </xf>
    <xf numFmtId="0" fontId="27" fillId="0" borderId="17" xfId="23" applyFont="1" applyFill="1" applyBorder="1" applyAlignment="1">
      <alignment horizontal="justify" vertical="center" wrapText="1"/>
    </xf>
    <xf numFmtId="0" fontId="70" fillId="0" borderId="0" xfId="25" applyFont="1" applyFill="1" applyAlignment="1">
      <alignment horizontal="center" wrapText="1"/>
    </xf>
    <xf numFmtId="0" fontId="25" fillId="0" borderId="14" xfId="25" applyFont="1" applyFill="1" applyBorder="1" applyAlignment="1">
      <alignment horizontal="center" vertical="center" wrapText="1"/>
    </xf>
    <xf numFmtId="0" fontId="26" fillId="0" borderId="17" xfId="25" applyFont="1" applyFill="1" applyBorder="1" applyAlignment="1">
      <alignment horizontal="center" vertical="center" wrapText="1"/>
    </xf>
    <xf numFmtId="164" fontId="27" fillId="0" borderId="17" xfId="33" applyFont="1" applyFill="1" applyBorder="1" applyAlignment="1">
      <alignment horizontal="center" vertical="center" wrapText="1"/>
    </xf>
    <xf numFmtId="0" fontId="26" fillId="0" borderId="17" xfId="23" applyFont="1" applyFill="1" applyBorder="1" applyAlignment="1">
      <alignment horizontal="center" vertical="center" wrapText="1"/>
    </xf>
    <xf numFmtId="0" fontId="89" fillId="0" borderId="0" xfId="25" applyFont="1" applyFill="1" applyAlignment="1">
      <alignment horizontal="center" wrapText="1"/>
    </xf>
    <xf numFmtId="170" fontId="26" fillId="0" borderId="0" xfId="25" applyNumberFormat="1" applyFont="1" applyFill="1"/>
    <xf numFmtId="43" fontId="27" fillId="0" borderId="0" xfId="25" applyNumberFormat="1" applyFont="1" applyFill="1"/>
    <xf numFmtId="0" fontId="27" fillId="0" borderId="0" xfId="25" applyFont="1" applyFill="1"/>
    <xf numFmtId="43" fontId="26" fillId="0" borderId="0" xfId="25" applyNumberFormat="1" applyFont="1" applyFill="1"/>
    <xf numFmtId="43" fontId="91" fillId="0" borderId="0" xfId="25" applyNumberFormat="1" applyFont="1" applyFill="1"/>
    <xf numFmtId="0" fontId="91" fillId="0" borderId="0" xfId="25" applyFont="1" applyFill="1"/>
    <xf numFmtId="43" fontId="48" fillId="0" borderId="0" xfId="25" applyNumberFormat="1" applyFont="1" applyFill="1"/>
    <xf numFmtId="0" fontId="48" fillId="0" borderId="0" xfId="25" applyFont="1" applyFill="1"/>
    <xf numFmtId="0" fontId="16" fillId="0" borderId="17" xfId="25" applyFont="1" applyFill="1" applyBorder="1" applyAlignment="1">
      <alignment horizontal="center" vertical="center" wrapText="1"/>
    </xf>
    <xf numFmtId="0" fontId="27" fillId="0" borderId="17" xfId="25" applyFont="1" applyFill="1" applyBorder="1" applyAlignment="1">
      <alignment horizontal="center" vertical="center" wrapText="1"/>
    </xf>
    <xf numFmtId="170" fontId="27" fillId="0" borderId="17" xfId="33" applyNumberFormat="1" applyFont="1" applyFill="1" applyBorder="1" applyAlignment="1">
      <alignment vertical="center"/>
    </xf>
    <xf numFmtId="170" fontId="26" fillId="0" borderId="17" xfId="33" applyNumberFormat="1" applyFont="1" applyFill="1" applyBorder="1" applyAlignment="1">
      <alignment vertical="center"/>
    </xf>
    <xf numFmtId="170" fontId="91" fillId="0" borderId="17" xfId="33" applyNumberFormat="1" applyFont="1" applyFill="1" applyBorder="1" applyAlignment="1">
      <alignment vertical="center"/>
    </xf>
    <xf numFmtId="170" fontId="16" fillId="0" borderId="17" xfId="33" applyNumberFormat="1" applyFont="1" applyFill="1" applyBorder="1" applyAlignment="1">
      <alignment vertical="center"/>
    </xf>
    <xf numFmtId="170" fontId="88" fillId="0" borderId="13" xfId="33" applyNumberFormat="1" applyFont="1" applyFill="1" applyBorder="1" applyAlignment="1">
      <alignment vertical="center"/>
    </xf>
    <xf numFmtId="170" fontId="88" fillId="0" borderId="17" xfId="33" applyNumberFormat="1" applyFont="1" applyFill="1" applyBorder="1" applyAlignment="1">
      <alignment vertical="center"/>
    </xf>
    <xf numFmtId="170" fontId="14" fillId="0" borderId="13" xfId="33" applyNumberFormat="1" applyFont="1" applyFill="1" applyBorder="1" applyAlignment="1">
      <alignment vertical="center"/>
    </xf>
    <xf numFmtId="170" fontId="16" fillId="0" borderId="13" xfId="33" applyNumberFormat="1" applyFont="1" applyFill="1" applyBorder="1" applyAlignment="1">
      <alignment vertical="center"/>
    </xf>
    <xf numFmtId="3" fontId="31" fillId="6" borderId="6" xfId="0" applyNumberFormat="1"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9" xfId="0" applyFont="1" applyFill="1" applyBorder="1" applyAlignment="1">
      <alignment horizontal="center" vertical="center" wrapText="1"/>
    </xf>
    <xf numFmtId="3" fontId="28" fillId="6" borderId="14" xfId="0" applyNumberFormat="1" applyFont="1" applyFill="1" applyBorder="1" applyAlignment="1">
      <alignment horizontal="center"/>
    </xf>
    <xf numFmtId="3" fontId="31" fillId="6" borderId="8" xfId="0" applyNumberFormat="1" applyFont="1" applyFill="1" applyBorder="1" applyAlignment="1">
      <alignment horizontal="center" vertical="center" wrapText="1"/>
    </xf>
    <xf numFmtId="3" fontId="31" fillId="6" borderId="9" xfId="0" applyNumberFormat="1" applyFont="1" applyFill="1" applyBorder="1" applyAlignment="1">
      <alignment horizontal="center" vertical="center" wrapText="1"/>
    </xf>
    <xf numFmtId="3" fontId="33" fillId="6" borderId="6" xfId="0" applyNumberFormat="1" applyFont="1" applyFill="1" applyBorder="1" applyAlignment="1">
      <alignment horizontal="center" vertical="center" wrapText="1"/>
    </xf>
    <xf numFmtId="3" fontId="33" fillId="6" borderId="8" xfId="0" applyNumberFormat="1" applyFont="1" applyFill="1" applyBorder="1" applyAlignment="1">
      <alignment horizontal="center" vertical="center" wrapText="1"/>
    </xf>
    <xf numFmtId="3" fontId="33" fillId="6" borderId="9" xfId="0" applyNumberFormat="1" applyFont="1" applyFill="1" applyBorder="1" applyAlignment="1">
      <alignment horizontal="center" vertical="center" wrapText="1"/>
    </xf>
    <xf numFmtId="3" fontId="52" fillId="6" borderId="0" xfId="0" applyNumberFormat="1" applyFont="1" applyFill="1" applyAlignment="1">
      <alignment horizontal="center"/>
    </xf>
    <xf numFmtId="3" fontId="53" fillId="6" borderId="11" xfId="0" applyNumberFormat="1" applyFont="1" applyFill="1" applyBorder="1" applyAlignment="1">
      <alignment horizontal="center"/>
    </xf>
    <xf numFmtId="3" fontId="53" fillId="6" borderId="12" xfId="0" applyNumberFormat="1" applyFont="1" applyFill="1" applyBorder="1" applyAlignment="1">
      <alignment horizontal="center"/>
    </xf>
    <xf numFmtId="3" fontId="53" fillId="6" borderId="13" xfId="0" applyNumberFormat="1" applyFont="1" applyFill="1" applyBorder="1" applyAlignment="1">
      <alignment horizontal="center"/>
    </xf>
    <xf numFmtId="3" fontId="53" fillId="6" borderId="11" xfId="0" applyNumberFormat="1" applyFont="1" applyFill="1" applyBorder="1" applyAlignment="1">
      <alignment horizontal="center" vertical="center" wrapText="1"/>
    </xf>
    <xf numFmtId="3" fontId="53" fillId="6" borderId="12" xfId="0" applyNumberFormat="1" applyFont="1" applyFill="1" applyBorder="1" applyAlignment="1">
      <alignment horizontal="center" vertical="center" wrapText="1"/>
    </xf>
    <xf numFmtId="3" fontId="53" fillId="6" borderId="13" xfId="0" applyNumberFormat="1" applyFont="1" applyFill="1" applyBorder="1" applyAlignment="1">
      <alignment horizontal="center" vertical="center" wrapText="1"/>
    </xf>
    <xf numFmtId="0" fontId="55" fillId="6" borderId="8" xfId="0" applyFont="1" applyFill="1" applyBorder="1" applyAlignment="1">
      <alignment horizontal="center" vertical="center" wrapText="1"/>
    </xf>
    <xf numFmtId="0" fontId="55" fillId="6" borderId="9" xfId="0" applyFont="1" applyFill="1" applyBorder="1" applyAlignment="1">
      <alignment horizontal="center" vertical="center" wrapText="1"/>
    </xf>
    <xf numFmtId="0" fontId="55" fillId="6" borderId="6" xfId="0" applyFont="1" applyFill="1" applyBorder="1" applyAlignment="1">
      <alignment horizontal="center" vertical="center" wrapText="1"/>
    </xf>
    <xf numFmtId="3" fontId="52" fillId="6" borderId="0" xfId="0" applyNumberFormat="1" applyFont="1" applyFill="1" applyAlignment="1">
      <alignment horizontal="left" wrapText="1"/>
    </xf>
    <xf numFmtId="3" fontId="52" fillId="6" borderId="0" xfId="0" applyNumberFormat="1" applyFont="1" applyFill="1" applyAlignment="1">
      <alignment horizontal="left"/>
    </xf>
    <xf numFmtId="3" fontId="31" fillId="6" borderId="0" xfId="0" applyNumberFormat="1" applyFont="1" applyFill="1" applyAlignment="1">
      <alignment horizontal="center"/>
    </xf>
    <xf numFmtId="3" fontId="54" fillId="6" borderId="6" xfId="0" applyNumberFormat="1" applyFont="1" applyFill="1" applyBorder="1" applyAlignment="1">
      <alignment horizontal="center" vertical="center" wrapText="1"/>
    </xf>
    <xf numFmtId="0" fontId="54" fillId="6" borderId="8" xfId="0" applyFont="1" applyFill="1" applyBorder="1" applyAlignment="1">
      <alignment horizontal="center" vertical="center" wrapText="1"/>
    </xf>
    <xf numFmtId="0" fontId="54" fillId="6" borderId="9" xfId="0" applyFont="1" applyFill="1" applyBorder="1" applyAlignment="1">
      <alignment horizontal="center" vertical="center" wrapText="1"/>
    </xf>
    <xf numFmtId="0" fontId="43" fillId="0" borderId="0" xfId="25" applyFont="1" applyAlignment="1">
      <alignment horizontal="center" vertical="center"/>
    </xf>
    <xf numFmtId="0" fontId="67" fillId="0" borderId="0" xfId="25" applyFont="1" applyAlignment="1">
      <alignment horizontal="center" vertical="center" wrapText="1"/>
    </xf>
    <xf numFmtId="0" fontId="43" fillId="0" borderId="6" xfId="25" applyFont="1" applyBorder="1" applyAlignment="1">
      <alignment horizontal="center" vertical="center"/>
    </xf>
    <xf numFmtId="0" fontId="43" fillId="0" borderId="9" xfId="25" applyFont="1" applyBorder="1" applyAlignment="1">
      <alignment horizontal="center" vertical="center"/>
    </xf>
    <xf numFmtId="0" fontId="43" fillId="0" borderId="6" xfId="25" applyFont="1" applyBorder="1" applyAlignment="1">
      <alignment horizontal="center" vertical="center" wrapText="1"/>
    </xf>
    <xf numFmtId="0" fontId="43" fillId="0" borderId="9" xfId="25" applyFont="1" applyBorder="1" applyAlignment="1">
      <alignment horizontal="center" vertical="center" wrapText="1"/>
    </xf>
    <xf numFmtId="3" fontId="43" fillId="6" borderId="0" xfId="26" applyNumberFormat="1" applyFont="1" applyFill="1" applyAlignment="1">
      <alignment horizontal="center" vertical="center"/>
    </xf>
    <xf numFmtId="3" fontId="67" fillId="6" borderId="0" xfId="26" applyNumberFormat="1" applyFont="1" applyFill="1" applyAlignment="1">
      <alignment horizontal="center" vertical="center"/>
    </xf>
    <xf numFmtId="3" fontId="67" fillId="6" borderId="14" xfId="26" applyNumberFormat="1" applyFont="1" applyFill="1" applyBorder="1" applyAlignment="1">
      <alignment horizontal="right" vertical="center"/>
    </xf>
    <xf numFmtId="3" fontId="43" fillId="6" borderId="6" xfId="26" applyNumberFormat="1" applyFont="1" applyFill="1" applyBorder="1" applyAlignment="1">
      <alignment horizontal="center" vertical="center" wrapText="1"/>
    </xf>
    <xf numFmtId="3" fontId="43" fillId="6" borderId="9" xfId="26" applyNumberFormat="1" applyFont="1" applyFill="1" applyBorder="1" applyAlignment="1">
      <alignment horizontal="center" vertical="center" wrapText="1"/>
    </xf>
    <xf numFmtId="3" fontId="43" fillId="6" borderId="6" xfId="26" applyNumberFormat="1" applyFont="1" applyFill="1" applyBorder="1" applyAlignment="1">
      <alignment horizontal="center" vertical="center"/>
    </xf>
    <xf numFmtId="3" fontId="43" fillId="6" borderId="9" xfId="26" applyNumberFormat="1" applyFont="1" applyFill="1" applyBorder="1" applyAlignment="1">
      <alignment horizontal="center" vertical="center"/>
    </xf>
    <xf numFmtId="3" fontId="43" fillId="6" borderId="17" xfId="26" applyNumberFormat="1" applyFont="1" applyFill="1" applyBorder="1" applyAlignment="1">
      <alignment horizontal="center" vertical="center"/>
    </xf>
    <xf numFmtId="3" fontId="43" fillId="6" borderId="0" xfId="25" applyNumberFormat="1" applyFont="1" applyFill="1" applyAlignment="1">
      <alignment horizontal="center" vertical="center"/>
    </xf>
    <xf numFmtId="3" fontId="67" fillId="6" borderId="0" xfId="25" applyNumberFormat="1" applyFont="1" applyFill="1" applyAlignment="1">
      <alignment horizontal="center" vertical="center"/>
    </xf>
    <xf numFmtId="3" fontId="67" fillId="6" borderId="14" xfId="25" applyNumberFormat="1" applyFont="1" applyFill="1" applyBorder="1" applyAlignment="1">
      <alignment horizontal="right" vertical="center"/>
    </xf>
    <xf numFmtId="3" fontId="43" fillId="6" borderId="17" xfId="25" applyNumberFormat="1" applyFont="1" applyFill="1" applyBorder="1" applyAlignment="1">
      <alignment horizontal="center" vertical="center"/>
    </xf>
    <xf numFmtId="3" fontId="43" fillId="6" borderId="17" xfId="25" applyNumberFormat="1" applyFont="1" applyFill="1" applyBorder="1" applyAlignment="1">
      <alignment horizontal="center" vertical="center" wrapText="1"/>
    </xf>
    <xf numFmtId="0" fontId="83" fillId="0" borderId="0" xfId="31" applyFont="1" applyAlignment="1">
      <alignment horizontal="center" vertical="center"/>
    </xf>
    <xf numFmtId="0" fontId="82" fillId="0" borderId="0" xfId="31" applyFont="1" applyAlignment="1">
      <alignment horizontal="center" vertical="center"/>
    </xf>
    <xf numFmtId="3" fontId="43" fillId="6" borderId="11" xfId="26" applyNumberFormat="1" applyFont="1" applyFill="1" applyBorder="1" applyAlignment="1">
      <alignment horizontal="center" vertical="center" wrapText="1"/>
    </xf>
    <xf numFmtId="3" fontId="43" fillId="6" borderId="13" xfId="26" applyNumberFormat="1" applyFont="1" applyFill="1" applyBorder="1" applyAlignment="1">
      <alignment horizontal="center" vertical="center" wrapText="1"/>
    </xf>
    <xf numFmtId="3" fontId="43" fillId="6" borderId="0" xfId="26" applyNumberFormat="1" applyFont="1" applyFill="1" applyAlignment="1">
      <alignment horizontal="right" vertical="center"/>
    </xf>
    <xf numFmtId="3" fontId="42" fillId="6" borderId="6" xfId="26" applyNumberFormat="1" applyFont="1" applyFill="1" applyBorder="1" applyAlignment="1">
      <alignment horizontal="center" vertical="center" wrapText="1"/>
    </xf>
    <xf numFmtId="3" fontId="42" fillId="6" borderId="9" xfId="26" applyNumberFormat="1" applyFont="1" applyFill="1" applyBorder="1" applyAlignment="1">
      <alignment horizontal="center" vertical="center" wrapText="1"/>
    </xf>
    <xf numFmtId="0" fontId="42" fillId="6" borderId="23" xfId="26" applyFont="1" applyFill="1" applyBorder="1" applyAlignment="1">
      <alignment horizontal="left" vertical="center"/>
    </xf>
    <xf numFmtId="0" fontId="42" fillId="6" borderId="0" xfId="26" applyFont="1" applyFill="1" applyAlignment="1">
      <alignment horizontal="left" vertical="center" wrapText="1"/>
    </xf>
    <xf numFmtId="0" fontId="42" fillId="6" borderId="0" xfId="26" quotePrefix="1" applyFont="1" applyFill="1" applyAlignment="1">
      <alignment horizontal="left" vertical="center"/>
    </xf>
    <xf numFmtId="0" fontId="42" fillId="6" borderId="0" xfId="26" applyFont="1" applyFill="1" applyAlignment="1">
      <alignment horizontal="left" vertical="center"/>
    </xf>
    <xf numFmtId="3" fontId="50" fillId="6" borderId="0" xfId="0" applyNumberFormat="1" applyFont="1" applyFill="1" applyAlignment="1">
      <alignment horizontal="right" vertical="center"/>
    </xf>
    <xf numFmtId="3" fontId="50" fillId="6" borderId="0" xfId="0" applyNumberFormat="1" applyFont="1" applyFill="1" applyAlignment="1">
      <alignment horizontal="center" vertical="center"/>
    </xf>
    <xf numFmtId="3" fontId="81" fillId="6" borderId="14" xfId="0" applyNumberFormat="1" applyFont="1" applyFill="1" applyBorder="1" applyAlignment="1">
      <alignment horizontal="right" vertical="center"/>
    </xf>
    <xf numFmtId="3" fontId="23" fillId="6" borderId="6" xfId="0" applyNumberFormat="1" applyFont="1" applyFill="1" applyBorder="1" applyAlignment="1">
      <alignment horizontal="center" vertical="center" wrapText="1"/>
    </xf>
    <xf numFmtId="0" fontId="16" fillId="6" borderId="8" xfId="0" applyFont="1" applyFill="1" applyBorder="1" applyAlignment="1">
      <alignment horizontal="center" vertical="center" wrapText="1"/>
    </xf>
    <xf numFmtId="0" fontId="16" fillId="6" borderId="9" xfId="0" applyFont="1" applyFill="1" applyBorder="1" applyAlignment="1">
      <alignment horizontal="center" vertical="center" wrapText="1"/>
    </xf>
    <xf numFmtId="3" fontId="50" fillId="6" borderId="11" xfId="0" applyNumberFormat="1" applyFont="1" applyFill="1" applyBorder="1" applyAlignment="1">
      <alignment horizontal="center" vertical="center" wrapText="1"/>
    </xf>
    <xf numFmtId="3" fontId="50" fillId="6" borderId="12" xfId="0" applyNumberFormat="1" applyFont="1" applyFill="1" applyBorder="1" applyAlignment="1">
      <alignment horizontal="center" vertical="center" wrapText="1"/>
    </xf>
    <xf numFmtId="3" fontId="79" fillId="6" borderId="6" xfId="0" applyNumberFormat="1" applyFont="1" applyFill="1" applyBorder="1" applyAlignment="1">
      <alignment horizontal="center" vertical="center" wrapText="1"/>
    </xf>
    <xf numFmtId="0" fontId="79" fillId="6" borderId="8" xfId="0" applyFont="1" applyFill="1" applyBorder="1" applyAlignment="1">
      <alignment horizontal="center" vertical="center" wrapText="1"/>
    </xf>
    <xf numFmtId="0" fontId="79" fillId="6" borderId="9" xfId="0" applyFont="1" applyFill="1" applyBorder="1" applyAlignment="1">
      <alignment horizontal="center" vertical="center" wrapText="1"/>
    </xf>
    <xf numFmtId="3" fontId="50" fillId="6" borderId="11" xfId="0" applyNumberFormat="1" applyFont="1" applyFill="1" applyBorder="1" applyAlignment="1">
      <alignment horizontal="center" vertical="center"/>
    </xf>
    <xf numFmtId="3" fontId="50" fillId="6" borderId="12" xfId="0" applyNumberFormat="1" applyFont="1" applyFill="1" applyBorder="1" applyAlignment="1">
      <alignment horizontal="center" vertical="center"/>
    </xf>
    <xf numFmtId="3" fontId="50" fillId="6" borderId="13" xfId="0" applyNumberFormat="1" applyFont="1" applyFill="1" applyBorder="1" applyAlignment="1">
      <alignment horizontal="center" vertical="center"/>
    </xf>
    <xf numFmtId="3" fontId="23" fillId="6" borderId="8" xfId="0" applyNumberFormat="1" applyFont="1" applyFill="1" applyBorder="1" applyAlignment="1">
      <alignment horizontal="center" vertical="center" wrapText="1"/>
    </xf>
    <xf numFmtId="3" fontId="23" fillId="6" borderId="9" xfId="0" applyNumberFormat="1" applyFont="1" applyFill="1" applyBorder="1" applyAlignment="1">
      <alignment horizontal="center" vertical="center" wrapText="1"/>
    </xf>
    <xf numFmtId="3" fontId="29" fillId="6" borderId="6" xfId="0" applyNumberFormat="1" applyFont="1" applyFill="1" applyBorder="1" applyAlignment="1">
      <alignment horizontal="center" vertical="center" wrapText="1"/>
    </xf>
    <xf numFmtId="3" fontId="29" fillId="6" borderId="8" xfId="0" applyNumberFormat="1" applyFont="1" applyFill="1" applyBorder="1" applyAlignment="1">
      <alignment horizontal="center" vertical="center" wrapText="1"/>
    </xf>
    <xf numFmtId="3" fontId="29" fillId="6" borderId="9" xfId="0" applyNumberFormat="1" applyFont="1" applyFill="1" applyBorder="1" applyAlignment="1">
      <alignment horizontal="center" vertical="center" wrapText="1"/>
    </xf>
    <xf numFmtId="3" fontId="24" fillId="6" borderId="14" xfId="0" applyNumberFormat="1" applyFont="1" applyFill="1" applyBorder="1" applyAlignment="1">
      <alignment horizontal="center" vertical="center" wrapText="1"/>
    </xf>
    <xf numFmtId="0" fontId="80" fillId="6" borderId="8" xfId="0" applyFont="1" applyFill="1" applyBorder="1" applyAlignment="1">
      <alignment horizontal="center" vertical="center" wrapText="1"/>
    </xf>
    <xf numFmtId="0" fontId="80" fillId="6" borderId="9" xfId="0" applyFont="1" applyFill="1" applyBorder="1" applyAlignment="1">
      <alignment horizontal="center" vertical="center" wrapText="1"/>
    </xf>
    <xf numFmtId="0" fontId="80" fillId="6" borderId="6" xfId="0" applyFont="1" applyFill="1" applyBorder="1" applyAlignment="1">
      <alignment horizontal="center" vertical="center" wrapText="1"/>
    </xf>
    <xf numFmtId="3" fontId="81" fillId="6" borderId="0" xfId="0" applyNumberFormat="1" applyFont="1" applyFill="1" applyAlignment="1">
      <alignment horizontal="center" vertical="center"/>
    </xf>
    <xf numFmtId="0" fontId="23" fillId="6" borderId="8" xfId="0" applyFont="1" applyFill="1" applyBorder="1" applyAlignment="1">
      <alignment horizontal="center" vertical="center" wrapText="1"/>
    </xf>
    <xf numFmtId="0" fontId="23" fillId="6" borderId="9" xfId="0" applyFont="1" applyFill="1" applyBorder="1" applyAlignment="1">
      <alignment horizontal="center" vertical="center" wrapText="1"/>
    </xf>
    <xf numFmtId="3" fontId="23" fillId="6" borderId="11" xfId="0" applyNumberFormat="1" applyFont="1" applyFill="1" applyBorder="1" applyAlignment="1">
      <alignment horizontal="center" vertical="center" wrapText="1"/>
    </xf>
    <xf numFmtId="3" fontId="23" fillId="6" borderId="12" xfId="0" applyNumberFormat="1" applyFont="1" applyFill="1" applyBorder="1" applyAlignment="1">
      <alignment horizontal="center" vertical="center" wrapText="1"/>
    </xf>
    <xf numFmtId="0" fontId="23" fillId="6" borderId="6" xfId="0" applyFont="1" applyFill="1" applyBorder="1" applyAlignment="1">
      <alignment horizontal="center" vertical="center" wrapText="1"/>
    </xf>
    <xf numFmtId="3" fontId="83" fillId="6" borderId="0" xfId="0" applyNumberFormat="1" applyFont="1" applyFill="1" applyAlignment="1">
      <alignment horizontal="right" vertical="center"/>
    </xf>
    <xf numFmtId="3" fontId="83" fillId="6" borderId="0" xfId="0" applyNumberFormat="1" applyFont="1" applyFill="1" applyAlignment="1">
      <alignment horizontal="center" vertical="center"/>
    </xf>
    <xf numFmtId="3" fontId="82" fillId="6" borderId="0" xfId="0" applyNumberFormat="1" applyFont="1" applyFill="1" applyAlignment="1">
      <alignment horizontal="center" vertical="center"/>
    </xf>
    <xf numFmtId="3" fontId="75" fillId="6" borderId="14" xfId="0" applyNumberFormat="1" applyFont="1" applyFill="1" applyBorder="1" applyAlignment="1">
      <alignment horizontal="center" vertical="center" wrapText="1"/>
    </xf>
    <xf numFmtId="3" fontId="82" fillId="6" borderId="14" xfId="0" applyNumberFormat="1" applyFont="1" applyFill="1" applyBorder="1" applyAlignment="1">
      <alignment horizontal="right" vertical="center"/>
    </xf>
    <xf numFmtId="3" fontId="23" fillId="6" borderId="11" xfId="0" applyNumberFormat="1" applyFont="1" applyFill="1" applyBorder="1" applyAlignment="1">
      <alignment horizontal="center" vertical="center"/>
    </xf>
    <xf numFmtId="3" fontId="23" fillId="6" borderId="12" xfId="0" applyNumberFormat="1" applyFont="1" applyFill="1" applyBorder="1" applyAlignment="1">
      <alignment horizontal="center" vertical="center"/>
    </xf>
    <xf numFmtId="3" fontId="23" fillId="6" borderId="13" xfId="0" applyNumberFormat="1" applyFont="1" applyFill="1" applyBorder="1" applyAlignment="1">
      <alignment horizontal="center" vertical="center"/>
    </xf>
    <xf numFmtId="0" fontId="27" fillId="6" borderId="0" xfId="0" applyFont="1" applyFill="1" applyAlignment="1">
      <alignment horizontal="center" vertical="center"/>
    </xf>
    <xf numFmtId="0" fontId="43" fillId="0" borderId="0" xfId="0" applyFont="1" applyAlignment="1">
      <alignment horizontal="center" vertical="center" wrapText="1"/>
    </xf>
    <xf numFmtId="0" fontId="43" fillId="0" borderId="0" xfId="0" applyFont="1" applyAlignment="1">
      <alignment horizontal="center" vertical="center"/>
    </xf>
    <xf numFmtId="0" fontId="43" fillId="6" borderId="17" xfId="0" applyFont="1" applyFill="1" applyBorder="1" applyAlignment="1">
      <alignment horizontal="center" vertical="center" wrapText="1"/>
    </xf>
    <xf numFmtId="0" fontId="67" fillId="0" borderId="0" xfId="0" applyFont="1" applyAlignment="1">
      <alignment horizontal="center" vertical="center"/>
    </xf>
    <xf numFmtId="0" fontId="26" fillId="6" borderId="0" xfId="0" applyFont="1" applyFill="1" applyAlignment="1">
      <alignment horizontal="left" vertical="center" wrapText="1"/>
    </xf>
    <xf numFmtId="0" fontId="15" fillId="0" borderId="0" xfId="25" applyFont="1" applyFill="1" applyBorder="1" applyAlignment="1">
      <alignment horizontal="center" vertical="center" wrapText="1"/>
    </xf>
    <xf numFmtId="0" fontId="87" fillId="0" borderId="0" xfId="25" applyFont="1" applyFill="1" applyBorder="1" applyAlignment="1">
      <alignment horizontal="center" vertical="center" wrapText="1"/>
    </xf>
    <xf numFmtId="0" fontId="87" fillId="0" borderId="14" xfId="25" applyFont="1" applyFill="1" applyBorder="1" applyAlignment="1">
      <alignment horizontal="center" vertical="center" wrapText="1"/>
    </xf>
    <xf numFmtId="0" fontId="16" fillId="0" borderId="17" xfId="25" applyFont="1" applyFill="1" applyBorder="1" applyAlignment="1">
      <alignment horizontal="center" vertical="center" wrapText="1"/>
    </xf>
    <xf numFmtId="0" fontId="16" fillId="0" borderId="25" xfId="25" applyFont="1" applyFill="1" applyBorder="1" applyAlignment="1">
      <alignment horizontal="center" vertical="center" wrapText="1"/>
    </xf>
    <xf numFmtId="0" fontId="16" fillId="0" borderId="23" xfId="25" applyFont="1" applyFill="1" applyBorder="1" applyAlignment="1">
      <alignment horizontal="center" vertical="center" wrapText="1"/>
    </xf>
    <xf numFmtId="0" fontId="16" fillId="0" borderId="26" xfId="25" applyFont="1" applyFill="1" applyBorder="1" applyAlignment="1">
      <alignment horizontal="center" vertical="center" wrapText="1"/>
    </xf>
    <xf numFmtId="0" fontId="16" fillId="0" borderId="27" xfId="25" applyFont="1" applyFill="1" applyBorder="1" applyAlignment="1">
      <alignment horizontal="center" vertical="center" wrapText="1"/>
    </xf>
    <xf numFmtId="0" fontId="16" fillId="0" borderId="14" xfId="25" applyFont="1" applyFill="1" applyBorder="1" applyAlignment="1">
      <alignment horizontal="center" vertical="center" wrapText="1"/>
    </xf>
    <xf numFmtId="0" fontId="16" fillId="0" borderId="28" xfId="25" applyFont="1" applyFill="1" applyBorder="1" applyAlignment="1">
      <alignment horizontal="center" vertical="center" wrapText="1"/>
    </xf>
    <xf numFmtId="0" fontId="25" fillId="0" borderId="0" xfId="25" applyFont="1" applyFill="1" applyAlignment="1">
      <alignment horizontal="right"/>
    </xf>
    <xf numFmtId="0" fontId="25" fillId="0" borderId="0" xfId="25" applyFont="1" applyFill="1" applyBorder="1" applyAlignment="1">
      <alignment horizontal="center" vertical="center" wrapText="1"/>
    </xf>
    <xf numFmtId="0" fontId="90" fillId="0" borderId="0" xfId="25" applyFont="1" applyFill="1" applyBorder="1" applyAlignment="1">
      <alignment horizontal="center" vertical="center" wrapText="1"/>
    </xf>
    <xf numFmtId="0" fontId="27" fillId="0" borderId="17" xfId="25" applyFont="1" applyFill="1" applyBorder="1" applyAlignment="1">
      <alignment horizontal="center" vertical="center" wrapText="1"/>
    </xf>
    <xf numFmtId="0" fontId="27" fillId="0" borderId="25" xfId="25" applyFont="1" applyFill="1" applyBorder="1" applyAlignment="1">
      <alignment horizontal="center" vertical="center" wrapText="1"/>
    </xf>
    <xf numFmtId="0" fontId="27" fillId="0" borderId="23" xfId="25" applyFont="1" applyFill="1" applyBorder="1" applyAlignment="1">
      <alignment horizontal="center" vertical="center" wrapText="1"/>
    </xf>
    <xf numFmtId="0" fontId="27" fillId="0" borderId="26" xfId="25" applyFont="1" applyFill="1" applyBorder="1" applyAlignment="1">
      <alignment horizontal="center" vertical="center" wrapText="1"/>
    </xf>
    <xf numFmtId="0" fontId="27" fillId="0" borderId="27" xfId="25" applyFont="1" applyFill="1" applyBorder="1" applyAlignment="1">
      <alignment horizontal="center" vertical="center" wrapText="1"/>
    </xf>
    <xf numFmtId="0" fontId="27" fillId="0" borderId="14" xfId="25" applyFont="1" applyFill="1" applyBorder="1" applyAlignment="1">
      <alignment horizontal="center" vertical="center" wrapText="1"/>
    </xf>
    <xf numFmtId="0" fontId="27" fillId="0" borderId="28" xfId="25" applyFont="1" applyFill="1" applyBorder="1" applyAlignment="1">
      <alignment horizontal="center" vertical="center" wrapText="1"/>
    </xf>
    <xf numFmtId="0" fontId="90" fillId="0" borderId="14" xfId="25" applyFont="1" applyFill="1" applyBorder="1" applyAlignment="1">
      <alignment horizontal="center" vertical="center"/>
    </xf>
    <xf numFmtId="3" fontId="13" fillId="6" borderId="0" xfId="0" applyNumberFormat="1" applyFont="1" applyFill="1" applyAlignment="1">
      <alignment horizontal="center"/>
    </xf>
    <xf numFmtId="3" fontId="17" fillId="6" borderId="14" xfId="0" applyNumberFormat="1" applyFont="1" applyFill="1" applyBorder="1" applyAlignment="1">
      <alignment horizontal="center"/>
    </xf>
    <xf numFmtId="3" fontId="18" fillId="6" borderId="6" xfId="0" applyNumberFormat="1" applyFont="1" applyFill="1" applyBorder="1" applyAlignment="1">
      <alignment horizontal="center" vertical="center" wrapText="1"/>
    </xf>
    <xf numFmtId="0" fontId="14" fillId="6" borderId="8" xfId="0" applyFont="1" applyFill="1" applyBorder="1" applyAlignment="1">
      <alignment horizontal="center" vertical="center" wrapText="1"/>
    </xf>
    <xf numFmtId="0" fontId="14" fillId="6" borderId="9" xfId="0" applyFont="1" applyFill="1" applyBorder="1" applyAlignment="1">
      <alignment horizontal="center" vertical="center" wrapText="1"/>
    </xf>
    <xf numFmtId="3" fontId="19" fillId="6" borderId="11" xfId="0" applyNumberFormat="1" applyFont="1" applyFill="1" applyBorder="1" applyAlignment="1">
      <alignment horizontal="center" vertical="center" wrapText="1"/>
    </xf>
    <xf numFmtId="3" fontId="19" fillId="6" borderId="12" xfId="0" applyNumberFormat="1" applyFont="1" applyFill="1" applyBorder="1" applyAlignment="1">
      <alignment horizontal="center" vertical="center" wrapText="1"/>
    </xf>
    <xf numFmtId="3" fontId="19" fillId="6" borderId="13" xfId="0" applyNumberFormat="1" applyFont="1" applyFill="1" applyBorder="1" applyAlignment="1">
      <alignment horizontal="center" vertical="center" wrapText="1"/>
    </xf>
    <xf numFmtId="3" fontId="20" fillId="6" borderId="6" xfId="0" applyNumberFormat="1"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3" fontId="19" fillId="6" borderId="11" xfId="0" applyNumberFormat="1" applyFont="1" applyFill="1" applyBorder="1" applyAlignment="1">
      <alignment horizontal="center"/>
    </xf>
    <xf numFmtId="3" fontId="19" fillId="6" borderId="12" xfId="0" applyNumberFormat="1" applyFont="1" applyFill="1" applyBorder="1" applyAlignment="1">
      <alignment horizontal="center"/>
    </xf>
    <xf numFmtId="3" fontId="19" fillId="6" borderId="13" xfId="0" applyNumberFormat="1" applyFont="1" applyFill="1" applyBorder="1" applyAlignment="1">
      <alignment horizontal="center"/>
    </xf>
    <xf numFmtId="3" fontId="18" fillId="6" borderId="8" xfId="0" applyNumberFormat="1" applyFont="1" applyFill="1" applyBorder="1" applyAlignment="1">
      <alignment horizontal="center" vertical="center" wrapText="1"/>
    </xf>
    <xf numFmtId="3" fontId="18" fillId="6" borderId="9" xfId="0" applyNumberFormat="1"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1" fillId="6" borderId="6" xfId="0" applyFont="1" applyFill="1" applyBorder="1" applyAlignment="1">
      <alignment horizontal="center" vertical="center" wrapText="1"/>
    </xf>
    <xf numFmtId="3" fontId="16" fillId="6" borderId="0" xfId="0" applyNumberFormat="1" applyFont="1" applyFill="1" applyAlignment="1">
      <alignment horizontal="center" vertical="center" wrapText="1"/>
    </xf>
    <xf numFmtId="3" fontId="14" fillId="8" borderId="17" xfId="0" applyNumberFormat="1" applyFont="1" applyFill="1" applyBorder="1" applyAlignment="1">
      <alignment horizontal="center" vertical="center" wrapText="1"/>
    </xf>
    <xf numFmtId="0" fontId="14" fillId="8" borderId="17" xfId="0" applyFont="1" applyFill="1" applyBorder="1" applyAlignment="1">
      <alignment horizontal="center" vertical="center" wrapText="1"/>
    </xf>
    <xf numFmtId="3" fontId="14" fillId="6" borderId="17" xfId="0" applyNumberFormat="1" applyFont="1" applyFill="1" applyBorder="1" applyAlignment="1">
      <alignment horizontal="center" vertical="center" wrapText="1"/>
    </xf>
    <xf numFmtId="0" fontId="14" fillId="6" borderId="17" xfId="0" applyFont="1" applyFill="1" applyBorder="1" applyAlignment="1">
      <alignment horizontal="center" vertical="center" wrapText="1"/>
    </xf>
    <xf numFmtId="3" fontId="51" fillId="6" borderId="0" xfId="0" applyNumberFormat="1" applyFont="1" applyFill="1" applyAlignment="1">
      <alignment horizontal="center" vertical="center"/>
    </xf>
  </cellXfs>
  <cellStyles count="34">
    <cellStyle name="Comma" xfId="22" builtinId="3"/>
    <cellStyle name="Comma 2" xfId="27"/>
    <cellStyle name="Comma 3" xfId="32"/>
    <cellStyle name="Comma 4" xfId="33"/>
    <cellStyle name="Comma0" xfId="1"/>
    <cellStyle name="Currency0" xfId="2"/>
    <cellStyle name="Date" xfId="3"/>
    <cellStyle name="Fixed" xfId="4"/>
    <cellStyle name="Heading 1" xfId="5" builtinId="16" customBuiltin="1"/>
    <cellStyle name="Heading 2" xfId="6" builtinId="17" customBuiltin="1"/>
    <cellStyle name="Normal" xfId="0" builtinId="0"/>
    <cellStyle name="Normal 100" xfId="30"/>
    <cellStyle name="Normal 2" xfId="25"/>
    <cellStyle name="Normal 2 6" xfId="28"/>
    <cellStyle name="Normal 2_TK hang nam" xfId="29"/>
    <cellStyle name="Normal 3" xfId="23"/>
    <cellStyle name="Normal 4" xfId="26"/>
    <cellStyle name="Normal 5" xfId="24"/>
    <cellStyle name="Normal 6" xfId="31"/>
    <cellStyle name="Total" xfId="7" builtinId="25" customBuiltin="1"/>
    <cellStyle name="VN new romanNormal" xfId="8"/>
    <cellStyle name="VN time new roman" xfId="9"/>
    <cellStyle name="똿뗦먛귟 [0.00]_PRODUCT DETAIL Q1" xfId="10"/>
    <cellStyle name="똿뗦먛귟_PRODUCT DETAIL Q1" xfId="11"/>
    <cellStyle name="믅됞 [0.00]_PRODUCT DETAIL Q1" xfId="12"/>
    <cellStyle name="믅됞_PRODUCT DETAIL Q1" xfId="13"/>
    <cellStyle name="백분율_HOBONG" xfId="14"/>
    <cellStyle name="뷭?_BOOKSHIP" xfId="15"/>
    <cellStyle name="콤마 [0]_1202" xfId="16"/>
    <cellStyle name="콤마_1202" xfId="17"/>
    <cellStyle name="통화 [0]_1202" xfId="18"/>
    <cellStyle name="통화_1202" xfId="19"/>
    <cellStyle name="표준_(정보부문)월별인원계획" xfId="20"/>
    <cellStyle name="표준_kc-elec system check list" xfId="21"/>
  </cellStyles>
  <dxfs count="0"/>
  <tableStyles count="0" defaultTableStyle="TableStyleMedium9"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1847850</xdr:colOff>
      <xdr:row>3</xdr:row>
      <xdr:rowOff>0</xdr:rowOff>
    </xdr:from>
    <xdr:to>
      <xdr:col>1</xdr:col>
      <xdr:colOff>3647850</xdr:colOff>
      <xdr:row>3</xdr:row>
      <xdr:rowOff>0</xdr:rowOff>
    </xdr:to>
    <xdr:cxnSp macro="">
      <xdr:nvCxnSpPr>
        <xdr:cNvPr id="3" name="Straight Connector 2"/>
        <xdr:cNvCxnSpPr/>
      </xdr:nvCxnSpPr>
      <xdr:spPr>
        <a:xfrm>
          <a:off x="2238375" y="971550"/>
          <a:ext cx="180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739592</xdr:colOff>
      <xdr:row>2</xdr:row>
      <xdr:rowOff>56030</xdr:rowOff>
    </xdr:from>
    <xdr:to>
      <xdr:col>3</xdr:col>
      <xdr:colOff>680828</xdr:colOff>
      <xdr:row>2</xdr:row>
      <xdr:rowOff>56030</xdr:rowOff>
    </xdr:to>
    <xdr:cxnSp macro="">
      <xdr:nvCxnSpPr>
        <xdr:cNvPr id="3" name="Straight Connector 2"/>
        <xdr:cNvCxnSpPr/>
      </xdr:nvCxnSpPr>
      <xdr:spPr>
        <a:xfrm>
          <a:off x="4975416" y="1042148"/>
          <a:ext cx="216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142875</xdr:colOff>
      <xdr:row>3</xdr:row>
      <xdr:rowOff>47625</xdr:rowOff>
    </xdr:from>
    <xdr:to>
      <xdr:col>4</xdr:col>
      <xdr:colOff>33975</xdr:colOff>
      <xdr:row>3</xdr:row>
      <xdr:rowOff>47625</xdr:rowOff>
    </xdr:to>
    <xdr:cxnSp macro="">
      <xdr:nvCxnSpPr>
        <xdr:cNvPr id="3" name="Straight Connector 2"/>
        <xdr:cNvCxnSpPr/>
      </xdr:nvCxnSpPr>
      <xdr:spPr>
        <a:xfrm>
          <a:off x="3724275" y="762000"/>
          <a:ext cx="252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2095500</xdr:colOff>
      <xdr:row>3</xdr:row>
      <xdr:rowOff>9525</xdr:rowOff>
    </xdr:from>
    <xdr:to>
      <xdr:col>2</xdr:col>
      <xdr:colOff>333375</xdr:colOff>
      <xdr:row>3</xdr:row>
      <xdr:rowOff>9525</xdr:rowOff>
    </xdr:to>
    <xdr:cxnSp macro="">
      <xdr:nvCxnSpPr>
        <xdr:cNvPr id="3" name="Straight Connector 2"/>
        <xdr:cNvCxnSpPr/>
      </xdr:nvCxnSpPr>
      <xdr:spPr>
        <a:xfrm>
          <a:off x="2552700" y="809625"/>
          <a:ext cx="1771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2247900</xdr:colOff>
      <xdr:row>3</xdr:row>
      <xdr:rowOff>76200</xdr:rowOff>
    </xdr:from>
    <xdr:to>
      <xdr:col>2</xdr:col>
      <xdr:colOff>381000</xdr:colOff>
      <xdr:row>3</xdr:row>
      <xdr:rowOff>76200</xdr:rowOff>
    </xdr:to>
    <xdr:cxnSp macro="">
      <xdr:nvCxnSpPr>
        <xdr:cNvPr id="3" name="Straight Connector 2"/>
        <xdr:cNvCxnSpPr/>
      </xdr:nvCxnSpPr>
      <xdr:spPr>
        <a:xfrm>
          <a:off x="2552700" y="1019175"/>
          <a:ext cx="18383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1892300</xdr:colOff>
      <xdr:row>3</xdr:row>
      <xdr:rowOff>88900</xdr:rowOff>
    </xdr:from>
    <xdr:to>
      <xdr:col>1</xdr:col>
      <xdr:colOff>3479800</xdr:colOff>
      <xdr:row>3</xdr:row>
      <xdr:rowOff>88900</xdr:rowOff>
    </xdr:to>
    <xdr:cxnSp macro="">
      <xdr:nvCxnSpPr>
        <xdr:cNvPr id="3" name="Straight Connector 2"/>
        <xdr:cNvCxnSpPr/>
      </xdr:nvCxnSpPr>
      <xdr:spPr>
        <a:xfrm>
          <a:off x="2254250" y="584200"/>
          <a:ext cx="15875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408285</xdr:colOff>
      <xdr:row>3</xdr:row>
      <xdr:rowOff>62313</xdr:rowOff>
    </xdr:from>
    <xdr:to>
      <xdr:col>4</xdr:col>
      <xdr:colOff>100969</xdr:colOff>
      <xdr:row>3</xdr:row>
      <xdr:rowOff>62313</xdr:rowOff>
    </xdr:to>
    <xdr:cxnSp macro="">
      <xdr:nvCxnSpPr>
        <xdr:cNvPr id="3" name="Straight Connector 2"/>
        <xdr:cNvCxnSpPr/>
      </xdr:nvCxnSpPr>
      <xdr:spPr>
        <a:xfrm>
          <a:off x="5205421" y="755040"/>
          <a:ext cx="146779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914400</xdr:colOff>
      <xdr:row>3</xdr:row>
      <xdr:rowOff>38100</xdr:rowOff>
    </xdr:from>
    <xdr:to>
      <xdr:col>5</xdr:col>
      <xdr:colOff>57150</xdr:colOff>
      <xdr:row>3</xdr:row>
      <xdr:rowOff>38100</xdr:rowOff>
    </xdr:to>
    <xdr:cxnSp macro="">
      <xdr:nvCxnSpPr>
        <xdr:cNvPr id="3" name="Straight Connector 2"/>
        <xdr:cNvCxnSpPr/>
      </xdr:nvCxnSpPr>
      <xdr:spPr>
        <a:xfrm>
          <a:off x="5362575" y="942975"/>
          <a:ext cx="2200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17972</xdr:colOff>
      <xdr:row>3</xdr:row>
      <xdr:rowOff>26957</xdr:rowOff>
    </xdr:from>
    <xdr:to>
      <xdr:col>15</xdr:col>
      <xdr:colOff>287547</xdr:colOff>
      <xdr:row>3</xdr:row>
      <xdr:rowOff>26957</xdr:rowOff>
    </xdr:to>
    <xdr:cxnSp macro="">
      <xdr:nvCxnSpPr>
        <xdr:cNvPr id="3" name="Straight Connector 2"/>
        <xdr:cNvCxnSpPr/>
      </xdr:nvCxnSpPr>
      <xdr:spPr>
        <a:xfrm>
          <a:off x="5229764" y="620023"/>
          <a:ext cx="184209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114300</xdr:colOff>
      <xdr:row>3</xdr:row>
      <xdr:rowOff>38100</xdr:rowOff>
    </xdr:from>
    <xdr:to>
      <xdr:col>15</xdr:col>
      <xdr:colOff>314325</xdr:colOff>
      <xdr:row>3</xdr:row>
      <xdr:rowOff>38100</xdr:rowOff>
    </xdr:to>
    <xdr:cxnSp macro="">
      <xdr:nvCxnSpPr>
        <xdr:cNvPr id="3" name="Straight Connector 2"/>
        <xdr:cNvCxnSpPr/>
      </xdr:nvCxnSpPr>
      <xdr:spPr>
        <a:xfrm>
          <a:off x="5133975" y="723900"/>
          <a:ext cx="1771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1943100</xdr:colOff>
      <xdr:row>3</xdr:row>
      <xdr:rowOff>66675</xdr:rowOff>
    </xdr:from>
    <xdr:to>
      <xdr:col>1</xdr:col>
      <xdr:colOff>3752850</xdr:colOff>
      <xdr:row>3</xdr:row>
      <xdr:rowOff>66675</xdr:rowOff>
    </xdr:to>
    <xdr:cxnSp macro="">
      <xdr:nvCxnSpPr>
        <xdr:cNvPr id="3" name="Straight Connector 2"/>
        <xdr:cNvCxnSpPr/>
      </xdr:nvCxnSpPr>
      <xdr:spPr>
        <a:xfrm>
          <a:off x="2609850" y="1581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MINH%20NGUYET\My%20Documents\CTY%20586\P.KHKD\DINH\DONG%20THAP\CA%20GAO\DT-CAGA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chcsn1\c\Trung.th\su\My%20Documents\MINH%20NGUYET\My%20Documents\CTY%20586\P.KHKD\DINH\DONG%20THAP\CA%20GAO\DT-CAGA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P/Downloads/Bieu-so-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GIAVLIEU"/>
      <sheetName val="XM"/>
      <sheetName val="NC"/>
      <sheetName val="LINHTINH"/>
      <sheetName val="PTDG"/>
      <sheetName val="PHAN-CAU"/>
      <sheetName val="TONGHOP1"/>
      <sheetName val="TT"/>
      <sheetName val="Sheet1"/>
    </sheetNames>
    <sheetDataSet>
      <sheetData sheetId="0"/>
      <sheetData sheetId="1">
        <row r="41">
          <cell r="M41">
            <v>4761111.4773485707</v>
          </cell>
        </row>
        <row r="51">
          <cell r="M51">
            <v>42325320.399999991</v>
          </cell>
        </row>
        <row r="67">
          <cell r="M67">
            <v>550000</v>
          </cell>
        </row>
        <row r="70">
          <cell r="M70">
            <v>4545454.5454545449</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GIAVLIEU"/>
      <sheetName val="XM"/>
      <sheetName val="NC"/>
      <sheetName val="LINHTINH"/>
      <sheetName val="PTDG"/>
      <sheetName val="PHAN-CAU"/>
      <sheetName val="TONGHOP1"/>
      <sheetName val="TT"/>
      <sheetName val="Sheet1"/>
    </sheetNames>
    <sheetDataSet>
      <sheetData sheetId="0"/>
      <sheetData sheetId="1">
        <row r="41">
          <cell r="M41">
            <v>4761111.4773485707</v>
          </cell>
        </row>
        <row r="51">
          <cell r="M51">
            <v>42325320.399999991</v>
          </cell>
        </row>
        <row r="67">
          <cell r="M67">
            <v>550000</v>
          </cell>
        </row>
        <row r="70">
          <cell r="M70">
            <v>4545454.5454545449</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 trinh GD"/>
      <sheetName val="00000000"/>
      <sheetName val="00000001"/>
      <sheetName val="Bieu so 07"/>
      <sheetName val="Sheet1"/>
      <sheetName val="Bieu so 08"/>
      <sheetName val="Giảm hỗ trợ NS"/>
      <sheetName val="QUỸ THƯỞNG"/>
      <sheetName val="Sheet2"/>
    </sheetNames>
    <sheetDataSet>
      <sheetData sheetId="0">
        <row r="10">
          <cell r="N10">
            <v>196133</v>
          </cell>
          <cell r="O10">
            <v>55717</v>
          </cell>
          <cell r="P10">
            <v>97283</v>
          </cell>
          <cell r="Q10">
            <v>0</v>
          </cell>
          <cell r="R10">
            <v>0</v>
          </cell>
          <cell r="S10">
            <v>0</v>
          </cell>
          <cell r="T10">
            <v>880</v>
          </cell>
          <cell r="U10">
            <v>300</v>
          </cell>
          <cell r="V10">
            <v>0</v>
          </cell>
          <cell r="W10">
            <v>0</v>
          </cell>
          <cell r="X10">
            <v>0</v>
          </cell>
          <cell r="Y10">
            <v>0</v>
          </cell>
          <cell r="Z10">
            <v>0</v>
          </cell>
          <cell r="AA10">
            <v>385</v>
          </cell>
          <cell r="AB10">
            <v>41568</v>
          </cell>
          <cell r="AC10">
            <v>0</v>
          </cell>
          <cell r="AD10">
            <v>0</v>
          </cell>
          <cell r="AE10">
            <v>0</v>
          </cell>
          <cell r="AM10">
            <v>0</v>
          </cell>
        </row>
        <row r="18">
          <cell r="L18">
            <v>0</v>
          </cell>
          <cell r="N18">
            <v>89734</v>
          </cell>
          <cell r="O18">
            <v>0</v>
          </cell>
          <cell r="P18">
            <v>0</v>
          </cell>
          <cell r="Q18">
            <v>19673</v>
          </cell>
          <cell r="R18">
            <v>0</v>
          </cell>
          <cell r="S18">
            <v>0</v>
          </cell>
          <cell r="T18">
            <v>0</v>
          </cell>
          <cell r="U18">
            <v>222</v>
          </cell>
          <cell r="V18">
            <v>0</v>
          </cell>
          <cell r="W18">
            <v>0</v>
          </cell>
          <cell r="X18">
            <v>0</v>
          </cell>
          <cell r="Y18">
            <v>0</v>
          </cell>
          <cell r="Z18">
            <v>0</v>
          </cell>
          <cell r="AA18">
            <v>51</v>
          </cell>
          <cell r="AB18">
            <v>16033</v>
          </cell>
          <cell r="AC18">
            <v>0</v>
          </cell>
          <cell r="AD18">
            <v>3700</v>
          </cell>
          <cell r="AE18">
            <v>50055</v>
          </cell>
          <cell r="AK18">
            <v>0</v>
          </cell>
          <cell r="AM18">
            <v>0</v>
          </cell>
        </row>
        <row r="23">
          <cell r="L23">
            <v>0</v>
          </cell>
          <cell r="N23">
            <v>31464</v>
          </cell>
          <cell r="O23">
            <v>0</v>
          </cell>
          <cell r="P23">
            <v>0</v>
          </cell>
          <cell r="Q23">
            <v>0</v>
          </cell>
          <cell r="R23">
            <v>0</v>
          </cell>
          <cell r="S23">
            <v>13500</v>
          </cell>
          <cell r="T23">
            <v>0</v>
          </cell>
          <cell r="U23">
            <v>50</v>
          </cell>
          <cell r="V23">
            <v>0</v>
          </cell>
          <cell r="W23">
            <v>0</v>
          </cell>
          <cell r="X23">
            <v>1500</v>
          </cell>
          <cell r="Y23">
            <v>0</v>
          </cell>
          <cell r="Z23">
            <v>0</v>
          </cell>
          <cell r="AA23">
            <v>40</v>
          </cell>
          <cell r="AB23">
            <v>10874</v>
          </cell>
          <cell r="AC23">
            <v>0</v>
          </cell>
          <cell r="AD23">
            <v>0</v>
          </cell>
          <cell r="AE23">
            <v>0</v>
          </cell>
          <cell r="AK23">
            <v>0</v>
          </cell>
          <cell r="AM23">
            <v>5500</v>
          </cell>
        </row>
        <row r="28">
          <cell r="L28">
            <v>0</v>
          </cell>
          <cell r="N28">
            <v>13958</v>
          </cell>
          <cell r="O28">
            <v>0</v>
          </cell>
          <cell r="P28">
            <v>0</v>
          </cell>
          <cell r="Q28">
            <v>0</v>
          </cell>
          <cell r="R28">
            <v>0</v>
          </cell>
          <cell r="S28">
            <v>300</v>
          </cell>
          <cell r="T28">
            <v>0</v>
          </cell>
          <cell r="U28">
            <v>500</v>
          </cell>
          <cell r="V28">
            <v>0</v>
          </cell>
          <cell r="W28">
            <v>0</v>
          </cell>
          <cell r="X28">
            <v>0</v>
          </cell>
          <cell r="Y28">
            <v>0</v>
          </cell>
          <cell r="Z28">
            <v>0</v>
          </cell>
          <cell r="AA28">
            <v>40</v>
          </cell>
          <cell r="AB28">
            <v>12992</v>
          </cell>
          <cell r="AC28">
            <v>0</v>
          </cell>
          <cell r="AD28">
            <v>126</v>
          </cell>
          <cell r="AE28">
            <v>0</v>
          </cell>
          <cell r="AK28">
            <v>0</v>
          </cell>
          <cell r="AM28">
            <v>0</v>
          </cell>
        </row>
        <row r="33">
          <cell r="L33">
            <v>0</v>
          </cell>
          <cell r="N33">
            <v>27399</v>
          </cell>
          <cell r="O33">
            <v>0</v>
          </cell>
          <cell r="P33">
            <v>0</v>
          </cell>
          <cell r="Q33">
            <v>0</v>
          </cell>
          <cell r="R33">
            <v>0</v>
          </cell>
          <cell r="S33">
            <v>12757</v>
          </cell>
          <cell r="T33">
            <v>2030</v>
          </cell>
          <cell r="U33">
            <v>160</v>
          </cell>
          <cell r="V33">
            <v>0</v>
          </cell>
          <cell r="W33">
            <v>0</v>
          </cell>
          <cell r="X33">
            <v>1222</v>
          </cell>
          <cell r="Y33">
            <v>0</v>
          </cell>
          <cell r="Z33">
            <v>0</v>
          </cell>
          <cell r="AA33">
            <v>110</v>
          </cell>
          <cell r="AB33">
            <v>10858</v>
          </cell>
          <cell r="AC33">
            <v>0</v>
          </cell>
          <cell r="AD33">
            <v>192</v>
          </cell>
          <cell r="AE33">
            <v>0</v>
          </cell>
          <cell r="AK33">
            <v>0</v>
          </cell>
          <cell r="AM33">
            <v>70</v>
          </cell>
        </row>
        <row r="39">
          <cell r="L39">
            <v>0</v>
          </cell>
          <cell r="N39">
            <v>19434</v>
          </cell>
          <cell r="O39">
            <v>0</v>
          </cell>
          <cell r="P39">
            <v>0</v>
          </cell>
          <cell r="Q39">
            <v>0</v>
          </cell>
          <cell r="R39">
            <v>0</v>
          </cell>
          <cell r="S39">
            <v>7467</v>
          </cell>
          <cell r="T39">
            <v>0</v>
          </cell>
          <cell r="U39">
            <v>440</v>
          </cell>
          <cell r="V39">
            <v>0</v>
          </cell>
          <cell r="W39">
            <v>0</v>
          </cell>
          <cell r="X39">
            <v>0</v>
          </cell>
          <cell r="Y39">
            <v>0</v>
          </cell>
          <cell r="Z39">
            <v>0</v>
          </cell>
          <cell r="AA39">
            <v>55</v>
          </cell>
          <cell r="AB39">
            <v>11302</v>
          </cell>
          <cell r="AC39">
            <v>0</v>
          </cell>
          <cell r="AD39">
            <v>170</v>
          </cell>
          <cell r="AE39">
            <v>0</v>
          </cell>
          <cell r="AK39">
            <v>0</v>
          </cell>
          <cell r="AM39">
            <v>0</v>
          </cell>
        </row>
        <row r="44">
          <cell r="L44">
            <v>0</v>
          </cell>
          <cell r="N44">
            <v>22633</v>
          </cell>
          <cell r="O44">
            <v>0</v>
          </cell>
          <cell r="P44">
            <v>0</v>
          </cell>
          <cell r="Q44">
            <v>0</v>
          </cell>
          <cell r="R44">
            <v>0</v>
          </cell>
          <cell r="S44">
            <v>14152</v>
          </cell>
          <cell r="T44">
            <v>0</v>
          </cell>
          <cell r="U44">
            <v>200</v>
          </cell>
          <cell r="V44">
            <v>0</v>
          </cell>
          <cell r="W44">
            <v>0</v>
          </cell>
          <cell r="X44">
            <v>0</v>
          </cell>
          <cell r="Y44">
            <v>0</v>
          </cell>
          <cell r="Z44">
            <v>0</v>
          </cell>
          <cell r="AA44">
            <v>20</v>
          </cell>
          <cell r="AB44">
            <v>8261</v>
          </cell>
          <cell r="AC44">
            <v>0</v>
          </cell>
          <cell r="AD44">
            <v>0</v>
          </cell>
          <cell r="AE44">
            <v>0</v>
          </cell>
          <cell r="AK44">
            <v>0</v>
          </cell>
          <cell r="AM44">
            <v>0</v>
          </cell>
        </row>
        <row r="49">
          <cell r="L49">
            <v>0</v>
          </cell>
          <cell r="N49">
            <v>16303</v>
          </cell>
          <cell r="O49">
            <v>0</v>
          </cell>
          <cell r="P49">
            <v>0</v>
          </cell>
          <cell r="Q49">
            <v>0</v>
          </cell>
          <cell r="R49">
            <v>0</v>
          </cell>
          <cell r="S49">
            <v>3445</v>
          </cell>
          <cell r="T49">
            <v>3465</v>
          </cell>
          <cell r="U49">
            <v>260</v>
          </cell>
          <cell r="V49">
            <v>0</v>
          </cell>
          <cell r="W49">
            <v>0</v>
          </cell>
          <cell r="X49">
            <v>0</v>
          </cell>
          <cell r="Y49">
            <v>0</v>
          </cell>
          <cell r="Z49">
            <v>0</v>
          </cell>
          <cell r="AA49">
            <v>180</v>
          </cell>
          <cell r="AB49">
            <v>8953</v>
          </cell>
          <cell r="AC49">
            <v>0</v>
          </cell>
          <cell r="AD49">
            <v>0</v>
          </cell>
          <cell r="AE49">
            <v>0</v>
          </cell>
          <cell r="AK49">
            <v>0</v>
          </cell>
          <cell r="AM49">
            <v>0</v>
          </cell>
        </row>
        <row r="54">
          <cell r="L54">
            <v>0</v>
          </cell>
          <cell r="N54">
            <v>148144</v>
          </cell>
          <cell r="O54">
            <v>0</v>
          </cell>
          <cell r="P54">
            <v>0</v>
          </cell>
          <cell r="Q54">
            <v>0</v>
          </cell>
          <cell r="R54">
            <v>0</v>
          </cell>
          <cell r="S54">
            <v>5510</v>
          </cell>
          <cell r="T54">
            <v>2170</v>
          </cell>
          <cell r="U54">
            <v>44006</v>
          </cell>
          <cell r="V54">
            <v>0</v>
          </cell>
          <cell r="W54">
            <v>42233</v>
          </cell>
          <cell r="X54">
            <v>0</v>
          </cell>
          <cell r="Y54">
            <v>44113</v>
          </cell>
          <cell r="Z54">
            <v>0</v>
          </cell>
          <cell r="AA54">
            <v>551</v>
          </cell>
          <cell r="AB54">
            <v>9531</v>
          </cell>
          <cell r="AC54">
            <v>0</v>
          </cell>
          <cell r="AD54">
            <v>30</v>
          </cell>
          <cell r="AE54">
            <v>0</v>
          </cell>
          <cell r="AK54">
            <v>0</v>
          </cell>
          <cell r="AM54">
            <v>0</v>
          </cell>
        </row>
        <row r="60">
          <cell r="N60">
            <v>16817</v>
          </cell>
          <cell r="U60">
            <v>300</v>
          </cell>
          <cell r="Z60">
            <v>590</v>
          </cell>
          <cell r="AA60">
            <v>180</v>
          </cell>
          <cell r="AB60">
            <v>15747</v>
          </cell>
        </row>
        <row r="61">
          <cell r="N61">
            <v>18215</v>
          </cell>
          <cell r="S61">
            <v>260</v>
          </cell>
          <cell r="T61">
            <v>0</v>
          </cell>
          <cell r="U61">
            <v>230</v>
          </cell>
          <cell r="V61">
            <v>0</v>
          </cell>
          <cell r="W61">
            <v>0</v>
          </cell>
          <cell r="X61">
            <v>6800</v>
          </cell>
          <cell r="Y61">
            <v>0</v>
          </cell>
          <cell r="Z61">
            <v>0</v>
          </cell>
          <cell r="AA61">
            <v>1285</v>
          </cell>
          <cell r="AB61">
            <v>9440</v>
          </cell>
          <cell r="AC61">
            <v>0</v>
          </cell>
          <cell r="AD61">
            <v>200</v>
          </cell>
        </row>
        <row r="66">
          <cell r="L66">
            <v>0</v>
          </cell>
          <cell r="N66">
            <v>47967</v>
          </cell>
          <cell r="O66">
            <v>0</v>
          </cell>
          <cell r="P66">
            <v>0</v>
          </cell>
          <cell r="Q66">
            <v>0</v>
          </cell>
          <cell r="R66">
            <v>0</v>
          </cell>
          <cell r="S66">
            <v>5490</v>
          </cell>
          <cell r="T66">
            <v>0</v>
          </cell>
          <cell r="U66">
            <v>1320</v>
          </cell>
          <cell r="V66">
            <v>0</v>
          </cell>
          <cell r="W66">
            <v>0</v>
          </cell>
          <cell r="X66">
            <v>1800</v>
          </cell>
          <cell r="Y66">
            <v>0</v>
          </cell>
          <cell r="Z66">
            <v>1533</v>
          </cell>
          <cell r="AA66">
            <v>25</v>
          </cell>
          <cell r="AB66">
            <v>13399</v>
          </cell>
          <cell r="AC66">
            <v>100</v>
          </cell>
          <cell r="AD66">
            <v>24300</v>
          </cell>
          <cell r="AE66">
            <v>0</v>
          </cell>
          <cell r="AK66">
            <v>0</v>
          </cell>
          <cell r="AM66">
            <v>0</v>
          </cell>
        </row>
        <row r="72">
          <cell r="L72">
            <v>0</v>
          </cell>
          <cell r="N72">
            <v>33326</v>
          </cell>
          <cell r="O72">
            <v>0</v>
          </cell>
          <cell r="P72">
            <v>0</v>
          </cell>
          <cell r="Q72">
            <v>0</v>
          </cell>
          <cell r="R72">
            <v>0</v>
          </cell>
          <cell r="S72">
            <v>0</v>
          </cell>
          <cell r="T72">
            <v>0</v>
          </cell>
          <cell r="U72">
            <v>330</v>
          </cell>
          <cell r="V72">
            <v>0</v>
          </cell>
          <cell r="W72">
            <v>0</v>
          </cell>
          <cell r="X72">
            <v>16719</v>
          </cell>
          <cell r="Y72">
            <v>0</v>
          </cell>
          <cell r="Z72">
            <v>0</v>
          </cell>
          <cell r="AA72">
            <v>7850</v>
          </cell>
          <cell r="AB72">
            <v>8327</v>
          </cell>
          <cell r="AC72">
            <v>0</v>
          </cell>
          <cell r="AD72">
            <v>100</v>
          </cell>
          <cell r="AE72">
            <v>0</v>
          </cell>
          <cell r="AK72">
            <v>0</v>
          </cell>
          <cell r="AM72">
            <v>0</v>
          </cell>
        </row>
        <row r="77">
          <cell r="L77">
            <v>0</v>
          </cell>
          <cell r="N77">
            <v>97156</v>
          </cell>
          <cell r="O77">
            <v>0</v>
          </cell>
          <cell r="P77">
            <v>0</v>
          </cell>
          <cell r="Q77">
            <v>0</v>
          </cell>
          <cell r="R77">
            <v>0</v>
          </cell>
          <cell r="S77">
            <v>2608</v>
          </cell>
          <cell r="T77">
            <v>0</v>
          </cell>
          <cell r="U77">
            <v>14800</v>
          </cell>
          <cell r="V77">
            <v>0</v>
          </cell>
          <cell r="W77">
            <v>0</v>
          </cell>
          <cell r="X77">
            <v>0</v>
          </cell>
          <cell r="Y77">
            <v>0</v>
          </cell>
          <cell r="Z77">
            <v>68546</v>
          </cell>
          <cell r="AA77">
            <v>300</v>
          </cell>
          <cell r="AB77">
            <v>10902</v>
          </cell>
          <cell r="AC77">
            <v>0</v>
          </cell>
          <cell r="AD77">
            <v>0</v>
          </cell>
          <cell r="AE77">
            <v>0</v>
          </cell>
          <cell r="AK77">
            <v>0</v>
          </cell>
          <cell r="AM77">
            <v>0</v>
          </cell>
        </row>
        <row r="82">
          <cell r="L82">
            <v>0</v>
          </cell>
          <cell r="N82">
            <v>25308</v>
          </cell>
          <cell r="O82">
            <v>0</v>
          </cell>
          <cell r="P82">
            <v>0</v>
          </cell>
          <cell r="Q82">
            <v>0</v>
          </cell>
          <cell r="R82">
            <v>0</v>
          </cell>
          <cell r="S82">
            <v>0</v>
          </cell>
          <cell r="T82">
            <v>0</v>
          </cell>
          <cell r="U82">
            <v>40</v>
          </cell>
          <cell r="V82">
            <v>0</v>
          </cell>
          <cell r="W82">
            <v>0</v>
          </cell>
          <cell r="X82">
            <v>0</v>
          </cell>
          <cell r="Y82">
            <v>0</v>
          </cell>
          <cell r="Z82">
            <v>0</v>
          </cell>
          <cell r="AA82">
            <v>17281</v>
          </cell>
          <cell r="AB82">
            <v>7837</v>
          </cell>
          <cell r="AC82">
            <v>0</v>
          </cell>
          <cell r="AD82">
            <v>150</v>
          </cell>
          <cell r="AE82">
            <v>0</v>
          </cell>
          <cell r="AK82">
            <v>0</v>
          </cell>
          <cell r="AM82">
            <v>0</v>
          </cell>
        </row>
        <row r="88">
          <cell r="L88">
            <v>0</v>
          </cell>
          <cell r="N88">
            <v>672527</v>
          </cell>
          <cell r="O88">
            <v>0</v>
          </cell>
          <cell r="P88">
            <v>0</v>
          </cell>
          <cell r="Q88">
            <v>0</v>
          </cell>
          <cell r="R88">
            <v>0</v>
          </cell>
          <cell r="S88">
            <v>0</v>
          </cell>
          <cell r="T88">
            <v>0</v>
          </cell>
          <cell r="U88">
            <v>660585</v>
          </cell>
          <cell r="V88">
            <v>0</v>
          </cell>
          <cell r="W88">
            <v>0</v>
          </cell>
          <cell r="X88">
            <v>0</v>
          </cell>
          <cell r="Y88">
            <v>0</v>
          </cell>
          <cell r="Z88">
            <v>0</v>
          </cell>
          <cell r="AA88">
            <v>80</v>
          </cell>
          <cell r="AB88">
            <v>11862</v>
          </cell>
          <cell r="AC88">
            <v>0</v>
          </cell>
          <cell r="AD88">
            <v>0</v>
          </cell>
          <cell r="AE88">
            <v>0</v>
          </cell>
          <cell r="AK88">
            <v>0</v>
          </cell>
          <cell r="AM88">
            <v>0</v>
          </cell>
        </row>
        <row r="94">
          <cell r="L94">
            <v>0</v>
          </cell>
          <cell r="N94">
            <v>401292</v>
          </cell>
          <cell r="O94">
            <v>0</v>
          </cell>
          <cell r="P94">
            <v>0</v>
          </cell>
          <cell r="Q94">
            <v>0</v>
          </cell>
          <cell r="R94">
            <v>0</v>
          </cell>
          <cell r="S94">
            <v>0</v>
          </cell>
          <cell r="T94">
            <v>0</v>
          </cell>
          <cell r="U94">
            <v>8700</v>
          </cell>
          <cell r="V94">
            <v>372888</v>
          </cell>
          <cell r="W94">
            <v>0</v>
          </cell>
          <cell r="X94">
            <v>8094</v>
          </cell>
          <cell r="Y94">
            <v>0</v>
          </cell>
          <cell r="Z94">
            <v>0</v>
          </cell>
          <cell r="AA94">
            <v>20</v>
          </cell>
          <cell r="AB94">
            <v>11590</v>
          </cell>
          <cell r="AC94">
            <v>0</v>
          </cell>
          <cell r="AD94">
            <v>0</v>
          </cell>
          <cell r="AE94">
            <v>0</v>
          </cell>
          <cell r="AK94">
            <v>0</v>
          </cell>
          <cell r="AM94">
            <v>0</v>
          </cell>
        </row>
        <row r="101">
          <cell r="L101">
            <v>0</v>
          </cell>
          <cell r="N101">
            <v>49810</v>
          </cell>
          <cell r="O101">
            <v>0</v>
          </cell>
          <cell r="P101">
            <v>0</v>
          </cell>
          <cell r="Q101">
            <v>0</v>
          </cell>
          <cell r="R101">
            <v>0</v>
          </cell>
          <cell r="S101">
            <v>16614</v>
          </cell>
          <cell r="T101">
            <v>0</v>
          </cell>
          <cell r="U101">
            <v>250</v>
          </cell>
          <cell r="V101">
            <v>0</v>
          </cell>
          <cell r="W101">
            <v>0</v>
          </cell>
          <cell r="X101">
            <v>200</v>
          </cell>
          <cell r="Y101">
            <v>0</v>
          </cell>
          <cell r="Z101">
            <v>1000</v>
          </cell>
          <cell r="AA101">
            <v>1816</v>
          </cell>
          <cell r="AB101">
            <v>29930</v>
          </cell>
          <cell r="AC101">
            <v>0</v>
          </cell>
          <cell r="AD101">
            <v>0</v>
          </cell>
          <cell r="AE101">
            <v>0</v>
          </cell>
          <cell r="AK101">
            <v>0</v>
          </cell>
          <cell r="AM101">
            <v>0</v>
          </cell>
        </row>
        <row r="106">
          <cell r="N106">
            <v>3715</v>
          </cell>
          <cell r="U106">
            <v>130</v>
          </cell>
          <cell r="Z106">
            <v>135</v>
          </cell>
          <cell r="AA106">
            <v>20</v>
          </cell>
          <cell r="AB106">
            <v>2930</v>
          </cell>
          <cell r="AM106">
            <v>500</v>
          </cell>
        </row>
        <row r="107">
          <cell r="N107">
            <v>4851</v>
          </cell>
          <cell r="T107">
            <v>100</v>
          </cell>
          <cell r="U107">
            <v>100</v>
          </cell>
          <cell r="AA107">
            <v>47</v>
          </cell>
          <cell r="AB107">
            <v>4559</v>
          </cell>
          <cell r="AM107">
            <v>45</v>
          </cell>
        </row>
        <row r="112">
          <cell r="N112">
            <v>3338</v>
          </cell>
          <cell r="S112">
            <v>2828</v>
          </cell>
          <cell r="T112">
            <v>300</v>
          </cell>
          <cell r="U112">
            <v>160</v>
          </cell>
          <cell r="AA112">
            <v>50</v>
          </cell>
          <cell r="AM112">
            <v>0</v>
          </cell>
        </row>
        <row r="117">
          <cell r="N117">
            <v>2303</v>
          </cell>
          <cell r="AA117">
            <v>1170</v>
          </cell>
          <cell r="AB117">
            <v>1113</v>
          </cell>
          <cell r="AM117">
            <v>20</v>
          </cell>
        </row>
        <row r="118">
          <cell r="L118">
            <v>0</v>
          </cell>
          <cell r="N118">
            <v>42075</v>
          </cell>
          <cell r="O118">
            <v>115</v>
          </cell>
          <cell r="P118">
            <v>0</v>
          </cell>
          <cell r="Q118">
            <v>0</v>
          </cell>
          <cell r="R118">
            <v>0</v>
          </cell>
          <cell r="S118">
            <v>599</v>
          </cell>
          <cell r="T118">
            <v>81</v>
          </cell>
          <cell r="U118">
            <v>1247</v>
          </cell>
          <cell r="V118">
            <v>1356</v>
          </cell>
          <cell r="W118">
            <v>3059</v>
          </cell>
          <cell r="X118">
            <v>0</v>
          </cell>
          <cell r="Y118">
            <v>0</v>
          </cell>
          <cell r="Z118">
            <v>2693</v>
          </cell>
          <cell r="AA118">
            <v>240</v>
          </cell>
          <cell r="AB118">
            <v>31839</v>
          </cell>
          <cell r="AC118">
            <v>0</v>
          </cell>
          <cell r="AD118">
            <v>0</v>
          </cell>
          <cell r="AE118">
            <v>683</v>
          </cell>
          <cell r="AK118">
            <v>0</v>
          </cell>
          <cell r="AM118">
            <v>163</v>
          </cell>
        </row>
        <row r="119">
          <cell r="N119">
            <v>5561</v>
          </cell>
          <cell r="U119">
            <v>347</v>
          </cell>
          <cell r="AA119">
            <v>30</v>
          </cell>
          <cell r="AB119">
            <v>5134</v>
          </cell>
          <cell r="AM119">
            <v>50</v>
          </cell>
        </row>
        <row r="120">
          <cell r="N120">
            <v>8859</v>
          </cell>
          <cell r="U120">
            <v>525</v>
          </cell>
          <cell r="W120">
            <v>1753</v>
          </cell>
          <cell r="Z120">
            <v>1800</v>
          </cell>
          <cell r="AA120">
            <v>40</v>
          </cell>
          <cell r="AB120">
            <v>4703</v>
          </cell>
          <cell r="AM120">
            <v>38</v>
          </cell>
        </row>
        <row r="121">
          <cell r="N121">
            <v>7901</v>
          </cell>
          <cell r="U121">
            <v>150</v>
          </cell>
          <cell r="W121">
            <v>376</v>
          </cell>
          <cell r="Z121">
            <v>893</v>
          </cell>
          <cell r="AA121">
            <v>25</v>
          </cell>
          <cell r="AB121">
            <v>6435</v>
          </cell>
          <cell r="AM121">
            <v>22</v>
          </cell>
        </row>
        <row r="122">
          <cell r="N122">
            <v>5242</v>
          </cell>
          <cell r="O122">
            <v>115</v>
          </cell>
          <cell r="T122">
            <v>81</v>
          </cell>
          <cell r="U122">
            <v>90</v>
          </cell>
          <cell r="AA122">
            <v>80</v>
          </cell>
          <cell r="AB122">
            <v>4837</v>
          </cell>
          <cell r="AM122">
            <v>39</v>
          </cell>
        </row>
        <row r="123">
          <cell r="N123">
            <v>991</v>
          </cell>
          <cell r="W123">
            <v>130</v>
          </cell>
          <cell r="AB123">
            <v>661</v>
          </cell>
          <cell r="AE123">
            <v>200</v>
          </cell>
        </row>
        <row r="124">
          <cell r="N124">
            <v>2962</v>
          </cell>
          <cell r="U124">
            <v>100</v>
          </cell>
          <cell r="AB124">
            <v>2848</v>
          </cell>
          <cell r="AM124">
            <v>14</v>
          </cell>
        </row>
        <row r="125">
          <cell r="N125">
            <v>2588</v>
          </cell>
          <cell r="W125">
            <v>800</v>
          </cell>
          <cell r="AA125">
            <v>25</v>
          </cell>
          <cell r="AB125">
            <v>1280</v>
          </cell>
          <cell r="AE125">
            <v>483</v>
          </cell>
        </row>
        <row r="126">
          <cell r="N126">
            <v>2855</v>
          </cell>
          <cell r="U126">
            <v>25</v>
          </cell>
          <cell r="V126">
            <v>100</v>
          </cell>
          <cell r="AA126">
            <v>40</v>
          </cell>
          <cell r="AB126">
            <v>2690</v>
          </cell>
        </row>
        <row r="127">
          <cell r="N127">
            <v>1256</v>
          </cell>
          <cell r="V127">
            <v>1256</v>
          </cell>
        </row>
        <row r="128">
          <cell r="N128">
            <v>2630</v>
          </cell>
          <cell r="S128">
            <v>599</v>
          </cell>
          <cell r="U128">
            <v>10</v>
          </cell>
          <cell r="AB128">
            <v>2021</v>
          </cell>
        </row>
        <row r="129">
          <cell r="N129">
            <v>1230</v>
          </cell>
          <cell r="AB129">
            <v>1230</v>
          </cell>
        </row>
        <row r="130">
          <cell r="L130">
            <v>0</v>
          </cell>
          <cell r="N130">
            <v>79423</v>
          </cell>
          <cell r="O130">
            <v>0</v>
          </cell>
          <cell r="P130">
            <v>0</v>
          </cell>
          <cell r="Q130">
            <v>0</v>
          </cell>
          <cell r="R130">
            <v>0</v>
          </cell>
          <cell r="S130">
            <v>0</v>
          </cell>
          <cell r="T130">
            <v>0</v>
          </cell>
          <cell r="U130">
            <v>79383</v>
          </cell>
          <cell r="V130">
            <v>0</v>
          </cell>
          <cell r="W130">
            <v>0</v>
          </cell>
          <cell r="X130">
            <v>0</v>
          </cell>
          <cell r="Y130">
            <v>0</v>
          </cell>
          <cell r="Z130">
            <v>0</v>
          </cell>
          <cell r="AA130">
            <v>40</v>
          </cell>
          <cell r="AB130">
            <v>0</v>
          </cell>
          <cell r="AC130">
            <v>0</v>
          </cell>
          <cell r="AD130">
            <v>0</v>
          </cell>
          <cell r="AE130">
            <v>0</v>
          </cell>
          <cell r="AK130">
            <v>0</v>
          </cell>
          <cell r="AM130">
            <v>0</v>
          </cell>
        </row>
        <row r="131">
          <cell r="N131">
            <v>14886</v>
          </cell>
          <cell r="U131">
            <v>14846</v>
          </cell>
          <cell r="AA131">
            <v>40</v>
          </cell>
        </row>
        <row r="133">
          <cell r="N133">
            <v>33934</v>
          </cell>
          <cell r="U133">
            <v>33934</v>
          </cell>
        </row>
        <row r="134">
          <cell r="N134">
            <v>30603</v>
          </cell>
          <cell r="U134">
            <v>30603</v>
          </cell>
        </row>
        <row r="135">
          <cell r="B135" t="str">
            <v>Các nhiệm vụ KHCN cấp cơ sở</v>
          </cell>
          <cell r="N135">
            <v>2000</v>
          </cell>
          <cell r="AA135">
            <v>2000</v>
          </cell>
        </row>
        <row r="136">
          <cell r="N136">
            <v>4517</v>
          </cell>
          <cell r="O136">
            <v>0</v>
          </cell>
          <cell r="P136">
            <v>0</v>
          </cell>
          <cell r="Q136">
            <v>0</v>
          </cell>
          <cell r="R136">
            <v>0</v>
          </cell>
          <cell r="S136">
            <v>0</v>
          </cell>
          <cell r="T136">
            <v>0</v>
          </cell>
          <cell r="U136">
            <v>10</v>
          </cell>
          <cell r="V136">
            <v>173</v>
          </cell>
          <cell r="W136">
            <v>0</v>
          </cell>
          <cell r="X136">
            <v>0</v>
          </cell>
          <cell r="Y136">
            <v>0</v>
          </cell>
          <cell r="Z136">
            <v>0</v>
          </cell>
          <cell r="AA136">
            <v>0</v>
          </cell>
          <cell r="AB136">
            <v>4334</v>
          </cell>
          <cell r="AC136">
            <v>0</v>
          </cell>
          <cell r="AD136">
            <v>0</v>
          </cell>
          <cell r="AE136">
            <v>0</v>
          </cell>
          <cell r="AK136">
            <v>0</v>
          </cell>
          <cell r="AM136">
            <v>0</v>
          </cell>
        </row>
        <row r="137">
          <cell r="N137">
            <v>188</v>
          </cell>
          <cell r="AB137">
            <v>188</v>
          </cell>
        </row>
        <row r="138">
          <cell r="B138" t="str">
            <v>Hội cựu giáo chức</v>
          </cell>
          <cell r="N138">
            <v>174</v>
          </cell>
          <cell r="AB138">
            <v>174</v>
          </cell>
        </row>
        <row r="139">
          <cell r="N139">
            <v>521</v>
          </cell>
          <cell r="AB139">
            <v>521</v>
          </cell>
        </row>
        <row r="140">
          <cell r="N140">
            <v>56</v>
          </cell>
          <cell r="AB140">
            <v>56</v>
          </cell>
        </row>
        <row r="141">
          <cell r="N141">
            <v>417</v>
          </cell>
          <cell r="AB141">
            <v>417</v>
          </cell>
        </row>
        <row r="142">
          <cell r="N142">
            <v>50</v>
          </cell>
          <cell r="AB142">
            <v>50</v>
          </cell>
        </row>
        <row r="143">
          <cell r="N143">
            <v>59</v>
          </cell>
          <cell r="AB143">
            <v>59</v>
          </cell>
        </row>
        <row r="144">
          <cell r="N144">
            <v>60</v>
          </cell>
          <cell r="AB144">
            <v>60</v>
          </cell>
        </row>
        <row r="145">
          <cell r="N145">
            <v>580</v>
          </cell>
          <cell r="AB145">
            <v>580</v>
          </cell>
        </row>
        <row r="146">
          <cell r="N146">
            <v>325</v>
          </cell>
          <cell r="AB146">
            <v>325</v>
          </cell>
        </row>
        <row r="147">
          <cell r="N147">
            <v>600</v>
          </cell>
          <cell r="AB147">
            <v>600</v>
          </cell>
        </row>
        <row r="148">
          <cell r="N148">
            <v>407</v>
          </cell>
          <cell r="Q148" t="str">
            <v xml:space="preserve">                                                           </v>
          </cell>
          <cell r="AB148">
            <v>407</v>
          </cell>
        </row>
        <row r="149">
          <cell r="B149" t="str">
            <v>Ban CĐVĐ hiến máu TN</v>
          </cell>
          <cell r="N149">
            <v>550</v>
          </cell>
          <cell r="U149">
            <v>10</v>
          </cell>
          <cell r="V149">
            <v>173</v>
          </cell>
          <cell r="AB149">
            <v>367</v>
          </cell>
        </row>
        <row r="150">
          <cell r="B150" t="str">
            <v>CLB hưu trí tỉnh</v>
          </cell>
          <cell r="N150">
            <v>380</v>
          </cell>
          <cell r="AB150">
            <v>380</v>
          </cell>
        </row>
        <row r="151">
          <cell r="B151" t="str">
            <v>Liên đoàn lao động</v>
          </cell>
          <cell r="N151">
            <v>150</v>
          </cell>
          <cell r="AB151">
            <v>150</v>
          </cell>
        </row>
        <row r="152">
          <cell r="N152">
            <v>0</v>
          </cell>
        </row>
        <row r="153">
          <cell r="N153">
            <v>2045</v>
          </cell>
          <cell r="S153">
            <v>2045</v>
          </cell>
        </row>
        <row r="154">
          <cell r="N154">
            <v>14525</v>
          </cell>
          <cell r="R154">
            <v>1500</v>
          </cell>
          <cell r="AC154">
            <v>13025</v>
          </cell>
        </row>
        <row r="155">
          <cell r="N155">
            <v>68676</v>
          </cell>
          <cell r="U155">
            <v>3085</v>
          </cell>
          <cell r="AC155">
            <v>36591</v>
          </cell>
          <cell r="AE155">
            <v>29000</v>
          </cell>
        </row>
        <row r="156">
          <cell r="N156">
            <v>113417</v>
          </cell>
          <cell r="U156">
            <v>3294</v>
          </cell>
          <cell r="W156">
            <v>13479</v>
          </cell>
          <cell r="Z156">
            <v>7260</v>
          </cell>
          <cell r="AB156">
            <v>80884</v>
          </cell>
          <cell r="AD156">
            <v>8500</v>
          </cell>
        </row>
        <row r="157">
          <cell r="B157" t="str">
            <v xml:space="preserve">Kinh phí thực hiện CTMTQG nông thôn mới </v>
          </cell>
          <cell r="AK157">
            <v>59295</v>
          </cell>
        </row>
        <row r="158">
          <cell r="B158" t="str">
            <v>BHXH (Kp mua BHYT cho các đối tượng người nghèo, trẻ em dưới 6 tuổi, HSSV...)</v>
          </cell>
          <cell r="N158">
            <v>216417</v>
          </cell>
          <cell r="V158">
            <v>216417</v>
          </cell>
        </row>
        <row r="159">
          <cell r="B159" t="str">
            <v>KP đảm bảo trật tự ATGT</v>
          </cell>
          <cell r="N159">
            <v>5851</v>
          </cell>
          <cell r="AE159">
            <v>5851</v>
          </cell>
        </row>
        <row r="160">
          <cell r="B160" t="str">
            <v>KP thực hiện các ngày lễ lớn</v>
          </cell>
          <cell r="N160">
            <v>20000</v>
          </cell>
          <cell r="AH160">
            <v>20000</v>
          </cell>
        </row>
        <row r="161">
          <cell r="B161" t="str">
            <v>Quà tết đối tượng chính sách</v>
          </cell>
          <cell r="N161">
            <v>5000</v>
          </cell>
          <cell r="Z161">
            <v>5000</v>
          </cell>
        </row>
        <row r="162">
          <cell r="B162" t="str">
            <v>Các nhiệm vụ về QL tài nguyên, đất, môi trường</v>
          </cell>
          <cell r="N162">
            <v>12000</v>
          </cell>
          <cell r="AM162">
            <v>12000</v>
          </cell>
        </row>
        <row r="163">
          <cell r="A163">
            <v>37</v>
          </cell>
          <cell r="B163" t="str">
            <v>Ctác quan hệ đối ngoại, lực lượng Bộ đội thường trực của tỉnh tại An Giang</v>
          </cell>
          <cell r="N163">
            <v>5000</v>
          </cell>
          <cell r="AC163">
            <v>5000</v>
          </cell>
        </row>
        <row r="164">
          <cell r="A164">
            <v>38</v>
          </cell>
          <cell r="B164" t="str">
            <v>Chính sách thu hút đầu tư</v>
          </cell>
          <cell r="N164">
            <v>3000</v>
          </cell>
          <cell r="S164">
            <v>3000</v>
          </cell>
        </row>
        <row r="165">
          <cell r="A165">
            <v>39</v>
          </cell>
          <cell r="B165" t="str">
            <v>Hỗ trợ các đơn vị ngành dọc</v>
          </cell>
          <cell r="N165">
            <v>500</v>
          </cell>
          <cell r="AD165">
            <v>500</v>
          </cell>
        </row>
        <row r="166">
          <cell r="A166">
            <v>40</v>
          </cell>
          <cell r="B166" t="str">
            <v>Các DA quyết toán nhưng thiếu vốn</v>
          </cell>
          <cell r="N166">
            <v>3000</v>
          </cell>
          <cell r="R166">
            <v>3000</v>
          </cell>
        </row>
        <row r="167">
          <cell r="A167">
            <v>41</v>
          </cell>
          <cell r="B167" t="str">
            <v>KP phục vụ đại hội đảng các cấp nhiệm kỳ 2025-2030</v>
          </cell>
          <cell r="N167">
            <v>100000</v>
          </cell>
          <cell r="AI167">
            <v>100000</v>
          </cell>
        </row>
        <row r="168">
          <cell r="A168">
            <v>42</v>
          </cell>
          <cell r="B168" t="str">
            <v xml:space="preserve">Các nhiệm vụ và chính sách </v>
          </cell>
          <cell r="N168">
            <v>22878</v>
          </cell>
          <cell r="S168">
            <v>22878</v>
          </cell>
        </row>
        <row r="169">
          <cell r="A169">
            <v>43</v>
          </cell>
          <cell r="B169" t="str">
            <v>KP thực hiện khen thưởng theo Nghị định số 73/2024/NĐ-CP của Chính phủ từ nguồn cải cách tiền lương</v>
          </cell>
          <cell r="K169">
            <v>0</v>
          </cell>
          <cell r="N169">
            <v>224624</v>
          </cell>
          <cell r="U169">
            <v>54867</v>
          </cell>
          <cell r="AJ169">
            <v>169757</v>
          </cell>
        </row>
        <row r="170">
          <cell r="A170">
            <v>44</v>
          </cell>
          <cell r="B170" t="str">
            <v>KP thực hiện ghi thu, ghi chi tiền thuê đất được nhà đầu tư ứng trước để bồi thường, giải phóng mặt bằng theo phương án được cấp có thẩm quyền phê duyệt</v>
          </cell>
          <cell r="K170">
            <v>29000</v>
          </cell>
          <cell r="L170">
            <v>29000</v>
          </cell>
          <cell r="N170">
            <v>0</v>
          </cell>
        </row>
        <row r="171">
          <cell r="A171">
            <v>45</v>
          </cell>
          <cell r="B171" t="str">
            <v>KP hỗ trợ doanh nghiệp nhỏ và vừa</v>
          </cell>
          <cell r="N171">
            <v>420</v>
          </cell>
          <cell r="AE171">
            <v>420</v>
          </cell>
        </row>
        <row r="172">
          <cell r="N172">
            <v>10900</v>
          </cell>
          <cell r="AG172">
            <v>10900</v>
          </cell>
        </row>
        <row r="173">
          <cell r="B173" t="str">
            <v xml:space="preserve">Tổng cộng </v>
          </cell>
          <cell r="K173">
            <v>29000</v>
          </cell>
          <cell r="M173">
            <v>0</v>
          </cell>
          <cell r="N173">
            <v>2957390</v>
          </cell>
          <cell r="O173">
            <v>55832</v>
          </cell>
          <cell r="P173">
            <v>97283</v>
          </cell>
          <cell r="Q173">
            <v>19673</v>
          </cell>
          <cell r="R173">
            <v>4500</v>
          </cell>
          <cell r="S173">
            <v>113453</v>
          </cell>
          <cell r="T173">
            <v>9026</v>
          </cell>
          <cell r="U173">
            <v>874969</v>
          </cell>
          <cell r="V173">
            <v>590834</v>
          </cell>
          <cell r="W173">
            <v>58771</v>
          </cell>
          <cell r="X173">
            <v>36335</v>
          </cell>
          <cell r="Y173">
            <v>44113</v>
          </cell>
          <cell r="Z173">
            <v>86757</v>
          </cell>
          <cell r="AA173">
            <v>33836</v>
          </cell>
          <cell r="AB173">
            <v>375065</v>
          </cell>
          <cell r="AC173">
            <v>54716</v>
          </cell>
          <cell r="AD173">
            <v>37968</v>
          </cell>
          <cell r="AE173">
            <v>86009</v>
          </cell>
          <cell r="AG173">
            <v>10900</v>
          </cell>
          <cell r="AH173">
            <v>20000</v>
          </cell>
          <cell r="AI173">
            <v>100000</v>
          </cell>
          <cell r="AJ173">
            <v>169757</v>
          </cell>
          <cell r="AK173">
            <v>59295</v>
          </cell>
          <cell r="AL173">
            <v>0</v>
          </cell>
          <cell r="AM173">
            <v>18298</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K241"/>
  <sheetViews>
    <sheetView showZeros="0" topLeftCell="A2" zoomScale="160" zoomScaleNormal="160" workbookViewId="0">
      <pane xSplit="3" ySplit="8" topLeftCell="D155" activePane="bottomRight" state="frozen"/>
      <selection activeCell="A2" sqref="A2"/>
      <selection pane="topRight" activeCell="D2" sqref="D2"/>
      <selection pane="bottomLeft" activeCell="A10" sqref="A10"/>
      <selection pane="bottomRight" activeCell="A156" sqref="A156"/>
    </sheetView>
  </sheetViews>
  <sheetFormatPr defaultColWidth="8.90625" defaultRowHeight="8.4"/>
  <cols>
    <col min="1" max="1" width="1.81640625" style="157" customWidth="1"/>
    <col min="2" max="2" width="18" style="110" customWidth="1"/>
    <col min="3" max="3" width="5.453125" style="202" hidden="1" customWidth="1"/>
    <col min="4" max="4" width="7.81640625" style="110" customWidth="1"/>
    <col min="5" max="5" width="5.453125" style="110" customWidth="1"/>
    <col min="6" max="6" width="5.08984375" style="110" customWidth="1"/>
    <col min="7" max="7" width="5.453125" style="110" customWidth="1"/>
    <col min="8" max="8" width="7.81640625" style="110" customWidth="1"/>
    <col min="9" max="9" width="4.08984375" style="110" customWidth="1"/>
    <col min="10" max="10" width="4.453125" style="110" customWidth="1"/>
    <col min="11" max="11" width="3.81640625" style="110" customWidth="1"/>
    <col min="12" max="12" width="3.6328125" style="110" customWidth="1"/>
    <col min="13" max="13" width="4.1796875" style="110" customWidth="1"/>
    <col min="14" max="14" width="3.54296875" style="110" customWidth="1"/>
    <col min="15" max="15" width="5.36328125" style="110" customWidth="1"/>
    <col min="16" max="16" width="4.36328125" style="110" customWidth="1"/>
    <col min="17" max="18" width="3.90625" style="110" customWidth="1"/>
    <col min="19" max="19" width="4" style="110" customWidth="1"/>
    <col min="20" max="20" width="4.1796875" style="110" customWidth="1"/>
    <col min="21" max="21" width="4.08984375" style="110" customWidth="1"/>
    <col min="22" max="22" width="4.81640625" style="110" customWidth="1"/>
    <col min="23" max="23" width="4.54296875" style="110" bestFit="1" customWidth="1"/>
    <col min="24" max="24" width="3.90625" style="110" customWidth="1"/>
    <col min="25" max="25" width="4.08984375" style="110" customWidth="1"/>
    <col min="26" max="26" width="4.08984375" style="110" hidden="1" customWidth="1"/>
    <col min="27" max="27" width="5" style="110" customWidth="1"/>
    <col min="28" max="29" width="4.08984375" style="110" customWidth="1"/>
    <col min="30" max="30" width="5.1796875" style="110" customWidth="1"/>
    <col min="31" max="31" width="4.81640625" style="110" customWidth="1"/>
    <col min="32" max="32" width="4.81640625" style="110" hidden="1" customWidth="1"/>
    <col min="33" max="33" width="4" style="110" customWidth="1"/>
    <col min="34" max="34" width="4" style="110" hidden="1" customWidth="1"/>
    <col min="35" max="35" width="4.90625" style="110" hidden="1" customWidth="1"/>
    <col min="36" max="36" width="6.36328125" style="109" hidden="1" customWidth="1"/>
    <col min="37" max="37" width="6.453125" style="109" hidden="1" customWidth="1"/>
    <col min="38" max="38" width="0" style="110" hidden="1" customWidth="1"/>
    <col min="39" max="16384" width="8.90625" style="110"/>
  </cols>
  <sheetData>
    <row r="1" spans="1:37">
      <c r="A1" s="161"/>
      <c r="AK1" s="162" t="s">
        <v>288</v>
      </c>
    </row>
    <row r="2" spans="1:37" s="105" customFormat="1" ht="27" customHeight="1">
      <c r="A2" s="555" t="s">
        <v>302</v>
      </c>
      <c r="B2" s="555"/>
      <c r="C2" s="555"/>
      <c r="D2" s="555"/>
      <c r="E2" s="555"/>
      <c r="F2" s="555"/>
      <c r="G2" s="555"/>
      <c r="H2" s="555"/>
      <c r="I2" s="555"/>
      <c r="J2" s="555"/>
      <c r="K2" s="555"/>
      <c r="L2" s="555"/>
      <c r="M2" s="555"/>
      <c r="N2" s="555"/>
      <c r="O2" s="555"/>
      <c r="P2" s="555"/>
      <c r="Q2" s="555"/>
      <c r="R2" s="555"/>
      <c r="S2" s="555"/>
      <c r="T2" s="555"/>
      <c r="U2" s="555"/>
      <c r="V2" s="555"/>
      <c r="W2" s="555"/>
      <c r="X2" s="555"/>
      <c r="Y2" s="555"/>
      <c r="Z2" s="555"/>
      <c r="AA2" s="555"/>
      <c r="AB2" s="555"/>
      <c r="AC2" s="555"/>
      <c r="AD2" s="555"/>
      <c r="AE2" s="555"/>
      <c r="AF2" s="555"/>
      <c r="AG2" s="555"/>
      <c r="AJ2" s="106"/>
      <c r="AK2" s="106"/>
    </row>
    <row r="3" spans="1:37" s="105" customFormat="1" ht="42" hidden="1" customHeight="1">
      <c r="A3" s="565" t="s">
        <v>273</v>
      </c>
      <c r="B3" s="566"/>
      <c r="C3" s="566"/>
      <c r="D3" s="566"/>
      <c r="E3" s="566"/>
      <c r="F3" s="566"/>
      <c r="G3" s="566"/>
      <c r="H3" s="566"/>
      <c r="I3" s="566"/>
      <c r="J3" s="566"/>
      <c r="K3" s="566"/>
      <c r="L3" s="566"/>
      <c r="M3" s="566"/>
      <c r="N3" s="566"/>
      <c r="O3" s="566"/>
      <c r="P3" s="566"/>
      <c r="Q3" s="566"/>
      <c r="R3" s="566"/>
      <c r="S3" s="566"/>
      <c r="T3" s="566"/>
      <c r="U3" s="566"/>
      <c r="V3" s="566"/>
      <c r="W3" s="566"/>
      <c r="X3" s="566"/>
      <c r="Y3" s="566"/>
      <c r="Z3" s="566"/>
      <c r="AA3" s="566"/>
      <c r="AB3" s="566"/>
      <c r="AC3" s="566"/>
      <c r="AD3" s="566"/>
      <c r="AE3" s="566"/>
      <c r="AF3" s="566"/>
      <c r="AG3" s="566"/>
      <c r="AH3" s="566"/>
      <c r="AI3" s="566"/>
      <c r="AJ3" s="106"/>
      <c r="AK3" s="106"/>
    </row>
    <row r="4" spans="1:37" s="105" customFormat="1" ht="27" customHeight="1">
      <c r="A4" s="156"/>
      <c r="B4" s="156"/>
      <c r="C4" s="203"/>
      <c r="D4" s="156"/>
      <c r="E4" s="156"/>
      <c r="F4" s="156"/>
      <c r="G4" s="156"/>
      <c r="H4" s="156"/>
      <c r="I4" s="156"/>
      <c r="J4" s="156"/>
      <c r="K4" s="156"/>
      <c r="L4" s="156"/>
      <c r="M4" s="156"/>
      <c r="N4" s="156"/>
      <c r="O4" s="156"/>
      <c r="P4" s="156"/>
      <c r="Q4" s="156"/>
      <c r="R4" s="156"/>
      <c r="S4" s="156"/>
      <c r="T4" s="156"/>
      <c r="U4" s="156"/>
      <c r="V4" s="156"/>
      <c r="W4" s="156"/>
      <c r="X4" s="156"/>
      <c r="Y4" s="156"/>
      <c r="Z4" s="156"/>
      <c r="AA4" s="229"/>
      <c r="AB4" s="156"/>
      <c r="AC4" s="156"/>
      <c r="AD4" s="156"/>
      <c r="AE4" s="156"/>
      <c r="AF4" s="156"/>
      <c r="AG4" s="156"/>
      <c r="AJ4" s="106"/>
      <c r="AK4" s="106"/>
    </row>
    <row r="5" spans="1:37" s="105" customFormat="1" ht="14.25" customHeight="1">
      <c r="A5" s="107"/>
      <c r="C5" s="204"/>
      <c r="D5" s="107"/>
      <c r="E5" s="107"/>
      <c r="F5" s="107"/>
      <c r="G5" s="107"/>
      <c r="H5" s="107"/>
      <c r="I5" s="107"/>
      <c r="J5" s="107"/>
      <c r="K5" s="107"/>
      <c r="L5" s="107"/>
      <c r="M5" s="107"/>
      <c r="N5" s="107"/>
      <c r="O5" s="108"/>
      <c r="P5" s="107"/>
      <c r="Q5" s="107"/>
      <c r="R5" s="107"/>
      <c r="S5" s="107"/>
      <c r="T5" s="107"/>
      <c r="U5" s="549" t="s">
        <v>87</v>
      </c>
      <c r="V5" s="549"/>
      <c r="W5" s="549"/>
      <c r="X5" s="549"/>
      <c r="Y5" s="549"/>
      <c r="Z5" s="549"/>
      <c r="AA5" s="549"/>
      <c r="AB5" s="549"/>
      <c r="AC5" s="549"/>
      <c r="AD5" s="549"/>
      <c r="AE5" s="549"/>
      <c r="AF5" s="549"/>
      <c r="AG5" s="549"/>
      <c r="AJ5" s="106"/>
      <c r="AK5" s="106"/>
    </row>
    <row r="6" spans="1:37" ht="29.25" customHeight="1">
      <c r="A6" s="546" t="s">
        <v>89</v>
      </c>
      <c r="B6" s="546" t="s">
        <v>28</v>
      </c>
      <c r="C6" s="205"/>
      <c r="D6" s="546" t="s">
        <v>29</v>
      </c>
      <c r="E6" s="559" t="s">
        <v>36</v>
      </c>
      <c r="F6" s="560"/>
      <c r="G6" s="561"/>
      <c r="H6" s="568" t="s">
        <v>39</v>
      </c>
      <c r="I6" s="556" t="s">
        <v>30</v>
      </c>
      <c r="J6" s="557"/>
      <c r="K6" s="557"/>
      <c r="L6" s="557"/>
      <c r="M6" s="558"/>
      <c r="N6" s="546" t="s">
        <v>27</v>
      </c>
      <c r="O6" s="556" t="s">
        <v>31</v>
      </c>
      <c r="P6" s="557"/>
      <c r="Q6" s="557"/>
      <c r="R6" s="557"/>
      <c r="S6" s="557"/>
      <c r="T6" s="557"/>
      <c r="U6" s="558"/>
      <c r="V6" s="546" t="s">
        <v>0</v>
      </c>
      <c r="W6" s="546" t="s">
        <v>32</v>
      </c>
      <c r="X6" s="546" t="s">
        <v>33</v>
      </c>
      <c r="Y6" s="546" t="s">
        <v>26</v>
      </c>
      <c r="Z6" s="546" t="s">
        <v>129</v>
      </c>
      <c r="AA6" s="546" t="s">
        <v>298</v>
      </c>
      <c r="AB6" s="552" t="s">
        <v>282</v>
      </c>
      <c r="AC6" s="546" t="s">
        <v>281</v>
      </c>
      <c r="AD6" s="546" t="s">
        <v>284</v>
      </c>
      <c r="AE6" s="546" t="s">
        <v>301</v>
      </c>
      <c r="AF6" s="546"/>
      <c r="AG6" s="546" t="s">
        <v>85</v>
      </c>
      <c r="AH6" s="546" t="s">
        <v>146</v>
      </c>
      <c r="AI6" s="546" t="s">
        <v>149</v>
      </c>
    </row>
    <row r="7" spans="1:37" ht="12.75" customHeight="1">
      <c r="A7" s="547"/>
      <c r="B7" s="547"/>
      <c r="C7" s="206"/>
      <c r="D7" s="547"/>
      <c r="E7" s="562" t="s">
        <v>37</v>
      </c>
      <c r="F7" s="564" t="s">
        <v>96</v>
      </c>
      <c r="G7" s="564" t="s">
        <v>161</v>
      </c>
      <c r="H7" s="569"/>
      <c r="I7" s="546" t="s">
        <v>1</v>
      </c>
      <c r="J7" s="546" t="s">
        <v>2</v>
      </c>
      <c r="K7" s="546" t="s">
        <v>3</v>
      </c>
      <c r="L7" s="546" t="s">
        <v>4</v>
      </c>
      <c r="M7" s="546" t="s">
        <v>86</v>
      </c>
      <c r="N7" s="550"/>
      <c r="O7" s="546" t="s">
        <v>88</v>
      </c>
      <c r="P7" s="546" t="s">
        <v>34</v>
      </c>
      <c r="Q7" s="546" t="s">
        <v>5</v>
      </c>
      <c r="R7" s="546" t="s">
        <v>23</v>
      </c>
      <c r="S7" s="546" t="s">
        <v>6</v>
      </c>
      <c r="T7" s="546" t="s">
        <v>7</v>
      </c>
      <c r="U7" s="546" t="s">
        <v>8</v>
      </c>
      <c r="V7" s="547"/>
      <c r="W7" s="547"/>
      <c r="X7" s="547"/>
      <c r="Y7" s="547"/>
      <c r="Z7" s="547"/>
      <c r="AA7" s="550"/>
      <c r="AB7" s="553"/>
      <c r="AC7" s="550"/>
      <c r="AD7" s="550"/>
      <c r="AE7" s="547"/>
      <c r="AF7" s="547"/>
      <c r="AG7" s="547"/>
      <c r="AH7" s="547"/>
      <c r="AI7" s="547"/>
    </row>
    <row r="8" spans="1:37" ht="16.5" customHeight="1">
      <c r="A8" s="547"/>
      <c r="B8" s="547"/>
      <c r="C8" s="206"/>
      <c r="D8" s="547"/>
      <c r="E8" s="562"/>
      <c r="F8" s="562"/>
      <c r="G8" s="562"/>
      <c r="H8" s="569"/>
      <c r="I8" s="547"/>
      <c r="J8" s="547"/>
      <c r="K8" s="547"/>
      <c r="L8" s="547"/>
      <c r="M8" s="550"/>
      <c r="N8" s="550"/>
      <c r="O8" s="547"/>
      <c r="P8" s="547"/>
      <c r="Q8" s="547"/>
      <c r="R8" s="547"/>
      <c r="S8" s="547"/>
      <c r="T8" s="547"/>
      <c r="U8" s="547"/>
      <c r="V8" s="547"/>
      <c r="W8" s="547"/>
      <c r="X8" s="547"/>
      <c r="Y8" s="547"/>
      <c r="Z8" s="547"/>
      <c r="AA8" s="550"/>
      <c r="AB8" s="553"/>
      <c r="AC8" s="550"/>
      <c r="AD8" s="550"/>
      <c r="AE8" s="547"/>
      <c r="AF8" s="547"/>
      <c r="AG8" s="547"/>
      <c r="AH8" s="547"/>
      <c r="AI8" s="547"/>
    </row>
    <row r="9" spans="1:37" ht="48" customHeight="1">
      <c r="A9" s="548"/>
      <c r="B9" s="548"/>
      <c r="C9" s="207"/>
      <c r="D9" s="548"/>
      <c r="E9" s="563"/>
      <c r="F9" s="563"/>
      <c r="G9" s="563"/>
      <c r="H9" s="570"/>
      <c r="I9" s="548"/>
      <c r="J9" s="548"/>
      <c r="K9" s="548"/>
      <c r="L9" s="548"/>
      <c r="M9" s="548"/>
      <c r="N9" s="551"/>
      <c r="O9" s="548"/>
      <c r="P9" s="548"/>
      <c r="Q9" s="548"/>
      <c r="R9" s="548"/>
      <c r="S9" s="548"/>
      <c r="T9" s="548"/>
      <c r="U9" s="548"/>
      <c r="V9" s="548"/>
      <c r="W9" s="548"/>
      <c r="X9" s="548"/>
      <c r="Y9" s="548"/>
      <c r="Z9" s="548"/>
      <c r="AA9" s="551"/>
      <c r="AB9" s="554"/>
      <c r="AC9" s="551"/>
      <c r="AD9" s="551"/>
      <c r="AE9" s="548"/>
      <c r="AF9" s="548"/>
      <c r="AG9" s="548"/>
      <c r="AH9" s="548"/>
      <c r="AI9" s="548"/>
      <c r="AJ9" s="109" t="s">
        <v>283</v>
      </c>
      <c r="AK9" s="109" t="s">
        <v>215</v>
      </c>
    </row>
    <row r="10" spans="1:37" s="117" customFormat="1" ht="15" customHeight="1">
      <c r="A10" s="159">
        <v>1</v>
      </c>
      <c r="B10" s="160" t="s">
        <v>35</v>
      </c>
      <c r="C10" s="208" t="e">
        <f>#REF!+#REF!-D10</f>
        <v>#REF!</v>
      </c>
      <c r="D10" s="160">
        <f t="shared" ref="D10:D17" si="0">E10+H10</f>
        <v>197082</v>
      </c>
      <c r="E10" s="160"/>
      <c r="F10" s="160"/>
      <c r="G10" s="160"/>
      <c r="H10" s="160">
        <f t="shared" ref="H10:H17" si="1">SUM(I10:AG10)</f>
        <v>197082</v>
      </c>
      <c r="I10" s="160">
        <f>SUM(I11:I17)</f>
        <v>55882</v>
      </c>
      <c r="J10" s="160">
        <f t="shared" ref="J10:Y10" si="2">SUM(J11:J17)</f>
        <v>97283</v>
      </c>
      <c r="K10" s="160">
        <f t="shared" si="2"/>
        <v>0</v>
      </c>
      <c r="L10" s="160">
        <f t="shared" si="2"/>
        <v>250</v>
      </c>
      <c r="M10" s="160">
        <f t="shared" si="2"/>
        <v>0</v>
      </c>
      <c r="N10" s="160">
        <f t="shared" si="2"/>
        <v>880</v>
      </c>
      <c r="O10" s="160">
        <f t="shared" si="2"/>
        <v>300</v>
      </c>
      <c r="P10" s="160">
        <f t="shared" si="2"/>
        <v>0</v>
      </c>
      <c r="Q10" s="160">
        <f t="shared" si="2"/>
        <v>0</v>
      </c>
      <c r="R10" s="160">
        <f t="shared" si="2"/>
        <v>0</v>
      </c>
      <c r="S10" s="160">
        <f t="shared" si="2"/>
        <v>0</v>
      </c>
      <c r="T10" s="160">
        <f t="shared" si="2"/>
        <v>0</v>
      </c>
      <c r="U10" s="160">
        <f t="shared" si="2"/>
        <v>385</v>
      </c>
      <c r="V10" s="160">
        <f t="shared" si="2"/>
        <v>42102</v>
      </c>
      <c r="W10" s="160">
        <f t="shared" si="2"/>
        <v>0</v>
      </c>
      <c r="X10" s="160">
        <f t="shared" si="2"/>
        <v>0</v>
      </c>
      <c r="Y10" s="160">
        <f t="shared" si="2"/>
        <v>0</v>
      </c>
      <c r="Z10" s="160"/>
      <c r="AA10" s="160"/>
      <c r="AB10" s="160"/>
      <c r="AC10" s="160"/>
      <c r="AD10" s="160"/>
      <c r="AE10" s="160"/>
      <c r="AF10" s="28"/>
      <c r="AG10" s="160">
        <f>SUM(AG11:AG17)</f>
        <v>0</v>
      </c>
      <c r="AH10" s="160">
        <f>AH11</f>
        <v>5268</v>
      </c>
      <c r="AI10" s="160">
        <f>D10-AH10</f>
        <v>191814</v>
      </c>
      <c r="AJ10" s="116">
        <v>8033</v>
      </c>
      <c r="AK10" s="116">
        <v>3448</v>
      </c>
    </row>
    <row r="11" spans="1:37" ht="15" customHeight="1">
      <c r="A11" s="111"/>
      <c r="B11" s="112" t="s">
        <v>145</v>
      </c>
      <c r="C11" s="208" t="e">
        <f>#REF!+#REF!-D11</f>
        <v>#REF!</v>
      </c>
      <c r="D11" s="112">
        <f t="shared" si="0"/>
        <v>92014</v>
      </c>
      <c r="E11" s="112"/>
      <c r="F11" s="112"/>
      <c r="G11" s="112"/>
      <c r="H11" s="112">
        <f t="shared" si="1"/>
        <v>92014</v>
      </c>
      <c r="I11" s="112">
        <f>27806+16266+1115</f>
        <v>45187</v>
      </c>
      <c r="J11" s="112">
        <v>860</v>
      </c>
      <c r="K11" s="112"/>
      <c r="L11" s="112"/>
      <c r="M11" s="112"/>
      <c r="N11" s="112">
        <v>950</v>
      </c>
      <c r="O11" s="112">
        <v>300</v>
      </c>
      <c r="P11" s="112"/>
      <c r="Q11" s="112"/>
      <c r="R11" s="112"/>
      <c r="S11" s="112"/>
      <c r="T11" s="112"/>
      <c r="U11" s="112">
        <v>385</v>
      </c>
      <c r="V11" s="112">
        <v>44332</v>
      </c>
      <c r="W11" s="112"/>
      <c r="X11" s="112"/>
      <c r="Y11" s="112"/>
      <c r="Z11" s="112"/>
      <c r="AA11" s="112"/>
      <c r="AB11" s="112"/>
      <c r="AC11" s="112"/>
      <c r="AD11" s="112"/>
      <c r="AE11" s="112"/>
      <c r="AF11" s="112"/>
      <c r="AG11" s="112"/>
      <c r="AH11" s="112">
        <v>5268</v>
      </c>
      <c r="AI11" s="112"/>
    </row>
    <row r="12" spans="1:37" s="73" customFormat="1" ht="15" customHeight="1">
      <c r="A12" s="164"/>
      <c r="B12" s="165" t="s">
        <v>293</v>
      </c>
      <c r="C12" s="208" t="e">
        <f>#REF!+#REF!-D12</f>
        <v>#REF!</v>
      </c>
      <c r="D12" s="165">
        <f t="shared" si="0"/>
        <v>-4106</v>
      </c>
      <c r="E12" s="165"/>
      <c r="F12" s="165"/>
      <c r="G12" s="165"/>
      <c r="H12" s="165">
        <f t="shared" si="1"/>
        <v>-4106</v>
      </c>
      <c r="I12" s="165">
        <v>-3415</v>
      </c>
      <c r="J12" s="165">
        <v>-90</v>
      </c>
      <c r="K12" s="165"/>
      <c r="L12" s="165"/>
      <c r="M12" s="165"/>
      <c r="N12" s="165">
        <v>-70</v>
      </c>
      <c r="O12" s="165"/>
      <c r="P12" s="165"/>
      <c r="Q12" s="165"/>
      <c r="R12" s="165"/>
      <c r="S12" s="165"/>
      <c r="T12" s="165"/>
      <c r="U12" s="165"/>
      <c r="V12" s="165">
        <v>-531</v>
      </c>
      <c r="W12" s="165"/>
      <c r="X12" s="165"/>
      <c r="Y12" s="165"/>
      <c r="Z12" s="165"/>
      <c r="AA12" s="165"/>
      <c r="AB12" s="165"/>
      <c r="AC12" s="165"/>
      <c r="AD12" s="165"/>
      <c r="AE12" s="165"/>
      <c r="AF12" s="165"/>
      <c r="AG12" s="165"/>
      <c r="AH12" s="165"/>
      <c r="AI12" s="165"/>
      <c r="AJ12" s="166"/>
      <c r="AK12" s="166"/>
    </row>
    <row r="13" spans="1:37" ht="15" customHeight="1">
      <c r="A13" s="111"/>
      <c r="B13" s="112" t="s">
        <v>136</v>
      </c>
      <c r="C13" s="208" t="e">
        <f>#REF!+#REF!-D13</f>
        <v>#REF!</v>
      </c>
      <c r="D13" s="112">
        <f t="shared" si="0"/>
        <v>1109</v>
      </c>
      <c r="E13" s="112"/>
      <c r="F13" s="112"/>
      <c r="G13" s="112"/>
      <c r="H13" s="112">
        <f t="shared" si="1"/>
        <v>1109</v>
      </c>
      <c r="I13" s="112">
        <f>165+60</f>
        <v>225</v>
      </c>
      <c r="J13" s="112"/>
      <c r="K13" s="112"/>
      <c r="L13" s="112">
        <v>250</v>
      </c>
      <c r="M13" s="112"/>
      <c r="N13" s="112"/>
      <c r="O13" s="112"/>
      <c r="P13" s="112"/>
      <c r="Q13" s="112"/>
      <c r="R13" s="112"/>
      <c r="S13" s="112"/>
      <c r="T13" s="112"/>
      <c r="U13" s="112"/>
      <c r="V13" s="112">
        <f>100+534</f>
        <v>634</v>
      </c>
      <c r="W13" s="112"/>
      <c r="X13" s="112"/>
      <c r="Y13" s="112"/>
      <c r="Z13" s="112"/>
      <c r="AA13" s="112"/>
      <c r="AB13" s="112"/>
      <c r="AC13" s="112"/>
      <c r="AD13" s="112"/>
      <c r="AE13" s="112"/>
      <c r="AF13" s="112"/>
      <c r="AG13" s="112"/>
      <c r="AH13" s="112"/>
      <c r="AI13" s="112"/>
    </row>
    <row r="14" spans="1:37" ht="15" customHeight="1">
      <c r="A14" s="111"/>
      <c r="B14" s="112" t="s">
        <v>278</v>
      </c>
      <c r="C14" s="208" t="e">
        <f>#REF!+#REF!-D14</f>
        <v>#REF!</v>
      </c>
      <c r="D14" s="112">
        <f t="shared" si="0"/>
        <v>-3448</v>
      </c>
      <c r="E14" s="112"/>
      <c r="F14" s="112"/>
      <c r="G14" s="112"/>
      <c r="H14" s="112">
        <f t="shared" si="1"/>
        <v>-3448</v>
      </c>
      <c r="I14" s="112">
        <f>-1115</f>
        <v>-1115</v>
      </c>
      <c r="J14" s="112"/>
      <c r="K14" s="112"/>
      <c r="L14" s="112"/>
      <c r="M14" s="112"/>
      <c r="N14" s="112"/>
      <c r="O14" s="112"/>
      <c r="P14" s="112"/>
      <c r="Q14" s="112"/>
      <c r="R14" s="112"/>
      <c r="S14" s="112"/>
      <c r="T14" s="112"/>
      <c r="U14" s="112"/>
      <c r="V14" s="112">
        <f>-2333</f>
        <v>-2333</v>
      </c>
      <c r="W14" s="112"/>
      <c r="X14" s="112"/>
      <c r="Y14" s="112"/>
      <c r="Z14" s="112"/>
      <c r="AA14" s="112"/>
      <c r="AB14" s="112"/>
      <c r="AC14" s="112"/>
      <c r="AD14" s="112"/>
      <c r="AE14" s="112"/>
      <c r="AF14" s="112"/>
      <c r="AG14" s="112"/>
      <c r="AH14" s="112"/>
      <c r="AI14" s="112"/>
    </row>
    <row r="15" spans="1:37" ht="15" customHeight="1">
      <c r="A15" s="111"/>
      <c r="B15" s="112" t="s">
        <v>157</v>
      </c>
      <c r="C15" s="208" t="e">
        <f>#REF!+#REF!-D15</f>
        <v>#REF!</v>
      </c>
      <c r="D15" s="112">
        <f t="shared" si="0"/>
        <v>96513</v>
      </c>
      <c r="E15" s="112"/>
      <c r="F15" s="112"/>
      <c r="G15" s="112"/>
      <c r="H15" s="112">
        <f t="shared" si="1"/>
        <v>96513</v>
      </c>
      <c r="I15" s="112"/>
      <c r="J15" s="112">
        <f>91137+5376</f>
        <v>96513</v>
      </c>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row>
    <row r="16" spans="1:37" ht="15" customHeight="1">
      <c r="A16" s="111"/>
      <c r="B16" s="112" t="s">
        <v>121</v>
      </c>
      <c r="C16" s="208" t="e">
        <f>#REF!+#REF!-D16</f>
        <v>#REF!</v>
      </c>
      <c r="D16" s="112">
        <f t="shared" si="0"/>
        <v>3000</v>
      </c>
      <c r="E16" s="112"/>
      <c r="F16" s="112"/>
      <c r="G16" s="112"/>
      <c r="H16" s="112">
        <f t="shared" si="1"/>
        <v>3000</v>
      </c>
      <c r="I16" s="112">
        <v>3000</v>
      </c>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row>
    <row r="17" spans="1:37" ht="15" customHeight="1">
      <c r="A17" s="111"/>
      <c r="B17" s="112" t="s">
        <v>132</v>
      </c>
      <c r="C17" s="208" t="e">
        <f>#REF!+#REF!-D17</f>
        <v>#REF!</v>
      </c>
      <c r="D17" s="112">
        <f t="shared" si="0"/>
        <v>12000</v>
      </c>
      <c r="E17" s="112"/>
      <c r="F17" s="112"/>
      <c r="G17" s="112"/>
      <c r="H17" s="112">
        <f t="shared" si="1"/>
        <v>12000</v>
      </c>
      <c r="I17" s="112">
        <v>12000</v>
      </c>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row>
    <row r="18" spans="1:37" s="117" customFormat="1" ht="15" customHeight="1">
      <c r="A18" s="114">
        <v>2</v>
      </c>
      <c r="B18" s="115" t="s">
        <v>40</v>
      </c>
      <c r="C18" s="208" t="e">
        <f>#REF!+#REF!-D18</f>
        <v>#REF!</v>
      </c>
      <c r="D18" s="115">
        <f t="shared" ref="D18:X18" si="3">SUM(D19:D22)</f>
        <v>92736</v>
      </c>
      <c r="E18" s="115"/>
      <c r="F18" s="115">
        <f t="shared" si="3"/>
        <v>0</v>
      </c>
      <c r="G18" s="115">
        <f t="shared" si="3"/>
        <v>0</v>
      </c>
      <c r="H18" s="115">
        <f t="shared" si="3"/>
        <v>92736</v>
      </c>
      <c r="I18" s="115">
        <f t="shared" si="3"/>
        <v>0</v>
      </c>
      <c r="J18" s="115">
        <f t="shared" si="3"/>
        <v>0</v>
      </c>
      <c r="K18" s="115">
        <f t="shared" si="3"/>
        <v>19728</v>
      </c>
      <c r="L18" s="115">
        <f t="shared" si="3"/>
        <v>2462</v>
      </c>
      <c r="M18" s="115">
        <f t="shared" si="3"/>
        <v>0</v>
      </c>
      <c r="N18" s="115">
        <f t="shared" si="3"/>
        <v>0</v>
      </c>
      <c r="O18" s="115">
        <f t="shared" si="3"/>
        <v>222</v>
      </c>
      <c r="P18" s="115">
        <f t="shared" si="3"/>
        <v>0</v>
      </c>
      <c r="Q18" s="115">
        <f t="shared" si="3"/>
        <v>0</v>
      </c>
      <c r="R18" s="115">
        <f t="shared" si="3"/>
        <v>0</v>
      </c>
      <c r="S18" s="115">
        <f t="shared" si="3"/>
        <v>0</v>
      </c>
      <c r="T18" s="115">
        <f t="shared" si="3"/>
        <v>0</v>
      </c>
      <c r="U18" s="115">
        <f t="shared" si="3"/>
        <v>51</v>
      </c>
      <c r="V18" s="115">
        <f t="shared" si="3"/>
        <v>16518</v>
      </c>
      <c r="W18" s="115">
        <f t="shared" si="3"/>
        <v>0</v>
      </c>
      <c r="X18" s="115">
        <f t="shared" si="3"/>
        <v>3700</v>
      </c>
      <c r="Y18" s="115">
        <f>Y19</f>
        <v>50055</v>
      </c>
      <c r="Z18" s="115"/>
      <c r="AA18" s="115"/>
      <c r="AB18" s="115"/>
      <c r="AC18" s="115"/>
      <c r="AD18" s="115"/>
      <c r="AE18" s="115">
        <f>SUM(AE19:AE22)</f>
        <v>0</v>
      </c>
      <c r="AF18" s="115"/>
      <c r="AG18" s="115">
        <f>SUM(AG19:AG22)</f>
        <v>0</v>
      </c>
      <c r="AH18" s="115">
        <f>SUM(AH19:AH22)</f>
        <v>3927</v>
      </c>
      <c r="AI18" s="115">
        <f>D18-AH18</f>
        <v>88809</v>
      </c>
      <c r="AJ18" s="116">
        <v>3535</v>
      </c>
      <c r="AK18" s="116">
        <v>904</v>
      </c>
    </row>
    <row r="19" spans="1:37" ht="15" customHeight="1">
      <c r="A19" s="111"/>
      <c r="B19" s="112" t="s">
        <v>213</v>
      </c>
      <c r="C19" s="208" t="e">
        <f>#REF!+#REF!-D19</f>
        <v>#REF!</v>
      </c>
      <c r="D19" s="112">
        <f>E19+H19</f>
        <v>91250</v>
      </c>
      <c r="E19" s="112"/>
      <c r="F19" s="112"/>
      <c r="G19" s="112"/>
      <c r="H19" s="112">
        <f>SUM(I19:AG19)</f>
        <v>91250</v>
      </c>
      <c r="I19" s="112"/>
      <c r="J19" s="112"/>
      <c r="K19" s="112">
        <f>20397-69</f>
        <v>20328</v>
      </c>
      <c r="L19" s="112"/>
      <c r="M19" s="112"/>
      <c r="N19" s="112"/>
      <c r="O19" s="112">
        <v>222</v>
      </c>
      <c r="P19" s="112"/>
      <c r="Q19" s="112"/>
      <c r="R19" s="112"/>
      <c r="S19" s="112"/>
      <c r="T19" s="112"/>
      <c r="U19" s="112">
        <v>51</v>
      </c>
      <c r="V19" s="112">
        <v>16894</v>
      </c>
      <c r="W19" s="112"/>
      <c r="X19" s="112">
        <v>3700</v>
      </c>
      <c r="Y19" s="112">
        <v>50055</v>
      </c>
      <c r="Z19" s="112"/>
      <c r="AA19" s="112"/>
      <c r="AB19" s="112"/>
      <c r="AC19" s="112"/>
      <c r="AD19" s="112"/>
      <c r="AE19" s="112"/>
      <c r="AF19" s="112"/>
      <c r="AG19" s="112"/>
      <c r="AH19" s="112"/>
      <c r="AI19" s="112"/>
    </row>
    <row r="20" spans="1:37" s="73" customFormat="1" ht="15" customHeight="1">
      <c r="A20" s="164"/>
      <c r="B20" s="165" t="s">
        <v>293</v>
      </c>
      <c r="C20" s="208" t="e">
        <f>#REF!+#REF!-D20</f>
        <v>#REF!</v>
      </c>
      <c r="D20" s="165">
        <f>E20+H20</f>
        <v>-672</v>
      </c>
      <c r="E20" s="165"/>
      <c r="F20" s="165"/>
      <c r="G20" s="165"/>
      <c r="H20" s="165">
        <f>SUM(I20:AG20)</f>
        <v>-672</v>
      </c>
      <c r="I20" s="165"/>
      <c r="J20" s="165"/>
      <c r="K20" s="165">
        <v>-500</v>
      </c>
      <c r="L20" s="165"/>
      <c r="M20" s="165"/>
      <c r="N20" s="165"/>
      <c r="O20" s="165"/>
      <c r="P20" s="165"/>
      <c r="Q20" s="165"/>
      <c r="R20" s="165"/>
      <c r="S20" s="165"/>
      <c r="T20" s="165"/>
      <c r="U20" s="165"/>
      <c r="V20" s="165">
        <v>-172</v>
      </c>
      <c r="W20" s="165"/>
      <c r="X20" s="165"/>
      <c r="Y20" s="165"/>
      <c r="Z20" s="165"/>
      <c r="AA20" s="165"/>
      <c r="AB20" s="165"/>
      <c r="AC20" s="165"/>
      <c r="AD20" s="165"/>
      <c r="AE20" s="165"/>
      <c r="AF20" s="165"/>
      <c r="AG20" s="165"/>
      <c r="AH20" s="165">
        <v>3927</v>
      </c>
      <c r="AI20" s="165"/>
      <c r="AJ20" s="166"/>
      <c r="AK20" s="166"/>
    </row>
    <row r="21" spans="1:37" ht="15" customHeight="1">
      <c r="A21" s="111"/>
      <c r="B21" s="112" t="s">
        <v>130</v>
      </c>
      <c r="C21" s="208" t="e">
        <f>#REF!+#REF!-D21</f>
        <v>#REF!</v>
      </c>
      <c r="D21" s="112">
        <f>E21+H21</f>
        <v>3062</v>
      </c>
      <c r="E21" s="112"/>
      <c r="F21" s="112"/>
      <c r="G21" s="112"/>
      <c r="H21" s="112">
        <f>SUM(I21:AG21)</f>
        <v>3062</v>
      </c>
      <c r="I21" s="112"/>
      <c r="J21" s="112"/>
      <c r="K21" s="112">
        <f>60+55</f>
        <v>115</v>
      </c>
      <c r="L21" s="112">
        <f>2547-85</f>
        <v>2462</v>
      </c>
      <c r="M21" s="112"/>
      <c r="N21" s="112"/>
      <c r="O21" s="112"/>
      <c r="P21" s="112"/>
      <c r="Q21" s="112"/>
      <c r="R21" s="112"/>
      <c r="S21" s="112"/>
      <c r="T21" s="112"/>
      <c r="U21" s="112"/>
      <c r="V21" s="112">
        <v>485</v>
      </c>
      <c r="W21" s="112"/>
      <c r="X21" s="112"/>
      <c r="Y21" s="112"/>
      <c r="Z21" s="112"/>
      <c r="AA21" s="112"/>
      <c r="AB21" s="112"/>
      <c r="AC21" s="112"/>
      <c r="AD21" s="112"/>
      <c r="AE21" s="112"/>
      <c r="AF21" s="112"/>
      <c r="AG21" s="112"/>
      <c r="AH21" s="112"/>
      <c r="AI21" s="112"/>
    </row>
    <row r="22" spans="1:37" ht="15" customHeight="1">
      <c r="A22" s="111"/>
      <c r="B22" s="112" t="s">
        <v>278</v>
      </c>
      <c r="C22" s="208" t="e">
        <f>#REF!+#REF!-D22</f>
        <v>#REF!</v>
      </c>
      <c r="D22" s="112">
        <f>E22+H22</f>
        <v>-904</v>
      </c>
      <c r="E22" s="112"/>
      <c r="F22" s="112"/>
      <c r="G22" s="112"/>
      <c r="H22" s="112">
        <f>SUM(I22:AG22)</f>
        <v>-904</v>
      </c>
      <c r="I22" s="112"/>
      <c r="J22" s="112"/>
      <c r="K22" s="112">
        <f>-215</f>
        <v>-215</v>
      </c>
      <c r="L22" s="112"/>
      <c r="M22" s="112"/>
      <c r="N22" s="112"/>
      <c r="O22" s="112"/>
      <c r="P22" s="112"/>
      <c r="Q22" s="112"/>
      <c r="R22" s="112"/>
      <c r="S22" s="112"/>
      <c r="T22" s="112"/>
      <c r="U22" s="112"/>
      <c r="V22" s="112">
        <f>-340-349</f>
        <v>-689</v>
      </c>
      <c r="W22" s="112"/>
      <c r="X22" s="112"/>
      <c r="Y22" s="112"/>
      <c r="Z22" s="112"/>
      <c r="AA22" s="112"/>
      <c r="AB22" s="112"/>
      <c r="AC22" s="112"/>
      <c r="AD22" s="112"/>
      <c r="AE22" s="112"/>
      <c r="AF22" s="112"/>
      <c r="AG22" s="112"/>
      <c r="AH22" s="112"/>
      <c r="AI22" s="112"/>
    </row>
    <row r="23" spans="1:37" s="117" customFormat="1" ht="15" customHeight="1">
      <c r="A23" s="114">
        <v>3</v>
      </c>
      <c r="B23" s="115" t="s">
        <v>41</v>
      </c>
      <c r="C23" s="208" t="e">
        <f>#REF!+#REF!-D23</f>
        <v>#REF!</v>
      </c>
      <c r="D23" s="115">
        <f t="shared" ref="D23:Y23" si="4">SUM(D24:D27)</f>
        <v>31669</v>
      </c>
      <c r="E23" s="115"/>
      <c r="F23" s="115">
        <f t="shared" si="4"/>
        <v>0</v>
      </c>
      <c r="G23" s="115">
        <f t="shared" si="4"/>
        <v>0</v>
      </c>
      <c r="H23" s="115">
        <f t="shared" si="4"/>
        <v>31669</v>
      </c>
      <c r="I23" s="115">
        <f t="shared" si="4"/>
        <v>0</v>
      </c>
      <c r="J23" s="115">
        <f t="shared" si="4"/>
        <v>0</v>
      </c>
      <c r="K23" s="115">
        <f t="shared" si="4"/>
        <v>0</v>
      </c>
      <c r="L23" s="115">
        <f t="shared" si="4"/>
        <v>0</v>
      </c>
      <c r="M23" s="115">
        <f t="shared" si="4"/>
        <v>13500</v>
      </c>
      <c r="N23" s="115">
        <f t="shared" si="4"/>
        <v>0</v>
      </c>
      <c r="O23" s="115">
        <f t="shared" si="4"/>
        <v>50</v>
      </c>
      <c r="P23" s="115">
        <f t="shared" si="4"/>
        <v>0</v>
      </c>
      <c r="Q23" s="115">
        <f t="shared" si="4"/>
        <v>0</v>
      </c>
      <c r="R23" s="115">
        <f t="shared" si="4"/>
        <v>1500</v>
      </c>
      <c r="S23" s="115">
        <f t="shared" si="4"/>
        <v>0</v>
      </c>
      <c r="T23" s="115">
        <f t="shared" si="4"/>
        <v>0</v>
      </c>
      <c r="U23" s="115">
        <f t="shared" si="4"/>
        <v>40</v>
      </c>
      <c r="V23" s="115">
        <f t="shared" si="4"/>
        <v>11079</v>
      </c>
      <c r="W23" s="115">
        <f t="shared" si="4"/>
        <v>0</v>
      </c>
      <c r="X23" s="115">
        <f t="shared" si="4"/>
        <v>0</v>
      </c>
      <c r="Y23" s="115">
        <f t="shared" si="4"/>
        <v>0</v>
      </c>
      <c r="Z23" s="115"/>
      <c r="AA23" s="115"/>
      <c r="AB23" s="115"/>
      <c r="AC23" s="115"/>
      <c r="AD23" s="115"/>
      <c r="AE23" s="115">
        <f>SUM(AE24:AE27)</f>
        <v>0</v>
      </c>
      <c r="AF23" s="115"/>
      <c r="AG23" s="115">
        <f>SUM(AG24:AG27)</f>
        <v>5500</v>
      </c>
      <c r="AH23" s="115">
        <f>SUM(AH24:AH27)</f>
        <v>1309</v>
      </c>
      <c r="AI23" s="115">
        <f>D23-AH23</f>
        <v>30360</v>
      </c>
      <c r="AJ23" s="116">
        <v>2109</v>
      </c>
      <c r="AK23" s="116">
        <v>540</v>
      </c>
    </row>
    <row r="24" spans="1:37" ht="15" customHeight="1">
      <c r="A24" s="111"/>
      <c r="B24" s="112" t="s">
        <v>145</v>
      </c>
      <c r="C24" s="208" t="e">
        <f>#REF!+#REF!-D24</f>
        <v>#REF!</v>
      </c>
      <c r="D24" s="112">
        <f>E24+H24</f>
        <v>33065</v>
      </c>
      <c r="E24" s="112"/>
      <c r="F24" s="112"/>
      <c r="G24" s="112"/>
      <c r="H24" s="112">
        <f>SUM(I24:AG24)</f>
        <v>33065</v>
      </c>
      <c r="I24" s="112"/>
      <c r="J24" s="112"/>
      <c r="K24" s="112"/>
      <c r="L24" s="112"/>
      <c r="M24" s="112">
        <v>14000</v>
      </c>
      <c r="N24" s="112"/>
      <c r="O24" s="112">
        <v>50</v>
      </c>
      <c r="P24" s="112"/>
      <c r="Q24" s="112"/>
      <c r="R24" s="112">
        <v>1500</v>
      </c>
      <c r="S24" s="112"/>
      <c r="T24" s="112"/>
      <c r="U24" s="112">
        <v>40</v>
      </c>
      <c r="V24" s="112">
        <v>11475</v>
      </c>
      <c r="W24" s="112"/>
      <c r="X24" s="112"/>
      <c r="Y24" s="112"/>
      <c r="Z24" s="112"/>
      <c r="AA24" s="112"/>
      <c r="AB24" s="112"/>
      <c r="AC24" s="112"/>
      <c r="AD24" s="112"/>
      <c r="AE24" s="112"/>
      <c r="AF24" s="112"/>
      <c r="AG24" s="112">
        <v>6000</v>
      </c>
      <c r="AH24" s="112">
        <v>1309</v>
      </c>
      <c r="AI24" s="112"/>
    </row>
    <row r="25" spans="1:37" ht="15" customHeight="1">
      <c r="A25" s="111"/>
      <c r="B25" s="112" t="s">
        <v>278</v>
      </c>
      <c r="C25" s="208" t="e">
        <f>#REF!+#REF!-D25</f>
        <v>#REF!</v>
      </c>
      <c r="D25" s="112">
        <f>E25+H25</f>
        <v>-540</v>
      </c>
      <c r="E25" s="112"/>
      <c r="F25" s="112"/>
      <c r="G25" s="112"/>
      <c r="H25" s="112">
        <f>SUM(I25:AG25)</f>
        <v>-540</v>
      </c>
      <c r="I25" s="112"/>
      <c r="J25" s="112"/>
      <c r="K25" s="112"/>
      <c r="L25" s="112"/>
      <c r="M25" s="112"/>
      <c r="N25" s="112"/>
      <c r="O25" s="112"/>
      <c r="P25" s="112"/>
      <c r="Q25" s="112"/>
      <c r="R25" s="112"/>
      <c r="S25" s="112"/>
      <c r="T25" s="112"/>
      <c r="U25" s="112"/>
      <c r="V25" s="112">
        <f>-540</f>
        <v>-540</v>
      </c>
      <c r="W25" s="112"/>
      <c r="X25" s="112"/>
      <c r="Y25" s="112"/>
      <c r="Z25" s="112"/>
      <c r="AA25" s="112"/>
      <c r="AB25" s="112"/>
      <c r="AC25" s="112"/>
      <c r="AD25" s="112"/>
      <c r="AE25" s="112"/>
      <c r="AF25" s="112"/>
      <c r="AG25" s="112"/>
      <c r="AH25" s="112"/>
      <c r="AI25" s="112"/>
    </row>
    <row r="26" spans="1:37" ht="15" customHeight="1">
      <c r="A26" s="111"/>
      <c r="B26" s="112" t="s">
        <v>131</v>
      </c>
      <c r="C26" s="208" t="e">
        <f>#REF!+#REF!-D26</f>
        <v>#REF!</v>
      </c>
      <c r="D26" s="112">
        <f>E26+H26</f>
        <v>275</v>
      </c>
      <c r="E26" s="112"/>
      <c r="F26" s="112"/>
      <c r="G26" s="112"/>
      <c r="H26" s="112">
        <f>SUM(I26:AG26)</f>
        <v>275</v>
      </c>
      <c r="I26" s="112"/>
      <c r="J26" s="112"/>
      <c r="K26" s="112"/>
      <c r="L26" s="112"/>
      <c r="M26" s="112"/>
      <c r="N26" s="112"/>
      <c r="O26" s="112"/>
      <c r="P26" s="112"/>
      <c r="Q26" s="112"/>
      <c r="R26" s="112"/>
      <c r="S26" s="112"/>
      <c r="T26" s="112"/>
      <c r="U26" s="112"/>
      <c r="V26" s="112">
        <f>70+205</f>
        <v>275</v>
      </c>
      <c r="W26" s="112"/>
      <c r="X26" s="112"/>
      <c r="Y26" s="112"/>
      <c r="Z26" s="112"/>
      <c r="AA26" s="112"/>
      <c r="AB26" s="112"/>
      <c r="AC26" s="112"/>
      <c r="AD26" s="112"/>
      <c r="AE26" s="112"/>
      <c r="AF26" s="112"/>
      <c r="AG26" s="112"/>
      <c r="AH26" s="112"/>
      <c r="AI26" s="112"/>
    </row>
    <row r="27" spans="1:37" s="73" customFormat="1" ht="15" customHeight="1">
      <c r="A27" s="164"/>
      <c r="B27" s="165" t="s">
        <v>293</v>
      </c>
      <c r="C27" s="208" t="e">
        <f>#REF!+#REF!-D27</f>
        <v>#REF!</v>
      </c>
      <c r="D27" s="165">
        <f>E27+H27</f>
        <v>-1131</v>
      </c>
      <c r="E27" s="165"/>
      <c r="F27" s="165"/>
      <c r="G27" s="165"/>
      <c r="H27" s="165">
        <f>SUM(I27:AG27)</f>
        <v>-1131</v>
      </c>
      <c r="I27" s="165"/>
      <c r="J27" s="165"/>
      <c r="K27" s="165"/>
      <c r="L27" s="165"/>
      <c r="M27" s="165">
        <v>-500</v>
      </c>
      <c r="N27" s="165"/>
      <c r="O27" s="165"/>
      <c r="P27" s="165"/>
      <c r="Q27" s="165"/>
      <c r="R27" s="165"/>
      <c r="S27" s="165"/>
      <c r="T27" s="165"/>
      <c r="U27" s="165"/>
      <c r="V27" s="165">
        <v>-131</v>
      </c>
      <c r="W27" s="165"/>
      <c r="X27" s="165"/>
      <c r="Y27" s="165"/>
      <c r="Z27" s="165"/>
      <c r="AA27" s="165"/>
      <c r="AB27" s="165"/>
      <c r="AC27" s="165"/>
      <c r="AD27" s="165"/>
      <c r="AE27" s="165"/>
      <c r="AF27" s="165"/>
      <c r="AG27" s="165">
        <v>-500</v>
      </c>
      <c r="AH27" s="165"/>
      <c r="AI27" s="165"/>
      <c r="AJ27" s="166"/>
      <c r="AK27" s="166"/>
    </row>
    <row r="28" spans="1:37" s="117" customFormat="1" ht="15" customHeight="1">
      <c r="A28" s="114">
        <v>4</v>
      </c>
      <c r="B28" s="115" t="s">
        <v>42</v>
      </c>
      <c r="C28" s="208" t="e">
        <f>#REF!+#REF!-D28</f>
        <v>#REF!</v>
      </c>
      <c r="D28" s="115">
        <f>SUM(D29:D32)</f>
        <v>14030</v>
      </c>
      <c r="E28" s="115"/>
      <c r="F28" s="115">
        <f t="shared" ref="F28:AH28" si="5">SUM(F29:F32)</f>
        <v>0</v>
      </c>
      <c r="G28" s="115">
        <f t="shared" si="5"/>
        <v>0</v>
      </c>
      <c r="H28" s="115">
        <f t="shared" si="5"/>
        <v>14030</v>
      </c>
      <c r="I28" s="115">
        <f t="shared" si="5"/>
        <v>0</v>
      </c>
      <c r="J28" s="115">
        <f t="shared" si="5"/>
        <v>0</v>
      </c>
      <c r="K28" s="115">
        <f t="shared" si="5"/>
        <v>0</v>
      </c>
      <c r="L28" s="115">
        <f t="shared" si="5"/>
        <v>0</v>
      </c>
      <c r="M28" s="115">
        <f t="shared" si="5"/>
        <v>300</v>
      </c>
      <c r="N28" s="115">
        <f t="shared" si="5"/>
        <v>0</v>
      </c>
      <c r="O28" s="115">
        <f t="shared" si="5"/>
        <v>500</v>
      </c>
      <c r="P28" s="115">
        <f t="shared" si="5"/>
        <v>0</v>
      </c>
      <c r="Q28" s="115">
        <f t="shared" si="5"/>
        <v>0</v>
      </c>
      <c r="R28" s="115">
        <f t="shared" si="5"/>
        <v>0</v>
      </c>
      <c r="S28" s="115">
        <f t="shared" si="5"/>
        <v>0</v>
      </c>
      <c r="T28" s="115">
        <f t="shared" si="5"/>
        <v>0</v>
      </c>
      <c r="U28" s="115">
        <f t="shared" si="5"/>
        <v>40</v>
      </c>
      <c r="V28" s="115">
        <f>SUM(V29:V32)</f>
        <v>13064</v>
      </c>
      <c r="W28" s="115">
        <f t="shared" si="5"/>
        <v>0</v>
      </c>
      <c r="X28" s="115">
        <f t="shared" si="5"/>
        <v>126</v>
      </c>
      <c r="Y28" s="115">
        <f t="shared" si="5"/>
        <v>0</v>
      </c>
      <c r="Z28" s="115"/>
      <c r="AA28" s="115"/>
      <c r="AB28" s="115"/>
      <c r="AC28" s="115"/>
      <c r="AD28" s="115"/>
      <c r="AE28" s="115">
        <f t="shared" si="5"/>
        <v>0</v>
      </c>
      <c r="AF28" s="115"/>
      <c r="AG28" s="115">
        <f t="shared" si="5"/>
        <v>0</v>
      </c>
      <c r="AH28" s="115">
        <f t="shared" si="5"/>
        <v>1353</v>
      </c>
      <c r="AI28" s="115">
        <f>D28-AH28</f>
        <v>12677</v>
      </c>
      <c r="AJ28" s="116">
        <v>2364</v>
      </c>
      <c r="AK28" s="116">
        <v>639</v>
      </c>
    </row>
    <row r="29" spans="1:37" ht="15" customHeight="1">
      <c r="A29" s="111"/>
      <c r="B29" s="112" t="s">
        <v>148</v>
      </c>
      <c r="C29" s="208" t="e">
        <f>#REF!+#REF!-D29</f>
        <v>#REF!</v>
      </c>
      <c r="D29" s="112">
        <f>E29+H29</f>
        <v>14742</v>
      </c>
      <c r="E29" s="112"/>
      <c r="F29" s="112"/>
      <c r="G29" s="112"/>
      <c r="H29" s="112">
        <f>SUM(I29:AG29)</f>
        <v>14742</v>
      </c>
      <c r="I29" s="112"/>
      <c r="J29" s="112"/>
      <c r="K29" s="112"/>
      <c r="L29" s="112"/>
      <c r="M29" s="112">
        <v>300</v>
      </c>
      <c r="N29" s="112"/>
      <c r="O29" s="112">
        <v>500</v>
      </c>
      <c r="P29" s="112"/>
      <c r="Q29" s="112"/>
      <c r="R29" s="112"/>
      <c r="S29" s="112"/>
      <c r="T29" s="112"/>
      <c r="U29" s="112">
        <v>40</v>
      </c>
      <c r="V29" s="112">
        <v>13776</v>
      </c>
      <c r="W29" s="112"/>
      <c r="X29" s="112">
        <v>126</v>
      </c>
      <c r="Y29" s="112"/>
      <c r="Z29" s="112"/>
      <c r="AA29" s="112"/>
      <c r="AB29" s="112"/>
      <c r="AC29" s="112"/>
      <c r="AD29" s="112"/>
      <c r="AE29" s="112"/>
      <c r="AF29" s="112"/>
      <c r="AG29" s="112"/>
      <c r="AH29" s="112"/>
      <c r="AI29" s="112"/>
    </row>
    <row r="30" spans="1:37" s="73" customFormat="1" ht="15" customHeight="1">
      <c r="A30" s="164"/>
      <c r="B30" s="165" t="s">
        <v>294</v>
      </c>
      <c r="C30" s="208" t="e">
        <f>#REF!+#REF!-D30</f>
        <v>#REF!</v>
      </c>
      <c r="D30" s="165">
        <f>E30+H30</f>
        <v>-195</v>
      </c>
      <c r="E30" s="165"/>
      <c r="F30" s="165"/>
      <c r="G30" s="165"/>
      <c r="H30" s="165">
        <f>SUM(I30:AG30)</f>
        <v>-195</v>
      </c>
      <c r="I30" s="165"/>
      <c r="J30" s="165"/>
      <c r="K30" s="165"/>
      <c r="L30" s="165"/>
      <c r="M30" s="165"/>
      <c r="N30" s="165"/>
      <c r="O30" s="165"/>
      <c r="P30" s="165"/>
      <c r="Q30" s="165"/>
      <c r="R30" s="165"/>
      <c r="S30" s="165"/>
      <c r="T30" s="165"/>
      <c r="U30" s="165"/>
      <c r="V30" s="165">
        <v>-195</v>
      </c>
      <c r="W30" s="165"/>
      <c r="X30" s="165"/>
      <c r="Y30" s="165"/>
      <c r="Z30" s="165"/>
      <c r="AA30" s="165"/>
      <c r="AB30" s="165"/>
      <c r="AC30" s="165"/>
      <c r="AD30" s="165"/>
      <c r="AE30" s="165"/>
      <c r="AF30" s="165"/>
      <c r="AG30" s="165"/>
      <c r="AH30" s="165">
        <v>1353</v>
      </c>
      <c r="AI30" s="165"/>
      <c r="AJ30" s="166"/>
      <c r="AK30" s="166"/>
    </row>
    <row r="31" spans="1:37" ht="15" customHeight="1">
      <c r="A31" s="111"/>
      <c r="B31" s="112" t="s">
        <v>278</v>
      </c>
      <c r="C31" s="208" t="e">
        <f>#REF!+#REF!-D31</f>
        <v>#REF!</v>
      </c>
      <c r="D31" s="112">
        <f>E31+H31</f>
        <v>-639</v>
      </c>
      <c r="E31" s="112"/>
      <c r="F31" s="112"/>
      <c r="G31" s="112"/>
      <c r="H31" s="112">
        <f>SUM(I31:AG31)</f>
        <v>-639</v>
      </c>
      <c r="I31" s="112"/>
      <c r="J31" s="112"/>
      <c r="K31" s="112"/>
      <c r="L31" s="112"/>
      <c r="M31" s="112">
        <v>0</v>
      </c>
      <c r="N31" s="112"/>
      <c r="O31" s="112"/>
      <c r="P31" s="112"/>
      <c r="Q31" s="112"/>
      <c r="R31" s="112"/>
      <c r="S31" s="112"/>
      <c r="T31" s="112"/>
      <c r="U31" s="112"/>
      <c r="V31" s="112">
        <f>-639</f>
        <v>-639</v>
      </c>
      <c r="W31" s="112"/>
      <c r="X31" s="112"/>
      <c r="Y31" s="112"/>
      <c r="Z31" s="112"/>
      <c r="AA31" s="112"/>
      <c r="AB31" s="112"/>
      <c r="AC31" s="112"/>
      <c r="AD31" s="112"/>
      <c r="AE31" s="112"/>
      <c r="AF31" s="112"/>
      <c r="AG31" s="112"/>
      <c r="AH31" s="112"/>
      <c r="AI31" s="112"/>
    </row>
    <row r="32" spans="1:37" ht="15" customHeight="1">
      <c r="A32" s="111"/>
      <c r="B32" s="112" t="s">
        <v>137</v>
      </c>
      <c r="C32" s="208" t="e">
        <f>#REF!+#REF!-D32</f>
        <v>#REF!</v>
      </c>
      <c r="D32" s="112">
        <f>E32+H32</f>
        <v>122</v>
      </c>
      <c r="E32" s="112"/>
      <c r="F32" s="112"/>
      <c r="G32" s="112"/>
      <c r="H32" s="112">
        <f>SUM(I32:AG32)</f>
        <v>122</v>
      </c>
      <c r="I32" s="112"/>
      <c r="J32" s="112"/>
      <c r="K32" s="112"/>
      <c r="L32" s="112"/>
      <c r="M32" s="112"/>
      <c r="N32" s="112"/>
      <c r="O32" s="112"/>
      <c r="P32" s="112"/>
      <c r="Q32" s="112"/>
      <c r="R32" s="112"/>
      <c r="S32" s="112"/>
      <c r="T32" s="112"/>
      <c r="U32" s="112"/>
      <c r="V32" s="113">
        <f>72+50</f>
        <v>122</v>
      </c>
      <c r="W32" s="112"/>
      <c r="X32" s="112"/>
      <c r="Y32" s="112"/>
      <c r="Z32" s="112"/>
      <c r="AA32" s="112"/>
      <c r="AB32" s="112"/>
      <c r="AC32" s="112"/>
      <c r="AD32" s="112"/>
      <c r="AE32" s="112"/>
      <c r="AF32" s="112"/>
      <c r="AG32" s="112"/>
      <c r="AH32" s="112"/>
      <c r="AI32" s="112"/>
    </row>
    <row r="33" spans="1:37" s="117" customFormat="1" ht="15" customHeight="1">
      <c r="A33" s="114">
        <v>5</v>
      </c>
      <c r="B33" s="115" t="s">
        <v>43</v>
      </c>
      <c r="C33" s="208" t="e">
        <f>#REF!+#REF!-D33</f>
        <v>#REF!</v>
      </c>
      <c r="D33" s="115">
        <f t="shared" ref="D33:Y33" si="6">SUM(D34:D38)</f>
        <v>28063</v>
      </c>
      <c r="E33" s="115"/>
      <c r="F33" s="115">
        <f t="shared" si="6"/>
        <v>0</v>
      </c>
      <c r="G33" s="115">
        <f t="shared" si="6"/>
        <v>0</v>
      </c>
      <c r="H33" s="115">
        <f t="shared" si="6"/>
        <v>28063</v>
      </c>
      <c r="I33" s="115">
        <f t="shared" si="6"/>
        <v>0</v>
      </c>
      <c r="J33" s="115">
        <f t="shared" si="6"/>
        <v>0</v>
      </c>
      <c r="K33" s="115">
        <f t="shared" si="6"/>
        <v>0</v>
      </c>
      <c r="L33" s="115">
        <f t="shared" si="6"/>
        <v>320</v>
      </c>
      <c r="M33" s="115">
        <f t="shared" si="6"/>
        <v>12942</v>
      </c>
      <c r="N33" s="115">
        <f t="shared" si="6"/>
        <v>2030</v>
      </c>
      <c r="O33" s="115">
        <f t="shared" si="6"/>
        <v>160</v>
      </c>
      <c r="P33" s="115">
        <f t="shared" si="6"/>
        <v>0</v>
      </c>
      <c r="Q33" s="115">
        <f t="shared" si="6"/>
        <v>0</v>
      </c>
      <c r="R33" s="115">
        <f t="shared" si="6"/>
        <v>1222</v>
      </c>
      <c r="S33" s="115">
        <f t="shared" si="6"/>
        <v>0</v>
      </c>
      <c r="T33" s="115">
        <f t="shared" si="6"/>
        <v>0</v>
      </c>
      <c r="U33" s="115">
        <f t="shared" si="6"/>
        <v>110</v>
      </c>
      <c r="V33" s="115">
        <f t="shared" si="6"/>
        <v>11017</v>
      </c>
      <c r="W33" s="115">
        <f t="shared" si="6"/>
        <v>0</v>
      </c>
      <c r="X33" s="115">
        <f t="shared" si="6"/>
        <v>192</v>
      </c>
      <c r="Y33" s="115">
        <f t="shared" si="6"/>
        <v>0</v>
      </c>
      <c r="Z33" s="115"/>
      <c r="AA33" s="115"/>
      <c r="AB33" s="115"/>
      <c r="AC33" s="115"/>
      <c r="AD33" s="115"/>
      <c r="AE33" s="115">
        <f>SUM(AE34:AE38)</f>
        <v>0</v>
      </c>
      <c r="AF33" s="115"/>
      <c r="AG33" s="115">
        <f>SUM(AG34:AG38)</f>
        <v>70</v>
      </c>
      <c r="AH33" s="115">
        <f>AH34</f>
        <v>1670</v>
      </c>
      <c r="AI33" s="115">
        <f>D33-AH33</f>
        <v>26393</v>
      </c>
      <c r="AJ33" s="116">
        <f>2017+373+469</f>
        <v>2859</v>
      </c>
      <c r="AK33" s="116">
        <f>513+120+156</f>
        <v>789</v>
      </c>
    </row>
    <row r="34" spans="1:37" s="117" customFormat="1" ht="15" customHeight="1">
      <c r="A34" s="114"/>
      <c r="B34" s="112" t="s">
        <v>213</v>
      </c>
      <c r="C34" s="208" t="e">
        <f>#REF!+#REF!-D34</f>
        <v>#REF!</v>
      </c>
      <c r="D34" s="112">
        <f>E34+H34</f>
        <v>28921</v>
      </c>
      <c r="E34" s="112"/>
      <c r="F34" s="112"/>
      <c r="G34" s="112"/>
      <c r="H34" s="112">
        <f>SUM(I34:AG34)</f>
        <v>28921</v>
      </c>
      <c r="I34" s="115"/>
      <c r="J34" s="115"/>
      <c r="K34" s="115"/>
      <c r="L34" s="112"/>
      <c r="M34" s="112">
        <v>13652</v>
      </c>
      <c r="N34" s="112">
        <v>2120</v>
      </c>
      <c r="O34" s="112">
        <v>160</v>
      </c>
      <c r="P34" s="115"/>
      <c r="Q34" s="115"/>
      <c r="R34" s="112">
        <v>1222</v>
      </c>
      <c r="S34" s="115"/>
      <c r="T34" s="115"/>
      <c r="U34" s="112">
        <v>110</v>
      </c>
      <c r="V34" s="112">
        <v>11387</v>
      </c>
      <c r="W34" s="115"/>
      <c r="X34" s="112">
        <v>200</v>
      </c>
      <c r="Y34" s="115"/>
      <c r="Z34" s="115"/>
      <c r="AA34" s="115"/>
      <c r="AB34" s="115"/>
      <c r="AC34" s="115"/>
      <c r="AD34" s="115"/>
      <c r="AE34" s="112"/>
      <c r="AF34" s="112"/>
      <c r="AG34" s="112">
        <v>70</v>
      </c>
      <c r="AH34" s="112">
        <v>1670</v>
      </c>
      <c r="AI34" s="112"/>
      <c r="AJ34" s="116"/>
      <c r="AK34" s="116"/>
    </row>
    <row r="35" spans="1:37" s="73" customFormat="1" ht="15" customHeight="1">
      <c r="A35" s="164"/>
      <c r="B35" s="165" t="s">
        <v>294</v>
      </c>
      <c r="C35" s="208" t="e">
        <f>#REF!+#REF!-D35</f>
        <v>#REF!</v>
      </c>
      <c r="D35" s="165">
        <f>E35+H35</f>
        <v>-883</v>
      </c>
      <c r="E35" s="165"/>
      <c r="F35" s="165"/>
      <c r="G35" s="165"/>
      <c r="H35" s="165">
        <f>SUM(I35:AG35)</f>
        <v>-883</v>
      </c>
      <c r="I35" s="165"/>
      <c r="J35" s="165"/>
      <c r="K35" s="165"/>
      <c r="L35" s="165"/>
      <c r="M35" s="165">
        <v>-619</v>
      </c>
      <c r="N35" s="165">
        <v>-90</v>
      </c>
      <c r="O35" s="165"/>
      <c r="P35" s="165"/>
      <c r="Q35" s="165"/>
      <c r="R35" s="165"/>
      <c r="S35" s="165"/>
      <c r="T35" s="165"/>
      <c r="U35" s="165"/>
      <c r="V35" s="165">
        <v>-166</v>
      </c>
      <c r="W35" s="165"/>
      <c r="X35" s="165">
        <v>-8</v>
      </c>
      <c r="Y35" s="165"/>
      <c r="Z35" s="165"/>
      <c r="AA35" s="165"/>
      <c r="AB35" s="165"/>
      <c r="AC35" s="165"/>
      <c r="AD35" s="165"/>
      <c r="AE35" s="165"/>
      <c r="AF35" s="165"/>
      <c r="AG35" s="165"/>
      <c r="AH35" s="165"/>
      <c r="AI35" s="165"/>
      <c r="AJ35" s="166"/>
      <c r="AK35" s="166"/>
    </row>
    <row r="36" spans="1:37" ht="15" customHeight="1">
      <c r="A36" s="111"/>
      <c r="B36" s="112" t="s">
        <v>278</v>
      </c>
      <c r="C36" s="208" t="e">
        <f>#REF!+#REF!-D36</f>
        <v>#REF!</v>
      </c>
      <c r="D36" s="112">
        <f>E36+H36</f>
        <v>-789</v>
      </c>
      <c r="E36" s="112"/>
      <c r="F36" s="112"/>
      <c r="G36" s="112"/>
      <c r="H36" s="112">
        <f>SUM(I36:AG36)</f>
        <v>-789</v>
      </c>
      <c r="I36" s="112"/>
      <c r="J36" s="112"/>
      <c r="K36" s="112"/>
      <c r="L36" s="112"/>
      <c r="M36" s="112">
        <f>-120-156</f>
        <v>-276</v>
      </c>
      <c r="N36" s="112"/>
      <c r="O36" s="112"/>
      <c r="P36" s="112"/>
      <c r="Q36" s="112"/>
      <c r="R36" s="112"/>
      <c r="S36" s="112"/>
      <c r="T36" s="112"/>
      <c r="U36" s="112"/>
      <c r="V36" s="112">
        <f>-513</f>
        <v>-513</v>
      </c>
      <c r="W36" s="112"/>
      <c r="X36" s="112"/>
      <c r="Y36" s="112"/>
      <c r="Z36" s="112"/>
      <c r="AA36" s="112"/>
      <c r="AB36" s="112"/>
      <c r="AC36" s="112"/>
      <c r="AD36" s="112"/>
      <c r="AE36" s="112"/>
      <c r="AF36" s="112"/>
      <c r="AG36" s="112"/>
      <c r="AH36" s="112"/>
      <c r="AI36" s="112"/>
    </row>
    <row r="37" spans="1:37" s="117" customFormat="1" ht="15" customHeight="1">
      <c r="A37" s="114"/>
      <c r="B37" s="112" t="s">
        <v>142</v>
      </c>
      <c r="C37" s="208" t="e">
        <f>#REF!+#REF!-D37</f>
        <v>#REF!</v>
      </c>
      <c r="D37" s="112">
        <f>E37+H37</f>
        <v>0</v>
      </c>
      <c r="E37" s="112"/>
      <c r="F37" s="112"/>
      <c r="G37" s="112"/>
      <c r="H37" s="112">
        <f>SUM(I37:AG37)</f>
        <v>0</v>
      </c>
      <c r="I37" s="115"/>
      <c r="J37" s="115"/>
      <c r="K37" s="115"/>
      <c r="L37" s="112"/>
      <c r="M37" s="112"/>
      <c r="N37" s="112"/>
      <c r="O37" s="112"/>
      <c r="P37" s="115"/>
      <c r="Q37" s="115"/>
      <c r="R37" s="115"/>
      <c r="S37" s="115"/>
      <c r="T37" s="115"/>
      <c r="U37" s="112"/>
      <c r="V37" s="112"/>
      <c r="W37" s="115"/>
      <c r="X37" s="112"/>
      <c r="Y37" s="115"/>
      <c r="Z37" s="115"/>
      <c r="AA37" s="115"/>
      <c r="AB37" s="115"/>
      <c r="AC37" s="115"/>
      <c r="AD37" s="115"/>
      <c r="AE37" s="112"/>
      <c r="AF37" s="112"/>
      <c r="AG37" s="112"/>
      <c r="AH37" s="112"/>
      <c r="AI37" s="112"/>
      <c r="AJ37" s="116"/>
      <c r="AK37" s="116"/>
    </row>
    <row r="38" spans="1:37" s="117" customFormat="1" ht="15" customHeight="1">
      <c r="A38" s="114"/>
      <c r="B38" s="112" t="s">
        <v>138</v>
      </c>
      <c r="C38" s="208" t="e">
        <f>#REF!+#REF!-D38</f>
        <v>#REF!</v>
      </c>
      <c r="D38" s="112">
        <f>E38+H38</f>
        <v>814</v>
      </c>
      <c r="E38" s="112"/>
      <c r="F38" s="112"/>
      <c r="G38" s="112"/>
      <c r="H38" s="112">
        <f>SUM(I38:AG38)</f>
        <v>814</v>
      </c>
      <c r="I38" s="115"/>
      <c r="J38" s="115"/>
      <c r="K38" s="115"/>
      <c r="L38" s="112">
        <v>320</v>
      </c>
      <c r="M38" s="112">
        <v>185</v>
      </c>
      <c r="N38" s="112"/>
      <c r="O38" s="112"/>
      <c r="P38" s="115"/>
      <c r="Q38" s="115"/>
      <c r="R38" s="115"/>
      <c r="S38" s="115"/>
      <c r="T38" s="115"/>
      <c r="U38" s="112"/>
      <c r="V38" s="112">
        <f>150+159</f>
        <v>309</v>
      </c>
      <c r="W38" s="115"/>
      <c r="X38" s="112"/>
      <c r="Y38" s="115"/>
      <c r="Z38" s="115"/>
      <c r="AA38" s="115"/>
      <c r="AB38" s="115"/>
      <c r="AC38" s="115"/>
      <c r="AD38" s="115"/>
      <c r="AE38" s="112"/>
      <c r="AF38" s="112"/>
      <c r="AG38" s="112"/>
      <c r="AH38" s="112"/>
      <c r="AI38" s="112"/>
      <c r="AJ38" s="116"/>
      <c r="AK38" s="116"/>
    </row>
    <row r="39" spans="1:37" s="117" customFormat="1" ht="15" customHeight="1">
      <c r="A39" s="114">
        <v>6</v>
      </c>
      <c r="B39" s="115" t="s">
        <v>44</v>
      </c>
      <c r="C39" s="208" t="e">
        <f>#REF!+#REF!-D39</f>
        <v>#REF!</v>
      </c>
      <c r="D39" s="115">
        <f t="shared" ref="D39:Y39" si="7">SUM(D40:D43)</f>
        <v>21055</v>
      </c>
      <c r="E39" s="115"/>
      <c r="F39" s="115">
        <f t="shared" si="7"/>
        <v>0</v>
      </c>
      <c r="G39" s="115">
        <f t="shared" si="7"/>
        <v>0</v>
      </c>
      <c r="H39" s="115">
        <f t="shared" si="7"/>
        <v>21055</v>
      </c>
      <c r="I39" s="115">
        <f t="shared" si="7"/>
        <v>0</v>
      </c>
      <c r="J39" s="115">
        <f t="shared" si="7"/>
        <v>0</v>
      </c>
      <c r="K39" s="115">
        <f t="shared" si="7"/>
        <v>0</v>
      </c>
      <c r="L39" s="115">
        <f t="shared" si="7"/>
        <v>1410</v>
      </c>
      <c r="M39" s="115">
        <f t="shared" si="7"/>
        <v>7467</v>
      </c>
      <c r="N39" s="115">
        <f t="shared" si="7"/>
        <v>0</v>
      </c>
      <c r="O39" s="115">
        <f t="shared" si="7"/>
        <v>440</v>
      </c>
      <c r="P39" s="115">
        <f t="shared" si="7"/>
        <v>0</v>
      </c>
      <c r="Q39" s="115">
        <f t="shared" si="7"/>
        <v>0</v>
      </c>
      <c r="R39" s="115">
        <f t="shared" si="7"/>
        <v>0</v>
      </c>
      <c r="S39" s="115">
        <f t="shared" si="7"/>
        <v>0</v>
      </c>
      <c r="T39" s="115">
        <f t="shared" si="7"/>
        <v>0</v>
      </c>
      <c r="U39" s="115">
        <f t="shared" si="7"/>
        <v>55</v>
      </c>
      <c r="V39" s="115">
        <f t="shared" si="7"/>
        <v>11513</v>
      </c>
      <c r="W39" s="115">
        <f t="shared" si="7"/>
        <v>0</v>
      </c>
      <c r="X39" s="115">
        <f t="shared" si="7"/>
        <v>170</v>
      </c>
      <c r="Y39" s="115">
        <f t="shared" si="7"/>
        <v>0</v>
      </c>
      <c r="Z39" s="115"/>
      <c r="AA39" s="115"/>
      <c r="AB39" s="115"/>
      <c r="AC39" s="115"/>
      <c r="AD39" s="115"/>
      <c r="AE39" s="115">
        <f>SUM(AE40:AE43)</f>
        <v>0</v>
      </c>
      <c r="AF39" s="115"/>
      <c r="AG39" s="115">
        <f>SUM(AG40:AG43)</f>
        <v>0</v>
      </c>
      <c r="AH39" s="115">
        <f t="shared" ref="AH39" si="8">SUM(AH40:AH43)</f>
        <v>1729</v>
      </c>
      <c r="AI39" s="115">
        <f>D39-AH39</f>
        <v>19326</v>
      </c>
      <c r="AJ39" s="116">
        <f>2217+765</f>
        <v>2982</v>
      </c>
      <c r="AK39" s="116">
        <f>570+241</f>
        <v>811</v>
      </c>
    </row>
    <row r="40" spans="1:37" ht="15" customHeight="1">
      <c r="A40" s="111"/>
      <c r="B40" s="112" t="s">
        <v>148</v>
      </c>
      <c r="C40" s="208" t="e">
        <f>#REF!+#REF!-D40</f>
        <v>#REF!</v>
      </c>
      <c r="D40" s="112">
        <f>E40+H40</f>
        <v>20461</v>
      </c>
      <c r="E40" s="112"/>
      <c r="F40" s="112"/>
      <c r="G40" s="112"/>
      <c r="H40" s="112">
        <f>SUM(I40:AG40)</f>
        <v>20461</v>
      </c>
      <c r="I40" s="112"/>
      <c r="J40" s="112"/>
      <c r="K40" s="112"/>
      <c r="L40" s="112"/>
      <c r="M40" s="112">
        <v>7869</v>
      </c>
      <c r="N40" s="112"/>
      <c r="O40" s="112">
        <v>440</v>
      </c>
      <c r="P40" s="112"/>
      <c r="Q40" s="112"/>
      <c r="R40" s="112"/>
      <c r="S40" s="112"/>
      <c r="T40" s="112"/>
      <c r="U40" s="112">
        <v>55</v>
      </c>
      <c r="V40" s="112">
        <v>11927</v>
      </c>
      <c r="W40" s="112"/>
      <c r="X40" s="112">
        <v>170</v>
      </c>
      <c r="Y40" s="112"/>
      <c r="Z40" s="112"/>
      <c r="AA40" s="112"/>
      <c r="AB40" s="112"/>
      <c r="AC40" s="112"/>
      <c r="AD40" s="112"/>
      <c r="AE40" s="112"/>
      <c r="AF40" s="112"/>
      <c r="AG40" s="112"/>
      <c r="AH40" s="112"/>
      <c r="AI40" s="112"/>
    </row>
    <row r="41" spans="1:37" s="73" customFormat="1" ht="15" customHeight="1">
      <c r="A41" s="164"/>
      <c r="B41" s="165" t="s">
        <v>294</v>
      </c>
      <c r="C41" s="208" t="e">
        <f>#REF!+#REF!-D41</f>
        <v>#REF!</v>
      </c>
      <c r="D41" s="165">
        <f>E41+H41</f>
        <v>-306</v>
      </c>
      <c r="E41" s="165"/>
      <c r="F41" s="165"/>
      <c r="G41" s="165"/>
      <c r="H41" s="165">
        <f>SUM(I41:AG41)</f>
        <v>-306</v>
      </c>
      <c r="I41" s="165"/>
      <c r="J41" s="165"/>
      <c r="K41" s="165"/>
      <c r="L41" s="165"/>
      <c r="M41" s="165">
        <v>-161</v>
      </c>
      <c r="N41" s="165"/>
      <c r="O41" s="165"/>
      <c r="P41" s="165"/>
      <c r="Q41" s="165"/>
      <c r="R41" s="165"/>
      <c r="S41" s="165"/>
      <c r="T41" s="165"/>
      <c r="U41" s="165"/>
      <c r="V41" s="165">
        <v>-145</v>
      </c>
      <c r="W41" s="165"/>
      <c r="X41" s="165"/>
      <c r="Y41" s="165"/>
      <c r="Z41" s="165"/>
      <c r="AA41" s="165"/>
      <c r="AB41" s="165"/>
      <c r="AC41" s="165"/>
      <c r="AD41" s="165"/>
      <c r="AE41" s="165"/>
      <c r="AF41" s="165"/>
      <c r="AG41" s="165"/>
      <c r="AH41" s="165">
        <v>1729</v>
      </c>
      <c r="AI41" s="165"/>
      <c r="AJ41" s="166"/>
      <c r="AK41" s="166"/>
    </row>
    <row r="42" spans="1:37" ht="15" customHeight="1">
      <c r="A42" s="111"/>
      <c r="B42" s="112" t="s">
        <v>142</v>
      </c>
      <c r="C42" s="208" t="e">
        <f>#REF!+#REF!-D42</f>
        <v>#REF!</v>
      </c>
      <c r="D42" s="112">
        <f>E42+H42</f>
        <v>-811</v>
      </c>
      <c r="E42" s="112"/>
      <c r="F42" s="112"/>
      <c r="G42" s="112"/>
      <c r="H42" s="112">
        <f>SUM(I42:AG42)</f>
        <v>-811</v>
      </c>
      <c r="I42" s="112"/>
      <c r="J42" s="112"/>
      <c r="K42" s="112"/>
      <c r="L42" s="112"/>
      <c r="M42" s="112">
        <f>-241</f>
        <v>-241</v>
      </c>
      <c r="N42" s="112"/>
      <c r="O42" s="112"/>
      <c r="P42" s="112"/>
      <c r="Q42" s="112"/>
      <c r="R42" s="112"/>
      <c r="S42" s="112"/>
      <c r="T42" s="112"/>
      <c r="U42" s="112"/>
      <c r="V42" s="112">
        <f>-570</f>
        <v>-570</v>
      </c>
      <c r="W42" s="112"/>
      <c r="X42" s="112"/>
      <c r="Y42" s="112"/>
      <c r="Z42" s="112"/>
      <c r="AA42" s="112"/>
      <c r="AB42" s="112"/>
      <c r="AC42" s="112"/>
      <c r="AD42" s="112"/>
      <c r="AE42" s="112"/>
      <c r="AF42" s="112"/>
      <c r="AG42" s="112"/>
      <c r="AH42" s="112"/>
      <c r="AI42" s="112"/>
    </row>
    <row r="43" spans="1:37" ht="15" customHeight="1">
      <c r="A43" s="111"/>
      <c r="B43" s="112" t="s">
        <v>130</v>
      </c>
      <c r="C43" s="208" t="e">
        <f>#REF!+#REF!-D43</f>
        <v>#REF!</v>
      </c>
      <c r="D43" s="112">
        <f>E43+H43</f>
        <v>1711</v>
      </c>
      <c r="E43" s="112"/>
      <c r="F43" s="112"/>
      <c r="G43" s="112"/>
      <c r="H43" s="112">
        <f>SUM(I43:AG43)</f>
        <v>1711</v>
      </c>
      <c r="I43" s="112"/>
      <c r="J43" s="112"/>
      <c r="K43" s="112"/>
      <c r="L43" s="112">
        <v>1410</v>
      </c>
      <c r="M43" s="112"/>
      <c r="N43" s="112"/>
      <c r="O43" s="112"/>
      <c r="P43" s="112"/>
      <c r="Q43" s="112"/>
      <c r="R43" s="112"/>
      <c r="S43" s="112"/>
      <c r="T43" s="112"/>
      <c r="U43" s="112"/>
      <c r="V43" s="112">
        <f>90+211</f>
        <v>301</v>
      </c>
      <c r="W43" s="112"/>
      <c r="X43" s="112"/>
      <c r="Y43" s="112"/>
      <c r="Z43" s="112"/>
      <c r="AA43" s="112"/>
      <c r="AB43" s="112"/>
      <c r="AC43" s="112"/>
      <c r="AD43" s="112"/>
      <c r="AE43" s="112"/>
      <c r="AF43" s="112"/>
      <c r="AG43" s="112"/>
      <c r="AH43" s="112"/>
      <c r="AI43" s="112"/>
    </row>
    <row r="44" spans="1:37" s="117" customFormat="1" ht="15" customHeight="1">
      <c r="A44" s="114">
        <v>7</v>
      </c>
      <c r="B44" s="115" t="s">
        <v>45</v>
      </c>
      <c r="C44" s="208" t="e">
        <f>#REF!+#REF!-D44</f>
        <v>#REF!</v>
      </c>
      <c r="D44" s="115">
        <f t="shared" ref="D44:Y44" si="9">SUM(D45:D48)</f>
        <v>22858</v>
      </c>
      <c r="E44" s="115"/>
      <c r="F44" s="115">
        <f t="shared" si="9"/>
        <v>0</v>
      </c>
      <c r="G44" s="115">
        <f t="shared" si="9"/>
        <v>0</v>
      </c>
      <c r="H44" s="115">
        <f t="shared" si="9"/>
        <v>22858</v>
      </c>
      <c r="I44" s="115">
        <f t="shared" si="9"/>
        <v>0</v>
      </c>
      <c r="J44" s="115">
        <f t="shared" si="9"/>
        <v>0</v>
      </c>
      <c r="K44" s="115">
        <f t="shared" si="9"/>
        <v>0</v>
      </c>
      <c r="L44" s="115">
        <f t="shared" si="9"/>
        <v>0</v>
      </c>
      <c r="M44" s="115">
        <f t="shared" si="9"/>
        <v>14152</v>
      </c>
      <c r="N44" s="115">
        <f t="shared" si="9"/>
        <v>0</v>
      </c>
      <c r="O44" s="115">
        <f t="shared" si="9"/>
        <v>200</v>
      </c>
      <c r="P44" s="115">
        <f t="shared" si="9"/>
        <v>0</v>
      </c>
      <c r="Q44" s="115">
        <f t="shared" si="9"/>
        <v>0</v>
      </c>
      <c r="R44" s="115">
        <f t="shared" si="9"/>
        <v>0</v>
      </c>
      <c r="S44" s="115">
        <f t="shared" si="9"/>
        <v>0</v>
      </c>
      <c r="T44" s="115">
        <f t="shared" si="9"/>
        <v>0</v>
      </c>
      <c r="U44" s="115">
        <f t="shared" si="9"/>
        <v>20</v>
      </c>
      <c r="V44" s="115">
        <f t="shared" si="9"/>
        <v>8486</v>
      </c>
      <c r="W44" s="115">
        <f t="shared" si="9"/>
        <v>0</v>
      </c>
      <c r="X44" s="115">
        <f t="shared" si="9"/>
        <v>0</v>
      </c>
      <c r="Y44" s="115">
        <f t="shared" si="9"/>
        <v>0</v>
      </c>
      <c r="Z44" s="115"/>
      <c r="AA44" s="115"/>
      <c r="AB44" s="115"/>
      <c r="AC44" s="115"/>
      <c r="AD44" s="115"/>
      <c r="AE44" s="115">
        <f>SUM(AE45:AE48)</f>
        <v>0</v>
      </c>
      <c r="AF44" s="115"/>
      <c r="AG44" s="115">
        <f>SUM(AG45:AG48)</f>
        <v>0</v>
      </c>
      <c r="AH44" s="115">
        <f>AH46</f>
        <v>1099</v>
      </c>
      <c r="AI44" s="115">
        <f>D44-AH44</f>
        <v>21759</v>
      </c>
      <c r="AJ44" s="116">
        <v>1989</v>
      </c>
      <c r="AK44" s="116">
        <v>452</v>
      </c>
    </row>
    <row r="45" spans="1:37" ht="15" customHeight="1">
      <c r="A45" s="111"/>
      <c r="B45" s="112" t="s">
        <v>212</v>
      </c>
      <c r="C45" s="208" t="e">
        <f>#REF!+#REF!-D45</f>
        <v>#REF!</v>
      </c>
      <c r="D45" s="112">
        <f>E45+H45</f>
        <v>23496</v>
      </c>
      <c r="E45" s="112"/>
      <c r="F45" s="112"/>
      <c r="G45" s="112"/>
      <c r="H45" s="112">
        <f>SUM(I45:AG45)</f>
        <v>23496</v>
      </c>
      <c r="I45" s="112"/>
      <c r="J45" s="112"/>
      <c r="K45" s="112"/>
      <c r="L45" s="112"/>
      <c r="M45" s="112">
        <v>14502</v>
      </c>
      <c r="N45" s="112"/>
      <c r="O45" s="112">
        <v>200</v>
      </c>
      <c r="P45" s="112"/>
      <c r="Q45" s="112"/>
      <c r="R45" s="112"/>
      <c r="S45" s="112"/>
      <c r="T45" s="112"/>
      <c r="U45" s="112">
        <v>20</v>
      </c>
      <c r="V45" s="112">
        <v>8774</v>
      </c>
      <c r="W45" s="112"/>
      <c r="X45" s="112"/>
      <c r="Y45" s="112"/>
      <c r="Z45" s="112"/>
      <c r="AA45" s="112"/>
      <c r="AB45" s="112"/>
      <c r="AC45" s="112"/>
      <c r="AD45" s="112"/>
      <c r="AE45" s="112"/>
      <c r="AF45" s="112"/>
      <c r="AG45" s="112"/>
      <c r="AH45" s="112"/>
      <c r="AI45" s="112"/>
    </row>
    <row r="46" spans="1:37" s="73" customFormat="1" ht="15" customHeight="1">
      <c r="A46" s="164"/>
      <c r="B46" s="165" t="s">
        <v>294</v>
      </c>
      <c r="C46" s="208" t="e">
        <f>#REF!+#REF!-D46</f>
        <v>#REF!</v>
      </c>
      <c r="D46" s="165">
        <f>E46+H46</f>
        <v>-411</v>
      </c>
      <c r="E46" s="165"/>
      <c r="F46" s="165"/>
      <c r="G46" s="165"/>
      <c r="H46" s="165">
        <f>SUM(I46:AG46)</f>
        <v>-411</v>
      </c>
      <c r="I46" s="165"/>
      <c r="J46" s="165"/>
      <c r="K46" s="165"/>
      <c r="L46" s="165"/>
      <c r="M46" s="165">
        <v>-292</v>
      </c>
      <c r="N46" s="165"/>
      <c r="O46" s="165"/>
      <c r="P46" s="165"/>
      <c r="Q46" s="165"/>
      <c r="R46" s="165"/>
      <c r="S46" s="165"/>
      <c r="T46" s="165"/>
      <c r="U46" s="165"/>
      <c r="V46" s="165">
        <v>-119</v>
      </c>
      <c r="W46" s="165"/>
      <c r="X46" s="165"/>
      <c r="Y46" s="165"/>
      <c r="Z46" s="165"/>
      <c r="AA46" s="165"/>
      <c r="AB46" s="165"/>
      <c r="AC46" s="165"/>
      <c r="AD46" s="165"/>
      <c r="AE46" s="165"/>
      <c r="AF46" s="165"/>
      <c r="AG46" s="165"/>
      <c r="AH46" s="165">
        <f>823+276</f>
        <v>1099</v>
      </c>
      <c r="AI46" s="165"/>
      <c r="AJ46" s="166"/>
      <c r="AK46" s="166"/>
    </row>
    <row r="47" spans="1:37" ht="15" customHeight="1">
      <c r="A47" s="111"/>
      <c r="B47" s="112" t="s">
        <v>278</v>
      </c>
      <c r="C47" s="208" t="e">
        <f>#REF!+#REF!-D47</f>
        <v>#REF!</v>
      </c>
      <c r="D47" s="112">
        <f>E47+H47</f>
        <v>-452</v>
      </c>
      <c r="E47" s="112"/>
      <c r="F47" s="112"/>
      <c r="G47" s="112"/>
      <c r="H47" s="112">
        <f>SUM(I47:AG47)</f>
        <v>-452</v>
      </c>
      <c r="I47" s="112"/>
      <c r="J47" s="112"/>
      <c r="K47" s="112"/>
      <c r="L47" s="112"/>
      <c r="M47" s="112">
        <f>-58</f>
        <v>-58</v>
      </c>
      <c r="N47" s="112"/>
      <c r="O47" s="112"/>
      <c r="P47" s="112"/>
      <c r="Q47" s="112"/>
      <c r="R47" s="112"/>
      <c r="S47" s="112"/>
      <c r="T47" s="112"/>
      <c r="U47" s="112"/>
      <c r="V47" s="112">
        <f>-394</f>
        <v>-394</v>
      </c>
      <c r="W47" s="112"/>
      <c r="X47" s="112"/>
      <c r="Y47" s="112"/>
      <c r="Z47" s="112"/>
      <c r="AA47" s="112"/>
      <c r="AB47" s="112"/>
      <c r="AC47" s="112"/>
      <c r="AD47" s="112"/>
      <c r="AE47" s="112"/>
      <c r="AF47" s="112"/>
      <c r="AG47" s="112"/>
      <c r="AH47" s="112"/>
      <c r="AI47" s="112"/>
    </row>
    <row r="48" spans="1:37" ht="15" customHeight="1">
      <c r="A48" s="111"/>
      <c r="B48" s="112" t="s">
        <v>138</v>
      </c>
      <c r="C48" s="208" t="e">
        <f>#REF!+#REF!-D48</f>
        <v>#REF!</v>
      </c>
      <c r="D48" s="112">
        <f>E48+H48</f>
        <v>225</v>
      </c>
      <c r="E48" s="112"/>
      <c r="F48" s="112"/>
      <c r="G48" s="112"/>
      <c r="H48" s="112">
        <f>SUM(I48:AG48)</f>
        <v>225</v>
      </c>
      <c r="I48" s="112"/>
      <c r="J48" s="112"/>
      <c r="K48" s="112"/>
      <c r="L48" s="112"/>
      <c r="M48" s="112"/>
      <c r="N48" s="112"/>
      <c r="O48" s="112"/>
      <c r="P48" s="112"/>
      <c r="Q48" s="112"/>
      <c r="R48" s="112"/>
      <c r="S48" s="112"/>
      <c r="T48" s="112"/>
      <c r="U48" s="112"/>
      <c r="V48" s="112">
        <v>225</v>
      </c>
      <c r="W48" s="112"/>
      <c r="X48" s="112"/>
      <c r="Y48" s="112"/>
      <c r="Z48" s="112"/>
      <c r="AA48" s="112"/>
      <c r="AB48" s="112"/>
      <c r="AC48" s="112"/>
      <c r="AD48" s="112"/>
      <c r="AE48" s="112"/>
      <c r="AF48" s="112"/>
      <c r="AG48" s="112"/>
      <c r="AH48" s="112"/>
      <c r="AI48" s="112"/>
    </row>
    <row r="49" spans="1:37" s="117" customFormat="1" ht="15" customHeight="1">
      <c r="A49" s="114">
        <v>8</v>
      </c>
      <c r="B49" s="115" t="s">
        <v>46</v>
      </c>
      <c r="C49" s="208" t="e">
        <f>#REF!+#REF!-D49</f>
        <v>#REF!</v>
      </c>
      <c r="D49" s="115">
        <f t="shared" ref="D49:Y49" si="10">SUM(D50:D53)</f>
        <v>16463</v>
      </c>
      <c r="E49" s="115"/>
      <c r="F49" s="115">
        <f t="shared" si="10"/>
        <v>0</v>
      </c>
      <c r="G49" s="115">
        <f t="shared" si="10"/>
        <v>0</v>
      </c>
      <c r="H49" s="115">
        <f t="shared" si="10"/>
        <v>16463</v>
      </c>
      <c r="I49" s="115">
        <f t="shared" si="10"/>
        <v>0</v>
      </c>
      <c r="J49" s="115">
        <f t="shared" si="10"/>
        <v>0</v>
      </c>
      <c r="K49" s="115">
        <f t="shared" si="10"/>
        <v>0</v>
      </c>
      <c r="L49" s="115">
        <f t="shared" si="10"/>
        <v>0</v>
      </c>
      <c r="M49" s="115">
        <f t="shared" si="10"/>
        <v>3455</v>
      </c>
      <c r="N49" s="115">
        <f t="shared" si="10"/>
        <v>3465</v>
      </c>
      <c r="O49" s="115">
        <f t="shared" si="10"/>
        <v>260</v>
      </c>
      <c r="P49" s="115">
        <f t="shared" si="10"/>
        <v>0</v>
      </c>
      <c r="Q49" s="115">
        <f t="shared" si="10"/>
        <v>0</v>
      </c>
      <c r="R49" s="115">
        <f t="shared" si="10"/>
        <v>0</v>
      </c>
      <c r="S49" s="115">
        <f t="shared" si="10"/>
        <v>0</v>
      </c>
      <c r="T49" s="115">
        <f t="shared" si="10"/>
        <v>0</v>
      </c>
      <c r="U49" s="115">
        <f t="shared" si="10"/>
        <v>180</v>
      </c>
      <c r="V49" s="115">
        <f t="shared" si="10"/>
        <v>9103</v>
      </c>
      <c r="W49" s="115">
        <f t="shared" si="10"/>
        <v>0</v>
      </c>
      <c r="X49" s="115">
        <f t="shared" si="10"/>
        <v>0</v>
      </c>
      <c r="Y49" s="115">
        <f t="shared" si="10"/>
        <v>0</v>
      </c>
      <c r="Z49" s="115"/>
      <c r="AA49" s="115"/>
      <c r="AB49" s="115"/>
      <c r="AC49" s="115"/>
      <c r="AD49" s="115"/>
      <c r="AE49" s="115">
        <f>SUM(AE50:AE53)</f>
        <v>0</v>
      </c>
      <c r="AF49" s="115"/>
      <c r="AG49" s="115">
        <f>SUM(AG50:AG53)</f>
        <v>0</v>
      </c>
      <c r="AH49" s="115">
        <f>AH50</f>
        <v>1272</v>
      </c>
      <c r="AI49" s="115">
        <f>D49-AH49</f>
        <v>15191</v>
      </c>
      <c r="AJ49" s="116">
        <f>1708+463</f>
        <v>2171</v>
      </c>
      <c r="AK49" s="116">
        <f>445+155</f>
        <v>600</v>
      </c>
    </row>
    <row r="50" spans="1:37" s="117" customFormat="1" ht="15" customHeight="1">
      <c r="A50" s="111"/>
      <c r="B50" s="112" t="s">
        <v>147</v>
      </c>
      <c r="C50" s="208" t="e">
        <f>#REF!+#REF!-D50</f>
        <v>#REF!</v>
      </c>
      <c r="D50" s="112">
        <f>E50+H50</f>
        <v>17568</v>
      </c>
      <c r="E50" s="112"/>
      <c r="F50" s="112"/>
      <c r="G50" s="112"/>
      <c r="H50" s="112">
        <f>SUM(I50:AG50)</f>
        <v>17568</v>
      </c>
      <c r="I50" s="115"/>
      <c r="J50" s="115"/>
      <c r="K50" s="115"/>
      <c r="L50" s="112"/>
      <c r="M50" s="112">
        <v>3750</v>
      </c>
      <c r="N50" s="112">
        <v>3845</v>
      </c>
      <c r="O50" s="112">
        <v>260</v>
      </c>
      <c r="P50" s="115"/>
      <c r="Q50" s="115"/>
      <c r="R50" s="115"/>
      <c r="S50" s="115"/>
      <c r="T50" s="115"/>
      <c r="U50" s="112">
        <v>180</v>
      </c>
      <c r="V50" s="112">
        <v>9533</v>
      </c>
      <c r="W50" s="115"/>
      <c r="X50" s="115"/>
      <c r="Y50" s="115"/>
      <c r="Z50" s="115"/>
      <c r="AA50" s="115"/>
      <c r="AB50" s="115"/>
      <c r="AC50" s="115"/>
      <c r="AD50" s="115"/>
      <c r="AE50" s="115"/>
      <c r="AF50" s="115"/>
      <c r="AG50" s="115"/>
      <c r="AH50" s="115">
        <f>993+279</f>
        <v>1272</v>
      </c>
      <c r="AI50" s="115"/>
      <c r="AJ50" s="116"/>
      <c r="AK50" s="116"/>
    </row>
    <row r="51" spans="1:37" s="73" customFormat="1" ht="15" customHeight="1">
      <c r="A51" s="164"/>
      <c r="B51" s="165" t="s">
        <v>294</v>
      </c>
      <c r="C51" s="208" t="e">
        <f>#REF!+#REF!-D51</f>
        <v>#REF!</v>
      </c>
      <c r="D51" s="165">
        <f>E51+H51</f>
        <v>-665</v>
      </c>
      <c r="E51" s="165"/>
      <c r="F51" s="165"/>
      <c r="G51" s="165"/>
      <c r="H51" s="165">
        <f>SUM(I51:AG51)</f>
        <v>-665</v>
      </c>
      <c r="I51" s="165"/>
      <c r="J51" s="165"/>
      <c r="K51" s="165"/>
      <c r="L51" s="165"/>
      <c r="M51" s="165">
        <v>-150</v>
      </c>
      <c r="N51" s="165">
        <v>-380</v>
      </c>
      <c r="O51" s="165"/>
      <c r="P51" s="165"/>
      <c r="Q51" s="165"/>
      <c r="R51" s="165"/>
      <c r="S51" s="165"/>
      <c r="T51" s="165"/>
      <c r="U51" s="165"/>
      <c r="V51" s="165">
        <v>-135</v>
      </c>
      <c r="W51" s="165"/>
      <c r="X51" s="165"/>
      <c r="Y51" s="165"/>
      <c r="Z51" s="165"/>
      <c r="AA51" s="165"/>
      <c r="AB51" s="165"/>
      <c r="AC51" s="165"/>
      <c r="AD51" s="165"/>
      <c r="AE51" s="165"/>
      <c r="AF51" s="165"/>
      <c r="AG51" s="165"/>
      <c r="AH51" s="165"/>
      <c r="AI51" s="165"/>
      <c r="AJ51" s="166"/>
      <c r="AK51" s="166"/>
    </row>
    <row r="52" spans="1:37" ht="15" customHeight="1">
      <c r="A52" s="111"/>
      <c r="B52" s="112" t="s">
        <v>278</v>
      </c>
      <c r="C52" s="208" t="e">
        <f>#REF!+#REF!-D52</f>
        <v>#REF!</v>
      </c>
      <c r="D52" s="112">
        <f>E52+H52</f>
        <v>-600</v>
      </c>
      <c r="E52" s="112"/>
      <c r="F52" s="112"/>
      <c r="G52" s="112"/>
      <c r="H52" s="112">
        <f>SUM(I52:AG52)</f>
        <v>-600</v>
      </c>
      <c r="I52" s="112"/>
      <c r="J52" s="112"/>
      <c r="K52" s="112"/>
      <c r="L52" s="112"/>
      <c r="M52" s="112">
        <f>-155</f>
        <v>-155</v>
      </c>
      <c r="N52" s="112"/>
      <c r="O52" s="112"/>
      <c r="P52" s="112"/>
      <c r="Q52" s="112"/>
      <c r="R52" s="112"/>
      <c r="S52" s="112"/>
      <c r="T52" s="112"/>
      <c r="U52" s="112"/>
      <c r="V52" s="112">
        <f>-445</f>
        <v>-445</v>
      </c>
      <c r="W52" s="112"/>
      <c r="X52" s="112"/>
      <c r="Y52" s="112"/>
      <c r="Z52" s="112"/>
      <c r="AA52" s="112"/>
      <c r="AB52" s="112"/>
      <c r="AC52" s="112"/>
      <c r="AD52" s="112"/>
      <c r="AE52" s="112"/>
      <c r="AF52" s="112"/>
      <c r="AG52" s="112"/>
      <c r="AH52" s="112"/>
      <c r="AI52" s="112"/>
    </row>
    <row r="53" spans="1:37" s="117" customFormat="1" ht="15" customHeight="1">
      <c r="A53" s="111"/>
      <c r="B53" s="112" t="s">
        <v>130</v>
      </c>
      <c r="C53" s="208" t="e">
        <f>#REF!+#REF!-D53</f>
        <v>#REF!</v>
      </c>
      <c r="D53" s="112">
        <f>E53+H53</f>
        <v>160</v>
      </c>
      <c r="E53" s="112"/>
      <c r="F53" s="112"/>
      <c r="G53" s="112"/>
      <c r="H53" s="112">
        <f>SUM(I53:AG53)</f>
        <v>160</v>
      </c>
      <c r="I53" s="115"/>
      <c r="J53" s="115"/>
      <c r="K53" s="115"/>
      <c r="L53" s="112"/>
      <c r="M53" s="112">
        <v>10</v>
      </c>
      <c r="N53" s="112"/>
      <c r="O53" s="112"/>
      <c r="P53" s="115"/>
      <c r="Q53" s="115"/>
      <c r="R53" s="115"/>
      <c r="S53" s="115"/>
      <c r="T53" s="115"/>
      <c r="U53" s="112"/>
      <c r="V53" s="112">
        <v>150</v>
      </c>
      <c r="W53" s="115"/>
      <c r="X53" s="115"/>
      <c r="Y53" s="115"/>
      <c r="Z53" s="115"/>
      <c r="AA53" s="115"/>
      <c r="AB53" s="115"/>
      <c r="AC53" s="115"/>
      <c r="AD53" s="115"/>
      <c r="AE53" s="115"/>
      <c r="AF53" s="115"/>
      <c r="AG53" s="115"/>
      <c r="AH53" s="115"/>
      <c r="AI53" s="115"/>
      <c r="AJ53" s="116"/>
      <c r="AK53" s="116"/>
    </row>
    <row r="54" spans="1:37" s="117" customFormat="1" ht="15" customHeight="1">
      <c r="A54" s="114">
        <v>9</v>
      </c>
      <c r="B54" s="115" t="s">
        <v>47</v>
      </c>
      <c r="C54" s="208" t="e">
        <f>#REF!+#REF!-D54</f>
        <v>#REF!</v>
      </c>
      <c r="D54" s="115">
        <f t="shared" ref="D54:Y54" si="11">SUM(D55:D59)</f>
        <v>153674</v>
      </c>
      <c r="E54" s="115"/>
      <c r="F54" s="115">
        <f t="shared" si="11"/>
        <v>0</v>
      </c>
      <c r="G54" s="115">
        <f t="shared" si="11"/>
        <v>0</v>
      </c>
      <c r="H54" s="115">
        <f t="shared" si="11"/>
        <v>153674</v>
      </c>
      <c r="I54" s="115">
        <f t="shared" si="11"/>
        <v>0</v>
      </c>
      <c r="J54" s="115">
        <f t="shared" si="11"/>
        <v>0</v>
      </c>
      <c r="K54" s="115">
        <f t="shared" si="11"/>
        <v>0</v>
      </c>
      <c r="L54" s="115">
        <f t="shared" si="11"/>
        <v>4370</v>
      </c>
      <c r="M54" s="115">
        <f t="shared" si="11"/>
        <v>5565</v>
      </c>
      <c r="N54" s="115">
        <f t="shared" si="11"/>
        <v>2170</v>
      </c>
      <c r="O54" s="115">
        <f t="shared" si="11"/>
        <v>44091</v>
      </c>
      <c r="P54" s="115">
        <f t="shared" si="11"/>
        <v>0</v>
      </c>
      <c r="Q54" s="115">
        <f t="shared" si="11"/>
        <v>42903</v>
      </c>
      <c r="R54" s="115">
        <f t="shared" si="11"/>
        <v>0</v>
      </c>
      <c r="S54" s="115">
        <f t="shared" si="11"/>
        <v>44253</v>
      </c>
      <c r="T54" s="115">
        <f t="shared" si="11"/>
        <v>0</v>
      </c>
      <c r="U54" s="115">
        <f t="shared" si="11"/>
        <v>551</v>
      </c>
      <c r="V54" s="115">
        <f t="shared" si="11"/>
        <v>9741</v>
      </c>
      <c r="W54" s="115">
        <f t="shared" si="11"/>
        <v>0</v>
      </c>
      <c r="X54" s="115">
        <f t="shared" si="11"/>
        <v>30</v>
      </c>
      <c r="Y54" s="115">
        <f t="shared" si="11"/>
        <v>0</v>
      </c>
      <c r="Z54" s="115"/>
      <c r="AA54" s="115"/>
      <c r="AB54" s="115"/>
      <c r="AC54" s="115"/>
      <c r="AD54" s="115"/>
      <c r="AE54" s="115">
        <f>SUM(AE55:AE59)</f>
        <v>0</v>
      </c>
      <c r="AF54" s="115"/>
      <c r="AG54" s="115">
        <f>SUM(AG55:AG59)</f>
        <v>0</v>
      </c>
      <c r="AH54" s="115">
        <f>SUM(AH55:AH59)</f>
        <v>5416</v>
      </c>
      <c r="AI54" s="115">
        <f>D54-AH54</f>
        <v>148258</v>
      </c>
      <c r="AJ54" s="116">
        <v>9395</v>
      </c>
      <c r="AK54" s="116">
        <v>2563</v>
      </c>
    </row>
    <row r="55" spans="1:37" ht="15" customHeight="1">
      <c r="A55" s="111"/>
      <c r="B55" s="112" t="s">
        <v>148</v>
      </c>
      <c r="C55" s="208" t="e">
        <f>#REF!+#REF!-D55</f>
        <v>#REF!</v>
      </c>
      <c r="D55" s="112">
        <f t="shared" ref="D55:D61" si="12">E55+H55</f>
        <v>152247</v>
      </c>
      <c r="E55" s="112"/>
      <c r="F55" s="112"/>
      <c r="G55" s="112"/>
      <c r="H55" s="112">
        <f t="shared" ref="H55:H65" si="13">SUM(I55:AG55)</f>
        <v>152247</v>
      </c>
      <c r="I55" s="112"/>
      <c r="J55" s="112"/>
      <c r="K55" s="112"/>
      <c r="L55" s="112"/>
      <c r="M55" s="112">
        <v>5812</v>
      </c>
      <c r="N55" s="112">
        <v>2320</v>
      </c>
      <c r="O55" s="112">
        <v>44656</v>
      </c>
      <c r="P55" s="112"/>
      <c r="Q55" s="112">
        <v>44390</v>
      </c>
      <c r="R55" s="112"/>
      <c r="S55" s="112">
        <v>44367</v>
      </c>
      <c r="T55" s="112"/>
      <c r="U55" s="112">
        <v>551</v>
      </c>
      <c r="V55" s="112">
        <v>10121</v>
      </c>
      <c r="W55" s="112"/>
      <c r="X55" s="112">
        <v>30</v>
      </c>
      <c r="Y55" s="112"/>
      <c r="Z55" s="112"/>
      <c r="AA55" s="112"/>
      <c r="AB55" s="112"/>
      <c r="AC55" s="112"/>
      <c r="AD55" s="112"/>
      <c r="AE55" s="112"/>
      <c r="AF55" s="112"/>
      <c r="AG55" s="112"/>
      <c r="AH55" s="112"/>
      <c r="AI55" s="112"/>
    </row>
    <row r="56" spans="1:37" ht="15" customHeight="1">
      <c r="A56" s="111"/>
      <c r="B56" s="112" t="s">
        <v>278</v>
      </c>
      <c r="C56" s="208" t="e">
        <f>#REF!+#REF!-D56</f>
        <v>#REF!</v>
      </c>
      <c r="D56" s="112">
        <f t="shared" si="12"/>
        <v>-2563</v>
      </c>
      <c r="E56" s="112"/>
      <c r="F56" s="112"/>
      <c r="G56" s="112"/>
      <c r="H56" s="112">
        <f t="shared" si="13"/>
        <v>-2563</v>
      </c>
      <c r="I56" s="112"/>
      <c r="J56" s="112"/>
      <c r="K56" s="112"/>
      <c r="L56" s="112"/>
      <c r="M56" s="112">
        <v>-76</v>
      </c>
      <c r="N56" s="112"/>
      <c r="O56" s="112">
        <f>-700</f>
        <v>-700</v>
      </c>
      <c r="P56" s="112"/>
      <c r="Q56" s="112">
        <v>-1003</v>
      </c>
      <c r="R56" s="112"/>
      <c r="S56" s="112">
        <v>-304</v>
      </c>
      <c r="T56" s="112"/>
      <c r="U56" s="112"/>
      <c r="V56" s="112">
        <v>-480</v>
      </c>
      <c r="W56" s="112"/>
      <c r="X56" s="112"/>
      <c r="Y56" s="112"/>
      <c r="Z56" s="112"/>
      <c r="AA56" s="112"/>
      <c r="AB56" s="112"/>
      <c r="AC56" s="112"/>
      <c r="AD56" s="112"/>
      <c r="AE56" s="112"/>
      <c r="AF56" s="112"/>
      <c r="AG56" s="112"/>
      <c r="AH56" s="112">
        <v>5416</v>
      </c>
      <c r="AI56" s="112"/>
    </row>
    <row r="57" spans="1:37" s="73" customFormat="1" ht="15" customHeight="1">
      <c r="A57" s="164"/>
      <c r="B57" s="165" t="s">
        <v>294</v>
      </c>
      <c r="C57" s="208" t="e">
        <f>#REF!+#REF!-D57</f>
        <v>#REF!</v>
      </c>
      <c r="D57" s="165">
        <f t="shared" si="12"/>
        <v>-1940</v>
      </c>
      <c r="E57" s="165"/>
      <c r="F57" s="165"/>
      <c r="G57" s="165"/>
      <c r="H57" s="165">
        <f t="shared" si="13"/>
        <v>-1940</v>
      </c>
      <c r="I57" s="165"/>
      <c r="J57" s="165"/>
      <c r="K57" s="165"/>
      <c r="L57" s="165"/>
      <c r="M57" s="165">
        <v>-226</v>
      </c>
      <c r="N57" s="165">
        <v>-150</v>
      </c>
      <c r="O57" s="165"/>
      <c r="P57" s="165"/>
      <c r="Q57" s="165">
        <v>-1154</v>
      </c>
      <c r="R57" s="165"/>
      <c r="S57" s="165">
        <v>-300</v>
      </c>
      <c r="T57" s="165"/>
      <c r="U57" s="165"/>
      <c r="V57" s="165">
        <v>-110</v>
      </c>
      <c r="W57" s="165"/>
      <c r="X57" s="165"/>
      <c r="Y57" s="165"/>
      <c r="Z57" s="165"/>
      <c r="AA57" s="165"/>
      <c r="AB57" s="165"/>
      <c r="AC57" s="165"/>
      <c r="AD57" s="165"/>
      <c r="AE57" s="165"/>
      <c r="AF57" s="165"/>
      <c r="AG57" s="165"/>
      <c r="AH57" s="165"/>
      <c r="AI57" s="165"/>
      <c r="AJ57" s="166"/>
      <c r="AK57" s="166"/>
    </row>
    <row r="58" spans="1:37" ht="15" customHeight="1">
      <c r="A58" s="111"/>
      <c r="B58" s="112" t="s">
        <v>130</v>
      </c>
      <c r="C58" s="208" t="e">
        <f>#REF!+#REF!-D58</f>
        <v>#REF!</v>
      </c>
      <c r="D58" s="112">
        <f t="shared" si="12"/>
        <v>5930</v>
      </c>
      <c r="E58" s="112"/>
      <c r="F58" s="112"/>
      <c r="G58" s="112"/>
      <c r="H58" s="112">
        <f t="shared" si="13"/>
        <v>5930</v>
      </c>
      <c r="I58" s="112"/>
      <c r="J58" s="112"/>
      <c r="K58" s="112"/>
      <c r="L58" s="112">
        <v>4370</v>
      </c>
      <c r="M58" s="112">
        <v>55</v>
      </c>
      <c r="N58" s="112"/>
      <c r="O58" s="112">
        <f>85+50</f>
        <v>135</v>
      </c>
      <c r="P58" s="112"/>
      <c r="Q58" s="112">
        <v>670</v>
      </c>
      <c r="R58" s="112"/>
      <c r="S58" s="112">
        <f>350+140</f>
        <v>490</v>
      </c>
      <c r="T58" s="112"/>
      <c r="U58" s="112"/>
      <c r="V58" s="112">
        <v>210</v>
      </c>
      <c r="W58" s="112"/>
      <c r="X58" s="112"/>
      <c r="Y58" s="112"/>
      <c r="Z58" s="112"/>
      <c r="AA58" s="112"/>
      <c r="AB58" s="112"/>
      <c r="AC58" s="112"/>
      <c r="AD58" s="112"/>
      <c r="AE58" s="112"/>
      <c r="AF58" s="112"/>
      <c r="AG58" s="112"/>
      <c r="AH58" s="112"/>
      <c r="AI58" s="112"/>
    </row>
    <row r="59" spans="1:37" ht="15" customHeight="1">
      <c r="A59" s="111"/>
      <c r="B59" s="112" t="s">
        <v>134</v>
      </c>
      <c r="C59" s="208" t="e">
        <f>#REF!+#REF!-D59</f>
        <v>#REF!</v>
      </c>
      <c r="D59" s="112">
        <f t="shared" si="12"/>
        <v>0</v>
      </c>
      <c r="E59" s="112"/>
      <c r="F59" s="112"/>
      <c r="G59" s="112"/>
      <c r="H59" s="112">
        <f t="shared" si="13"/>
        <v>0</v>
      </c>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row>
    <row r="60" spans="1:37" s="32" customFormat="1" ht="15" customHeight="1">
      <c r="A60" s="167">
        <v>10</v>
      </c>
      <c r="B60" s="168" t="s">
        <v>116</v>
      </c>
      <c r="C60" s="208" t="e">
        <f>#REF!+#REF!-D60</f>
        <v>#REF!</v>
      </c>
      <c r="D60" s="168">
        <f t="shared" si="12"/>
        <v>19205</v>
      </c>
      <c r="E60" s="168"/>
      <c r="F60" s="168"/>
      <c r="G60" s="168"/>
      <c r="H60" s="168">
        <f t="shared" si="13"/>
        <v>19205</v>
      </c>
      <c r="I60" s="168"/>
      <c r="J60" s="168"/>
      <c r="K60" s="168"/>
      <c r="L60" s="168"/>
      <c r="M60" s="168"/>
      <c r="N60" s="168"/>
      <c r="O60" s="168">
        <v>300</v>
      </c>
      <c r="P60" s="168"/>
      <c r="Q60" s="168"/>
      <c r="R60" s="168"/>
      <c r="S60" s="168"/>
      <c r="T60" s="168">
        <v>590</v>
      </c>
      <c r="U60" s="168">
        <v>180</v>
      </c>
      <c r="V60" s="168">
        <f>16526-395-384+2128+260</f>
        <v>18135</v>
      </c>
      <c r="W60" s="168"/>
      <c r="X60" s="168"/>
      <c r="Y60" s="168"/>
      <c r="Z60" s="168"/>
      <c r="AA60" s="168"/>
      <c r="AB60" s="168"/>
      <c r="AC60" s="168"/>
      <c r="AD60" s="168"/>
      <c r="AE60" s="168"/>
      <c r="AF60" s="168"/>
      <c r="AG60" s="168"/>
      <c r="AH60" s="168">
        <v>847</v>
      </c>
      <c r="AI60" s="168">
        <f>D60-AH60</f>
        <v>18358</v>
      </c>
      <c r="AJ60" s="169">
        <v>1485</v>
      </c>
      <c r="AK60" s="169">
        <v>395</v>
      </c>
    </row>
    <row r="61" spans="1:37" s="117" customFormat="1" ht="15" customHeight="1">
      <c r="A61" s="114">
        <v>11</v>
      </c>
      <c r="B61" s="115" t="s">
        <v>48</v>
      </c>
      <c r="C61" s="208" t="e">
        <f>#REF!+#REF!-D61</f>
        <v>#REF!</v>
      </c>
      <c r="D61" s="115">
        <f t="shared" si="12"/>
        <v>18230</v>
      </c>
      <c r="E61" s="115"/>
      <c r="F61" s="115"/>
      <c r="G61" s="115"/>
      <c r="H61" s="115">
        <f t="shared" si="13"/>
        <v>18230</v>
      </c>
      <c r="I61" s="115"/>
      <c r="J61" s="115"/>
      <c r="K61" s="115"/>
      <c r="L61" s="115"/>
      <c r="M61" s="115">
        <f>SUM(M62:M65)</f>
        <v>260</v>
      </c>
      <c r="N61" s="115">
        <f t="shared" ref="N61:X61" si="14">SUM(N62:N65)</f>
        <v>0</v>
      </c>
      <c r="O61" s="115">
        <f t="shared" si="14"/>
        <v>230</v>
      </c>
      <c r="P61" s="115">
        <f t="shared" si="14"/>
        <v>0</v>
      </c>
      <c r="Q61" s="115">
        <f t="shared" si="14"/>
        <v>0</v>
      </c>
      <c r="R61" s="115">
        <f t="shared" si="14"/>
        <v>6800</v>
      </c>
      <c r="S61" s="115">
        <f t="shared" si="14"/>
        <v>0</v>
      </c>
      <c r="T61" s="115">
        <f t="shared" si="14"/>
        <v>0</v>
      </c>
      <c r="U61" s="115">
        <f t="shared" si="14"/>
        <v>1285</v>
      </c>
      <c r="V61" s="115">
        <f t="shared" si="14"/>
        <v>9455</v>
      </c>
      <c r="W61" s="115">
        <f t="shared" si="14"/>
        <v>0</v>
      </c>
      <c r="X61" s="115">
        <f t="shared" si="14"/>
        <v>200</v>
      </c>
      <c r="Y61" s="115"/>
      <c r="Z61" s="115"/>
      <c r="AA61" s="115"/>
      <c r="AB61" s="115"/>
      <c r="AC61" s="115"/>
      <c r="AD61" s="115"/>
      <c r="AE61" s="115"/>
      <c r="AF61" s="115"/>
      <c r="AG61" s="115"/>
      <c r="AH61" s="115">
        <f>AH62</f>
        <v>1055</v>
      </c>
      <c r="AI61" s="115">
        <f>D61-AH61</f>
        <v>17175</v>
      </c>
      <c r="AJ61" s="116">
        <v>1867</v>
      </c>
      <c r="AK61" s="116">
        <v>415</v>
      </c>
    </row>
    <row r="62" spans="1:37" ht="15" customHeight="1">
      <c r="A62" s="111"/>
      <c r="B62" s="112" t="s">
        <v>209</v>
      </c>
      <c r="C62" s="208" t="e">
        <f>#REF!+#REF!-D62</f>
        <v>#REF!</v>
      </c>
      <c r="D62" s="112"/>
      <c r="E62" s="112"/>
      <c r="F62" s="112"/>
      <c r="G62" s="112"/>
      <c r="H62" s="112">
        <f t="shared" si="13"/>
        <v>18750</v>
      </c>
      <c r="I62" s="112"/>
      <c r="J62" s="112"/>
      <c r="K62" s="112"/>
      <c r="L62" s="112"/>
      <c r="M62" s="112">
        <v>280</v>
      </c>
      <c r="N62" s="112"/>
      <c r="O62" s="112">
        <v>230</v>
      </c>
      <c r="P62" s="112"/>
      <c r="Q62" s="112"/>
      <c r="R62" s="112">
        <v>6800</v>
      </c>
      <c r="S62" s="112"/>
      <c r="T62" s="112"/>
      <c r="U62" s="112">
        <v>1285</v>
      </c>
      <c r="V62" s="112">
        <v>9955</v>
      </c>
      <c r="W62" s="112"/>
      <c r="X62" s="112">
        <v>200</v>
      </c>
      <c r="Y62" s="112"/>
      <c r="Z62" s="112"/>
      <c r="AA62" s="112"/>
      <c r="AB62" s="112"/>
      <c r="AC62" s="112"/>
      <c r="AD62" s="112"/>
      <c r="AE62" s="112"/>
      <c r="AF62" s="112"/>
      <c r="AG62" s="112"/>
      <c r="AH62" s="112">
        <v>1055</v>
      </c>
      <c r="AI62" s="112"/>
    </row>
    <row r="63" spans="1:37" ht="15" customHeight="1">
      <c r="A63" s="111"/>
      <c r="B63" s="112" t="s">
        <v>156</v>
      </c>
      <c r="C63" s="208" t="e">
        <f>#REF!+#REF!-D63</f>
        <v>#REF!</v>
      </c>
      <c r="D63" s="112"/>
      <c r="E63" s="112"/>
      <c r="F63" s="112"/>
      <c r="G63" s="112"/>
      <c r="H63" s="112">
        <f t="shared" si="13"/>
        <v>15</v>
      </c>
      <c r="I63" s="112"/>
      <c r="J63" s="112"/>
      <c r="K63" s="112"/>
      <c r="L63" s="112"/>
      <c r="M63" s="112"/>
      <c r="N63" s="112"/>
      <c r="O63" s="112"/>
      <c r="P63" s="112"/>
      <c r="Q63" s="112"/>
      <c r="R63" s="112"/>
      <c r="S63" s="112"/>
      <c r="T63" s="112"/>
      <c r="U63" s="112"/>
      <c r="V63" s="112">
        <v>15</v>
      </c>
      <c r="W63" s="112"/>
      <c r="X63" s="112"/>
      <c r="Y63" s="112"/>
      <c r="Z63" s="112"/>
      <c r="AA63" s="112"/>
      <c r="AB63" s="112"/>
      <c r="AC63" s="112"/>
      <c r="AD63" s="112"/>
      <c r="AE63" s="112"/>
      <c r="AF63" s="112"/>
      <c r="AG63" s="112"/>
      <c r="AH63" s="112"/>
      <c r="AI63" s="112"/>
    </row>
    <row r="64" spans="1:37" ht="15" customHeight="1">
      <c r="A64" s="111"/>
      <c r="B64" s="165" t="s">
        <v>294</v>
      </c>
      <c r="C64" s="208" t="e">
        <f>#REF!+#REF!-D64</f>
        <v>#REF!</v>
      </c>
      <c r="D64" s="112"/>
      <c r="E64" s="112"/>
      <c r="F64" s="112"/>
      <c r="G64" s="112"/>
      <c r="H64" s="112">
        <f t="shared" si="13"/>
        <v>-120</v>
      </c>
      <c r="I64" s="112"/>
      <c r="J64" s="112"/>
      <c r="K64" s="112"/>
      <c r="L64" s="112"/>
      <c r="M64" s="112">
        <v>-20</v>
      </c>
      <c r="N64" s="112"/>
      <c r="O64" s="112"/>
      <c r="P64" s="112"/>
      <c r="Q64" s="112"/>
      <c r="R64" s="112"/>
      <c r="S64" s="112"/>
      <c r="T64" s="112"/>
      <c r="U64" s="112"/>
      <c r="V64" s="112">
        <v>-100</v>
      </c>
      <c r="W64" s="112"/>
      <c r="X64" s="112"/>
      <c r="Y64" s="112"/>
      <c r="Z64" s="112"/>
      <c r="AA64" s="112"/>
      <c r="AB64" s="112"/>
      <c r="AC64" s="112"/>
      <c r="AD64" s="112"/>
      <c r="AE64" s="112"/>
      <c r="AF64" s="112"/>
      <c r="AG64" s="112"/>
      <c r="AH64" s="112"/>
      <c r="AI64" s="112"/>
    </row>
    <row r="65" spans="1:37" ht="15" customHeight="1">
      <c r="A65" s="111"/>
      <c r="B65" s="112" t="s">
        <v>278</v>
      </c>
      <c r="C65" s="208" t="e">
        <f>#REF!+#REF!-D65</f>
        <v>#REF!</v>
      </c>
      <c r="D65" s="112"/>
      <c r="E65" s="112"/>
      <c r="F65" s="112"/>
      <c r="G65" s="112"/>
      <c r="H65" s="112">
        <f t="shared" si="13"/>
        <v>-415</v>
      </c>
      <c r="I65" s="112"/>
      <c r="J65" s="112"/>
      <c r="K65" s="112"/>
      <c r="L65" s="112"/>
      <c r="M65" s="112"/>
      <c r="N65" s="112"/>
      <c r="O65" s="112"/>
      <c r="P65" s="112"/>
      <c r="Q65" s="112"/>
      <c r="R65" s="112"/>
      <c r="S65" s="112"/>
      <c r="T65" s="112"/>
      <c r="U65" s="112"/>
      <c r="V65" s="112">
        <f>-415</f>
        <v>-415</v>
      </c>
      <c r="W65" s="112"/>
      <c r="X65" s="112"/>
      <c r="Y65" s="112"/>
      <c r="Z65" s="112"/>
      <c r="AA65" s="112"/>
      <c r="AB65" s="112"/>
      <c r="AC65" s="112"/>
      <c r="AD65" s="112"/>
      <c r="AE65" s="112"/>
      <c r="AF65" s="112"/>
      <c r="AG65" s="112"/>
      <c r="AH65" s="112"/>
      <c r="AI65" s="112"/>
    </row>
    <row r="66" spans="1:37" s="117" customFormat="1" ht="15" customHeight="1">
      <c r="A66" s="114">
        <v>12</v>
      </c>
      <c r="B66" s="115" t="s">
        <v>49</v>
      </c>
      <c r="C66" s="208" t="e">
        <f>#REF!+#REF!-D66</f>
        <v>#REF!</v>
      </c>
      <c r="D66" s="115">
        <f t="shared" ref="D66:Y66" si="15">SUM(D67:D71)</f>
        <v>48254</v>
      </c>
      <c r="E66" s="115"/>
      <c r="F66" s="115">
        <f t="shared" si="15"/>
        <v>0</v>
      </c>
      <c r="G66" s="115">
        <f t="shared" si="15"/>
        <v>0</v>
      </c>
      <c r="H66" s="115">
        <f t="shared" si="15"/>
        <v>48254</v>
      </c>
      <c r="I66" s="115">
        <f t="shared" si="15"/>
        <v>0</v>
      </c>
      <c r="J66" s="115">
        <f t="shared" si="15"/>
        <v>0</v>
      </c>
      <c r="K66" s="115">
        <f t="shared" si="15"/>
        <v>0</v>
      </c>
      <c r="L66" s="115">
        <f t="shared" si="15"/>
        <v>49</v>
      </c>
      <c r="M66" s="115">
        <f t="shared" si="15"/>
        <v>5618</v>
      </c>
      <c r="N66" s="115">
        <f t="shared" si="15"/>
        <v>0</v>
      </c>
      <c r="O66" s="115">
        <f t="shared" si="15"/>
        <v>1320</v>
      </c>
      <c r="P66" s="115">
        <f t="shared" si="15"/>
        <v>0</v>
      </c>
      <c r="Q66" s="115">
        <f t="shared" si="15"/>
        <v>0</v>
      </c>
      <c r="R66" s="115">
        <f t="shared" si="15"/>
        <v>1800</v>
      </c>
      <c r="S66" s="115">
        <f t="shared" si="15"/>
        <v>0</v>
      </c>
      <c r="T66" s="115">
        <f t="shared" si="15"/>
        <v>1533</v>
      </c>
      <c r="U66" s="115">
        <f t="shared" si="15"/>
        <v>25</v>
      </c>
      <c r="V66" s="115">
        <f t="shared" si="15"/>
        <v>13509</v>
      </c>
      <c r="W66" s="115">
        <f t="shared" si="15"/>
        <v>100</v>
      </c>
      <c r="X66" s="115">
        <f t="shared" si="15"/>
        <v>24300</v>
      </c>
      <c r="Y66" s="115">
        <f t="shared" si="15"/>
        <v>0</v>
      </c>
      <c r="Z66" s="115"/>
      <c r="AA66" s="115"/>
      <c r="AB66" s="115"/>
      <c r="AC66" s="115"/>
      <c r="AD66" s="115"/>
      <c r="AE66" s="115">
        <f>SUM(AE67:AE71)</f>
        <v>0</v>
      </c>
      <c r="AF66" s="115"/>
      <c r="AG66" s="115">
        <f>SUM(AG67:AG71)</f>
        <v>0</v>
      </c>
      <c r="AH66" s="115">
        <f>SUM(AH67:AH71)</f>
        <v>-955</v>
      </c>
      <c r="AI66" s="115">
        <f>D66-AH66</f>
        <v>49209</v>
      </c>
      <c r="AJ66" s="116">
        <f>2439+465</f>
        <v>2904</v>
      </c>
      <c r="AK66" s="116">
        <f>639+143</f>
        <v>782</v>
      </c>
    </row>
    <row r="67" spans="1:37" s="117" customFormat="1" ht="15" customHeight="1">
      <c r="A67" s="114"/>
      <c r="B67" s="112" t="s">
        <v>151</v>
      </c>
      <c r="C67" s="208" t="e">
        <f>#REF!+#REF!-D67</f>
        <v>#REF!</v>
      </c>
      <c r="D67" s="112">
        <f>E67+H67</f>
        <v>49704</v>
      </c>
      <c r="E67" s="112"/>
      <c r="F67" s="112"/>
      <c r="G67" s="112"/>
      <c r="H67" s="112">
        <f>SUM(I67:AG67)</f>
        <v>49704</v>
      </c>
      <c r="I67" s="115"/>
      <c r="J67" s="115"/>
      <c r="K67" s="115"/>
      <c r="L67" s="112"/>
      <c r="M67" s="112">
        <f>921+4772</f>
        <v>5693</v>
      </c>
      <c r="N67" s="115"/>
      <c r="O67" s="112">
        <f>1280+40</f>
        <v>1320</v>
      </c>
      <c r="P67" s="115"/>
      <c r="Q67" s="115"/>
      <c r="R67" s="112">
        <v>1800</v>
      </c>
      <c r="S67" s="115"/>
      <c r="T67" s="112">
        <v>1533</v>
      </c>
      <c r="U67" s="112">
        <v>25</v>
      </c>
      <c r="V67" s="112">
        <v>14233</v>
      </c>
      <c r="W67" s="112">
        <v>100</v>
      </c>
      <c r="X67" s="112">
        <v>25000</v>
      </c>
      <c r="Y67" s="115"/>
      <c r="Z67" s="115"/>
      <c r="AA67" s="115"/>
      <c r="AB67" s="115"/>
      <c r="AC67" s="115"/>
      <c r="AD67" s="115"/>
      <c r="AE67" s="115"/>
      <c r="AF67" s="115"/>
      <c r="AG67" s="115"/>
      <c r="AH67" s="115"/>
      <c r="AI67" s="115"/>
      <c r="AJ67" s="116"/>
      <c r="AK67" s="116"/>
    </row>
    <row r="68" spans="1:37" s="32" customFormat="1" ht="15" customHeight="1">
      <c r="A68" s="167"/>
      <c r="B68" s="165" t="s">
        <v>294</v>
      </c>
      <c r="C68" s="208" t="e">
        <f>#REF!+#REF!-D68</f>
        <v>#REF!</v>
      </c>
      <c r="D68" s="165">
        <f>E68+H68</f>
        <v>-955</v>
      </c>
      <c r="E68" s="165"/>
      <c r="F68" s="165"/>
      <c r="G68" s="165"/>
      <c r="H68" s="165">
        <f>SUM(I68:AG68)</f>
        <v>-955</v>
      </c>
      <c r="I68" s="168"/>
      <c r="J68" s="168"/>
      <c r="K68" s="168"/>
      <c r="L68" s="165"/>
      <c r="M68" s="165">
        <v>-60</v>
      </c>
      <c r="N68" s="168"/>
      <c r="O68" s="165"/>
      <c r="P68" s="168"/>
      <c r="Q68" s="168"/>
      <c r="R68" s="165"/>
      <c r="S68" s="168"/>
      <c r="T68" s="168"/>
      <c r="U68" s="165"/>
      <c r="V68" s="165">
        <v>-195</v>
      </c>
      <c r="W68" s="168"/>
      <c r="X68" s="165">
        <v>-700</v>
      </c>
      <c r="Y68" s="168"/>
      <c r="Z68" s="168"/>
      <c r="AA68" s="168"/>
      <c r="AB68" s="168"/>
      <c r="AC68" s="168"/>
      <c r="AD68" s="168"/>
      <c r="AE68" s="168"/>
      <c r="AF68" s="168"/>
      <c r="AG68" s="168"/>
      <c r="AH68" s="165">
        <f>H68</f>
        <v>-955</v>
      </c>
      <c r="AI68" s="165">
        <v>1642</v>
      </c>
      <c r="AJ68" s="169"/>
      <c r="AK68" s="169"/>
    </row>
    <row r="69" spans="1:37" ht="15" customHeight="1">
      <c r="A69" s="111"/>
      <c r="B69" s="112" t="s">
        <v>142</v>
      </c>
      <c r="C69" s="208" t="e">
        <f>#REF!+#REF!-D69</f>
        <v>#REF!</v>
      </c>
      <c r="D69" s="112">
        <f>E69+H69</f>
        <v>-782</v>
      </c>
      <c r="E69" s="112"/>
      <c r="F69" s="112"/>
      <c r="G69" s="112"/>
      <c r="H69" s="112">
        <f>SUM(I69:AG69)</f>
        <v>-782</v>
      </c>
      <c r="I69" s="112"/>
      <c r="J69" s="112"/>
      <c r="K69" s="112"/>
      <c r="L69" s="112"/>
      <c r="M69" s="112">
        <f>-143</f>
        <v>-143</v>
      </c>
      <c r="N69" s="112"/>
      <c r="O69" s="112"/>
      <c r="P69" s="112"/>
      <c r="Q69" s="112"/>
      <c r="R69" s="112"/>
      <c r="S69" s="112"/>
      <c r="T69" s="112"/>
      <c r="U69" s="112"/>
      <c r="V69" s="112">
        <f>-639</f>
        <v>-639</v>
      </c>
      <c r="W69" s="112"/>
      <c r="X69" s="112"/>
      <c r="Y69" s="112"/>
      <c r="Z69" s="112"/>
      <c r="AA69" s="112"/>
      <c r="AB69" s="112"/>
      <c r="AC69" s="112"/>
      <c r="AD69" s="112"/>
      <c r="AE69" s="112"/>
      <c r="AF69" s="112"/>
      <c r="AG69" s="112"/>
      <c r="AH69" s="112"/>
      <c r="AI69" s="112"/>
    </row>
    <row r="70" spans="1:37" ht="15" customHeight="1">
      <c r="A70" s="111"/>
      <c r="B70" s="112" t="s">
        <v>130</v>
      </c>
      <c r="C70" s="208" t="e">
        <f>#REF!+#REF!-D70</f>
        <v>#REF!</v>
      </c>
      <c r="D70" s="112">
        <f>E70+H70</f>
        <v>287</v>
      </c>
      <c r="E70" s="112"/>
      <c r="F70" s="112"/>
      <c r="G70" s="112"/>
      <c r="H70" s="112">
        <f>SUM(I70:AG70)</f>
        <v>287</v>
      </c>
      <c r="I70" s="112"/>
      <c r="J70" s="112"/>
      <c r="K70" s="112"/>
      <c r="L70" s="112">
        <v>49</v>
      </c>
      <c r="M70" s="112">
        <v>128</v>
      </c>
      <c r="N70" s="112"/>
      <c r="O70" s="112"/>
      <c r="P70" s="112"/>
      <c r="Q70" s="112"/>
      <c r="R70" s="112"/>
      <c r="S70" s="112"/>
      <c r="T70" s="112"/>
      <c r="U70" s="112"/>
      <c r="V70" s="112">
        <v>110</v>
      </c>
      <c r="W70" s="112"/>
      <c r="X70" s="112"/>
      <c r="Y70" s="112"/>
      <c r="Z70" s="112"/>
      <c r="AA70" s="112"/>
      <c r="AB70" s="112"/>
      <c r="AC70" s="112"/>
      <c r="AD70" s="112"/>
      <c r="AE70" s="112"/>
      <c r="AF70" s="112"/>
      <c r="AG70" s="112"/>
      <c r="AH70" s="112"/>
      <c r="AI70" s="112"/>
    </row>
    <row r="71" spans="1:37" s="117" customFormat="1" ht="15" customHeight="1">
      <c r="A71" s="114"/>
      <c r="B71" s="112" t="s">
        <v>143</v>
      </c>
      <c r="C71" s="208" t="e">
        <f>#REF!+#REF!-D71</f>
        <v>#REF!</v>
      </c>
      <c r="D71" s="112">
        <f>E71+H71</f>
        <v>0</v>
      </c>
      <c r="E71" s="112"/>
      <c r="F71" s="112"/>
      <c r="G71" s="112"/>
      <c r="H71" s="112">
        <f>SUM(I71:AG71)</f>
        <v>0</v>
      </c>
      <c r="I71" s="115"/>
      <c r="J71" s="115"/>
      <c r="K71" s="115"/>
      <c r="L71" s="112"/>
      <c r="M71" s="112"/>
      <c r="N71" s="115"/>
      <c r="O71" s="112"/>
      <c r="P71" s="115"/>
      <c r="Q71" s="115"/>
      <c r="R71" s="112"/>
      <c r="S71" s="115"/>
      <c r="T71" s="115"/>
      <c r="U71" s="112"/>
      <c r="V71" s="112"/>
      <c r="W71" s="115"/>
      <c r="X71" s="115"/>
      <c r="Y71" s="115"/>
      <c r="Z71" s="115"/>
      <c r="AA71" s="115"/>
      <c r="AB71" s="115"/>
      <c r="AC71" s="115"/>
      <c r="AD71" s="115"/>
      <c r="AE71" s="115"/>
      <c r="AF71" s="115"/>
      <c r="AG71" s="115"/>
      <c r="AH71" s="112">
        <f>H71</f>
        <v>0</v>
      </c>
      <c r="AI71" s="112"/>
      <c r="AJ71" s="116"/>
      <c r="AK71" s="116"/>
    </row>
    <row r="72" spans="1:37" s="132" customFormat="1" ht="15" customHeight="1">
      <c r="A72" s="125">
        <v>13</v>
      </c>
      <c r="B72" s="115" t="s">
        <v>50</v>
      </c>
      <c r="C72" s="208" t="e">
        <f>#REF!+#REF!-D72</f>
        <v>#REF!</v>
      </c>
      <c r="D72" s="115">
        <f t="shared" ref="D72:Y72" si="16">SUM(D73:D76)</f>
        <v>33356</v>
      </c>
      <c r="E72" s="115"/>
      <c r="F72" s="115">
        <f t="shared" si="16"/>
        <v>0</v>
      </c>
      <c r="G72" s="115">
        <f t="shared" si="16"/>
        <v>0</v>
      </c>
      <c r="H72" s="115">
        <f t="shared" si="16"/>
        <v>33356</v>
      </c>
      <c r="I72" s="115">
        <f t="shared" si="16"/>
        <v>0</v>
      </c>
      <c r="J72" s="115">
        <f t="shared" si="16"/>
        <v>0</v>
      </c>
      <c r="K72" s="115">
        <f t="shared" si="16"/>
        <v>0</v>
      </c>
      <c r="L72" s="115">
        <f t="shared" si="16"/>
        <v>0</v>
      </c>
      <c r="M72" s="115">
        <f t="shared" si="16"/>
        <v>0</v>
      </c>
      <c r="N72" s="115">
        <f t="shared" si="16"/>
        <v>0</v>
      </c>
      <c r="O72" s="115">
        <f t="shared" si="16"/>
        <v>330</v>
      </c>
      <c r="P72" s="115">
        <f t="shared" si="16"/>
        <v>0</v>
      </c>
      <c r="Q72" s="115">
        <f t="shared" si="16"/>
        <v>0</v>
      </c>
      <c r="R72" s="115">
        <f t="shared" si="16"/>
        <v>16749</v>
      </c>
      <c r="S72" s="115">
        <f t="shared" si="16"/>
        <v>0</v>
      </c>
      <c r="T72" s="115">
        <f t="shared" si="16"/>
        <v>0</v>
      </c>
      <c r="U72" s="115">
        <f t="shared" si="16"/>
        <v>7850</v>
      </c>
      <c r="V72" s="115">
        <f t="shared" si="16"/>
        <v>8327</v>
      </c>
      <c r="W72" s="115">
        <f t="shared" si="16"/>
        <v>0</v>
      </c>
      <c r="X72" s="115">
        <f t="shared" si="16"/>
        <v>100</v>
      </c>
      <c r="Y72" s="115">
        <f t="shared" si="16"/>
        <v>0</v>
      </c>
      <c r="Z72" s="115"/>
      <c r="AA72" s="115"/>
      <c r="AB72" s="115"/>
      <c r="AC72" s="115"/>
      <c r="AD72" s="115"/>
      <c r="AE72" s="115">
        <f>SUM(AE73:AE76)</f>
        <v>0</v>
      </c>
      <c r="AF72" s="115"/>
      <c r="AG72" s="115">
        <f>SUM(AG73:AG76)</f>
        <v>0</v>
      </c>
      <c r="AH72" s="115">
        <f>AH74</f>
        <v>1159</v>
      </c>
      <c r="AI72" s="115">
        <f>D72-AH72</f>
        <v>32197</v>
      </c>
      <c r="AJ72" s="135">
        <f>657+1291</f>
        <v>1948</v>
      </c>
      <c r="AK72" s="135">
        <v>640</v>
      </c>
    </row>
    <row r="73" spans="1:37" ht="15" customHeight="1">
      <c r="A73" s="111"/>
      <c r="B73" s="112" t="s">
        <v>213</v>
      </c>
      <c r="C73" s="208" t="e">
        <f>#REF!+#REF!-D73</f>
        <v>#REF!</v>
      </c>
      <c r="D73" s="112">
        <f>E73+H73</f>
        <v>35346</v>
      </c>
      <c r="E73" s="112"/>
      <c r="F73" s="112"/>
      <c r="G73" s="112"/>
      <c r="H73" s="112">
        <f>SUM(I73:AG73)</f>
        <v>35346</v>
      </c>
      <c r="I73" s="112"/>
      <c r="J73" s="112"/>
      <c r="K73" s="112"/>
      <c r="L73" s="112"/>
      <c r="M73" s="112"/>
      <c r="N73" s="112"/>
      <c r="O73" s="112">
        <f>100+230</f>
        <v>330</v>
      </c>
      <c r="P73" s="112"/>
      <c r="Q73" s="112"/>
      <c r="R73" s="112">
        <v>17964</v>
      </c>
      <c r="S73" s="112"/>
      <c r="T73" s="112"/>
      <c r="U73" s="112">
        <v>8050</v>
      </c>
      <c r="V73" s="112">
        <v>8902</v>
      </c>
      <c r="W73" s="112"/>
      <c r="X73" s="112">
        <v>100</v>
      </c>
      <c r="Y73" s="112"/>
      <c r="Z73" s="112"/>
      <c r="AA73" s="112"/>
      <c r="AB73" s="112"/>
      <c r="AC73" s="112"/>
      <c r="AD73" s="112"/>
      <c r="AE73" s="112"/>
      <c r="AF73" s="112"/>
      <c r="AG73" s="112"/>
      <c r="AH73" s="112"/>
      <c r="AI73" s="112"/>
    </row>
    <row r="74" spans="1:37" s="73" customFormat="1" ht="15" customHeight="1">
      <c r="A74" s="164"/>
      <c r="B74" s="165" t="s">
        <v>294</v>
      </c>
      <c r="C74" s="208" t="e">
        <f>#REF!+#REF!-D74</f>
        <v>#REF!</v>
      </c>
      <c r="D74" s="165">
        <f>E74+H74</f>
        <v>-1380</v>
      </c>
      <c r="E74" s="165"/>
      <c r="F74" s="165"/>
      <c r="G74" s="165"/>
      <c r="H74" s="165">
        <f>SUM(I74:AG74)</f>
        <v>-1380</v>
      </c>
      <c r="I74" s="165"/>
      <c r="J74" s="165"/>
      <c r="K74" s="165"/>
      <c r="L74" s="165"/>
      <c r="M74" s="165"/>
      <c r="N74" s="165"/>
      <c r="O74" s="165"/>
      <c r="P74" s="165"/>
      <c r="Q74" s="165"/>
      <c r="R74" s="165">
        <v>-1060</v>
      </c>
      <c r="S74" s="165"/>
      <c r="T74" s="165"/>
      <c r="U74" s="165">
        <v>-200</v>
      </c>
      <c r="V74" s="165">
        <v>-120</v>
      </c>
      <c r="W74" s="165"/>
      <c r="X74" s="165"/>
      <c r="Y74" s="165"/>
      <c r="Z74" s="165"/>
      <c r="AA74" s="165"/>
      <c r="AB74" s="165"/>
      <c r="AC74" s="165"/>
      <c r="AD74" s="165"/>
      <c r="AE74" s="165"/>
      <c r="AF74" s="165"/>
      <c r="AG74" s="165"/>
      <c r="AH74" s="165">
        <v>1159</v>
      </c>
      <c r="AI74" s="165"/>
      <c r="AJ74" s="166"/>
      <c r="AK74" s="166"/>
    </row>
    <row r="75" spans="1:37" ht="15" customHeight="1">
      <c r="A75" s="111"/>
      <c r="B75" s="112" t="s">
        <v>155</v>
      </c>
      <c r="C75" s="208" t="e">
        <f>#REF!+#REF!-D75</f>
        <v>#REF!</v>
      </c>
      <c r="D75" s="112">
        <f>E75+H75</f>
        <v>30</v>
      </c>
      <c r="E75" s="112"/>
      <c r="F75" s="112"/>
      <c r="G75" s="112"/>
      <c r="H75" s="112">
        <f>SUM(I75:AG75)</f>
        <v>30</v>
      </c>
      <c r="I75" s="112"/>
      <c r="J75" s="112"/>
      <c r="K75" s="112"/>
      <c r="L75" s="112"/>
      <c r="M75" s="112"/>
      <c r="N75" s="112"/>
      <c r="O75" s="112"/>
      <c r="P75" s="112"/>
      <c r="Q75" s="112"/>
      <c r="R75" s="112">
        <v>30</v>
      </c>
      <c r="S75" s="112"/>
      <c r="T75" s="112"/>
      <c r="U75" s="112"/>
      <c r="V75" s="112"/>
      <c r="W75" s="112"/>
      <c r="X75" s="112"/>
      <c r="Y75" s="112"/>
      <c r="Z75" s="112"/>
      <c r="AA75" s="112"/>
      <c r="AB75" s="112"/>
      <c r="AC75" s="112"/>
      <c r="AD75" s="112"/>
      <c r="AE75" s="112"/>
      <c r="AF75" s="112"/>
      <c r="AG75" s="112"/>
      <c r="AH75" s="112"/>
      <c r="AI75" s="112"/>
    </row>
    <row r="76" spans="1:37" ht="15" customHeight="1">
      <c r="A76" s="111"/>
      <c r="B76" s="112" t="s">
        <v>278</v>
      </c>
      <c r="C76" s="208" t="e">
        <f>#REF!+#REF!-D76</f>
        <v>#REF!</v>
      </c>
      <c r="D76" s="112">
        <f>E76+H76</f>
        <v>-640</v>
      </c>
      <c r="E76" s="112"/>
      <c r="F76" s="112"/>
      <c r="G76" s="112"/>
      <c r="H76" s="112">
        <f>SUM(I76:AG76)</f>
        <v>-640</v>
      </c>
      <c r="I76" s="112"/>
      <c r="J76" s="112"/>
      <c r="K76" s="112"/>
      <c r="L76" s="112"/>
      <c r="M76" s="112"/>
      <c r="N76" s="112"/>
      <c r="O76" s="112"/>
      <c r="P76" s="112"/>
      <c r="Q76" s="112"/>
      <c r="R76" s="112">
        <f>-185</f>
        <v>-185</v>
      </c>
      <c r="S76" s="112"/>
      <c r="T76" s="112"/>
      <c r="U76" s="112"/>
      <c r="V76" s="112">
        <f>-455</f>
        <v>-455</v>
      </c>
      <c r="W76" s="112"/>
      <c r="X76" s="112"/>
      <c r="Y76" s="112"/>
      <c r="Z76" s="112"/>
      <c r="AA76" s="112"/>
      <c r="AB76" s="112"/>
      <c r="AC76" s="112"/>
      <c r="AD76" s="112"/>
      <c r="AE76" s="112"/>
      <c r="AF76" s="112"/>
      <c r="AG76" s="112"/>
      <c r="AH76" s="112"/>
      <c r="AI76" s="112"/>
    </row>
    <row r="77" spans="1:37" s="117" customFormat="1" ht="15" customHeight="1">
      <c r="A77" s="114">
        <v>14</v>
      </c>
      <c r="B77" s="115" t="s">
        <v>51</v>
      </c>
      <c r="C77" s="208" t="e">
        <f>#REF!+#REF!-D77</f>
        <v>#REF!</v>
      </c>
      <c r="D77" s="115">
        <f t="shared" ref="D77:Y77" si="17">SUM(D78:D81)</f>
        <v>101081</v>
      </c>
      <c r="E77" s="115"/>
      <c r="F77" s="115">
        <f t="shared" si="17"/>
        <v>0</v>
      </c>
      <c r="G77" s="115">
        <f t="shared" si="17"/>
        <v>0</v>
      </c>
      <c r="H77" s="115">
        <f t="shared" si="17"/>
        <v>101081</v>
      </c>
      <c r="I77" s="115">
        <f t="shared" si="17"/>
        <v>0</v>
      </c>
      <c r="J77" s="115">
        <f t="shared" si="17"/>
        <v>0</v>
      </c>
      <c r="K77" s="115">
        <f t="shared" si="17"/>
        <v>0</v>
      </c>
      <c r="L77" s="115">
        <f t="shared" si="17"/>
        <v>3600</v>
      </c>
      <c r="M77" s="115">
        <f t="shared" si="17"/>
        <v>2608</v>
      </c>
      <c r="N77" s="115">
        <f t="shared" si="17"/>
        <v>0</v>
      </c>
      <c r="O77" s="115">
        <f t="shared" si="17"/>
        <v>14800</v>
      </c>
      <c r="P77" s="115">
        <f t="shared" si="17"/>
        <v>0</v>
      </c>
      <c r="Q77" s="115">
        <f t="shared" si="17"/>
        <v>0</v>
      </c>
      <c r="R77" s="115">
        <f t="shared" si="17"/>
        <v>0</v>
      </c>
      <c r="S77" s="115">
        <f t="shared" si="17"/>
        <v>0</v>
      </c>
      <c r="T77" s="115">
        <f t="shared" si="17"/>
        <v>68771</v>
      </c>
      <c r="U77" s="115">
        <f t="shared" si="17"/>
        <v>300</v>
      </c>
      <c r="V77" s="115">
        <f t="shared" si="17"/>
        <v>11002</v>
      </c>
      <c r="W77" s="115">
        <f t="shared" si="17"/>
        <v>0</v>
      </c>
      <c r="X77" s="115">
        <f t="shared" si="17"/>
        <v>0</v>
      </c>
      <c r="Y77" s="115">
        <f t="shared" si="17"/>
        <v>0</v>
      </c>
      <c r="Z77" s="115"/>
      <c r="AA77" s="115"/>
      <c r="AB77" s="115"/>
      <c r="AC77" s="115"/>
      <c r="AD77" s="115"/>
      <c r="AE77" s="115">
        <f>SUM(AE78:AE81)</f>
        <v>0</v>
      </c>
      <c r="AF77" s="115"/>
      <c r="AG77" s="115">
        <f>SUM(AG78:AG81)</f>
        <v>0</v>
      </c>
      <c r="AH77" s="115">
        <f>AH78</f>
        <v>-2037</v>
      </c>
      <c r="AI77" s="115">
        <f>H77-AH77</f>
        <v>103118</v>
      </c>
      <c r="AJ77" s="116">
        <v>7324</v>
      </c>
      <c r="AK77" s="116">
        <v>1830</v>
      </c>
    </row>
    <row r="78" spans="1:37" ht="15" customHeight="1">
      <c r="A78" s="111"/>
      <c r="B78" s="112" t="s">
        <v>152</v>
      </c>
      <c r="C78" s="208" t="e">
        <f>#REF!+#REF!-D78</f>
        <v>#REF!</v>
      </c>
      <c r="D78" s="112">
        <f>E78+H78</f>
        <v>100873</v>
      </c>
      <c r="E78" s="112"/>
      <c r="F78" s="112"/>
      <c r="G78" s="112"/>
      <c r="H78" s="112">
        <f>SUM(I78:AG78)</f>
        <v>100873</v>
      </c>
      <c r="I78" s="112"/>
      <c r="J78" s="112"/>
      <c r="K78" s="112"/>
      <c r="L78" s="112"/>
      <c r="M78" s="112">
        <v>2608</v>
      </c>
      <c r="N78" s="112"/>
      <c r="O78" s="112">
        <v>14800</v>
      </c>
      <c r="P78" s="112"/>
      <c r="Q78" s="112"/>
      <c r="R78" s="112"/>
      <c r="S78" s="112"/>
      <c r="T78" s="112">
        <v>71623</v>
      </c>
      <c r="U78" s="112">
        <v>300</v>
      </c>
      <c r="V78" s="112">
        <v>11542</v>
      </c>
      <c r="W78" s="112"/>
      <c r="X78" s="112"/>
      <c r="Y78" s="112"/>
      <c r="Z78" s="112"/>
      <c r="AA78" s="112"/>
      <c r="AB78" s="112"/>
      <c r="AC78" s="112"/>
      <c r="AD78" s="112"/>
      <c r="AE78" s="112"/>
      <c r="AF78" s="112"/>
      <c r="AG78" s="112"/>
      <c r="AH78" s="112">
        <f>H81</f>
        <v>-2037</v>
      </c>
      <c r="AI78" s="112"/>
    </row>
    <row r="79" spans="1:37" ht="15" customHeight="1">
      <c r="A79" s="111"/>
      <c r="B79" s="112" t="s">
        <v>138</v>
      </c>
      <c r="C79" s="208" t="e">
        <f>#REF!+#REF!-D79</f>
        <v>#REF!</v>
      </c>
      <c r="D79" s="112">
        <f>E79+H79</f>
        <v>4075</v>
      </c>
      <c r="E79" s="112"/>
      <c r="F79" s="112"/>
      <c r="G79" s="112"/>
      <c r="H79" s="112">
        <f>SUM(I79:AG79)</f>
        <v>4075</v>
      </c>
      <c r="I79" s="112"/>
      <c r="J79" s="112"/>
      <c r="K79" s="112"/>
      <c r="L79" s="112">
        <v>3600</v>
      </c>
      <c r="M79" s="112"/>
      <c r="N79" s="112"/>
      <c r="O79" s="112"/>
      <c r="P79" s="112"/>
      <c r="Q79" s="112"/>
      <c r="R79" s="112"/>
      <c r="S79" s="112"/>
      <c r="T79" s="112">
        <f>225+100</f>
        <v>325</v>
      </c>
      <c r="U79" s="112"/>
      <c r="V79" s="112">
        <f>100+50</f>
        <v>150</v>
      </c>
      <c r="W79" s="112"/>
      <c r="X79" s="112"/>
      <c r="Y79" s="112"/>
      <c r="Z79" s="112"/>
      <c r="AA79" s="112"/>
      <c r="AB79" s="112"/>
      <c r="AC79" s="112"/>
      <c r="AD79" s="112"/>
      <c r="AE79" s="112"/>
      <c r="AF79" s="112"/>
      <c r="AG79" s="112"/>
      <c r="AH79" s="112"/>
      <c r="AI79" s="112"/>
    </row>
    <row r="80" spans="1:37" ht="15" customHeight="1">
      <c r="A80" s="111"/>
      <c r="B80" s="112" t="s">
        <v>278</v>
      </c>
      <c r="C80" s="208" t="e">
        <f>#REF!+#REF!-D80</f>
        <v>#REF!</v>
      </c>
      <c r="D80" s="112">
        <f>E80+H80</f>
        <v>-1830</v>
      </c>
      <c r="E80" s="112"/>
      <c r="F80" s="112"/>
      <c r="G80" s="112"/>
      <c r="H80" s="112">
        <f>SUM(I80:AG80)</f>
        <v>-1830</v>
      </c>
      <c r="I80" s="112"/>
      <c r="J80" s="112"/>
      <c r="K80" s="112"/>
      <c r="L80" s="112"/>
      <c r="M80" s="112"/>
      <c r="N80" s="112"/>
      <c r="O80" s="112"/>
      <c r="P80" s="112"/>
      <c r="Q80" s="112"/>
      <c r="R80" s="112"/>
      <c r="S80" s="112"/>
      <c r="T80" s="112">
        <f>-1275</f>
        <v>-1275</v>
      </c>
      <c r="U80" s="112"/>
      <c r="V80" s="112">
        <f>-555</f>
        <v>-555</v>
      </c>
      <c r="W80" s="112"/>
      <c r="X80" s="112"/>
      <c r="Y80" s="112"/>
      <c r="Z80" s="112"/>
      <c r="AA80" s="112"/>
      <c r="AB80" s="112"/>
      <c r="AC80" s="112"/>
      <c r="AD80" s="112"/>
      <c r="AE80" s="112"/>
      <c r="AF80" s="112"/>
      <c r="AG80" s="112"/>
      <c r="AH80" s="112"/>
      <c r="AI80" s="112"/>
    </row>
    <row r="81" spans="1:37" s="73" customFormat="1" ht="15" customHeight="1">
      <c r="A81" s="164"/>
      <c r="B81" s="165" t="s">
        <v>294</v>
      </c>
      <c r="C81" s="208" t="e">
        <f>#REF!+#REF!-D81</f>
        <v>#REF!</v>
      </c>
      <c r="D81" s="165">
        <f>E81+H81</f>
        <v>-2037</v>
      </c>
      <c r="E81" s="165"/>
      <c r="F81" s="165"/>
      <c r="G81" s="165"/>
      <c r="H81" s="165">
        <f>SUM(I81:AG81)</f>
        <v>-2037</v>
      </c>
      <c r="I81" s="165"/>
      <c r="J81" s="165"/>
      <c r="K81" s="165"/>
      <c r="L81" s="165"/>
      <c r="M81" s="165"/>
      <c r="N81" s="165"/>
      <c r="O81" s="165"/>
      <c r="P81" s="165"/>
      <c r="Q81" s="165"/>
      <c r="R81" s="165"/>
      <c r="S81" s="165"/>
      <c r="T81" s="165">
        <v>-1902</v>
      </c>
      <c r="U81" s="165"/>
      <c r="V81" s="165">
        <v>-135</v>
      </c>
      <c r="W81" s="165"/>
      <c r="X81" s="165"/>
      <c r="Y81" s="165"/>
      <c r="Z81" s="165"/>
      <c r="AA81" s="165"/>
      <c r="AB81" s="165"/>
      <c r="AC81" s="165"/>
      <c r="AD81" s="165"/>
      <c r="AE81" s="165"/>
      <c r="AF81" s="165"/>
      <c r="AG81" s="165"/>
      <c r="AH81" s="165"/>
      <c r="AI81" s="165"/>
      <c r="AJ81" s="166"/>
      <c r="AK81" s="166"/>
    </row>
    <row r="82" spans="1:37" s="117" customFormat="1" ht="15" customHeight="1">
      <c r="A82" s="114">
        <v>15</v>
      </c>
      <c r="B82" s="115" t="s">
        <v>52</v>
      </c>
      <c r="C82" s="208" t="e">
        <f>#REF!+#REF!-D82</f>
        <v>#REF!</v>
      </c>
      <c r="D82" s="115">
        <f t="shared" ref="D82:L82" si="18">SUM(D83:D87)</f>
        <v>26265</v>
      </c>
      <c r="E82" s="115"/>
      <c r="F82" s="115">
        <f t="shared" si="18"/>
        <v>0</v>
      </c>
      <c r="G82" s="115">
        <f t="shared" si="18"/>
        <v>0</v>
      </c>
      <c r="H82" s="115">
        <f t="shared" si="18"/>
        <v>26265</v>
      </c>
      <c r="I82" s="115">
        <f t="shared" si="18"/>
        <v>0</v>
      </c>
      <c r="J82" s="115">
        <f t="shared" si="18"/>
        <v>0</v>
      </c>
      <c r="K82" s="115">
        <f t="shared" si="18"/>
        <v>0</v>
      </c>
      <c r="L82" s="115">
        <f t="shared" si="18"/>
        <v>820</v>
      </c>
      <c r="M82" s="115">
        <f t="shared" ref="M82:Y82" si="19">SUM(M83:M87)</f>
        <v>0</v>
      </c>
      <c r="N82" s="115">
        <f t="shared" si="19"/>
        <v>0</v>
      </c>
      <c r="O82" s="115">
        <f t="shared" si="19"/>
        <v>40</v>
      </c>
      <c r="P82" s="115">
        <f t="shared" si="19"/>
        <v>0</v>
      </c>
      <c r="Q82" s="115">
        <f t="shared" si="19"/>
        <v>0</v>
      </c>
      <c r="R82" s="115">
        <f t="shared" si="19"/>
        <v>0</v>
      </c>
      <c r="S82" s="115">
        <f t="shared" si="19"/>
        <v>0</v>
      </c>
      <c r="T82" s="115">
        <f t="shared" si="19"/>
        <v>0</v>
      </c>
      <c r="U82" s="115">
        <f t="shared" si="19"/>
        <v>17356</v>
      </c>
      <c r="V82" s="115">
        <f t="shared" si="19"/>
        <v>7899</v>
      </c>
      <c r="W82" s="115">
        <f t="shared" si="19"/>
        <v>0</v>
      </c>
      <c r="X82" s="115">
        <f t="shared" si="19"/>
        <v>150</v>
      </c>
      <c r="Y82" s="115">
        <f t="shared" si="19"/>
        <v>0</v>
      </c>
      <c r="Z82" s="115"/>
      <c r="AA82" s="115"/>
      <c r="AB82" s="115"/>
      <c r="AC82" s="115"/>
      <c r="AD82" s="115"/>
      <c r="AE82" s="115">
        <f>SUM(AE83:AE87)</f>
        <v>0</v>
      </c>
      <c r="AF82" s="115"/>
      <c r="AG82" s="115">
        <f>SUM(AG83:AG87)</f>
        <v>0</v>
      </c>
      <c r="AH82" s="115">
        <f>AH83</f>
        <v>1558</v>
      </c>
      <c r="AI82" s="115">
        <f>D82-AH82</f>
        <v>24707</v>
      </c>
      <c r="AJ82" s="116">
        <f>1065+485+914</f>
        <v>2464</v>
      </c>
      <c r="AK82" s="116">
        <f>274+135+306</f>
        <v>715</v>
      </c>
    </row>
    <row r="83" spans="1:37" ht="15" customHeight="1">
      <c r="A83" s="111"/>
      <c r="B83" s="112" t="s">
        <v>213</v>
      </c>
      <c r="C83" s="208" t="e">
        <f>#REF!+#REF!-D83</f>
        <v>#REF!</v>
      </c>
      <c r="D83" s="112">
        <f>E83+H83</f>
        <v>26497</v>
      </c>
      <c r="E83" s="112"/>
      <c r="F83" s="112"/>
      <c r="G83" s="112"/>
      <c r="H83" s="112">
        <f>SUM(I83:AG83)</f>
        <v>26497</v>
      </c>
      <c r="I83" s="112"/>
      <c r="J83" s="112"/>
      <c r="K83" s="112"/>
      <c r="L83" s="112"/>
      <c r="M83" s="112"/>
      <c r="N83" s="112"/>
      <c r="O83" s="112">
        <v>40</v>
      </c>
      <c r="P83" s="112"/>
      <c r="Q83" s="112"/>
      <c r="R83" s="112"/>
      <c r="S83" s="112"/>
      <c r="T83" s="112"/>
      <c r="U83" s="112">
        <v>17967</v>
      </c>
      <c r="V83" s="112">
        <v>8340</v>
      </c>
      <c r="W83" s="112"/>
      <c r="X83" s="112">
        <v>150</v>
      </c>
      <c r="Y83" s="112"/>
      <c r="Z83" s="112"/>
      <c r="AA83" s="112"/>
      <c r="AB83" s="112"/>
      <c r="AC83" s="112"/>
      <c r="AD83" s="112"/>
      <c r="AE83" s="112"/>
      <c r="AF83" s="112"/>
      <c r="AG83" s="112"/>
      <c r="AH83" s="112">
        <v>1558</v>
      </c>
      <c r="AI83" s="112"/>
    </row>
    <row r="84" spans="1:37" ht="15" customHeight="1">
      <c r="A84" s="111"/>
      <c r="B84" s="112" t="s">
        <v>214</v>
      </c>
      <c r="C84" s="208" t="e">
        <f>#REF!+#REF!-D84</f>
        <v>#REF!</v>
      </c>
      <c r="D84" s="112">
        <f>E84+H84</f>
        <v>0</v>
      </c>
      <c r="E84" s="112"/>
      <c r="F84" s="112"/>
      <c r="G84" s="112"/>
      <c r="H84" s="112">
        <f>SUM(I84:AG84)</f>
        <v>0</v>
      </c>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row>
    <row r="85" spans="1:37" ht="15" customHeight="1">
      <c r="A85" s="111"/>
      <c r="B85" s="112" t="s">
        <v>277</v>
      </c>
      <c r="C85" s="208" t="e">
        <f>#REF!+#REF!-D85</f>
        <v>#REF!</v>
      </c>
      <c r="D85" s="112">
        <f>E85+H85</f>
        <v>-715</v>
      </c>
      <c r="E85" s="112"/>
      <c r="F85" s="112"/>
      <c r="G85" s="112"/>
      <c r="H85" s="112">
        <f>SUM(I85:AG85)</f>
        <v>-715</v>
      </c>
      <c r="I85" s="112"/>
      <c r="J85" s="112"/>
      <c r="K85" s="112"/>
      <c r="L85" s="112"/>
      <c r="M85" s="112"/>
      <c r="N85" s="112"/>
      <c r="O85" s="112"/>
      <c r="P85" s="112"/>
      <c r="Q85" s="112"/>
      <c r="R85" s="112"/>
      <c r="S85" s="112"/>
      <c r="T85" s="112"/>
      <c r="U85" s="112">
        <f>-306</f>
        <v>-306</v>
      </c>
      <c r="V85" s="112">
        <f>-274-135</f>
        <v>-409</v>
      </c>
      <c r="W85" s="112"/>
      <c r="X85" s="112"/>
      <c r="Y85" s="112"/>
      <c r="Z85" s="112"/>
      <c r="AA85" s="112"/>
      <c r="AB85" s="112"/>
      <c r="AC85" s="112"/>
      <c r="AD85" s="112"/>
      <c r="AE85" s="112"/>
      <c r="AF85" s="112"/>
      <c r="AG85" s="112"/>
      <c r="AH85" s="112"/>
      <c r="AI85" s="112"/>
    </row>
    <row r="86" spans="1:37" s="73" customFormat="1" ht="15" customHeight="1">
      <c r="A86" s="164"/>
      <c r="B86" s="165" t="s">
        <v>143</v>
      </c>
      <c r="C86" s="208" t="e">
        <f>#REF!+#REF!-D86</f>
        <v>#REF!</v>
      </c>
      <c r="D86" s="165">
        <f>E86+H86</f>
        <v>-474</v>
      </c>
      <c r="E86" s="165"/>
      <c r="F86" s="165"/>
      <c r="G86" s="165"/>
      <c r="H86" s="165">
        <f>SUM(I86:AG86)</f>
        <v>-474</v>
      </c>
      <c r="I86" s="165"/>
      <c r="J86" s="165"/>
      <c r="K86" s="165"/>
      <c r="L86" s="165"/>
      <c r="M86" s="165"/>
      <c r="N86" s="165"/>
      <c r="O86" s="165"/>
      <c r="P86" s="165"/>
      <c r="Q86" s="165"/>
      <c r="R86" s="165"/>
      <c r="S86" s="165"/>
      <c r="T86" s="165"/>
      <c r="U86" s="165">
        <v>-380</v>
      </c>
      <c r="V86" s="165">
        <v>-94</v>
      </c>
      <c r="W86" s="165"/>
      <c r="X86" s="165"/>
      <c r="Y86" s="165"/>
      <c r="Z86" s="165"/>
      <c r="AA86" s="165"/>
      <c r="AB86" s="165"/>
      <c r="AC86" s="165"/>
      <c r="AD86" s="165"/>
      <c r="AE86" s="165"/>
      <c r="AF86" s="165"/>
      <c r="AG86" s="165"/>
      <c r="AH86" s="165"/>
      <c r="AI86" s="165"/>
      <c r="AJ86" s="166"/>
      <c r="AK86" s="166"/>
    </row>
    <row r="87" spans="1:37" ht="15" customHeight="1">
      <c r="A87" s="111"/>
      <c r="B87" s="112" t="s">
        <v>130</v>
      </c>
      <c r="C87" s="208" t="e">
        <f>#REF!+#REF!-D87</f>
        <v>#REF!</v>
      </c>
      <c r="D87" s="112">
        <f>E87+H87</f>
        <v>957</v>
      </c>
      <c r="E87" s="112"/>
      <c r="F87" s="112"/>
      <c r="G87" s="112"/>
      <c r="H87" s="112">
        <f>SUM(I87:AG87)</f>
        <v>957</v>
      </c>
      <c r="I87" s="112"/>
      <c r="J87" s="112"/>
      <c r="K87" s="112"/>
      <c r="L87" s="112">
        <v>820</v>
      </c>
      <c r="M87" s="112"/>
      <c r="N87" s="112"/>
      <c r="O87" s="112"/>
      <c r="P87" s="112"/>
      <c r="Q87" s="112"/>
      <c r="R87" s="112"/>
      <c r="S87" s="112"/>
      <c r="T87" s="112"/>
      <c r="U87" s="112">
        <v>75</v>
      </c>
      <c r="V87" s="112">
        <v>62</v>
      </c>
      <c r="W87" s="112"/>
      <c r="X87" s="112"/>
      <c r="Y87" s="112"/>
      <c r="Z87" s="112"/>
      <c r="AA87" s="112"/>
      <c r="AB87" s="112"/>
      <c r="AC87" s="112"/>
      <c r="AD87" s="112"/>
      <c r="AE87" s="112"/>
      <c r="AF87" s="112"/>
      <c r="AG87" s="112"/>
      <c r="AH87" s="112"/>
      <c r="AI87" s="112"/>
    </row>
    <row r="88" spans="1:37" s="117" customFormat="1" ht="15" customHeight="1">
      <c r="A88" s="114">
        <v>16</v>
      </c>
      <c r="B88" s="115" t="s">
        <v>53</v>
      </c>
      <c r="C88" s="208" t="e">
        <f>#REF!+#REF!-D88</f>
        <v>#REF!</v>
      </c>
      <c r="D88" s="115">
        <f t="shared" ref="D88:Y88" si="20">SUM(D89:D93)</f>
        <v>672617</v>
      </c>
      <c r="E88" s="115"/>
      <c r="F88" s="115">
        <f t="shared" si="20"/>
        <v>0</v>
      </c>
      <c r="G88" s="115">
        <f t="shared" si="20"/>
        <v>0</v>
      </c>
      <c r="H88" s="115">
        <f t="shared" si="20"/>
        <v>672617</v>
      </c>
      <c r="I88" s="115">
        <f t="shared" si="20"/>
        <v>0</v>
      </c>
      <c r="J88" s="115">
        <f t="shared" si="20"/>
        <v>0</v>
      </c>
      <c r="K88" s="115">
        <f t="shared" si="20"/>
        <v>0</v>
      </c>
      <c r="L88" s="115">
        <f t="shared" si="20"/>
        <v>0</v>
      </c>
      <c r="M88" s="115">
        <f t="shared" si="20"/>
        <v>0</v>
      </c>
      <c r="N88" s="115">
        <f t="shared" si="20"/>
        <v>0</v>
      </c>
      <c r="O88" s="115">
        <f t="shared" si="20"/>
        <v>660585</v>
      </c>
      <c r="P88" s="115">
        <f t="shared" si="20"/>
        <v>0</v>
      </c>
      <c r="Q88" s="115">
        <f t="shared" si="20"/>
        <v>0</v>
      </c>
      <c r="R88" s="115">
        <f t="shared" si="20"/>
        <v>0</v>
      </c>
      <c r="S88" s="115">
        <f t="shared" si="20"/>
        <v>0</v>
      </c>
      <c r="T88" s="115">
        <f t="shared" si="20"/>
        <v>0</v>
      </c>
      <c r="U88" s="115">
        <f t="shared" si="20"/>
        <v>80</v>
      </c>
      <c r="V88" s="115">
        <f t="shared" si="20"/>
        <v>11952</v>
      </c>
      <c r="W88" s="115">
        <f t="shared" si="20"/>
        <v>0</v>
      </c>
      <c r="X88" s="115">
        <f t="shared" si="20"/>
        <v>0</v>
      </c>
      <c r="Y88" s="115">
        <f t="shared" si="20"/>
        <v>0</v>
      </c>
      <c r="Z88" s="115"/>
      <c r="AA88" s="115"/>
      <c r="AB88" s="115"/>
      <c r="AC88" s="115"/>
      <c r="AD88" s="115"/>
      <c r="AE88" s="115">
        <f>SUM(AE89:AE93)</f>
        <v>0</v>
      </c>
      <c r="AF88" s="115"/>
      <c r="AG88" s="115">
        <f>SUM(AG89:AG93)</f>
        <v>0</v>
      </c>
      <c r="AH88" s="115">
        <f>AH90</f>
        <v>73917</v>
      </c>
      <c r="AI88" s="115">
        <f>D88-AH88</f>
        <v>598700</v>
      </c>
      <c r="AJ88" s="116">
        <v>136264</v>
      </c>
      <c r="AK88" s="116">
        <v>30943</v>
      </c>
    </row>
    <row r="89" spans="1:37" s="117" customFormat="1" ht="15" customHeight="1">
      <c r="A89" s="114"/>
      <c r="B89" s="112" t="s">
        <v>212</v>
      </c>
      <c r="C89" s="208" t="e">
        <f>#REF!+#REF!-D89</f>
        <v>#REF!</v>
      </c>
      <c r="D89" s="112">
        <f>E89+H89</f>
        <v>703593</v>
      </c>
      <c r="E89" s="112"/>
      <c r="F89" s="112"/>
      <c r="G89" s="112"/>
      <c r="H89" s="112">
        <f>SUM(I89:AG89)</f>
        <v>703593</v>
      </c>
      <c r="I89" s="118"/>
      <c r="J89" s="118"/>
      <c r="K89" s="118"/>
      <c r="L89" s="118"/>
      <c r="M89" s="118"/>
      <c r="N89" s="118"/>
      <c r="O89" s="112">
        <f>660825-8542+30307+8302</f>
        <v>690892</v>
      </c>
      <c r="P89" s="112"/>
      <c r="Q89" s="112"/>
      <c r="R89" s="112"/>
      <c r="S89" s="112"/>
      <c r="T89" s="112"/>
      <c r="U89" s="112">
        <v>80</v>
      </c>
      <c r="V89" s="112">
        <v>12621</v>
      </c>
      <c r="W89" s="112"/>
      <c r="X89" s="112"/>
      <c r="Y89" s="112"/>
      <c r="Z89" s="112"/>
      <c r="AA89" s="112"/>
      <c r="AB89" s="112"/>
      <c r="AC89" s="112"/>
      <c r="AD89" s="112"/>
      <c r="AE89" s="112"/>
      <c r="AF89" s="112"/>
      <c r="AG89" s="118"/>
      <c r="AH89" s="118"/>
      <c r="AI89" s="118"/>
      <c r="AJ89" s="116"/>
      <c r="AK89" s="116"/>
    </row>
    <row r="90" spans="1:37" s="32" customFormat="1" ht="15" customHeight="1">
      <c r="A90" s="167"/>
      <c r="B90" s="165" t="s">
        <v>143</v>
      </c>
      <c r="C90" s="208" t="e">
        <f>#REF!+#REF!-D90</f>
        <v>#REF!</v>
      </c>
      <c r="D90" s="165">
        <f>E90+H90</f>
        <v>-123</v>
      </c>
      <c r="E90" s="165"/>
      <c r="F90" s="165"/>
      <c r="G90" s="165"/>
      <c r="H90" s="165">
        <f>SUM(I90:AG90)</f>
        <v>-123</v>
      </c>
      <c r="I90" s="170"/>
      <c r="J90" s="170"/>
      <c r="K90" s="170"/>
      <c r="L90" s="170"/>
      <c r="M90" s="170"/>
      <c r="N90" s="170"/>
      <c r="O90" s="165"/>
      <c r="P90" s="165"/>
      <c r="Q90" s="165"/>
      <c r="R90" s="165"/>
      <c r="S90" s="165"/>
      <c r="T90" s="165"/>
      <c r="U90" s="165"/>
      <c r="V90" s="165">
        <v>-123</v>
      </c>
      <c r="W90" s="165"/>
      <c r="X90" s="165"/>
      <c r="Y90" s="165"/>
      <c r="Z90" s="165"/>
      <c r="AA90" s="165"/>
      <c r="AB90" s="165"/>
      <c r="AC90" s="165"/>
      <c r="AD90" s="165"/>
      <c r="AE90" s="165"/>
      <c r="AF90" s="165"/>
      <c r="AG90" s="170"/>
      <c r="AH90" s="165">
        <f>1408+72509</f>
        <v>73917</v>
      </c>
      <c r="AI90" s="170"/>
      <c r="AJ90" s="169"/>
      <c r="AK90" s="169"/>
    </row>
    <row r="91" spans="1:37" ht="15" customHeight="1">
      <c r="A91" s="111"/>
      <c r="B91" s="112" t="s">
        <v>277</v>
      </c>
      <c r="C91" s="208" t="e">
        <f>#REF!+#REF!-D91</f>
        <v>#REF!</v>
      </c>
      <c r="D91" s="112">
        <f>E91+H91</f>
        <v>-30943</v>
      </c>
      <c r="E91" s="112"/>
      <c r="F91" s="112"/>
      <c r="G91" s="112"/>
      <c r="H91" s="112">
        <f>SUM(I91:AG91)</f>
        <v>-30943</v>
      </c>
      <c r="I91" s="112"/>
      <c r="J91" s="112"/>
      <c r="K91" s="112"/>
      <c r="L91" s="112"/>
      <c r="M91" s="112"/>
      <c r="N91" s="112"/>
      <c r="O91" s="112">
        <f>-30307</f>
        <v>-30307</v>
      </c>
      <c r="P91" s="112"/>
      <c r="Q91" s="112"/>
      <c r="R91" s="112"/>
      <c r="S91" s="112"/>
      <c r="T91" s="112"/>
      <c r="U91" s="112"/>
      <c r="V91" s="112">
        <f>-636</f>
        <v>-636</v>
      </c>
      <c r="W91" s="112"/>
      <c r="X91" s="112"/>
      <c r="Y91" s="112"/>
      <c r="Z91" s="112"/>
      <c r="AA91" s="112"/>
      <c r="AB91" s="112"/>
      <c r="AC91" s="112"/>
      <c r="AD91" s="112"/>
      <c r="AE91" s="112"/>
      <c r="AF91" s="112"/>
      <c r="AG91" s="112"/>
      <c r="AH91" s="112"/>
      <c r="AI91" s="112"/>
    </row>
    <row r="92" spans="1:37" ht="15" customHeight="1">
      <c r="A92" s="111"/>
      <c r="B92" s="112" t="s">
        <v>155</v>
      </c>
      <c r="C92" s="208" t="e">
        <f>#REF!+#REF!-D92</f>
        <v>#REF!</v>
      </c>
      <c r="D92" s="112">
        <f>E92+H92</f>
        <v>90</v>
      </c>
      <c r="E92" s="112"/>
      <c r="F92" s="112"/>
      <c r="G92" s="112"/>
      <c r="H92" s="112">
        <f>SUM(I92:AG92)</f>
        <v>90</v>
      </c>
      <c r="I92" s="112"/>
      <c r="J92" s="112"/>
      <c r="K92" s="112"/>
      <c r="L92" s="112"/>
      <c r="M92" s="112"/>
      <c r="N92" s="112"/>
      <c r="O92" s="112"/>
      <c r="P92" s="112"/>
      <c r="Q92" s="112"/>
      <c r="R92" s="112"/>
      <c r="S92" s="112"/>
      <c r="T92" s="112"/>
      <c r="U92" s="112"/>
      <c r="V92" s="112">
        <v>90</v>
      </c>
      <c r="W92" s="112"/>
      <c r="X92" s="112"/>
      <c r="Y92" s="112"/>
      <c r="Z92" s="112"/>
      <c r="AA92" s="112"/>
      <c r="AB92" s="112"/>
      <c r="AC92" s="112"/>
      <c r="AD92" s="112"/>
      <c r="AE92" s="112"/>
      <c r="AF92" s="112"/>
      <c r="AG92" s="112"/>
      <c r="AH92" s="112"/>
      <c r="AI92" s="112"/>
    </row>
    <row r="93" spans="1:37" s="117" customFormat="1" ht="15" customHeight="1">
      <c r="A93" s="114"/>
      <c r="B93" s="112" t="s">
        <v>54</v>
      </c>
      <c r="C93" s="208" t="e">
        <f>#REF!+#REF!-D93</f>
        <v>#REF!</v>
      </c>
      <c r="D93" s="112">
        <f>E93+H93</f>
        <v>0</v>
      </c>
      <c r="E93" s="112"/>
      <c r="F93" s="112"/>
      <c r="G93" s="112"/>
      <c r="H93" s="112">
        <f>SUM(I93:AG93)</f>
        <v>0</v>
      </c>
      <c r="I93" s="118"/>
      <c r="J93" s="118"/>
      <c r="K93" s="118"/>
      <c r="L93" s="118"/>
      <c r="M93" s="118"/>
      <c r="N93" s="118"/>
      <c r="O93" s="112"/>
      <c r="P93" s="112"/>
      <c r="Q93" s="112"/>
      <c r="R93" s="112"/>
      <c r="S93" s="112"/>
      <c r="T93" s="112"/>
      <c r="U93" s="112"/>
      <c r="V93" s="112"/>
      <c r="W93" s="112"/>
      <c r="X93" s="112"/>
      <c r="Y93" s="112"/>
      <c r="Z93" s="112"/>
      <c r="AA93" s="112"/>
      <c r="AB93" s="112"/>
      <c r="AC93" s="112"/>
      <c r="AD93" s="112"/>
      <c r="AE93" s="112"/>
      <c r="AF93" s="112"/>
      <c r="AG93" s="118"/>
      <c r="AH93" s="118"/>
      <c r="AI93" s="118"/>
      <c r="AJ93" s="116"/>
      <c r="AK93" s="116"/>
    </row>
    <row r="94" spans="1:37" s="117" customFormat="1" ht="15" customHeight="1">
      <c r="A94" s="114">
        <v>17</v>
      </c>
      <c r="B94" s="115" t="s">
        <v>55</v>
      </c>
      <c r="C94" s="208" t="e">
        <f>#REF!+#REF!-D94</f>
        <v>#REF!</v>
      </c>
      <c r="D94" s="115">
        <f t="shared" ref="D94:AI94" si="21">SUM(D95:D100)</f>
        <v>402537</v>
      </c>
      <c r="E94" s="115"/>
      <c r="F94" s="115">
        <f t="shared" si="21"/>
        <v>0</v>
      </c>
      <c r="G94" s="115">
        <f t="shared" si="21"/>
        <v>0</v>
      </c>
      <c r="H94" s="115">
        <f t="shared" si="21"/>
        <v>402537</v>
      </c>
      <c r="I94" s="115">
        <f t="shared" si="21"/>
        <v>0</v>
      </c>
      <c r="J94" s="115">
        <f t="shared" si="21"/>
        <v>0</v>
      </c>
      <c r="K94" s="115">
        <f t="shared" si="21"/>
        <v>0</v>
      </c>
      <c r="L94" s="115">
        <f t="shared" si="21"/>
        <v>1000</v>
      </c>
      <c r="M94" s="115">
        <f t="shared" si="21"/>
        <v>0</v>
      </c>
      <c r="N94" s="115">
        <f t="shared" si="21"/>
        <v>0</v>
      </c>
      <c r="O94" s="115">
        <f t="shared" si="21"/>
        <v>8700</v>
      </c>
      <c r="P94" s="115">
        <f t="shared" si="21"/>
        <v>372888</v>
      </c>
      <c r="Q94" s="115">
        <f t="shared" si="21"/>
        <v>0</v>
      </c>
      <c r="R94" s="115">
        <f t="shared" si="21"/>
        <v>8094</v>
      </c>
      <c r="S94" s="115">
        <f t="shared" si="21"/>
        <v>0</v>
      </c>
      <c r="T94" s="115">
        <f t="shared" si="21"/>
        <v>0</v>
      </c>
      <c r="U94" s="115">
        <f t="shared" si="21"/>
        <v>20</v>
      </c>
      <c r="V94" s="115">
        <f t="shared" si="21"/>
        <v>11835</v>
      </c>
      <c r="W94" s="115">
        <f t="shared" si="21"/>
        <v>0</v>
      </c>
      <c r="X94" s="115">
        <f t="shared" si="21"/>
        <v>0</v>
      </c>
      <c r="Y94" s="115">
        <f t="shared" si="21"/>
        <v>0</v>
      </c>
      <c r="Z94" s="115">
        <f t="shared" si="21"/>
        <v>0</v>
      </c>
      <c r="AA94" s="115"/>
      <c r="AB94" s="115"/>
      <c r="AC94" s="115"/>
      <c r="AD94" s="115"/>
      <c r="AE94" s="115">
        <f t="shared" si="21"/>
        <v>0</v>
      </c>
      <c r="AF94" s="115">
        <f t="shared" ref="AF94" si="22">SUM(AF95:AF100)</f>
        <v>0</v>
      </c>
      <c r="AG94" s="115">
        <f t="shared" si="21"/>
        <v>0</v>
      </c>
      <c r="AH94" s="115">
        <f t="shared" si="21"/>
        <v>51324</v>
      </c>
      <c r="AI94" s="115">
        <f t="shared" si="21"/>
        <v>0</v>
      </c>
      <c r="AJ94" s="116">
        <f>76826+2273</f>
        <v>79099</v>
      </c>
      <c r="AK94" s="116">
        <f>19520+594</f>
        <v>20114</v>
      </c>
    </row>
    <row r="95" spans="1:37" ht="15" customHeight="1">
      <c r="A95" s="111"/>
      <c r="B95" s="112" t="s">
        <v>133</v>
      </c>
      <c r="C95" s="208" t="e">
        <f>#REF!+#REF!-D95</f>
        <v>#REF!</v>
      </c>
      <c r="D95" s="112">
        <f t="shared" ref="D95:D100" si="23">E95+H95</f>
        <v>20443</v>
      </c>
      <c r="E95" s="112"/>
      <c r="F95" s="112"/>
      <c r="G95" s="112"/>
      <c r="H95" s="112">
        <f t="shared" ref="H95:H100" si="24">SUM(I95:AG95)</f>
        <v>20443</v>
      </c>
      <c r="I95" s="112"/>
      <c r="J95" s="112"/>
      <c r="K95" s="112"/>
      <c r="L95" s="112"/>
      <c r="M95" s="112"/>
      <c r="N95" s="112"/>
      <c r="O95" s="112"/>
      <c r="P95" s="112"/>
      <c r="Q95" s="112"/>
      <c r="R95" s="112">
        <v>8094</v>
      </c>
      <c r="S95" s="112"/>
      <c r="T95" s="112"/>
      <c r="U95" s="112">
        <v>20</v>
      </c>
      <c r="V95" s="112">
        <f>12309+20</f>
        <v>12329</v>
      </c>
      <c r="W95" s="112"/>
      <c r="X95" s="112"/>
      <c r="Y95" s="112"/>
      <c r="Z95" s="112"/>
      <c r="AA95" s="112"/>
      <c r="AB95" s="112"/>
      <c r="AC95" s="112"/>
      <c r="AD95" s="112"/>
      <c r="AE95" s="112"/>
      <c r="AF95" s="112"/>
      <c r="AG95" s="112"/>
      <c r="AH95" s="112">
        <v>1304</v>
      </c>
      <c r="AI95" s="112"/>
    </row>
    <row r="96" spans="1:37" ht="15" customHeight="1">
      <c r="A96" s="111"/>
      <c r="B96" s="112" t="s">
        <v>139</v>
      </c>
      <c r="C96" s="208" t="e">
        <f>#REF!+#REF!-D96</f>
        <v>#REF!</v>
      </c>
      <c r="D96" s="112">
        <f t="shared" si="23"/>
        <v>1245</v>
      </c>
      <c r="E96" s="112"/>
      <c r="F96" s="112"/>
      <c r="G96" s="112"/>
      <c r="H96" s="112">
        <f t="shared" si="24"/>
        <v>1245</v>
      </c>
      <c r="I96" s="112"/>
      <c r="J96" s="112"/>
      <c r="K96" s="112"/>
      <c r="L96" s="112">
        <v>1000</v>
      </c>
      <c r="M96" s="112"/>
      <c r="N96" s="112"/>
      <c r="O96" s="112"/>
      <c r="P96" s="112"/>
      <c r="Q96" s="112"/>
      <c r="R96" s="112"/>
      <c r="S96" s="112"/>
      <c r="T96" s="112"/>
      <c r="U96" s="112"/>
      <c r="V96" s="112">
        <v>245</v>
      </c>
      <c r="W96" s="112"/>
      <c r="X96" s="112"/>
      <c r="Y96" s="112"/>
      <c r="Z96" s="112"/>
      <c r="AA96" s="112"/>
      <c r="AB96" s="112"/>
      <c r="AC96" s="112"/>
      <c r="AD96" s="112"/>
      <c r="AE96" s="112"/>
      <c r="AF96" s="112"/>
      <c r="AG96" s="112"/>
      <c r="AH96" s="112"/>
      <c r="AI96" s="112"/>
    </row>
    <row r="97" spans="1:37" ht="15" customHeight="1">
      <c r="A97" s="111"/>
      <c r="B97" s="112" t="s">
        <v>277</v>
      </c>
      <c r="C97" s="208" t="e">
        <f>#REF!+#REF!-D97</f>
        <v>#REF!</v>
      </c>
      <c r="D97" s="112">
        <f t="shared" si="23"/>
        <v>-20114</v>
      </c>
      <c r="E97" s="112"/>
      <c r="F97" s="112"/>
      <c r="G97" s="112"/>
      <c r="H97" s="112">
        <f t="shared" si="24"/>
        <v>-20114</v>
      </c>
      <c r="I97" s="112"/>
      <c r="J97" s="112"/>
      <c r="K97" s="112"/>
      <c r="L97" s="112"/>
      <c r="M97" s="112"/>
      <c r="N97" s="112"/>
      <c r="O97" s="112"/>
      <c r="P97" s="112">
        <v>-19520</v>
      </c>
      <c r="Q97" s="112"/>
      <c r="R97" s="112"/>
      <c r="S97" s="112"/>
      <c r="T97" s="112"/>
      <c r="U97" s="112"/>
      <c r="V97" s="112">
        <v>-594</v>
      </c>
      <c r="W97" s="112"/>
      <c r="X97" s="112"/>
      <c r="Y97" s="112"/>
      <c r="Z97" s="112"/>
      <c r="AA97" s="112"/>
      <c r="AB97" s="112"/>
      <c r="AC97" s="112"/>
      <c r="AD97" s="112"/>
      <c r="AE97" s="112"/>
      <c r="AF97" s="112"/>
      <c r="AG97" s="112"/>
      <c r="AH97" s="112"/>
      <c r="AI97" s="112"/>
    </row>
    <row r="98" spans="1:37" s="73" customFormat="1" ht="15" customHeight="1">
      <c r="A98" s="164"/>
      <c r="B98" s="165" t="s">
        <v>143</v>
      </c>
      <c r="C98" s="208" t="e">
        <f>#REF!+#REF!-D98</f>
        <v>#REF!</v>
      </c>
      <c r="D98" s="165">
        <f t="shared" si="23"/>
        <v>-1145</v>
      </c>
      <c r="E98" s="165"/>
      <c r="F98" s="165"/>
      <c r="G98" s="165"/>
      <c r="H98" s="165">
        <f t="shared" si="24"/>
        <v>-1145</v>
      </c>
      <c r="I98" s="165"/>
      <c r="J98" s="165"/>
      <c r="K98" s="165"/>
      <c r="L98" s="165"/>
      <c r="M98" s="165"/>
      <c r="N98" s="165"/>
      <c r="O98" s="165"/>
      <c r="P98" s="165">
        <v>-1000</v>
      </c>
      <c r="Q98" s="165"/>
      <c r="R98" s="165"/>
      <c r="S98" s="165"/>
      <c r="T98" s="165"/>
      <c r="U98" s="165"/>
      <c r="V98" s="165">
        <v>-145</v>
      </c>
      <c r="W98" s="165"/>
      <c r="X98" s="165"/>
      <c r="Y98" s="165"/>
      <c r="Z98" s="165"/>
      <c r="AA98" s="165"/>
      <c r="AB98" s="165"/>
      <c r="AC98" s="165"/>
      <c r="AD98" s="165"/>
      <c r="AE98" s="165"/>
      <c r="AF98" s="165"/>
      <c r="AG98" s="165"/>
      <c r="AH98" s="165"/>
      <c r="AI98" s="165"/>
      <c r="AJ98" s="166"/>
      <c r="AK98" s="166"/>
    </row>
    <row r="99" spans="1:37" ht="15" customHeight="1">
      <c r="A99" s="111"/>
      <c r="B99" s="112" t="s">
        <v>56</v>
      </c>
      <c r="C99" s="208" t="e">
        <f>#REF!+#REF!-D99</f>
        <v>#REF!</v>
      </c>
      <c r="D99" s="112">
        <f t="shared" si="23"/>
        <v>393408</v>
      </c>
      <c r="E99" s="112"/>
      <c r="F99" s="112"/>
      <c r="G99" s="112"/>
      <c r="H99" s="112">
        <f t="shared" si="24"/>
        <v>393408</v>
      </c>
      <c r="I99" s="112"/>
      <c r="J99" s="112"/>
      <c r="K99" s="112"/>
      <c r="L99" s="112"/>
      <c r="M99" s="112"/>
      <c r="N99" s="112"/>
      <c r="O99" s="112"/>
      <c r="P99" s="112">
        <f>392891+517</f>
        <v>393408</v>
      </c>
      <c r="Q99" s="112"/>
      <c r="R99" s="112"/>
      <c r="S99" s="112"/>
      <c r="T99" s="112"/>
      <c r="U99" s="112"/>
      <c r="V99" s="112"/>
      <c r="W99" s="112"/>
      <c r="X99" s="112"/>
      <c r="Y99" s="112"/>
      <c r="Z99" s="112"/>
      <c r="AA99" s="112"/>
      <c r="AB99" s="112"/>
      <c r="AC99" s="112"/>
      <c r="AD99" s="112"/>
      <c r="AE99" s="112"/>
      <c r="AF99" s="112"/>
      <c r="AG99" s="112"/>
      <c r="AH99" s="112">
        <v>50020</v>
      </c>
      <c r="AI99" s="112"/>
    </row>
    <row r="100" spans="1:37" s="120" customFormat="1" ht="15" customHeight="1">
      <c r="A100" s="111"/>
      <c r="B100" s="112" t="s">
        <v>91</v>
      </c>
      <c r="C100" s="208" t="e">
        <f>#REF!+#REF!-D100</f>
        <v>#REF!</v>
      </c>
      <c r="D100" s="112">
        <f t="shared" si="23"/>
        <v>8700</v>
      </c>
      <c r="E100" s="112"/>
      <c r="F100" s="112"/>
      <c r="G100" s="112"/>
      <c r="H100" s="112">
        <f t="shared" si="24"/>
        <v>8700</v>
      </c>
      <c r="I100" s="112"/>
      <c r="J100" s="112"/>
      <c r="K100" s="112"/>
      <c r="L100" s="112"/>
      <c r="M100" s="112"/>
      <c r="N100" s="112"/>
      <c r="O100" s="112">
        <v>8700</v>
      </c>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9"/>
      <c r="AK100" s="119"/>
    </row>
    <row r="101" spans="1:37" s="117" customFormat="1" ht="15" customHeight="1">
      <c r="A101" s="114">
        <v>18</v>
      </c>
      <c r="B101" s="115" t="s">
        <v>57</v>
      </c>
      <c r="C101" s="208" t="e">
        <f>#REF!+#REF!-D101</f>
        <v>#REF!</v>
      </c>
      <c r="D101" s="18">
        <f t="shared" ref="D101:Y101" si="25">SUM(D102:D105)</f>
        <v>55099</v>
      </c>
      <c r="E101" s="18"/>
      <c r="F101" s="18">
        <f t="shared" si="25"/>
        <v>0</v>
      </c>
      <c r="G101" s="18">
        <f t="shared" si="25"/>
        <v>0</v>
      </c>
      <c r="H101" s="18">
        <f t="shared" si="25"/>
        <v>55099</v>
      </c>
      <c r="I101" s="18">
        <f t="shared" si="25"/>
        <v>0</v>
      </c>
      <c r="J101" s="18">
        <f t="shared" si="25"/>
        <v>0</v>
      </c>
      <c r="K101" s="18">
        <f t="shared" si="25"/>
        <v>0</v>
      </c>
      <c r="L101" s="18">
        <f t="shared" si="25"/>
        <v>1783</v>
      </c>
      <c r="M101" s="18">
        <f t="shared" si="25"/>
        <v>16614</v>
      </c>
      <c r="N101" s="18">
        <f t="shared" si="25"/>
        <v>0</v>
      </c>
      <c r="O101" s="18">
        <f t="shared" si="25"/>
        <v>250</v>
      </c>
      <c r="P101" s="18">
        <f t="shared" si="25"/>
        <v>0</v>
      </c>
      <c r="Q101" s="18">
        <f t="shared" si="25"/>
        <v>0</v>
      </c>
      <c r="R101" s="18">
        <f t="shared" si="25"/>
        <v>200</v>
      </c>
      <c r="S101" s="18">
        <f t="shared" si="25"/>
        <v>0</v>
      </c>
      <c r="T101" s="18">
        <f t="shared" si="25"/>
        <v>1000</v>
      </c>
      <c r="U101" s="18">
        <f t="shared" si="25"/>
        <v>1816</v>
      </c>
      <c r="V101" s="18">
        <f t="shared" si="25"/>
        <v>33436</v>
      </c>
      <c r="W101" s="18">
        <f t="shared" si="25"/>
        <v>0</v>
      </c>
      <c r="X101" s="18">
        <f t="shared" si="25"/>
        <v>0</v>
      </c>
      <c r="Y101" s="18">
        <f t="shared" si="25"/>
        <v>0</v>
      </c>
      <c r="Z101" s="18"/>
      <c r="AA101" s="18"/>
      <c r="AB101" s="18"/>
      <c r="AC101" s="18"/>
      <c r="AD101" s="18"/>
      <c r="AE101" s="18">
        <f>SUM(AE102:AE105)</f>
        <v>0</v>
      </c>
      <c r="AF101" s="18"/>
      <c r="AG101" s="18">
        <f>SUM(AG102:AG105)</f>
        <v>0</v>
      </c>
      <c r="AH101" s="18">
        <f>AH102</f>
        <v>2119</v>
      </c>
      <c r="AI101" s="115">
        <f>D101-AH101</f>
        <v>52980</v>
      </c>
      <c r="AJ101" s="116">
        <v>4275</v>
      </c>
      <c r="AK101" s="116">
        <v>1041</v>
      </c>
    </row>
    <row r="102" spans="1:37" ht="15" customHeight="1">
      <c r="A102" s="111"/>
      <c r="B102" s="112" t="s">
        <v>58</v>
      </c>
      <c r="C102" s="208" t="e">
        <f>#REF!+#REF!-D102</f>
        <v>#REF!</v>
      </c>
      <c r="D102" s="112">
        <f t="shared" ref="D102:D107" si="26">E102+H102</f>
        <v>51721</v>
      </c>
      <c r="E102" s="112"/>
      <c r="F102" s="112"/>
      <c r="G102" s="112"/>
      <c r="H102" s="112">
        <f t="shared" ref="H102:H114" si="27">SUM(I102:AG102)</f>
        <v>51721</v>
      </c>
      <c r="I102" s="112"/>
      <c r="J102" s="112"/>
      <c r="K102" s="112"/>
      <c r="L102" s="112"/>
      <c r="M102" s="112">
        <v>17386</v>
      </c>
      <c r="N102" s="112"/>
      <c r="O102" s="112">
        <v>250</v>
      </c>
      <c r="P102" s="112"/>
      <c r="Q102" s="112"/>
      <c r="R102" s="112">
        <v>200</v>
      </c>
      <c r="S102" s="112"/>
      <c r="T102" s="112">
        <v>1000</v>
      </c>
      <c r="U102" s="112">
        <v>1866</v>
      </c>
      <c r="V102" s="112">
        <v>31019</v>
      </c>
      <c r="W102" s="112"/>
      <c r="X102" s="112"/>
      <c r="Y102" s="112"/>
      <c r="Z102" s="112"/>
      <c r="AA102" s="112"/>
      <c r="AB102" s="112"/>
      <c r="AC102" s="112"/>
      <c r="AD102" s="112"/>
      <c r="AE102" s="112"/>
      <c r="AF102" s="112"/>
      <c r="AG102" s="112"/>
      <c r="AH102" s="112">
        <v>2119</v>
      </c>
      <c r="AI102" s="112"/>
    </row>
    <row r="103" spans="1:37" ht="15" customHeight="1">
      <c r="A103" s="111"/>
      <c r="B103" s="112" t="s">
        <v>277</v>
      </c>
      <c r="C103" s="208" t="e">
        <f>#REF!+#REF!-D103</f>
        <v>#REF!</v>
      </c>
      <c r="D103" s="112">
        <f t="shared" si="26"/>
        <v>-1041</v>
      </c>
      <c r="E103" s="112"/>
      <c r="F103" s="112"/>
      <c r="G103" s="112"/>
      <c r="H103" s="112">
        <f t="shared" si="27"/>
        <v>-1041</v>
      </c>
      <c r="I103" s="112"/>
      <c r="J103" s="112"/>
      <c r="K103" s="112"/>
      <c r="L103" s="112"/>
      <c r="M103" s="112">
        <f>-272</f>
        <v>-272</v>
      </c>
      <c r="N103" s="112"/>
      <c r="O103" s="112"/>
      <c r="P103" s="112"/>
      <c r="Q103" s="112"/>
      <c r="R103" s="112"/>
      <c r="S103" s="112"/>
      <c r="T103" s="112"/>
      <c r="U103" s="112"/>
      <c r="V103" s="112">
        <f>-769</f>
        <v>-769</v>
      </c>
      <c r="W103" s="112"/>
      <c r="X103" s="112"/>
      <c r="Y103" s="112"/>
      <c r="Z103" s="112"/>
      <c r="AA103" s="112"/>
      <c r="AB103" s="112"/>
      <c r="AC103" s="112"/>
      <c r="AD103" s="112"/>
      <c r="AE103" s="112"/>
      <c r="AF103" s="112"/>
      <c r="AG103" s="112"/>
      <c r="AH103" s="112"/>
      <c r="AI103" s="112"/>
    </row>
    <row r="104" spans="1:37" ht="15.75" customHeight="1">
      <c r="A104" s="111"/>
      <c r="B104" s="112" t="s">
        <v>130</v>
      </c>
      <c r="C104" s="208" t="e">
        <f>#REF!+#REF!-D104</f>
        <v>#REF!</v>
      </c>
      <c r="D104" s="112">
        <f t="shared" si="26"/>
        <v>5589</v>
      </c>
      <c r="E104" s="112"/>
      <c r="F104" s="112"/>
      <c r="G104" s="112"/>
      <c r="H104" s="112">
        <f t="shared" si="27"/>
        <v>5589</v>
      </c>
      <c r="I104" s="112"/>
      <c r="J104" s="112"/>
      <c r="K104" s="112"/>
      <c r="L104" s="112">
        <f>1400+383</f>
        <v>1783</v>
      </c>
      <c r="M104" s="112"/>
      <c r="N104" s="112"/>
      <c r="O104" s="112"/>
      <c r="P104" s="112"/>
      <c r="Q104" s="112"/>
      <c r="R104" s="112"/>
      <c r="S104" s="112"/>
      <c r="T104" s="112"/>
      <c r="U104" s="112"/>
      <c r="V104" s="112">
        <f>1546+300+1960</f>
        <v>3806</v>
      </c>
      <c r="W104" s="112"/>
      <c r="X104" s="112"/>
      <c r="Y104" s="112"/>
      <c r="Z104" s="112"/>
      <c r="AA104" s="112"/>
      <c r="AB104" s="112"/>
      <c r="AC104" s="112"/>
      <c r="AD104" s="112"/>
      <c r="AE104" s="112"/>
      <c r="AF104" s="112"/>
      <c r="AG104" s="112"/>
      <c r="AH104" s="112"/>
      <c r="AI104" s="112"/>
    </row>
    <row r="105" spans="1:37" s="73" customFormat="1" ht="15" customHeight="1">
      <c r="A105" s="164"/>
      <c r="B105" s="165" t="s">
        <v>143</v>
      </c>
      <c r="C105" s="208" t="e">
        <f>#REF!+#REF!-D105</f>
        <v>#REF!</v>
      </c>
      <c r="D105" s="165">
        <f t="shared" si="26"/>
        <v>-1170</v>
      </c>
      <c r="E105" s="165"/>
      <c r="F105" s="165"/>
      <c r="G105" s="165"/>
      <c r="H105" s="165">
        <f t="shared" si="27"/>
        <v>-1170</v>
      </c>
      <c r="I105" s="165"/>
      <c r="J105" s="165"/>
      <c r="K105" s="165"/>
      <c r="L105" s="165"/>
      <c r="M105" s="165">
        <v>-500</v>
      </c>
      <c r="N105" s="165"/>
      <c r="O105" s="165"/>
      <c r="P105" s="165"/>
      <c r="Q105" s="165"/>
      <c r="R105" s="165"/>
      <c r="S105" s="165"/>
      <c r="T105" s="165"/>
      <c r="U105" s="165">
        <v>-50</v>
      </c>
      <c r="V105" s="165">
        <v>-620</v>
      </c>
      <c r="W105" s="165"/>
      <c r="X105" s="165"/>
      <c r="Y105" s="165"/>
      <c r="Z105" s="165"/>
      <c r="AA105" s="165"/>
      <c r="AB105" s="165"/>
      <c r="AC105" s="165"/>
      <c r="AD105" s="165"/>
      <c r="AE105" s="165"/>
      <c r="AF105" s="165"/>
      <c r="AG105" s="165"/>
      <c r="AH105" s="165"/>
      <c r="AI105" s="165"/>
      <c r="AJ105" s="166"/>
      <c r="AK105" s="166"/>
    </row>
    <row r="106" spans="1:37" s="132" customFormat="1" ht="15" customHeight="1">
      <c r="A106" s="114">
        <v>19</v>
      </c>
      <c r="B106" s="115" t="s">
        <v>59</v>
      </c>
      <c r="C106" s="208" t="e">
        <f>#REF!+#REF!-D106</f>
        <v>#REF!</v>
      </c>
      <c r="D106" s="115">
        <f t="shared" si="26"/>
        <v>3715</v>
      </c>
      <c r="E106" s="115"/>
      <c r="F106" s="115"/>
      <c r="G106" s="115"/>
      <c r="H106" s="115">
        <f t="shared" si="27"/>
        <v>3715</v>
      </c>
      <c r="I106" s="115"/>
      <c r="J106" s="115"/>
      <c r="K106" s="115"/>
      <c r="L106" s="115"/>
      <c r="M106" s="115"/>
      <c r="N106" s="115"/>
      <c r="O106" s="115">
        <v>130</v>
      </c>
      <c r="P106" s="115"/>
      <c r="Q106" s="115"/>
      <c r="R106" s="115"/>
      <c r="S106" s="115"/>
      <c r="T106" s="115">
        <f>153-18</f>
        <v>135</v>
      </c>
      <c r="U106" s="115">
        <v>20</v>
      </c>
      <c r="V106" s="115">
        <f>3063-104-29</f>
        <v>2930</v>
      </c>
      <c r="W106" s="115"/>
      <c r="X106" s="115"/>
      <c r="Y106" s="115"/>
      <c r="Z106" s="115"/>
      <c r="AA106" s="115"/>
      <c r="AB106" s="115"/>
      <c r="AC106" s="115"/>
      <c r="AD106" s="115"/>
      <c r="AE106" s="115"/>
      <c r="AF106" s="115"/>
      <c r="AG106" s="115">
        <v>500</v>
      </c>
      <c r="AH106" s="115">
        <v>254</v>
      </c>
      <c r="AI106" s="115">
        <f>D106-AH106</f>
        <v>3461</v>
      </c>
      <c r="AJ106" s="135">
        <v>313</v>
      </c>
      <c r="AK106" s="135">
        <v>104</v>
      </c>
    </row>
    <row r="107" spans="1:37" s="117" customFormat="1" ht="15" customHeight="1">
      <c r="A107" s="114">
        <v>20</v>
      </c>
      <c r="B107" s="115" t="s">
        <v>60</v>
      </c>
      <c r="C107" s="208" t="e">
        <f>#REF!+#REF!-D107</f>
        <v>#REF!</v>
      </c>
      <c r="D107" s="115">
        <f t="shared" si="26"/>
        <v>5041</v>
      </c>
      <c r="E107" s="115"/>
      <c r="F107" s="115"/>
      <c r="G107" s="115"/>
      <c r="H107" s="115">
        <f t="shared" si="27"/>
        <v>5041</v>
      </c>
      <c r="I107" s="115"/>
      <c r="J107" s="115"/>
      <c r="K107" s="115"/>
      <c r="L107" s="115"/>
      <c r="M107" s="115"/>
      <c r="N107" s="115">
        <v>100</v>
      </c>
      <c r="O107" s="115">
        <v>100</v>
      </c>
      <c r="P107" s="115"/>
      <c r="Q107" s="115"/>
      <c r="R107" s="115"/>
      <c r="S107" s="115"/>
      <c r="T107" s="115"/>
      <c r="U107" s="115">
        <v>47</v>
      </c>
      <c r="V107" s="115">
        <f>SUM(V108:V111)</f>
        <v>4749</v>
      </c>
      <c r="W107" s="115"/>
      <c r="X107" s="115"/>
      <c r="Y107" s="115"/>
      <c r="Z107" s="115"/>
      <c r="AA107" s="115"/>
      <c r="AB107" s="115"/>
      <c r="AC107" s="115"/>
      <c r="AD107" s="115"/>
      <c r="AE107" s="115"/>
      <c r="AF107" s="115"/>
      <c r="AG107" s="115">
        <v>45</v>
      </c>
      <c r="AH107" s="115">
        <f>SUM(AH108:AH111)</f>
        <v>535</v>
      </c>
      <c r="AI107" s="115">
        <f>D107-AH107</f>
        <v>4506</v>
      </c>
      <c r="AJ107" s="116">
        <v>880</v>
      </c>
      <c r="AK107" s="116">
        <v>239</v>
      </c>
    </row>
    <row r="108" spans="1:37" ht="15" customHeight="1">
      <c r="A108" s="111"/>
      <c r="B108" s="112" t="s">
        <v>210</v>
      </c>
      <c r="C108" s="208" t="e">
        <f>#REF!+#REF!-D108</f>
        <v>#REF!</v>
      </c>
      <c r="D108" s="112">
        <f>H108</f>
        <v>5146</v>
      </c>
      <c r="E108" s="112"/>
      <c r="F108" s="112"/>
      <c r="G108" s="112"/>
      <c r="H108" s="112">
        <f t="shared" si="27"/>
        <v>5146</v>
      </c>
      <c r="I108" s="112"/>
      <c r="J108" s="112"/>
      <c r="K108" s="112"/>
      <c r="L108" s="112"/>
      <c r="M108" s="112"/>
      <c r="N108" s="112">
        <v>100</v>
      </c>
      <c r="O108" s="112">
        <v>100</v>
      </c>
      <c r="P108" s="112"/>
      <c r="Q108" s="112"/>
      <c r="R108" s="112"/>
      <c r="S108" s="112"/>
      <c r="T108" s="112"/>
      <c r="U108" s="112">
        <v>47</v>
      </c>
      <c r="V108" s="112">
        <v>4854</v>
      </c>
      <c r="W108" s="112"/>
      <c r="X108" s="112"/>
      <c r="Y108" s="112"/>
      <c r="Z108" s="112"/>
      <c r="AA108" s="112"/>
      <c r="AB108" s="112"/>
      <c r="AC108" s="112"/>
      <c r="AD108" s="112"/>
      <c r="AE108" s="112"/>
      <c r="AF108" s="112"/>
      <c r="AG108" s="112">
        <v>45</v>
      </c>
      <c r="AH108" s="112"/>
      <c r="AI108" s="112"/>
    </row>
    <row r="109" spans="1:37" s="73" customFormat="1" ht="15" customHeight="1">
      <c r="A109" s="164"/>
      <c r="B109" s="165" t="s">
        <v>143</v>
      </c>
      <c r="C109" s="208" t="e">
        <f>#REF!+#REF!-D109</f>
        <v>#REF!</v>
      </c>
      <c r="D109" s="165"/>
      <c r="E109" s="165"/>
      <c r="F109" s="165"/>
      <c r="G109" s="165"/>
      <c r="H109" s="165"/>
      <c r="I109" s="165"/>
      <c r="J109" s="165"/>
      <c r="K109" s="165"/>
      <c r="L109" s="165"/>
      <c r="M109" s="165"/>
      <c r="N109" s="165"/>
      <c r="O109" s="165"/>
      <c r="P109" s="165"/>
      <c r="Q109" s="165"/>
      <c r="R109" s="165"/>
      <c r="S109" s="165"/>
      <c r="T109" s="165"/>
      <c r="U109" s="165"/>
      <c r="V109" s="165">
        <v>-56</v>
      </c>
      <c r="W109" s="165"/>
      <c r="X109" s="165"/>
      <c r="Y109" s="165"/>
      <c r="Z109" s="165"/>
      <c r="AA109" s="165"/>
      <c r="AB109" s="165"/>
      <c r="AC109" s="165"/>
      <c r="AD109" s="165"/>
      <c r="AE109" s="165"/>
      <c r="AF109" s="165"/>
      <c r="AG109" s="165"/>
      <c r="AH109" s="165"/>
      <c r="AI109" s="165"/>
      <c r="AJ109" s="166"/>
      <c r="AK109" s="166"/>
    </row>
    <row r="110" spans="1:37" ht="15" customHeight="1">
      <c r="A110" s="111"/>
      <c r="B110" s="112" t="s">
        <v>130</v>
      </c>
      <c r="C110" s="208" t="e">
        <f>#REF!+#REF!-D110</f>
        <v>#REF!</v>
      </c>
      <c r="D110" s="112">
        <f t="shared" ref="D110:D111" si="28">V110</f>
        <v>190</v>
      </c>
      <c r="E110" s="112"/>
      <c r="F110" s="112"/>
      <c r="G110" s="112"/>
      <c r="H110" s="112">
        <f t="shared" si="27"/>
        <v>190</v>
      </c>
      <c r="I110" s="112"/>
      <c r="J110" s="112"/>
      <c r="K110" s="112"/>
      <c r="L110" s="112"/>
      <c r="M110" s="112"/>
      <c r="N110" s="112"/>
      <c r="O110" s="112"/>
      <c r="P110" s="112"/>
      <c r="Q110" s="112"/>
      <c r="R110" s="112"/>
      <c r="S110" s="112"/>
      <c r="T110" s="112"/>
      <c r="U110" s="112"/>
      <c r="V110" s="112">
        <v>190</v>
      </c>
      <c r="W110" s="112"/>
      <c r="X110" s="112"/>
      <c r="Y110" s="112"/>
      <c r="Z110" s="112"/>
      <c r="AA110" s="112"/>
      <c r="AB110" s="112"/>
      <c r="AC110" s="112"/>
      <c r="AD110" s="112"/>
      <c r="AE110" s="112"/>
      <c r="AF110" s="112"/>
      <c r="AG110" s="112"/>
      <c r="AH110" s="112"/>
      <c r="AI110" s="112"/>
    </row>
    <row r="111" spans="1:37" ht="15" customHeight="1">
      <c r="A111" s="111"/>
      <c r="B111" s="112" t="s">
        <v>277</v>
      </c>
      <c r="C111" s="208" t="e">
        <f>#REF!+#REF!-D111</f>
        <v>#REF!</v>
      </c>
      <c r="D111" s="112">
        <f t="shared" si="28"/>
        <v>-239</v>
      </c>
      <c r="E111" s="112"/>
      <c r="F111" s="112"/>
      <c r="G111" s="112"/>
      <c r="H111" s="112">
        <f t="shared" si="27"/>
        <v>-239</v>
      </c>
      <c r="I111" s="112"/>
      <c r="J111" s="112"/>
      <c r="K111" s="112"/>
      <c r="L111" s="112"/>
      <c r="M111" s="112"/>
      <c r="N111" s="112"/>
      <c r="O111" s="112"/>
      <c r="P111" s="112"/>
      <c r="Q111" s="112"/>
      <c r="R111" s="112"/>
      <c r="S111" s="112"/>
      <c r="T111" s="112"/>
      <c r="U111" s="112"/>
      <c r="V111" s="112">
        <v>-239</v>
      </c>
      <c r="W111" s="112"/>
      <c r="X111" s="112"/>
      <c r="Y111" s="112"/>
      <c r="Z111" s="112"/>
      <c r="AA111" s="112"/>
      <c r="AB111" s="112"/>
      <c r="AC111" s="112"/>
      <c r="AD111" s="112"/>
      <c r="AE111" s="112"/>
      <c r="AF111" s="112"/>
      <c r="AG111" s="112"/>
      <c r="AH111" s="112">
        <v>535</v>
      </c>
      <c r="AI111" s="112"/>
    </row>
    <row r="112" spans="1:37" s="117" customFormat="1" ht="15" customHeight="1">
      <c r="A112" s="114">
        <v>21</v>
      </c>
      <c r="B112" s="115" t="s">
        <v>61</v>
      </c>
      <c r="C112" s="208" t="e">
        <f>#REF!+#REF!-D112</f>
        <v>#REF!</v>
      </c>
      <c r="D112" s="115">
        <f t="shared" ref="D112:D117" si="29">E112+H112</f>
        <v>3393</v>
      </c>
      <c r="E112" s="115"/>
      <c r="F112" s="115"/>
      <c r="G112" s="115"/>
      <c r="H112" s="115">
        <f t="shared" si="27"/>
        <v>3393</v>
      </c>
      <c r="I112" s="115"/>
      <c r="J112" s="115"/>
      <c r="K112" s="115"/>
      <c r="L112" s="115"/>
      <c r="M112" s="115">
        <f>SUM(M113:M116)</f>
        <v>2883</v>
      </c>
      <c r="N112" s="115">
        <f>N113</f>
        <v>300</v>
      </c>
      <c r="O112" s="115">
        <f>O113</f>
        <v>160</v>
      </c>
      <c r="P112" s="115"/>
      <c r="Q112" s="115"/>
      <c r="R112" s="115"/>
      <c r="S112" s="115"/>
      <c r="T112" s="115"/>
      <c r="U112" s="115">
        <f>U113</f>
        <v>50</v>
      </c>
      <c r="V112" s="115"/>
      <c r="W112" s="115"/>
      <c r="X112" s="115"/>
      <c r="Y112" s="115"/>
      <c r="Z112" s="115"/>
      <c r="AA112" s="115"/>
      <c r="AB112" s="115"/>
      <c r="AC112" s="115"/>
      <c r="AD112" s="115"/>
      <c r="AE112" s="115"/>
      <c r="AF112" s="115"/>
      <c r="AG112" s="115">
        <v>0</v>
      </c>
      <c r="AH112" s="115">
        <v>288</v>
      </c>
      <c r="AI112" s="115">
        <f>D112-AH112</f>
        <v>3105</v>
      </c>
      <c r="AJ112" s="116">
        <v>504</v>
      </c>
      <c r="AK112" s="116">
        <v>160</v>
      </c>
    </row>
    <row r="113" spans="1:37" s="117" customFormat="1" ht="15" customHeight="1">
      <c r="A113" s="114"/>
      <c r="B113" s="112" t="s">
        <v>211</v>
      </c>
      <c r="C113" s="208" t="e">
        <f>#REF!+#REF!-D113</f>
        <v>#REF!</v>
      </c>
      <c r="D113" s="112">
        <f t="shared" si="29"/>
        <v>3558</v>
      </c>
      <c r="E113" s="115"/>
      <c r="F113" s="115"/>
      <c r="G113" s="115"/>
      <c r="H113" s="112">
        <f t="shared" si="27"/>
        <v>3558</v>
      </c>
      <c r="I113" s="115"/>
      <c r="J113" s="115"/>
      <c r="K113" s="115"/>
      <c r="L113" s="115"/>
      <c r="M113" s="112">
        <v>3048</v>
      </c>
      <c r="N113" s="112">
        <v>300</v>
      </c>
      <c r="O113" s="112">
        <v>160</v>
      </c>
      <c r="P113" s="115"/>
      <c r="Q113" s="115"/>
      <c r="R113" s="115"/>
      <c r="S113" s="115"/>
      <c r="T113" s="115"/>
      <c r="U113" s="112">
        <v>50</v>
      </c>
      <c r="V113" s="115"/>
      <c r="W113" s="115"/>
      <c r="X113" s="115"/>
      <c r="Y113" s="115"/>
      <c r="Z113" s="115"/>
      <c r="AA113" s="115"/>
      <c r="AB113" s="115"/>
      <c r="AC113" s="115"/>
      <c r="AD113" s="115"/>
      <c r="AE113" s="115"/>
      <c r="AF113" s="115"/>
      <c r="AG113" s="115"/>
      <c r="AH113" s="115"/>
      <c r="AI113" s="115"/>
      <c r="AJ113" s="116"/>
      <c r="AK113" s="116"/>
    </row>
    <row r="114" spans="1:37" s="32" customFormat="1" ht="15" customHeight="1">
      <c r="A114" s="167"/>
      <c r="B114" s="165" t="s">
        <v>143</v>
      </c>
      <c r="C114" s="208" t="e">
        <f>#REF!+#REF!-D114</f>
        <v>#REF!</v>
      </c>
      <c r="D114" s="165">
        <f t="shared" si="29"/>
        <v>-60</v>
      </c>
      <c r="E114" s="168"/>
      <c r="F114" s="168"/>
      <c r="G114" s="168"/>
      <c r="H114" s="165">
        <f t="shared" si="27"/>
        <v>-60</v>
      </c>
      <c r="I114" s="168"/>
      <c r="J114" s="168"/>
      <c r="K114" s="168"/>
      <c r="L114" s="168"/>
      <c r="M114" s="165">
        <v>-60</v>
      </c>
      <c r="N114" s="168"/>
      <c r="O114" s="165"/>
      <c r="P114" s="168"/>
      <c r="Q114" s="168"/>
      <c r="R114" s="168"/>
      <c r="S114" s="168"/>
      <c r="T114" s="168"/>
      <c r="U114" s="168"/>
      <c r="V114" s="168"/>
      <c r="W114" s="168"/>
      <c r="X114" s="168"/>
      <c r="Y114" s="168"/>
      <c r="Z114" s="168"/>
      <c r="AA114" s="168"/>
      <c r="AB114" s="168"/>
      <c r="AC114" s="168"/>
      <c r="AD114" s="168"/>
      <c r="AE114" s="168"/>
      <c r="AF114" s="168"/>
      <c r="AG114" s="168"/>
      <c r="AH114" s="168"/>
      <c r="AI114" s="168"/>
      <c r="AJ114" s="169"/>
      <c r="AK114" s="169"/>
    </row>
    <row r="115" spans="1:37" s="32" customFormat="1" ht="15" customHeight="1">
      <c r="A115" s="167"/>
      <c r="B115" s="165" t="s">
        <v>155</v>
      </c>
      <c r="C115" s="208"/>
      <c r="D115" s="165">
        <f t="shared" si="29"/>
        <v>0</v>
      </c>
      <c r="E115" s="168"/>
      <c r="F115" s="168"/>
      <c r="G115" s="168"/>
      <c r="H115" s="165"/>
      <c r="I115" s="168"/>
      <c r="J115" s="168"/>
      <c r="K115" s="168"/>
      <c r="L115" s="168"/>
      <c r="M115" s="165">
        <v>55</v>
      </c>
      <c r="N115" s="168"/>
      <c r="O115" s="165"/>
      <c r="P115" s="168"/>
      <c r="Q115" s="168"/>
      <c r="R115" s="168"/>
      <c r="S115" s="168"/>
      <c r="T115" s="168"/>
      <c r="U115" s="168"/>
      <c r="V115" s="168"/>
      <c r="W115" s="168"/>
      <c r="X115" s="168"/>
      <c r="Y115" s="168"/>
      <c r="Z115" s="168"/>
      <c r="AA115" s="168"/>
      <c r="AB115" s="168"/>
      <c r="AC115" s="168"/>
      <c r="AD115" s="168"/>
      <c r="AE115" s="168"/>
      <c r="AF115" s="168"/>
      <c r="AG115" s="168"/>
      <c r="AH115" s="168"/>
      <c r="AI115" s="168"/>
      <c r="AJ115" s="169"/>
      <c r="AK115" s="169"/>
    </row>
    <row r="116" spans="1:37" ht="15" customHeight="1">
      <c r="A116" s="111"/>
      <c r="B116" s="112" t="s">
        <v>277</v>
      </c>
      <c r="C116" s="208" t="e">
        <f>#REF!+#REF!-D116</f>
        <v>#REF!</v>
      </c>
      <c r="D116" s="112">
        <f t="shared" si="29"/>
        <v>-160</v>
      </c>
      <c r="E116" s="112"/>
      <c r="F116" s="112"/>
      <c r="G116" s="112"/>
      <c r="H116" s="112">
        <f>M116</f>
        <v>-160</v>
      </c>
      <c r="I116" s="112"/>
      <c r="J116" s="112"/>
      <c r="K116" s="112"/>
      <c r="L116" s="112"/>
      <c r="M116" s="112">
        <v>-160</v>
      </c>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row>
    <row r="117" spans="1:37" s="117" customFormat="1" ht="15" customHeight="1">
      <c r="A117" s="114">
        <v>22</v>
      </c>
      <c r="B117" s="115" t="s">
        <v>62</v>
      </c>
      <c r="C117" s="208" t="e">
        <f>#REF!+#REF!-D117</f>
        <v>#REF!</v>
      </c>
      <c r="D117" s="115">
        <f t="shared" si="29"/>
        <v>2318</v>
      </c>
      <c r="E117" s="115"/>
      <c r="F117" s="115"/>
      <c r="G117" s="115"/>
      <c r="H117" s="115">
        <f>SUM(I117:AG117)</f>
        <v>2318</v>
      </c>
      <c r="I117" s="115"/>
      <c r="J117" s="115"/>
      <c r="K117" s="115"/>
      <c r="L117" s="115"/>
      <c r="M117" s="115"/>
      <c r="N117" s="115"/>
      <c r="O117" s="115"/>
      <c r="P117" s="115"/>
      <c r="Q117" s="115"/>
      <c r="R117" s="115"/>
      <c r="S117" s="115"/>
      <c r="T117" s="115"/>
      <c r="U117" s="115">
        <v>1170</v>
      </c>
      <c r="V117" s="115">
        <f>1179-53-13+15</f>
        <v>1128</v>
      </c>
      <c r="W117" s="115"/>
      <c r="X117" s="115"/>
      <c r="Y117" s="115"/>
      <c r="Z117" s="115"/>
      <c r="AA117" s="115"/>
      <c r="AB117" s="115"/>
      <c r="AC117" s="115"/>
      <c r="AD117" s="115"/>
      <c r="AE117" s="115"/>
      <c r="AF117" s="115"/>
      <c r="AG117" s="115">
        <v>20</v>
      </c>
      <c r="AH117" s="115">
        <v>110</v>
      </c>
      <c r="AI117" s="115">
        <f>D117-AH117</f>
        <v>2208</v>
      </c>
      <c r="AJ117" s="116">
        <v>194</v>
      </c>
      <c r="AK117" s="116">
        <v>53</v>
      </c>
    </row>
    <row r="118" spans="1:37" s="117" customFormat="1" ht="15" customHeight="1">
      <c r="A118" s="114">
        <v>23</v>
      </c>
      <c r="B118" s="115" t="s">
        <v>63</v>
      </c>
      <c r="C118" s="208" t="e">
        <f>#REF!+#REF!-D118</f>
        <v>#REF!</v>
      </c>
      <c r="D118" s="115">
        <f>SUM(D119:D129)</f>
        <v>43965</v>
      </c>
      <c r="E118" s="115"/>
      <c r="F118" s="115">
        <f t="shared" ref="F118:G118" si="30">SUM(F119:F128)</f>
        <v>0</v>
      </c>
      <c r="G118" s="115">
        <f t="shared" si="30"/>
        <v>0</v>
      </c>
      <c r="H118" s="115">
        <f t="shared" ref="H118:AE118" si="31">SUM(H119:H129)</f>
        <v>43965</v>
      </c>
      <c r="I118" s="115">
        <f t="shared" si="31"/>
        <v>115</v>
      </c>
      <c r="J118" s="115">
        <f t="shared" si="31"/>
        <v>0</v>
      </c>
      <c r="K118" s="115">
        <f t="shared" si="31"/>
        <v>0</v>
      </c>
      <c r="L118" s="115">
        <f t="shared" si="31"/>
        <v>1310</v>
      </c>
      <c r="M118" s="115">
        <f t="shared" si="31"/>
        <v>599</v>
      </c>
      <c r="N118" s="115">
        <f t="shared" si="31"/>
        <v>81</v>
      </c>
      <c r="O118" s="115">
        <f t="shared" si="31"/>
        <v>1247</v>
      </c>
      <c r="P118" s="115">
        <f t="shared" si="31"/>
        <v>1356</v>
      </c>
      <c r="Q118" s="115">
        <f t="shared" si="31"/>
        <v>3059</v>
      </c>
      <c r="R118" s="115">
        <f t="shared" si="31"/>
        <v>0</v>
      </c>
      <c r="S118" s="115">
        <f t="shared" si="31"/>
        <v>0</v>
      </c>
      <c r="T118" s="115">
        <f t="shared" si="31"/>
        <v>2693</v>
      </c>
      <c r="U118" s="115">
        <f t="shared" si="31"/>
        <v>240</v>
      </c>
      <c r="V118" s="115">
        <f t="shared" si="31"/>
        <v>32419</v>
      </c>
      <c r="W118" s="115">
        <f t="shared" si="31"/>
        <v>0</v>
      </c>
      <c r="X118" s="115">
        <f t="shared" si="31"/>
        <v>0</v>
      </c>
      <c r="Y118" s="115">
        <f t="shared" si="31"/>
        <v>683</v>
      </c>
      <c r="Z118" s="115">
        <f t="shared" si="31"/>
        <v>0</v>
      </c>
      <c r="AA118" s="115"/>
      <c r="AB118" s="115"/>
      <c r="AC118" s="115"/>
      <c r="AD118" s="115"/>
      <c r="AE118" s="115">
        <f t="shared" si="31"/>
        <v>0</v>
      </c>
      <c r="AF118" s="115"/>
      <c r="AG118" s="115">
        <f>SUM(AG119:AG129)</f>
        <v>163</v>
      </c>
      <c r="AH118" s="115">
        <f>SUM(AH119:AH129)</f>
        <v>3236</v>
      </c>
      <c r="AI118" s="115">
        <f>SUM(AI119:AI129)</f>
        <v>40729</v>
      </c>
      <c r="AJ118" s="121">
        <f>SUM(AJ119:AJ129)</f>
        <v>5723</v>
      </c>
      <c r="AK118" s="121">
        <f>SUM(AK119:AK129)</f>
        <v>1334</v>
      </c>
    </row>
    <row r="119" spans="1:37" s="73" customFormat="1" ht="15" customHeight="1">
      <c r="A119" s="164"/>
      <c r="B119" s="165" t="s">
        <v>64</v>
      </c>
      <c r="C119" s="208" t="e">
        <f>#REF!+#REF!-D119</f>
        <v>#REF!</v>
      </c>
      <c r="D119" s="165">
        <f t="shared" ref="D119:D129" si="32">E119+H119</f>
        <v>5626</v>
      </c>
      <c r="E119" s="165"/>
      <c r="F119" s="165"/>
      <c r="G119" s="165"/>
      <c r="H119" s="165">
        <f t="shared" ref="H119:H129" si="33">SUM(I119:AG119)</f>
        <v>5626</v>
      </c>
      <c r="I119" s="165"/>
      <c r="J119" s="165"/>
      <c r="K119" s="165"/>
      <c r="L119" s="165"/>
      <c r="M119" s="165"/>
      <c r="N119" s="165"/>
      <c r="O119" s="165">
        <v>347</v>
      </c>
      <c r="P119" s="165"/>
      <c r="Q119" s="165"/>
      <c r="R119" s="165"/>
      <c r="S119" s="165"/>
      <c r="T119" s="165"/>
      <c r="U119" s="165">
        <v>30</v>
      </c>
      <c r="V119" s="165">
        <f>5429-186-109+65</f>
        <v>5199</v>
      </c>
      <c r="W119" s="165"/>
      <c r="X119" s="165"/>
      <c r="Y119" s="165"/>
      <c r="Z119" s="165"/>
      <c r="AA119" s="165"/>
      <c r="AB119" s="165"/>
      <c r="AC119" s="165"/>
      <c r="AD119" s="165"/>
      <c r="AE119" s="165"/>
      <c r="AF119" s="165"/>
      <c r="AG119" s="165">
        <v>50</v>
      </c>
      <c r="AH119" s="165">
        <v>477</v>
      </c>
      <c r="AI119" s="165">
        <f t="shared" ref="AI119:AI130" si="34">D119-AH119</f>
        <v>5149</v>
      </c>
      <c r="AJ119" s="166">
        <v>896</v>
      </c>
      <c r="AK119" s="166">
        <v>186</v>
      </c>
    </row>
    <row r="120" spans="1:37" s="73" customFormat="1" ht="15" customHeight="1">
      <c r="A120" s="164"/>
      <c r="B120" s="165" t="s">
        <v>65</v>
      </c>
      <c r="C120" s="208" t="e">
        <f>#REF!+#REF!-D120</f>
        <v>#REF!</v>
      </c>
      <c r="D120" s="165">
        <f t="shared" si="32"/>
        <v>8889</v>
      </c>
      <c r="E120" s="165"/>
      <c r="F120" s="165"/>
      <c r="G120" s="165"/>
      <c r="H120" s="165">
        <f t="shared" si="33"/>
        <v>8889</v>
      </c>
      <c r="I120" s="165"/>
      <c r="J120" s="165"/>
      <c r="K120" s="165"/>
      <c r="L120" s="165"/>
      <c r="M120" s="165"/>
      <c r="N120" s="165"/>
      <c r="O120" s="165">
        <v>525</v>
      </c>
      <c r="P120" s="165"/>
      <c r="Q120" s="165">
        <f>1867-51-63</f>
        <v>1753</v>
      </c>
      <c r="R120" s="165"/>
      <c r="S120" s="165"/>
      <c r="T120" s="165">
        <f>2000-200</f>
        <v>1800</v>
      </c>
      <c r="U120" s="165">
        <v>40</v>
      </c>
      <c r="V120" s="165">
        <f>4898-136-59+30</f>
        <v>4733</v>
      </c>
      <c r="W120" s="165"/>
      <c r="X120" s="165"/>
      <c r="Y120" s="165"/>
      <c r="Z120" s="165"/>
      <c r="AA120" s="165"/>
      <c r="AB120" s="165"/>
      <c r="AC120" s="165"/>
      <c r="AD120" s="165"/>
      <c r="AE120" s="165"/>
      <c r="AF120" s="165"/>
      <c r="AG120" s="165">
        <v>38</v>
      </c>
      <c r="AH120" s="165">
        <v>417</v>
      </c>
      <c r="AI120" s="165">
        <f t="shared" si="34"/>
        <v>8472</v>
      </c>
      <c r="AJ120" s="166">
        <v>906</v>
      </c>
      <c r="AK120" s="166">
        <v>187</v>
      </c>
    </row>
    <row r="121" spans="1:37" s="73" customFormat="1" ht="15" customHeight="1">
      <c r="A121" s="164"/>
      <c r="B121" s="165" t="s">
        <v>66</v>
      </c>
      <c r="C121" s="208" t="e">
        <f>#REF!+#REF!-D121</f>
        <v>#REF!</v>
      </c>
      <c r="D121" s="165">
        <f t="shared" si="32"/>
        <v>8491</v>
      </c>
      <c r="E121" s="165"/>
      <c r="F121" s="165"/>
      <c r="G121" s="165"/>
      <c r="H121" s="165">
        <f t="shared" si="33"/>
        <v>8491</v>
      </c>
      <c r="I121" s="165"/>
      <c r="J121" s="165"/>
      <c r="K121" s="165"/>
      <c r="L121" s="165">
        <v>450</v>
      </c>
      <c r="M121" s="165"/>
      <c r="N121" s="165"/>
      <c r="O121" s="165">
        <v>150</v>
      </c>
      <c r="P121" s="165"/>
      <c r="Q121" s="165">
        <f>400-24</f>
        <v>376</v>
      </c>
      <c r="R121" s="165"/>
      <c r="S121" s="165"/>
      <c r="T121" s="165">
        <f>950-57</f>
        <v>893</v>
      </c>
      <c r="U121" s="165">
        <v>25</v>
      </c>
      <c r="V121" s="165">
        <f>6774-227-112+140</f>
        <v>6575</v>
      </c>
      <c r="W121" s="165"/>
      <c r="X121" s="165"/>
      <c r="Y121" s="165"/>
      <c r="Z121" s="165"/>
      <c r="AA121" s="165"/>
      <c r="AB121" s="165"/>
      <c r="AC121" s="165"/>
      <c r="AD121" s="165"/>
      <c r="AE121" s="165"/>
      <c r="AF121" s="165"/>
      <c r="AG121" s="165">
        <v>22</v>
      </c>
      <c r="AH121" s="165">
        <v>574</v>
      </c>
      <c r="AI121" s="165">
        <f t="shared" si="34"/>
        <v>7917</v>
      </c>
      <c r="AJ121" s="166">
        <v>1015</v>
      </c>
      <c r="AK121" s="166">
        <v>227</v>
      </c>
    </row>
    <row r="122" spans="1:37" s="73" customFormat="1" ht="15" customHeight="1">
      <c r="A122" s="164"/>
      <c r="B122" s="165" t="s">
        <v>67</v>
      </c>
      <c r="C122" s="208" t="e">
        <f>#REF!+#REF!-D122</f>
        <v>#REF!</v>
      </c>
      <c r="D122" s="165">
        <f t="shared" si="32"/>
        <v>5807</v>
      </c>
      <c r="E122" s="165"/>
      <c r="F122" s="165"/>
      <c r="G122" s="165"/>
      <c r="H122" s="165">
        <f t="shared" si="33"/>
        <v>5807</v>
      </c>
      <c r="I122" s="165">
        <f>120-5</f>
        <v>115</v>
      </c>
      <c r="J122" s="165"/>
      <c r="K122" s="165"/>
      <c r="L122" s="165">
        <v>500</v>
      </c>
      <c r="M122" s="165"/>
      <c r="N122" s="165">
        <f>90-9</f>
        <v>81</v>
      </c>
      <c r="O122" s="165">
        <v>90</v>
      </c>
      <c r="P122" s="165"/>
      <c r="Q122" s="165"/>
      <c r="R122" s="165"/>
      <c r="S122" s="165"/>
      <c r="T122" s="165"/>
      <c r="U122" s="165">
        <v>80</v>
      </c>
      <c r="V122" s="165">
        <f>5107-198-72+65</f>
        <v>4902</v>
      </c>
      <c r="W122" s="165"/>
      <c r="X122" s="165"/>
      <c r="Y122" s="165"/>
      <c r="Z122" s="165"/>
      <c r="AA122" s="165"/>
      <c r="AB122" s="165"/>
      <c r="AC122" s="165"/>
      <c r="AD122" s="165"/>
      <c r="AE122" s="165"/>
      <c r="AF122" s="165"/>
      <c r="AG122" s="165">
        <v>39</v>
      </c>
      <c r="AH122" s="165">
        <v>494</v>
      </c>
      <c r="AI122" s="165">
        <f t="shared" si="34"/>
        <v>5313</v>
      </c>
      <c r="AJ122" s="166">
        <v>869</v>
      </c>
      <c r="AK122" s="166">
        <v>198</v>
      </c>
    </row>
    <row r="123" spans="1:37" s="73" customFormat="1" ht="15" customHeight="1">
      <c r="A123" s="164"/>
      <c r="B123" s="165" t="s">
        <v>68</v>
      </c>
      <c r="C123" s="208" t="e">
        <f>#REF!+#REF!-D123</f>
        <v>#REF!</v>
      </c>
      <c r="D123" s="165">
        <f t="shared" si="32"/>
        <v>991</v>
      </c>
      <c r="E123" s="165"/>
      <c r="F123" s="165"/>
      <c r="G123" s="165"/>
      <c r="H123" s="165">
        <f t="shared" si="33"/>
        <v>991</v>
      </c>
      <c r="I123" s="165"/>
      <c r="J123" s="165"/>
      <c r="K123" s="165"/>
      <c r="L123" s="165"/>
      <c r="M123" s="165"/>
      <c r="N123" s="165"/>
      <c r="O123" s="165"/>
      <c r="P123" s="165"/>
      <c r="Q123" s="165">
        <v>130</v>
      </c>
      <c r="R123" s="165"/>
      <c r="S123" s="165"/>
      <c r="T123" s="165"/>
      <c r="U123" s="165"/>
      <c r="V123" s="165">
        <f>700-28-11</f>
        <v>661</v>
      </c>
      <c r="W123" s="165"/>
      <c r="X123" s="165"/>
      <c r="Y123" s="165">
        <v>200</v>
      </c>
      <c r="Z123" s="165"/>
      <c r="AA123" s="165"/>
      <c r="AB123" s="165"/>
      <c r="AC123" s="165"/>
      <c r="AD123" s="165"/>
      <c r="AE123" s="165"/>
      <c r="AF123" s="165"/>
      <c r="AG123" s="165"/>
      <c r="AH123" s="165">
        <v>73</v>
      </c>
      <c r="AI123" s="165">
        <f t="shared" si="34"/>
        <v>918</v>
      </c>
      <c r="AJ123" s="166">
        <v>129</v>
      </c>
      <c r="AK123" s="166">
        <v>28</v>
      </c>
    </row>
    <row r="124" spans="1:37" s="73" customFormat="1" ht="15" customHeight="1">
      <c r="A124" s="164"/>
      <c r="B124" s="165" t="s">
        <v>69</v>
      </c>
      <c r="C124" s="208" t="e">
        <f>#REF!+#REF!-D124</f>
        <v>#REF!</v>
      </c>
      <c r="D124" s="165">
        <f t="shared" si="32"/>
        <v>2962</v>
      </c>
      <c r="E124" s="165"/>
      <c r="F124" s="165"/>
      <c r="G124" s="165"/>
      <c r="H124" s="165">
        <f t="shared" si="33"/>
        <v>2962</v>
      </c>
      <c r="I124" s="165"/>
      <c r="J124" s="165"/>
      <c r="K124" s="165"/>
      <c r="L124" s="165"/>
      <c r="M124" s="165"/>
      <c r="N124" s="165"/>
      <c r="O124" s="165">
        <v>100</v>
      </c>
      <c r="P124" s="165"/>
      <c r="Q124" s="165"/>
      <c r="R124" s="165"/>
      <c r="S124" s="165"/>
      <c r="T124" s="165"/>
      <c r="U124" s="165"/>
      <c r="V124" s="165">
        <f>3012-116-48</f>
        <v>2848</v>
      </c>
      <c r="W124" s="165"/>
      <c r="X124" s="165"/>
      <c r="Y124" s="165"/>
      <c r="Z124" s="165"/>
      <c r="AA124" s="165"/>
      <c r="AB124" s="165"/>
      <c r="AC124" s="165"/>
      <c r="AD124" s="165"/>
      <c r="AE124" s="165"/>
      <c r="AF124" s="165"/>
      <c r="AG124" s="165">
        <v>14</v>
      </c>
      <c r="AH124" s="165">
        <v>310</v>
      </c>
      <c r="AI124" s="165">
        <f t="shared" si="34"/>
        <v>2652</v>
      </c>
      <c r="AJ124" s="166">
        <v>508</v>
      </c>
      <c r="AK124" s="166">
        <v>116</v>
      </c>
    </row>
    <row r="125" spans="1:37" s="73" customFormat="1" ht="14.25" customHeight="1">
      <c r="A125" s="164"/>
      <c r="B125" s="165" t="s">
        <v>70</v>
      </c>
      <c r="C125" s="208" t="e">
        <f>#REF!+#REF!-D125</f>
        <v>#REF!</v>
      </c>
      <c r="D125" s="165">
        <f t="shared" si="32"/>
        <v>2598</v>
      </c>
      <c r="E125" s="165"/>
      <c r="F125" s="165"/>
      <c r="G125" s="165"/>
      <c r="H125" s="165">
        <f t="shared" si="33"/>
        <v>2598</v>
      </c>
      <c r="I125" s="165"/>
      <c r="J125" s="165"/>
      <c r="K125" s="165"/>
      <c r="L125" s="165"/>
      <c r="M125" s="165"/>
      <c r="N125" s="165"/>
      <c r="O125" s="165"/>
      <c r="P125" s="165"/>
      <c r="Q125" s="165">
        <f>820-20</f>
        <v>800</v>
      </c>
      <c r="R125" s="165"/>
      <c r="S125" s="165"/>
      <c r="T125" s="165"/>
      <c r="U125" s="165">
        <v>25</v>
      </c>
      <c r="V125" s="165">
        <f>1365-61-24+10</f>
        <v>1290</v>
      </c>
      <c r="W125" s="165"/>
      <c r="X125" s="165"/>
      <c r="Y125" s="165">
        <v>483</v>
      </c>
      <c r="Z125" s="165"/>
      <c r="AA125" s="165"/>
      <c r="AB125" s="165"/>
      <c r="AC125" s="165"/>
      <c r="AD125" s="165"/>
      <c r="AE125" s="165"/>
      <c r="AF125" s="165"/>
      <c r="AG125" s="165"/>
      <c r="AH125" s="165">
        <v>183</v>
      </c>
      <c r="AI125" s="165">
        <f t="shared" si="34"/>
        <v>2415</v>
      </c>
      <c r="AJ125" s="166">
        <v>242</v>
      </c>
      <c r="AK125" s="166">
        <v>61</v>
      </c>
    </row>
    <row r="126" spans="1:37" s="73" customFormat="1" ht="15" customHeight="1">
      <c r="A126" s="164"/>
      <c r="B126" s="165" t="s">
        <v>71</v>
      </c>
      <c r="C126" s="208" t="e">
        <f>#REF!+#REF!-D126</f>
        <v>#REF!</v>
      </c>
      <c r="D126" s="165">
        <f t="shared" si="32"/>
        <v>3485</v>
      </c>
      <c r="E126" s="165"/>
      <c r="F126" s="165"/>
      <c r="G126" s="165"/>
      <c r="H126" s="165">
        <f t="shared" si="33"/>
        <v>3485</v>
      </c>
      <c r="I126" s="165"/>
      <c r="J126" s="165"/>
      <c r="K126" s="165"/>
      <c r="L126" s="165">
        <v>360</v>
      </c>
      <c r="M126" s="165"/>
      <c r="N126" s="165"/>
      <c r="O126" s="165">
        <v>25</v>
      </c>
      <c r="P126" s="165">
        <v>100</v>
      </c>
      <c r="Q126" s="165"/>
      <c r="R126" s="165"/>
      <c r="S126" s="165"/>
      <c r="T126" s="165"/>
      <c r="U126" s="165">
        <v>40</v>
      </c>
      <c r="V126" s="165">
        <f>2863-118-55+270</f>
        <v>2960</v>
      </c>
      <c r="W126" s="165"/>
      <c r="X126" s="165"/>
      <c r="Y126" s="165"/>
      <c r="Z126" s="165"/>
      <c r="AA126" s="165"/>
      <c r="AB126" s="165"/>
      <c r="AC126" s="165"/>
      <c r="AD126" s="165"/>
      <c r="AE126" s="165"/>
      <c r="AF126" s="165"/>
      <c r="AG126" s="165"/>
      <c r="AH126" s="165">
        <v>263</v>
      </c>
      <c r="AI126" s="165">
        <f t="shared" si="34"/>
        <v>3222</v>
      </c>
      <c r="AJ126" s="166">
        <v>439</v>
      </c>
      <c r="AK126" s="166">
        <v>118</v>
      </c>
    </row>
    <row r="127" spans="1:37" s="73" customFormat="1" ht="15" customHeight="1">
      <c r="A127" s="164"/>
      <c r="B127" s="165" t="s">
        <v>72</v>
      </c>
      <c r="C127" s="208" t="e">
        <f>#REF!+#REF!-D127</f>
        <v>#REF!</v>
      </c>
      <c r="D127" s="165">
        <f t="shared" si="32"/>
        <v>1256</v>
      </c>
      <c r="E127" s="165"/>
      <c r="F127" s="165"/>
      <c r="G127" s="165"/>
      <c r="H127" s="165">
        <f t="shared" si="33"/>
        <v>1256</v>
      </c>
      <c r="I127" s="165"/>
      <c r="J127" s="165"/>
      <c r="K127" s="165"/>
      <c r="L127" s="165"/>
      <c r="M127" s="165"/>
      <c r="N127" s="165"/>
      <c r="O127" s="165"/>
      <c r="P127" s="165">
        <f>1340-68-16</f>
        <v>1256</v>
      </c>
      <c r="Q127" s="165"/>
      <c r="R127" s="165"/>
      <c r="S127" s="165"/>
      <c r="T127" s="165"/>
      <c r="U127" s="165"/>
      <c r="V127" s="165"/>
      <c r="W127" s="165"/>
      <c r="X127" s="165"/>
      <c r="Y127" s="165"/>
      <c r="Z127" s="165"/>
      <c r="AA127" s="165"/>
      <c r="AB127" s="165"/>
      <c r="AC127" s="165"/>
      <c r="AD127" s="165"/>
      <c r="AE127" s="165"/>
      <c r="AF127" s="165"/>
      <c r="AG127" s="165"/>
      <c r="AH127" s="165">
        <v>155</v>
      </c>
      <c r="AI127" s="165">
        <f t="shared" si="34"/>
        <v>1101</v>
      </c>
      <c r="AJ127" s="166">
        <v>227</v>
      </c>
      <c r="AK127" s="166">
        <v>68</v>
      </c>
    </row>
    <row r="128" spans="1:37" s="73" customFormat="1" ht="14.25" customHeight="1">
      <c r="A128" s="164"/>
      <c r="B128" s="165" t="s">
        <v>73</v>
      </c>
      <c r="C128" s="208" t="e">
        <f>#REF!+#REF!-D128</f>
        <v>#REF!</v>
      </c>
      <c r="D128" s="165">
        <f t="shared" si="32"/>
        <v>2630</v>
      </c>
      <c r="E128" s="165"/>
      <c r="F128" s="165"/>
      <c r="G128" s="165"/>
      <c r="H128" s="165">
        <f t="shared" si="33"/>
        <v>2630</v>
      </c>
      <c r="I128" s="165"/>
      <c r="J128" s="165"/>
      <c r="K128" s="165"/>
      <c r="L128" s="165"/>
      <c r="M128" s="165">
        <f>665-66</f>
        <v>599</v>
      </c>
      <c r="N128" s="165"/>
      <c r="O128" s="165">
        <v>10</v>
      </c>
      <c r="P128" s="165"/>
      <c r="Q128" s="165"/>
      <c r="R128" s="165"/>
      <c r="S128" s="165"/>
      <c r="T128" s="165"/>
      <c r="U128" s="165"/>
      <c r="V128" s="165">
        <f>2161-100-40</f>
        <v>2021</v>
      </c>
      <c r="W128" s="165"/>
      <c r="X128" s="165"/>
      <c r="Y128" s="165"/>
      <c r="Z128" s="165"/>
      <c r="AA128" s="165"/>
      <c r="AB128" s="165"/>
      <c r="AC128" s="165"/>
      <c r="AD128" s="165"/>
      <c r="AE128" s="165"/>
      <c r="AF128" s="165"/>
      <c r="AG128" s="165"/>
      <c r="AH128" s="165">
        <v>221</v>
      </c>
      <c r="AI128" s="165">
        <f t="shared" si="34"/>
        <v>2409</v>
      </c>
      <c r="AJ128" s="166">
        <v>377</v>
      </c>
      <c r="AK128" s="166">
        <v>100</v>
      </c>
    </row>
    <row r="129" spans="1:37" s="73" customFormat="1" ht="15" customHeight="1">
      <c r="A129" s="171"/>
      <c r="B129" s="165" t="s">
        <v>113</v>
      </c>
      <c r="C129" s="208" t="e">
        <f>#REF!+#REF!-D129</f>
        <v>#REF!</v>
      </c>
      <c r="D129" s="165">
        <f t="shared" si="32"/>
        <v>1230</v>
      </c>
      <c r="E129" s="165"/>
      <c r="F129" s="165"/>
      <c r="G129" s="165"/>
      <c r="H129" s="165">
        <f t="shared" si="33"/>
        <v>1230</v>
      </c>
      <c r="I129" s="165"/>
      <c r="J129" s="165"/>
      <c r="K129" s="165"/>
      <c r="L129" s="165"/>
      <c r="M129" s="165"/>
      <c r="N129" s="165"/>
      <c r="O129" s="165"/>
      <c r="P129" s="165"/>
      <c r="Q129" s="165"/>
      <c r="R129" s="165"/>
      <c r="S129" s="165"/>
      <c r="T129" s="165"/>
      <c r="U129" s="165"/>
      <c r="V129" s="165">
        <f>1288-45-13</f>
        <v>1230</v>
      </c>
      <c r="W129" s="165"/>
      <c r="X129" s="165"/>
      <c r="Y129" s="165"/>
      <c r="Z129" s="165"/>
      <c r="AA129" s="165"/>
      <c r="AB129" s="165"/>
      <c r="AC129" s="165"/>
      <c r="AD129" s="165"/>
      <c r="AE129" s="165"/>
      <c r="AF129" s="165"/>
      <c r="AG129" s="165"/>
      <c r="AH129" s="165">
        <v>69</v>
      </c>
      <c r="AI129" s="165">
        <f t="shared" si="34"/>
        <v>1161</v>
      </c>
      <c r="AJ129" s="166">
        <v>115</v>
      </c>
      <c r="AK129" s="166">
        <v>45</v>
      </c>
    </row>
    <row r="130" spans="1:37" s="117" customFormat="1" ht="18" customHeight="1">
      <c r="A130" s="114">
        <v>24</v>
      </c>
      <c r="B130" s="115" t="s">
        <v>74</v>
      </c>
      <c r="C130" s="208" t="e">
        <f>#REF!+#REF!-D130</f>
        <v>#REF!</v>
      </c>
      <c r="D130" s="115">
        <f>SUM(D131:D134)</f>
        <v>82293</v>
      </c>
      <c r="E130" s="115"/>
      <c r="F130" s="115">
        <f t="shared" ref="F130:Y130" si="35">SUM(F131:F134)</f>
        <v>0</v>
      </c>
      <c r="G130" s="115">
        <f t="shared" si="35"/>
        <v>0</v>
      </c>
      <c r="H130" s="115">
        <f>H131+H133+H134</f>
        <v>82293</v>
      </c>
      <c r="I130" s="115">
        <f t="shared" si="35"/>
        <v>0</v>
      </c>
      <c r="J130" s="115">
        <f t="shared" si="35"/>
        <v>0</v>
      </c>
      <c r="K130" s="115">
        <f t="shared" si="35"/>
        <v>0</v>
      </c>
      <c r="L130" s="115">
        <f t="shared" si="35"/>
        <v>2870</v>
      </c>
      <c r="M130" s="115">
        <f t="shared" si="35"/>
        <v>0</v>
      </c>
      <c r="N130" s="115">
        <f t="shared" si="35"/>
        <v>0</v>
      </c>
      <c r="O130" s="115">
        <f>O131+O133+O134</f>
        <v>79383</v>
      </c>
      <c r="P130" s="115">
        <f t="shared" si="35"/>
        <v>0</v>
      </c>
      <c r="Q130" s="115">
        <f t="shared" si="35"/>
        <v>0</v>
      </c>
      <c r="R130" s="115">
        <f t="shared" si="35"/>
        <v>0</v>
      </c>
      <c r="S130" s="115">
        <f t="shared" si="35"/>
        <v>0</v>
      </c>
      <c r="T130" s="115">
        <f t="shared" si="35"/>
        <v>0</v>
      </c>
      <c r="U130" s="115">
        <f t="shared" si="35"/>
        <v>40</v>
      </c>
      <c r="V130" s="115">
        <f t="shared" si="35"/>
        <v>0</v>
      </c>
      <c r="W130" s="115">
        <f t="shared" si="35"/>
        <v>0</v>
      </c>
      <c r="X130" s="115">
        <f t="shared" si="35"/>
        <v>0</v>
      </c>
      <c r="Y130" s="115">
        <f t="shared" si="35"/>
        <v>0</v>
      </c>
      <c r="Z130" s="115"/>
      <c r="AA130" s="115"/>
      <c r="AB130" s="115"/>
      <c r="AC130" s="115"/>
      <c r="AD130" s="115"/>
      <c r="AE130" s="115">
        <f>SUM(AE131:AE134)</f>
        <v>0</v>
      </c>
      <c r="AF130" s="115"/>
      <c r="AG130" s="115">
        <f>SUM(AG131:AG134)</f>
        <v>0</v>
      </c>
      <c r="AH130" s="115">
        <f>SUM(AH131:AH134)</f>
        <v>1197</v>
      </c>
      <c r="AI130" s="115">
        <f t="shared" si="34"/>
        <v>81096</v>
      </c>
      <c r="AJ130" s="116">
        <f>SUM(AJ131:AJ133)</f>
        <v>8541</v>
      </c>
      <c r="AK130" s="116">
        <f>SUM(AK131:AK133)</f>
        <v>1852</v>
      </c>
    </row>
    <row r="131" spans="1:37" ht="15" customHeight="1">
      <c r="A131" s="111"/>
      <c r="B131" s="112" t="s">
        <v>75</v>
      </c>
      <c r="C131" s="208" t="e">
        <f>#REF!+#REF!-D131</f>
        <v>#REF!</v>
      </c>
      <c r="D131" s="112">
        <f>E131+H131</f>
        <v>16786</v>
      </c>
      <c r="E131" s="112"/>
      <c r="F131" s="112"/>
      <c r="G131" s="112"/>
      <c r="H131" s="112">
        <f>SUM(I131:AG131)</f>
        <v>16786</v>
      </c>
      <c r="I131" s="112"/>
      <c r="J131" s="112"/>
      <c r="K131" s="112"/>
      <c r="L131" s="112">
        <v>1900</v>
      </c>
      <c r="M131" s="112"/>
      <c r="N131" s="112"/>
      <c r="O131" s="112">
        <f>15355-509</f>
        <v>14846</v>
      </c>
      <c r="P131" s="112"/>
      <c r="Q131" s="112"/>
      <c r="R131" s="112"/>
      <c r="S131" s="112"/>
      <c r="T131" s="112"/>
      <c r="U131" s="112">
        <v>40</v>
      </c>
      <c r="V131" s="112"/>
      <c r="W131" s="112"/>
      <c r="X131" s="112"/>
      <c r="Y131" s="112"/>
      <c r="Z131" s="112"/>
      <c r="AA131" s="112"/>
      <c r="AB131" s="112"/>
      <c r="AC131" s="112"/>
      <c r="AD131" s="112"/>
      <c r="AE131" s="112"/>
      <c r="AF131" s="112"/>
      <c r="AG131" s="112"/>
      <c r="AH131" s="112">
        <v>1197</v>
      </c>
      <c r="AI131" s="112">
        <f>H131-AH131</f>
        <v>15589</v>
      </c>
      <c r="AJ131" s="109">
        <v>3375</v>
      </c>
      <c r="AK131" s="109">
        <v>509</v>
      </c>
    </row>
    <row r="132" spans="1:37" ht="22.5" hidden="1" customHeight="1">
      <c r="A132" s="111"/>
      <c r="B132" s="122" t="s">
        <v>154</v>
      </c>
      <c r="C132" s="208" t="e">
        <f>#REF!+#REF!-D132</f>
        <v>#REF!</v>
      </c>
      <c r="D132" s="112"/>
      <c r="E132" s="112"/>
      <c r="F132" s="112"/>
      <c r="G132" s="112"/>
      <c r="H132" s="112">
        <f>O132</f>
        <v>-180</v>
      </c>
      <c r="I132" s="112"/>
      <c r="J132" s="112"/>
      <c r="K132" s="112"/>
      <c r="L132" s="112"/>
      <c r="M132" s="112"/>
      <c r="N132" s="112"/>
      <c r="O132" s="112">
        <v>-180</v>
      </c>
      <c r="P132" s="112"/>
      <c r="Q132" s="112"/>
      <c r="R132" s="112"/>
      <c r="S132" s="112"/>
      <c r="T132" s="112"/>
      <c r="U132" s="112"/>
      <c r="V132" s="112"/>
      <c r="W132" s="112"/>
      <c r="X132" s="112"/>
      <c r="Y132" s="112"/>
      <c r="Z132" s="112"/>
      <c r="AA132" s="112"/>
      <c r="AB132" s="112"/>
      <c r="AC132" s="112"/>
      <c r="AD132" s="112"/>
      <c r="AE132" s="112"/>
      <c r="AF132" s="112"/>
      <c r="AG132" s="112"/>
      <c r="AH132" s="112"/>
      <c r="AI132" s="112"/>
    </row>
    <row r="133" spans="1:37" ht="15" customHeight="1">
      <c r="A133" s="111"/>
      <c r="B133" s="112" t="s">
        <v>110</v>
      </c>
      <c r="C133" s="208" t="e">
        <f>#REF!+#REF!-D133</f>
        <v>#REF!</v>
      </c>
      <c r="D133" s="112">
        <f t="shared" ref="D133:D159" si="36">E133+H133</f>
        <v>34904</v>
      </c>
      <c r="E133" s="112"/>
      <c r="F133" s="112"/>
      <c r="G133" s="112"/>
      <c r="H133" s="112">
        <f t="shared" ref="H133:H139" si="37">SUM(I133:AG133)</f>
        <v>34904</v>
      </c>
      <c r="I133" s="112"/>
      <c r="J133" s="112"/>
      <c r="K133" s="112"/>
      <c r="L133" s="112">
        <v>970</v>
      </c>
      <c r="M133" s="112"/>
      <c r="N133" s="112"/>
      <c r="O133" s="112">
        <f>35277-1343</f>
        <v>33934</v>
      </c>
      <c r="P133" s="112"/>
      <c r="Q133" s="112"/>
      <c r="R133" s="112"/>
      <c r="S133" s="112"/>
      <c r="T133" s="112"/>
      <c r="U133" s="112"/>
      <c r="V133" s="112"/>
      <c r="W133" s="112"/>
      <c r="X133" s="112"/>
      <c r="Y133" s="112"/>
      <c r="Z133" s="112"/>
      <c r="AA133" s="112"/>
      <c r="AB133" s="112"/>
      <c r="AC133" s="112"/>
      <c r="AD133" s="112"/>
      <c r="AE133" s="112"/>
      <c r="AF133" s="112"/>
      <c r="AG133" s="112"/>
      <c r="AH133" s="112"/>
      <c r="AI133" s="112">
        <f>H133-AH133</f>
        <v>34904</v>
      </c>
      <c r="AJ133" s="109">
        <v>5166</v>
      </c>
      <c r="AK133" s="109">
        <v>1343</v>
      </c>
    </row>
    <row r="134" spans="1:37" ht="15" customHeight="1">
      <c r="A134" s="111"/>
      <c r="B134" s="112" t="s">
        <v>159</v>
      </c>
      <c r="C134" s="208" t="e">
        <f>#REF!+#REF!-D134</f>
        <v>#REF!</v>
      </c>
      <c r="D134" s="112">
        <f t="shared" si="36"/>
        <v>30603</v>
      </c>
      <c r="E134" s="112"/>
      <c r="F134" s="112"/>
      <c r="G134" s="112"/>
      <c r="H134" s="112">
        <f t="shared" si="37"/>
        <v>30603</v>
      </c>
      <c r="I134" s="112"/>
      <c r="J134" s="112"/>
      <c r="K134" s="112"/>
      <c r="L134" s="112"/>
      <c r="M134" s="112"/>
      <c r="N134" s="112"/>
      <c r="O134" s="112">
        <v>30603</v>
      </c>
      <c r="P134" s="112"/>
      <c r="Q134" s="112"/>
      <c r="R134" s="112"/>
      <c r="S134" s="112"/>
      <c r="T134" s="112"/>
      <c r="U134" s="112"/>
      <c r="V134" s="112"/>
      <c r="W134" s="112"/>
      <c r="X134" s="112"/>
      <c r="Y134" s="112"/>
      <c r="Z134" s="112"/>
      <c r="AA134" s="112"/>
      <c r="AB134" s="112"/>
      <c r="AC134" s="112"/>
      <c r="AD134" s="112"/>
      <c r="AE134" s="112"/>
      <c r="AF134" s="112"/>
      <c r="AG134" s="112"/>
      <c r="AH134" s="112"/>
      <c r="AI134" s="112">
        <f>H134-AH134</f>
        <v>30603</v>
      </c>
    </row>
    <row r="135" spans="1:37" s="117" customFormat="1" ht="15.75" customHeight="1">
      <c r="A135" s="114">
        <v>25</v>
      </c>
      <c r="B135" s="115" t="s">
        <v>158</v>
      </c>
      <c r="C135" s="208" t="e">
        <f>#REF!+#REF!-D135</f>
        <v>#REF!</v>
      </c>
      <c r="D135" s="115">
        <f t="shared" si="36"/>
        <v>2000</v>
      </c>
      <c r="E135" s="115"/>
      <c r="F135" s="115"/>
      <c r="G135" s="115"/>
      <c r="H135" s="115">
        <f t="shared" si="37"/>
        <v>2000</v>
      </c>
      <c r="I135" s="115"/>
      <c r="J135" s="115"/>
      <c r="K135" s="115"/>
      <c r="L135" s="115"/>
      <c r="M135" s="115"/>
      <c r="N135" s="115"/>
      <c r="O135" s="115"/>
      <c r="P135" s="115"/>
      <c r="Q135" s="115"/>
      <c r="R135" s="115"/>
      <c r="S135" s="115"/>
      <c r="T135" s="115"/>
      <c r="U135" s="115">
        <v>2000</v>
      </c>
      <c r="V135" s="115"/>
      <c r="W135" s="115"/>
      <c r="X135" s="115"/>
      <c r="Y135" s="115"/>
      <c r="Z135" s="115"/>
      <c r="AA135" s="115"/>
      <c r="AB135" s="115"/>
      <c r="AC135" s="115"/>
      <c r="AD135" s="115"/>
      <c r="AE135" s="115"/>
      <c r="AF135" s="115"/>
      <c r="AG135" s="115"/>
      <c r="AH135" s="115"/>
      <c r="AI135" s="115">
        <f>D135</f>
        <v>2000</v>
      </c>
      <c r="AJ135" s="116"/>
      <c r="AK135" s="116"/>
    </row>
    <row r="136" spans="1:37" s="124" customFormat="1" ht="15" customHeight="1">
      <c r="A136" s="114">
        <v>26</v>
      </c>
      <c r="B136" s="115" t="s">
        <v>94</v>
      </c>
      <c r="C136" s="208" t="e">
        <f>#REF!+#REF!-D136</f>
        <v>#REF!</v>
      </c>
      <c r="D136" s="115">
        <f t="shared" si="36"/>
        <v>4517</v>
      </c>
      <c r="E136" s="118"/>
      <c r="F136" s="118"/>
      <c r="G136" s="118"/>
      <c r="H136" s="115">
        <f t="shared" si="37"/>
        <v>4517</v>
      </c>
      <c r="I136" s="115">
        <f>SUM(I137:I152)</f>
        <v>0</v>
      </c>
      <c r="J136" s="115">
        <f t="shared" ref="J136:AG136" si="38">SUM(J137:J152)</f>
        <v>0</v>
      </c>
      <c r="K136" s="115">
        <f t="shared" si="38"/>
        <v>0</v>
      </c>
      <c r="L136" s="115">
        <f t="shared" si="38"/>
        <v>0</v>
      </c>
      <c r="M136" s="115">
        <f t="shared" si="38"/>
        <v>0</v>
      </c>
      <c r="N136" s="115">
        <f t="shared" si="38"/>
        <v>0</v>
      </c>
      <c r="O136" s="115">
        <f t="shared" si="38"/>
        <v>10</v>
      </c>
      <c r="P136" s="115">
        <f t="shared" si="38"/>
        <v>173</v>
      </c>
      <c r="Q136" s="115">
        <f t="shared" si="38"/>
        <v>0</v>
      </c>
      <c r="R136" s="115">
        <f t="shared" si="38"/>
        <v>0</v>
      </c>
      <c r="S136" s="115">
        <f t="shared" si="38"/>
        <v>0</v>
      </c>
      <c r="T136" s="115">
        <f t="shared" si="38"/>
        <v>0</v>
      </c>
      <c r="U136" s="115">
        <f t="shared" si="38"/>
        <v>0</v>
      </c>
      <c r="V136" s="115">
        <f t="shared" si="38"/>
        <v>4334</v>
      </c>
      <c r="W136" s="115">
        <f t="shared" si="38"/>
        <v>0</v>
      </c>
      <c r="X136" s="115">
        <f t="shared" si="38"/>
        <v>0</v>
      </c>
      <c r="Y136" s="115">
        <f t="shared" si="38"/>
        <v>0</v>
      </c>
      <c r="Z136" s="115">
        <f t="shared" si="38"/>
        <v>0</v>
      </c>
      <c r="AA136" s="115"/>
      <c r="AB136" s="115"/>
      <c r="AC136" s="115"/>
      <c r="AD136" s="115"/>
      <c r="AE136" s="115">
        <f t="shared" si="38"/>
        <v>0</v>
      </c>
      <c r="AF136" s="115">
        <f t="shared" si="38"/>
        <v>0</v>
      </c>
      <c r="AG136" s="115">
        <f t="shared" si="38"/>
        <v>0</v>
      </c>
      <c r="AH136" s="115"/>
      <c r="AI136" s="115">
        <f>V136</f>
        <v>4334</v>
      </c>
      <c r="AJ136" s="123"/>
      <c r="AK136" s="123"/>
    </row>
    <row r="137" spans="1:37" ht="15" customHeight="1">
      <c r="A137" s="125"/>
      <c r="B137" s="112" t="s">
        <v>101</v>
      </c>
      <c r="C137" s="208" t="e">
        <f>#REF!+#REF!-D137</f>
        <v>#REF!</v>
      </c>
      <c r="D137" s="112">
        <f t="shared" si="36"/>
        <v>188</v>
      </c>
      <c r="E137" s="112"/>
      <c r="F137" s="112"/>
      <c r="G137" s="112"/>
      <c r="H137" s="112">
        <f t="shared" si="37"/>
        <v>188</v>
      </c>
      <c r="I137" s="112"/>
      <c r="J137" s="112"/>
      <c r="K137" s="112"/>
      <c r="L137" s="112"/>
      <c r="M137" s="112"/>
      <c r="N137" s="112"/>
      <c r="O137" s="112"/>
      <c r="P137" s="112"/>
      <c r="Q137" s="112"/>
      <c r="R137" s="112"/>
      <c r="S137" s="112"/>
      <c r="T137" s="112"/>
      <c r="U137" s="112"/>
      <c r="V137" s="112">
        <v>188</v>
      </c>
      <c r="W137" s="112"/>
      <c r="X137" s="112"/>
      <c r="Y137" s="112"/>
      <c r="Z137" s="112"/>
      <c r="AA137" s="112"/>
      <c r="AB137" s="112"/>
      <c r="AC137" s="112"/>
      <c r="AD137" s="112"/>
      <c r="AE137" s="112"/>
      <c r="AF137" s="112"/>
      <c r="AG137" s="112"/>
      <c r="AH137" s="112"/>
      <c r="AI137" s="112"/>
    </row>
    <row r="138" spans="1:37" ht="15" customHeight="1">
      <c r="A138" s="125"/>
      <c r="B138" s="112" t="s">
        <v>123</v>
      </c>
      <c r="C138" s="208" t="e">
        <f>#REF!+#REF!-D138</f>
        <v>#REF!</v>
      </c>
      <c r="D138" s="112">
        <f t="shared" si="36"/>
        <v>174</v>
      </c>
      <c r="E138" s="112"/>
      <c r="F138" s="112"/>
      <c r="G138" s="112"/>
      <c r="H138" s="112">
        <f t="shared" si="37"/>
        <v>174</v>
      </c>
      <c r="I138" s="112"/>
      <c r="J138" s="112"/>
      <c r="K138" s="112"/>
      <c r="L138" s="112"/>
      <c r="M138" s="112"/>
      <c r="N138" s="112"/>
      <c r="O138" s="112"/>
      <c r="P138" s="112"/>
      <c r="Q138" s="112"/>
      <c r="R138" s="112"/>
      <c r="S138" s="112"/>
      <c r="T138" s="112"/>
      <c r="U138" s="112"/>
      <c r="V138" s="112">
        <v>174</v>
      </c>
      <c r="W138" s="112"/>
      <c r="X138" s="112"/>
      <c r="Y138" s="112"/>
      <c r="Z138" s="112"/>
      <c r="AA138" s="112"/>
      <c r="AB138" s="112"/>
      <c r="AC138" s="112"/>
      <c r="AD138" s="112"/>
      <c r="AE138" s="112"/>
      <c r="AF138" s="112"/>
      <c r="AG138" s="112"/>
      <c r="AH138" s="112"/>
      <c r="AI138" s="112"/>
    </row>
    <row r="139" spans="1:37" ht="15" customHeight="1">
      <c r="A139" s="111"/>
      <c r="B139" s="112" t="s">
        <v>77</v>
      </c>
      <c r="C139" s="208" t="e">
        <f>#REF!+#REF!-D139</f>
        <v>#REF!</v>
      </c>
      <c r="D139" s="112">
        <f t="shared" si="36"/>
        <v>521</v>
      </c>
      <c r="E139" s="112"/>
      <c r="F139" s="112"/>
      <c r="G139" s="112"/>
      <c r="H139" s="112">
        <f t="shared" si="37"/>
        <v>521</v>
      </c>
      <c r="I139" s="112"/>
      <c r="J139" s="112"/>
      <c r="K139" s="112"/>
      <c r="L139" s="112"/>
      <c r="M139" s="112"/>
      <c r="N139" s="112"/>
      <c r="O139" s="112"/>
      <c r="P139" s="112"/>
      <c r="Q139" s="112"/>
      <c r="R139" s="112"/>
      <c r="S139" s="112"/>
      <c r="T139" s="112"/>
      <c r="U139" s="112"/>
      <c r="V139" s="112">
        <v>521</v>
      </c>
      <c r="W139" s="112"/>
      <c r="X139" s="112"/>
      <c r="Y139" s="112"/>
      <c r="Z139" s="112"/>
      <c r="AA139" s="112"/>
      <c r="AB139" s="112"/>
      <c r="AC139" s="112"/>
      <c r="AD139" s="112"/>
      <c r="AE139" s="112"/>
      <c r="AF139" s="112"/>
      <c r="AG139" s="112"/>
      <c r="AH139" s="112"/>
      <c r="AI139" s="112"/>
    </row>
    <row r="140" spans="1:37" ht="15" customHeight="1">
      <c r="A140" s="111"/>
      <c r="B140" s="112" t="s">
        <v>118</v>
      </c>
      <c r="C140" s="208" t="e">
        <f>#REF!+#REF!-D140</f>
        <v>#REF!</v>
      </c>
      <c r="D140" s="112">
        <f t="shared" si="36"/>
        <v>56</v>
      </c>
      <c r="E140" s="112"/>
      <c r="F140" s="112"/>
      <c r="G140" s="112"/>
      <c r="H140" s="112">
        <f>V140</f>
        <v>56</v>
      </c>
      <c r="I140" s="112"/>
      <c r="J140" s="112"/>
      <c r="K140" s="112"/>
      <c r="L140" s="112"/>
      <c r="M140" s="112"/>
      <c r="N140" s="112"/>
      <c r="O140" s="112"/>
      <c r="P140" s="112"/>
      <c r="Q140" s="112"/>
      <c r="R140" s="112"/>
      <c r="S140" s="112"/>
      <c r="T140" s="112"/>
      <c r="U140" s="112"/>
      <c r="V140" s="112">
        <v>56</v>
      </c>
      <c r="W140" s="112"/>
      <c r="X140" s="112"/>
      <c r="Y140" s="112"/>
      <c r="Z140" s="112"/>
      <c r="AA140" s="112"/>
      <c r="AB140" s="112"/>
      <c r="AC140" s="112"/>
      <c r="AD140" s="112"/>
      <c r="AE140" s="112"/>
      <c r="AF140" s="112"/>
      <c r="AG140" s="112"/>
      <c r="AH140" s="112"/>
      <c r="AI140" s="112"/>
    </row>
    <row r="141" spans="1:37" ht="15" customHeight="1">
      <c r="A141" s="111"/>
      <c r="B141" s="112" t="s">
        <v>80</v>
      </c>
      <c r="C141" s="208" t="e">
        <f>#REF!+#REF!-D141</f>
        <v>#REF!</v>
      </c>
      <c r="D141" s="112">
        <f t="shared" si="36"/>
        <v>417</v>
      </c>
      <c r="E141" s="112"/>
      <c r="F141" s="112"/>
      <c r="G141" s="112"/>
      <c r="H141" s="112">
        <f t="shared" ref="H141:H170" si="39">SUM(I141:AG141)</f>
        <v>417</v>
      </c>
      <c r="I141" s="112"/>
      <c r="J141" s="112"/>
      <c r="K141" s="112"/>
      <c r="L141" s="112"/>
      <c r="M141" s="112"/>
      <c r="N141" s="112"/>
      <c r="O141" s="112"/>
      <c r="P141" s="112"/>
      <c r="Q141" s="112"/>
      <c r="R141" s="112"/>
      <c r="S141" s="112"/>
      <c r="T141" s="112"/>
      <c r="U141" s="112"/>
      <c r="V141" s="112">
        <v>417</v>
      </c>
      <c r="W141" s="112"/>
      <c r="X141" s="112"/>
      <c r="Y141" s="112"/>
      <c r="Z141" s="112"/>
      <c r="AA141" s="112"/>
      <c r="AB141" s="112"/>
      <c r="AC141" s="112"/>
      <c r="AD141" s="112"/>
      <c r="AE141" s="112"/>
      <c r="AF141" s="112"/>
      <c r="AG141" s="112"/>
      <c r="AH141" s="112"/>
      <c r="AI141" s="112"/>
    </row>
    <row r="142" spans="1:37" ht="15" customHeight="1">
      <c r="A142" s="125"/>
      <c r="B142" s="112" t="s">
        <v>100</v>
      </c>
      <c r="C142" s="208" t="e">
        <f>#REF!+#REF!-D142</f>
        <v>#REF!</v>
      </c>
      <c r="D142" s="112">
        <f t="shared" si="36"/>
        <v>50</v>
      </c>
      <c r="E142" s="112"/>
      <c r="F142" s="112"/>
      <c r="G142" s="112"/>
      <c r="H142" s="112">
        <f t="shared" si="39"/>
        <v>50</v>
      </c>
      <c r="I142" s="112"/>
      <c r="J142" s="112"/>
      <c r="K142" s="112"/>
      <c r="L142" s="112"/>
      <c r="M142" s="112"/>
      <c r="N142" s="112"/>
      <c r="O142" s="112"/>
      <c r="P142" s="112"/>
      <c r="Q142" s="112"/>
      <c r="R142" s="112"/>
      <c r="S142" s="112"/>
      <c r="T142" s="112"/>
      <c r="U142" s="112"/>
      <c r="V142" s="112">
        <v>50</v>
      </c>
      <c r="W142" s="112"/>
      <c r="X142" s="112"/>
      <c r="Y142" s="112"/>
      <c r="Z142" s="112"/>
      <c r="AA142" s="112"/>
      <c r="AB142" s="112"/>
      <c r="AC142" s="112"/>
      <c r="AD142" s="112"/>
      <c r="AE142" s="112"/>
      <c r="AF142" s="112"/>
      <c r="AG142" s="112"/>
      <c r="AH142" s="112"/>
      <c r="AI142" s="112"/>
    </row>
    <row r="143" spans="1:37" ht="15" customHeight="1">
      <c r="A143" s="125"/>
      <c r="B143" s="112" t="s">
        <v>111</v>
      </c>
      <c r="C143" s="208" t="e">
        <f>#REF!+#REF!-D143</f>
        <v>#REF!</v>
      </c>
      <c r="D143" s="112">
        <f t="shared" si="36"/>
        <v>59</v>
      </c>
      <c r="E143" s="112"/>
      <c r="F143" s="112"/>
      <c r="G143" s="112"/>
      <c r="H143" s="112">
        <f t="shared" si="39"/>
        <v>59</v>
      </c>
      <c r="I143" s="112"/>
      <c r="J143" s="112"/>
      <c r="K143" s="112"/>
      <c r="L143" s="112"/>
      <c r="M143" s="112"/>
      <c r="N143" s="112"/>
      <c r="O143" s="112"/>
      <c r="P143" s="112"/>
      <c r="Q143" s="112"/>
      <c r="R143" s="112"/>
      <c r="S143" s="112"/>
      <c r="T143" s="112"/>
      <c r="U143" s="112"/>
      <c r="V143" s="112">
        <v>59</v>
      </c>
      <c r="W143" s="112"/>
      <c r="X143" s="112"/>
      <c r="Y143" s="112"/>
      <c r="Z143" s="112"/>
      <c r="AA143" s="112"/>
      <c r="AB143" s="112"/>
      <c r="AC143" s="112"/>
      <c r="AD143" s="112"/>
      <c r="AE143" s="112"/>
      <c r="AF143" s="112"/>
      <c r="AG143" s="112"/>
      <c r="AH143" s="112"/>
      <c r="AI143" s="112"/>
    </row>
    <row r="144" spans="1:37" ht="15" customHeight="1">
      <c r="A144" s="125"/>
      <c r="B144" s="112" t="s">
        <v>112</v>
      </c>
      <c r="C144" s="208" t="e">
        <f>#REF!+#REF!-D144</f>
        <v>#REF!</v>
      </c>
      <c r="D144" s="112">
        <f t="shared" si="36"/>
        <v>60</v>
      </c>
      <c r="E144" s="112"/>
      <c r="F144" s="112"/>
      <c r="G144" s="112"/>
      <c r="H144" s="112">
        <f t="shared" si="39"/>
        <v>60</v>
      </c>
      <c r="I144" s="112"/>
      <c r="J144" s="112"/>
      <c r="K144" s="112"/>
      <c r="L144" s="112"/>
      <c r="M144" s="112"/>
      <c r="N144" s="112"/>
      <c r="O144" s="112"/>
      <c r="P144" s="112"/>
      <c r="Q144" s="112"/>
      <c r="R144" s="112"/>
      <c r="S144" s="112"/>
      <c r="T144" s="112"/>
      <c r="U144" s="112"/>
      <c r="V144" s="112">
        <v>60</v>
      </c>
      <c r="W144" s="112"/>
      <c r="X144" s="112"/>
      <c r="Y144" s="112"/>
      <c r="Z144" s="112"/>
      <c r="AA144" s="112"/>
      <c r="AB144" s="112"/>
      <c r="AC144" s="112"/>
      <c r="AD144" s="112"/>
      <c r="AE144" s="112"/>
      <c r="AF144" s="112"/>
      <c r="AG144" s="112"/>
      <c r="AH144" s="112"/>
      <c r="AI144" s="112"/>
    </row>
    <row r="145" spans="1:37" ht="15" customHeight="1">
      <c r="A145" s="125"/>
      <c r="B145" s="112" t="s">
        <v>79</v>
      </c>
      <c r="C145" s="208" t="e">
        <f>#REF!+#REF!-D145</f>
        <v>#REF!</v>
      </c>
      <c r="D145" s="112">
        <f t="shared" si="36"/>
        <v>580</v>
      </c>
      <c r="E145" s="112"/>
      <c r="F145" s="112"/>
      <c r="G145" s="112"/>
      <c r="H145" s="112">
        <f t="shared" si="39"/>
        <v>580</v>
      </c>
      <c r="I145" s="112"/>
      <c r="J145" s="112"/>
      <c r="K145" s="112"/>
      <c r="L145" s="112"/>
      <c r="M145" s="112"/>
      <c r="N145" s="112"/>
      <c r="O145" s="112"/>
      <c r="P145" s="112"/>
      <c r="Q145" s="112"/>
      <c r="R145" s="112"/>
      <c r="S145" s="112"/>
      <c r="T145" s="112"/>
      <c r="U145" s="112"/>
      <c r="V145" s="112">
        <v>580</v>
      </c>
      <c r="W145" s="112"/>
      <c r="X145" s="112"/>
      <c r="Y145" s="112"/>
      <c r="Z145" s="112"/>
      <c r="AA145" s="112"/>
      <c r="AB145" s="112"/>
      <c r="AC145" s="112"/>
      <c r="AD145" s="112"/>
      <c r="AE145" s="112"/>
      <c r="AF145" s="112"/>
      <c r="AG145" s="112"/>
      <c r="AH145" s="112"/>
      <c r="AI145" s="112"/>
    </row>
    <row r="146" spans="1:37" ht="15" customHeight="1">
      <c r="A146" s="125"/>
      <c r="B146" s="112" t="s">
        <v>78</v>
      </c>
      <c r="C146" s="208" t="e">
        <f>#REF!+#REF!-D146</f>
        <v>#REF!</v>
      </c>
      <c r="D146" s="112">
        <f t="shared" si="36"/>
        <v>325</v>
      </c>
      <c r="E146" s="112"/>
      <c r="F146" s="112"/>
      <c r="G146" s="112"/>
      <c r="H146" s="112">
        <f t="shared" si="39"/>
        <v>325</v>
      </c>
      <c r="I146" s="112"/>
      <c r="J146" s="112"/>
      <c r="K146" s="112"/>
      <c r="L146" s="112"/>
      <c r="M146" s="112"/>
      <c r="N146" s="112"/>
      <c r="O146" s="112"/>
      <c r="P146" s="112"/>
      <c r="Q146" s="112"/>
      <c r="R146" s="112"/>
      <c r="S146" s="112"/>
      <c r="T146" s="112"/>
      <c r="U146" s="112"/>
      <c r="V146" s="112">
        <v>325</v>
      </c>
      <c r="W146" s="112"/>
      <c r="X146" s="112"/>
      <c r="Y146" s="112"/>
      <c r="Z146" s="112"/>
      <c r="AA146" s="112"/>
      <c r="AB146" s="112"/>
      <c r="AC146" s="112"/>
      <c r="AD146" s="112"/>
      <c r="AE146" s="112"/>
      <c r="AF146" s="112"/>
      <c r="AG146" s="112"/>
      <c r="AH146" s="112"/>
      <c r="AI146" s="112"/>
    </row>
    <row r="147" spans="1:37" ht="15" customHeight="1">
      <c r="A147" s="125"/>
      <c r="B147" s="112" t="s">
        <v>95</v>
      </c>
      <c r="C147" s="208" t="e">
        <f>#REF!+#REF!-D147</f>
        <v>#REF!</v>
      </c>
      <c r="D147" s="112">
        <f t="shared" si="36"/>
        <v>600</v>
      </c>
      <c r="E147" s="112"/>
      <c r="F147" s="112"/>
      <c r="G147" s="112"/>
      <c r="H147" s="112">
        <f t="shared" si="39"/>
        <v>600</v>
      </c>
      <c r="I147" s="112"/>
      <c r="J147" s="112"/>
      <c r="K147" s="112"/>
      <c r="L147" s="112"/>
      <c r="M147" s="112"/>
      <c r="N147" s="112"/>
      <c r="O147" s="112"/>
      <c r="P147" s="112"/>
      <c r="Q147" s="112"/>
      <c r="R147" s="112"/>
      <c r="S147" s="112"/>
      <c r="T147" s="112"/>
      <c r="U147" s="112"/>
      <c r="V147" s="112">
        <v>600</v>
      </c>
      <c r="W147" s="112"/>
      <c r="X147" s="112"/>
      <c r="Y147" s="112"/>
      <c r="Z147" s="112"/>
      <c r="AA147" s="112"/>
      <c r="AB147" s="112"/>
      <c r="AC147" s="112"/>
      <c r="AD147" s="112"/>
      <c r="AE147" s="112"/>
      <c r="AF147" s="112"/>
      <c r="AG147" s="112"/>
      <c r="AH147" s="112"/>
      <c r="AI147" s="112"/>
    </row>
    <row r="148" spans="1:37" ht="16.5" customHeight="1">
      <c r="A148" s="125"/>
      <c r="B148" s="112" t="s">
        <v>76</v>
      </c>
      <c r="C148" s="208" t="e">
        <f>#REF!+#REF!-D148</f>
        <v>#REF!</v>
      </c>
      <c r="D148" s="112">
        <f t="shared" si="36"/>
        <v>407</v>
      </c>
      <c r="E148" s="112"/>
      <c r="F148" s="112"/>
      <c r="G148" s="112"/>
      <c r="H148" s="112">
        <f t="shared" si="39"/>
        <v>407</v>
      </c>
      <c r="I148" s="112"/>
      <c r="J148" s="112"/>
      <c r="K148" s="112" t="s">
        <v>120</v>
      </c>
      <c r="L148" s="112"/>
      <c r="M148" s="112"/>
      <c r="N148" s="112"/>
      <c r="O148" s="112"/>
      <c r="P148" s="112"/>
      <c r="Q148" s="112"/>
      <c r="R148" s="112"/>
      <c r="S148" s="112"/>
      <c r="T148" s="112"/>
      <c r="U148" s="112"/>
      <c r="V148" s="112">
        <v>407</v>
      </c>
      <c r="W148" s="112"/>
      <c r="X148" s="112"/>
      <c r="Y148" s="112"/>
      <c r="Z148" s="112"/>
      <c r="AA148" s="112"/>
      <c r="AB148" s="112"/>
      <c r="AC148" s="112"/>
      <c r="AD148" s="112"/>
      <c r="AE148" s="112"/>
      <c r="AF148" s="112"/>
      <c r="AG148" s="112"/>
      <c r="AH148" s="112"/>
      <c r="AI148" s="112"/>
    </row>
    <row r="149" spans="1:37" ht="15" customHeight="1">
      <c r="A149" s="125"/>
      <c r="B149" s="112" t="s">
        <v>119</v>
      </c>
      <c r="C149" s="208" t="e">
        <f>#REF!+#REF!-D149</f>
        <v>#REF!</v>
      </c>
      <c r="D149" s="112">
        <f t="shared" si="36"/>
        <v>550</v>
      </c>
      <c r="E149" s="112"/>
      <c r="F149" s="112"/>
      <c r="G149" s="112"/>
      <c r="H149" s="112">
        <f t="shared" si="39"/>
        <v>550</v>
      </c>
      <c r="I149" s="112"/>
      <c r="J149" s="112"/>
      <c r="K149" s="112"/>
      <c r="L149" s="112"/>
      <c r="M149" s="112"/>
      <c r="N149" s="112"/>
      <c r="O149" s="112">
        <v>10</v>
      </c>
      <c r="P149" s="112">
        <v>173</v>
      </c>
      <c r="Q149" s="112"/>
      <c r="R149" s="112"/>
      <c r="S149" s="112"/>
      <c r="T149" s="112"/>
      <c r="U149" s="112"/>
      <c r="V149" s="112">
        <v>367</v>
      </c>
      <c r="W149" s="112"/>
      <c r="X149" s="112"/>
      <c r="Y149" s="112"/>
      <c r="Z149" s="112"/>
      <c r="AA149" s="112"/>
      <c r="AB149" s="112"/>
      <c r="AC149" s="112"/>
      <c r="AD149" s="112"/>
      <c r="AE149" s="112"/>
      <c r="AF149" s="112"/>
      <c r="AG149" s="112"/>
      <c r="AH149" s="112"/>
      <c r="AI149" s="112">
        <f>D149-AH149</f>
        <v>550</v>
      </c>
    </row>
    <row r="150" spans="1:37" ht="16.5" customHeight="1">
      <c r="A150" s="125"/>
      <c r="B150" s="112" t="s">
        <v>124</v>
      </c>
      <c r="C150" s="208" t="e">
        <f>#REF!+#REF!-D150</f>
        <v>#REF!</v>
      </c>
      <c r="D150" s="112">
        <f t="shared" si="36"/>
        <v>380</v>
      </c>
      <c r="E150" s="112"/>
      <c r="F150" s="112"/>
      <c r="G150" s="112"/>
      <c r="H150" s="112">
        <f t="shared" si="39"/>
        <v>380</v>
      </c>
      <c r="I150" s="112"/>
      <c r="J150" s="112"/>
      <c r="K150" s="112"/>
      <c r="L150" s="112"/>
      <c r="M150" s="112"/>
      <c r="N150" s="112"/>
      <c r="O150" s="112"/>
      <c r="P150" s="112"/>
      <c r="Q150" s="112"/>
      <c r="R150" s="112"/>
      <c r="S150" s="112"/>
      <c r="T150" s="112"/>
      <c r="U150" s="112"/>
      <c r="V150" s="112">
        <v>380</v>
      </c>
      <c r="W150" s="112"/>
      <c r="X150" s="112"/>
      <c r="Y150" s="112"/>
      <c r="Z150" s="112"/>
      <c r="AA150" s="112"/>
      <c r="AB150" s="112"/>
      <c r="AC150" s="112"/>
      <c r="AD150" s="112"/>
      <c r="AE150" s="112"/>
      <c r="AF150" s="112"/>
      <c r="AG150" s="112"/>
      <c r="AH150" s="112"/>
      <c r="AI150" s="112"/>
    </row>
    <row r="151" spans="1:37" ht="15" customHeight="1">
      <c r="A151" s="125"/>
      <c r="B151" s="112" t="s">
        <v>93</v>
      </c>
      <c r="C151" s="208" t="e">
        <f>#REF!+#REF!-D151</f>
        <v>#REF!</v>
      </c>
      <c r="D151" s="112">
        <f t="shared" si="36"/>
        <v>150</v>
      </c>
      <c r="E151" s="112"/>
      <c r="F151" s="112"/>
      <c r="G151" s="112"/>
      <c r="H151" s="112">
        <f t="shared" si="39"/>
        <v>150</v>
      </c>
      <c r="I151" s="112"/>
      <c r="J151" s="112"/>
      <c r="K151" s="112"/>
      <c r="L151" s="112"/>
      <c r="M151" s="112"/>
      <c r="N151" s="112"/>
      <c r="O151" s="112"/>
      <c r="P151" s="112"/>
      <c r="Q151" s="112"/>
      <c r="R151" s="112"/>
      <c r="S151" s="112"/>
      <c r="T151" s="112"/>
      <c r="U151" s="112"/>
      <c r="V151" s="112">
        <v>150</v>
      </c>
      <c r="W151" s="112"/>
      <c r="X151" s="112"/>
      <c r="Y151" s="112"/>
      <c r="Z151" s="112"/>
      <c r="AA151" s="112"/>
      <c r="AB151" s="112"/>
      <c r="AC151" s="112"/>
      <c r="AD151" s="112"/>
      <c r="AE151" s="112"/>
      <c r="AF151" s="112"/>
      <c r="AG151" s="112"/>
      <c r="AH151" s="112"/>
      <c r="AI151" s="112"/>
    </row>
    <row r="152" spans="1:37" ht="15" customHeight="1">
      <c r="A152" s="111"/>
      <c r="B152" s="112" t="s">
        <v>115</v>
      </c>
      <c r="C152" s="208" t="e">
        <f>#REF!+#REF!-D152</f>
        <v>#REF!</v>
      </c>
      <c r="D152" s="112">
        <f t="shared" si="36"/>
        <v>0</v>
      </c>
      <c r="E152" s="112"/>
      <c r="F152" s="112"/>
      <c r="G152" s="112"/>
      <c r="H152" s="112">
        <f t="shared" si="39"/>
        <v>0</v>
      </c>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row>
    <row r="153" spans="1:37" s="173" customFormat="1" ht="15" customHeight="1">
      <c r="A153" s="171">
        <v>27</v>
      </c>
      <c r="B153" s="151" t="s">
        <v>24</v>
      </c>
      <c r="C153" s="208" t="e">
        <f>#REF!+#REF!-D153</f>
        <v>#REF!</v>
      </c>
      <c r="D153" s="151">
        <f t="shared" si="36"/>
        <v>2140</v>
      </c>
      <c r="E153" s="151"/>
      <c r="F153" s="151"/>
      <c r="G153" s="151"/>
      <c r="H153" s="151">
        <f t="shared" si="39"/>
        <v>2140</v>
      </c>
      <c r="I153" s="151"/>
      <c r="J153" s="151"/>
      <c r="K153" s="151"/>
      <c r="L153" s="151">
        <v>85</v>
      </c>
      <c r="M153" s="151">
        <f>2056-25-46+60+10</f>
        <v>2055</v>
      </c>
      <c r="N153" s="151"/>
      <c r="O153" s="151"/>
      <c r="P153" s="151"/>
      <c r="Q153" s="151"/>
      <c r="R153" s="151"/>
      <c r="S153" s="151"/>
      <c r="T153" s="151"/>
      <c r="U153" s="151"/>
      <c r="V153" s="151"/>
      <c r="W153" s="151"/>
      <c r="X153" s="151"/>
      <c r="Y153" s="151"/>
      <c r="Z153" s="151"/>
      <c r="AA153" s="151"/>
      <c r="AB153" s="151"/>
      <c r="AC153" s="151"/>
      <c r="AD153" s="151"/>
      <c r="AE153" s="151"/>
      <c r="AF153" s="151"/>
      <c r="AG153" s="151"/>
      <c r="AH153" s="151"/>
      <c r="AI153" s="151">
        <f>D153-AH153</f>
        <v>2140</v>
      </c>
      <c r="AJ153" s="172">
        <v>92</v>
      </c>
      <c r="AK153" s="172">
        <v>25</v>
      </c>
    </row>
    <row r="154" spans="1:37" ht="15" customHeight="1">
      <c r="A154" s="125">
        <v>28</v>
      </c>
      <c r="B154" s="18" t="s">
        <v>81</v>
      </c>
      <c r="C154" s="208" t="e">
        <f>#REF!+#REF!-D154</f>
        <v>#REF!</v>
      </c>
      <c r="D154" s="18">
        <f t="shared" si="36"/>
        <v>14525</v>
      </c>
      <c r="E154" s="18"/>
      <c r="F154" s="18"/>
      <c r="G154" s="18"/>
      <c r="H154" s="18">
        <f t="shared" si="39"/>
        <v>14525</v>
      </c>
      <c r="I154" s="18"/>
      <c r="J154" s="18"/>
      <c r="K154" s="18"/>
      <c r="L154" s="18">
        <v>1500</v>
      </c>
      <c r="M154" s="18"/>
      <c r="N154" s="18"/>
      <c r="O154" s="18"/>
      <c r="P154" s="18"/>
      <c r="Q154" s="18"/>
      <c r="R154" s="18"/>
      <c r="S154" s="18"/>
      <c r="T154" s="18"/>
      <c r="U154" s="18"/>
      <c r="V154" s="18"/>
      <c r="W154" s="18">
        <f>10779+246+2000</f>
        <v>13025</v>
      </c>
      <c r="X154" s="18"/>
      <c r="Y154" s="18"/>
      <c r="Z154" s="18"/>
      <c r="AA154" s="18"/>
      <c r="AB154" s="18"/>
      <c r="AC154" s="18"/>
      <c r="AD154" s="18"/>
      <c r="AE154" s="18"/>
      <c r="AF154" s="18"/>
      <c r="AG154" s="18"/>
      <c r="AH154" s="18"/>
      <c r="AI154" s="18">
        <f>D154-AH154</f>
        <v>14525</v>
      </c>
    </row>
    <row r="155" spans="1:37" ht="15" customHeight="1">
      <c r="A155" s="125">
        <v>29</v>
      </c>
      <c r="B155" s="18" t="s">
        <v>82</v>
      </c>
      <c r="C155" s="208" t="e">
        <f>#REF!+#REF!-D155</f>
        <v>#REF!</v>
      </c>
      <c r="D155" s="18">
        <f t="shared" si="36"/>
        <v>68676</v>
      </c>
      <c r="E155" s="18"/>
      <c r="F155" s="18"/>
      <c r="G155" s="18"/>
      <c r="H155" s="18">
        <f t="shared" si="39"/>
        <v>68676</v>
      </c>
      <c r="I155" s="18"/>
      <c r="J155" s="18"/>
      <c r="K155" s="18"/>
      <c r="L155" s="18"/>
      <c r="M155" s="18"/>
      <c r="N155" s="18"/>
      <c r="O155" s="18">
        <f>2568+517</f>
        <v>3085</v>
      </c>
      <c r="P155" s="18"/>
      <c r="Q155" s="18"/>
      <c r="R155" s="18"/>
      <c r="S155" s="18"/>
      <c r="T155" s="18"/>
      <c r="U155" s="18"/>
      <c r="V155" s="18"/>
      <c r="W155" s="18">
        <f>24781+10945+375+250+240</f>
        <v>36591</v>
      </c>
      <c r="X155" s="18"/>
      <c r="Y155" s="18">
        <v>29000</v>
      </c>
      <c r="Z155" s="18"/>
      <c r="AA155" s="18"/>
      <c r="AB155" s="18"/>
      <c r="AC155" s="18"/>
      <c r="AD155" s="18"/>
      <c r="AE155" s="18"/>
      <c r="AF155" s="18"/>
      <c r="AG155" s="18"/>
      <c r="AH155" s="18"/>
      <c r="AI155" s="18">
        <f>D155-AH155</f>
        <v>68676</v>
      </c>
    </row>
    <row r="156" spans="1:37" ht="15" customHeight="1">
      <c r="A156" s="125">
        <v>30</v>
      </c>
      <c r="B156" s="18" t="s">
        <v>83</v>
      </c>
      <c r="C156" s="208" t="e">
        <f>#REF!+#REF!-D156</f>
        <v>#REF!</v>
      </c>
      <c r="D156" s="18">
        <f t="shared" si="36"/>
        <v>128570</v>
      </c>
      <c r="E156" s="18"/>
      <c r="F156" s="18"/>
      <c r="G156" s="18"/>
      <c r="H156" s="18">
        <f t="shared" si="39"/>
        <v>128570</v>
      </c>
      <c r="I156" s="18"/>
      <c r="J156" s="18"/>
      <c r="K156" s="18"/>
      <c r="L156" s="18">
        <f>5248-1580</f>
        <v>3668</v>
      </c>
      <c r="M156" s="18"/>
      <c r="N156" s="18"/>
      <c r="O156" s="18">
        <v>3294</v>
      </c>
      <c r="P156" s="18"/>
      <c r="Q156" s="18">
        <f>13262+146+71</f>
        <v>13479</v>
      </c>
      <c r="R156" s="18"/>
      <c r="S156" s="18"/>
      <c r="T156" s="18">
        <v>7260</v>
      </c>
      <c r="U156" s="18"/>
      <c r="V156" s="18">
        <f>81861+550+370-2427+4984+530+4921+1580</f>
        <v>92369</v>
      </c>
      <c r="W156" s="18"/>
      <c r="X156" s="18">
        <v>8500</v>
      </c>
      <c r="Y156" s="18"/>
      <c r="Z156" s="18"/>
      <c r="AA156" s="18"/>
      <c r="AB156" s="18"/>
      <c r="AC156" s="18"/>
      <c r="AD156" s="18"/>
      <c r="AE156" s="18"/>
      <c r="AF156" s="18"/>
      <c r="AG156" s="18"/>
      <c r="AH156" s="18">
        <v>7021</v>
      </c>
      <c r="AI156" s="18">
        <f>D156-AH156</f>
        <v>121549</v>
      </c>
      <c r="AJ156" s="109">
        <f>9620+859</f>
        <v>10479</v>
      </c>
    </row>
    <row r="157" spans="1:37" ht="24.75" customHeight="1">
      <c r="A157" s="125">
        <v>31</v>
      </c>
      <c r="B157" s="126" t="s">
        <v>299</v>
      </c>
      <c r="C157" s="208" t="e">
        <f>#REF!+#REF!-D157</f>
        <v>#REF!</v>
      </c>
      <c r="D157" s="18">
        <f t="shared" si="36"/>
        <v>59295</v>
      </c>
      <c r="E157" s="18"/>
      <c r="F157" s="18"/>
      <c r="G157" s="18"/>
      <c r="H157" s="18">
        <f t="shared" si="39"/>
        <v>59295</v>
      </c>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f>15297+11245+32753</f>
        <v>59295</v>
      </c>
      <c r="AF157" s="18"/>
      <c r="AG157" s="18"/>
      <c r="AH157" s="18"/>
      <c r="AI157" s="18"/>
    </row>
    <row r="158" spans="1:37" ht="33.75" customHeight="1">
      <c r="A158" s="125">
        <v>32</v>
      </c>
      <c r="B158" s="126" t="s">
        <v>300</v>
      </c>
      <c r="C158" s="208" t="e">
        <f>#REF!+#REF!-D158</f>
        <v>#REF!</v>
      </c>
      <c r="D158" s="18">
        <f t="shared" si="36"/>
        <v>216417</v>
      </c>
      <c r="E158" s="18"/>
      <c r="F158" s="18"/>
      <c r="G158" s="18"/>
      <c r="H158" s="18">
        <f t="shared" si="39"/>
        <v>216417</v>
      </c>
      <c r="I158" s="18"/>
      <c r="J158" s="18"/>
      <c r="K158" s="18"/>
      <c r="L158" s="18"/>
      <c r="M158" s="18"/>
      <c r="N158" s="18"/>
      <c r="O158" s="18"/>
      <c r="P158" s="18">
        <v>216417</v>
      </c>
      <c r="Q158" s="18"/>
      <c r="R158" s="18"/>
      <c r="S158" s="18"/>
      <c r="T158" s="18"/>
      <c r="U158" s="18"/>
      <c r="V158" s="18"/>
      <c r="W158" s="18"/>
      <c r="X158" s="18"/>
      <c r="Y158" s="18"/>
      <c r="Z158" s="18"/>
      <c r="AA158" s="18"/>
      <c r="AB158" s="18"/>
      <c r="AC158" s="18"/>
      <c r="AD158" s="18"/>
      <c r="AE158" s="18"/>
      <c r="AF158" s="18"/>
      <c r="AG158" s="18"/>
      <c r="AH158" s="18"/>
      <c r="AI158" s="18"/>
    </row>
    <row r="159" spans="1:37" ht="16.5" customHeight="1">
      <c r="A159" s="125">
        <v>33</v>
      </c>
      <c r="B159" s="18" t="s">
        <v>99</v>
      </c>
      <c r="C159" s="208" t="e">
        <f>#REF!+#REF!-D159</f>
        <v>#REF!</v>
      </c>
      <c r="D159" s="18">
        <f t="shared" si="36"/>
        <v>5851</v>
      </c>
      <c r="E159" s="18"/>
      <c r="F159" s="18"/>
      <c r="G159" s="18"/>
      <c r="H159" s="18">
        <f t="shared" si="39"/>
        <v>5851</v>
      </c>
      <c r="I159" s="18"/>
      <c r="J159" s="18"/>
      <c r="K159" s="18"/>
      <c r="L159" s="18"/>
      <c r="M159" s="18"/>
      <c r="N159" s="18"/>
      <c r="O159" s="18"/>
      <c r="P159" s="18"/>
      <c r="Q159" s="18"/>
      <c r="R159" s="18"/>
      <c r="S159" s="18"/>
      <c r="T159" s="18"/>
      <c r="U159" s="18"/>
      <c r="V159" s="18"/>
      <c r="W159" s="18"/>
      <c r="X159" s="18"/>
      <c r="Y159" s="18">
        <v>5851</v>
      </c>
      <c r="Z159" s="18"/>
      <c r="AA159" s="18"/>
      <c r="AB159" s="18"/>
      <c r="AC159" s="18"/>
      <c r="AD159" s="18"/>
      <c r="AE159" s="18"/>
      <c r="AF159" s="18"/>
      <c r="AG159" s="18"/>
      <c r="AH159" s="18"/>
      <c r="AI159" s="18"/>
    </row>
    <row r="160" spans="1:37" ht="16.5" customHeight="1">
      <c r="A160" s="125">
        <v>34</v>
      </c>
      <c r="B160" s="150" t="s">
        <v>282</v>
      </c>
      <c r="C160" s="208" t="e">
        <f>#REF!+#REF!-D160</f>
        <v>#REF!</v>
      </c>
      <c r="D160" s="18">
        <f t="shared" ref="D160:D172" si="40">E160+H160</f>
        <v>20000</v>
      </c>
      <c r="E160" s="18"/>
      <c r="F160" s="18"/>
      <c r="G160" s="18"/>
      <c r="H160" s="18">
        <f t="shared" si="39"/>
        <v>20000</v>
      </c>
      <c r="I160" s="18"/>
      <c r="J160" s="18"/>
      <c r="K160" s="18"/>
      <c r="L160" s="18"/>
      <c r="M160" s="18"/>
      <c r="N160" s="18"/>
      <c r="O160" s="18"/>
      <c r="P160" s="18"/>
      <c r="Q160" s="18"/>
      <c r="R160" s="18"/>
      <c r="S160" s="18"/>
      <c r="T160" s="18"/>
      <c r="U160" s="18"/>
      <c r="V160" s="18"/>
      <c r="W160" s="18"/>
      <c r="X160" s="18"/>
      <c r="Y160" s="18"/>
      <c r="Z160" s="18"/>
      <c r="AA160" s="18"/>
      <c r="AB160" s="151">
        <v>20000</v>
      </c>
      <c r="AC160" s="18"/>
      <c r="AD160" s="18"/>
      <c r="AE160" s="18"/>
      <c r="AF160" s="18"/>
      <c r="AG160" s="18"/>
      <c r="AH160" s="18"/>
      <c r="AI160" s="18"/>
    </row>
    <row r="161" spans="1:37" ht="15" customHeight="1">
      <c r="A161" s="125">
        <v>35</v>
      </c>
      <c r="B161" s="18" t="s">
        <v>84</v>
      </c>
      <c r="C161" s="208" t="e">
        <f>#REF!+#REF!-D161</f>
        <v>#REF!</v>
      </c>
      <c r="D161" s="18">
        <f t="shared" si="40"/>
        <v>5000</v>
      </c>
      <c r="E161" s="18"/>
      <c r="F161" s="18"/>
      <c r="G161" s="18"/>
      <c r="H161" s="18">
        <f t="shared" si="39"/>
        <v>5000</v>
      </c>
      <c r="I161" s="18"/>
      <c r="J161" s="18"/>
      <c r="K161" s="18"/>
      <c r="L161" s="18"/>
      <c r="M161" s="18"/>
      <c r="N161" s="18"/>
      <c r="O161" s="18"/>
      <c r="P161" s="18"/>
      <c r="Q161" s="18"/>
      <c r="R161" s="18"/>
      <c r="S161" s="18"/>
      <c r="T161" s="18">
        <v>5000</v>
      </c>
      <c r="U161" s="18"/>
      <c r="V161" s="18"/>
      <c r="W161" s="18"/>
      <c r="X161" s="18"/>
      <c r="Y161" s="18"/>
      <c r="Z161" s="18"/>
      <c r="AA161" s="18"/>
      <c r="AB161" s="18"/>
      <c r="AC161" s="18"/>
      <c r="AD161" s="18"/>
      <c r="AE161" s="18"/>
      <c r="AF161" s="18"/>
      <c r="AG161" s="18"/>
      <c r="AH161" s="18"/>
      <c r="AI161" s="18"/>
    </row>
    <row r="162" spans="1:37" ht="21.75" customHeight="1">
      <c r="A162" s="125">
        <v>36</v>
      </c>
      <c r="B162" s="126" t="s">
        <v>216</v>
      </c>
      <c r="C162" s="208" t="e">
        <f>#REF!+#REF!-D162</f>
        <v>#REF!</v>
      </c>
      <c r="D162" s="18">
        <f t="shared" si="40"/>
        <v>12000</v>
      </c>
      <c r="E162" s="18"/>
      <c r="F162" s="18"/>
      <c r="G162" s="18"/>
      <c r="H162" s="18">
        <f t="shared" si="39"/>
        <v>12000</v>
      </c>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v>12000</v>
      </c>
      <c r="AH162" s="18"/>
      <c r="AI162" s="18"/>
    </row>
    <row r="163" spans="1:37" ht="25.2">
      <c r="A163" s="125">
        <v>37</v>
      </c>
      <c r="B163" s="127" t="s">
        <v>97</v>
      </c>
      <c r="C163" s="208" t="e">
        <f>#REF!+#REF!-D163</f>
        <v>#REF!</v>
      </c>
      <c r="D163" s="18">
        <f t="shared" si="40"/>
        <v>5000</v>
      </c>
      <c r="E163" s="18"/>
      <c r="F163" s="18"/>
      <c r="G163" s="18"/>
      <c r="H163" s="18">
        <f t="shared" si="39"/>
        <v>5000</v>
      </c>
      <c r="I163" s="18"/>
      <c r="J163" s="18"/>
      <c r="K163" s="18"/>
      <c r="L163" s="18"/>
      <c r="M163" s="18"/>
      <c r="N163" s="18"/>
      <c r="O163" s="18"/>
      <c r="P163" s="18"/>
      <c r="Q163" s="18"/>
      <c r="R163" s="18"/>
      <c r="S163" s="18"/>
      <c r="T163" s="18"/>
      <c r="U163" s="18"/>
      <c r="V163" s="18"/>
      <c r="W163" s="18">
        <v>5000</v>
      </c>
      <c r="X163" s="18"/>
      <c r="Y163" s="18"/>
      <c r="Z163" s="18"/>
      <c r="AA163" s="18"/>
      <c r="AB163" s="18"/>
      <c r="AC163" s="18"/>
      <c r="AD163" s="18"/>
      <c r="AE163" s="18"/>
      <c r="AF163" s="18"/>
      <c r="AG163" s="18"/>
      <c r="AH163" s="18"/>
      <c r="AI163" s="18"/>
    </row>
    <row r="164" spans="1:37" ht="16.5" customHeight="1">
      <c r="A164" s="125">
        <v>38</v>
      </c>
      <c r="B164" s="127" t="s">
        <v>125</v>
      </c>
      <c r="C164" s="208" t="e">
        <f>#REF!+#REF!-D164</f>
        <v>#REF!</v>
      </c>
      <c r="D164" s="18">
        <f t="shared" si="40"/>
        <v>3000</v>
      </c>
      <c r="E164" s="18"/>
      <c r="F164" s="18"/>
      <c r="G164" s="18"/>
      <c r="H164" s="18">
        <f t="shared" si="39"/>
        <v>3000</v>
      </c>
      <c r="I164" s="18"/>
      <c r="J164" s="18"/>
      <c r="K164" s="18"/>
      <c r="L164" s="18"/>
      <c r="M164" s="18">
        <v>3000</v>
      </c>
      <c r="N164" s="18"/>
      <c r="O164" s="18"/>
      <c r="P164" s="18"/>
      <c r="Q164" s="18"/>
      <c r="R164" s="18"/>
      <c r="S164" s="18"/>
      <c r="T164" s="18"/>
      <c r="U164" s="18"/>
      <c r="V164" s="18"/>
      <c r="W164" s="18"/>
      <c r="X164" s="18"/>
      <c r="Y164" s="18"/>
      <c r="Z164" s="18"/>
      <c r="AA164" s="18"/>
      <c r="AB164" s="18"/>
      <c r="AC164" s="18"/>
      <c r="AD164" s="18"/>
      <c r="AE164" s="18"/>
      <c r="AF164" s="18"/>
      <c r="AG164" s="18"/>
      <c r="AH164" s="18"/>
      <c r="AI164" s="18"/>
    </row>
    <row r="165" spans="1:37" ht="13.5" customHeight="1">
      <c r="A165" s="125">
        <v>39</v>
      </c>
      <c r="B165" s="18" t="s">
        <v>90</v>
      </c>
      <c r="C165" s="208" t="e">
        <f>#REF!+#REF!-D165</f>
        <v>#REF!</v>
      </c>
      <c r="D165" s="18">
        <f t="shared" si="40"/>
        <v>500</v>
      </c>
      <c r="E165" s="18"/>
      <c r="F165" s="18"/>
      <c r="G165" s="18"/>
      <c r="H165" s="18">
        <f t="shared" si="39"/>
        <v>500</v>
      </c>
      <c r="I165" s="18"/>
      <c r="J165" s="18"/>
      <c r="K165" s="18"/>
      <c r="L165" s="18"/>
      <c r="M165" s="18"/>
      <c r="N165" s="18"/>
      <c r="O165" s="18"/>
      <c r="P165" s="18"/>
      <c r="Q165" s="18"/>
      <c r="R165" s="18"/>
      <c r="S165" s="18"/>
      <c r="T165" s="18"/>
      <c r="U165" s="18"/>
      <c r="V165" s="18"/>
      <c r="W165" s="18"/>
      <c r="X165" s="18">
        <v>500</v>
      </c>
      <c r="Y165" s="18"/>
      <c r="Z165" s="18"/>
      <c r="AA165" s="18"/>
      <c r="AB165" s="18"/>
      <c r="AC165" s="18"/>
      <c r="AD165" s="18"/>
      <c r="AE165" s="18"/>
      <c r="AF165" s="18"/>
      <c r="AG165" s="18"/>
      <c r="AH165" s="18"/>
      <c r="AI165" s="18"/>
    </row>
    <row r="166" spans="1:37" ht="14.25" customHeight="1">
      <c r="A166" s="125">
        <v>40</v>
      </c>
      <c r="B166" s="18" t="s">
        <v>98</v>
      </c>
      <c r="C166" s="208" t="e">
        <f>#REF!+#REF!-D166</f>
        <v>#REF!</v>
      </c>
      <c r="D166" s="18">
        <f t="shared" si="40"/>
        <v>3000</v>
      </c>
      <c r="E166" s="18"/>
      <c r="F166" s="18"/>
      <c r="G166" s="18"/>
      <c r="H166" s="18">
        <f t="shared" si="39"/>
        <v>3000</v>
      </c>
      <c r="I166" s="18"/>
      <c r="J166" s="18"/>
      <c r="K166" s="18"/>
      <c r="L166" s="18">
        <v>3000</v>
      </c>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row>
    <row r="167" spans="1:37" ht="20.25" customHeight="1">
      <c r="A167" s="125">
        <v>41</v>
      </c>
      <c r="B167" s="126" t="s">
        <v>281</v>
      </c>
      <c r="C167" s="208" t="e">
        <f>#REF!+#REF!-D167</f>
        <v>#REF!</v>
      </c>
      <c r="D167" s="18">
        <f t="shared" si="40"/>
        <v>100000</v>
      </c>
      <c r="E167" s="18"/>
      <c r="F167" s="18"/>
      <c r="G167" s="18"/>
      <c r="H167" s="18">
        <f t="shared" si="39"/>
        <v>100000</v>
      </c>
      <c r="I167" s="18"/>
      <c r="J167" s="18"/>
      <c r="K167" s="18"/>
      <c r="L167" s="18"/>
      <c r="M167" s="18"/>
      <c r="N167" s="18"/>
      <c r="O167" s="18"/>
      <c r="P167" s="18"/>
      <c r="Q167" s="18"/>
      <c r="R167" s="18"/>
      <c r="S167" s="18"/>
      <c r="T167" s="18"/>
      <c r="U167" s="18"/>
      <c r="V167" s="18"/>
      <c r="W167" s="18"/>
      <c r="X167" s="18"/>
      <c r="Y167" s="18"/>
      <c r="Z167" s="18"/>
      <c r="AA167" s="18"/>
      <c r="AB167" s="18"/>
      <c r="AC167" s="18">
        <v>100000</v>
      </c>
      <c r="AD167" s="18"/>
      <c r="AE167" s="18"/>
      <c r="AF167" s="18"/>
      <c r="AG167" s="18"/>
      <c r="AH167" s="18"/>
      <c r="AI167" s="18"/>
    </row>
    <row r="168" spans="1:37" ht="18" customHeight="1">
      <c r="A168" s="125">
        <v>42</v>
      </c>
      <c r="B168" s="18" t="s">
        <v>287</v>
      </c>
      <c r="C168" s="208" t="e">
        <f>#REF!+#REF!-D168</f>
        <v>#REF!</v>
      </c>
      <c r="D168" s="18">
        <f t="shared" si="40"/>
        <v>22878</v>
      </c>
      <c r="E168" s="18"/>
      <c r="F168" s="18"/>
      <c r="G168" s="18"/>
      <c r="H168" s="18">
        <f t="shared" si="39"/>
        <v>22878</v>
      </c>
      <c r="I168" s="18"/>
      <c r="J168" s="18"/>
      <c r="K168" s="18"/>
      <c r="L168" s="18"/>
      <c r="M168" s="18">
        <v>22878</v>
      </c>
      <c r="N168" s="18"/>
      <c r="O168" s="18"/>
      <c r="P168" s="18"/>
      <c r="Q168" s="18"/>
      <c r="R168" s="18"/>
      <c r="S168" s="18"/>
      <c r="T168" s="18"/>
      <c r="U168" s="18"/>
      <c r="V168" s="18"/>
      <c r="W168" s="18"/>
      <c r="X168" s="18"/>
      <c r="Y168" s="18"/>
      <c r="Z168" s="18"/>
      <c r="AA168" s="18"/>
      <c r="AB168" s="18"/>
      <c r="AC168" s="18"/>
      <c r="AD168" s="18"/>
      <c r="AE168" s="18"/>
      <c r="AF168" s="18"/>
      <c r="AG168" s="18"/>
      <c r="AH168" s="18"/>
      <c r="AI168" s="18"/>
    </row>
    <row r="169" spans="1:37" ht="38.25" customHeight="1">
      <c r="A169" s="158">
        <v>43</v>
      </c>
      <c r="B169" s="152" t="s">
        <v>284</v>
      </c>
      <c r="C169" s="208" t="e">
        <f>#REF!+#REF!-D169</f>
        <v>#REF!</v>
      </c>
      <c r="D169" s="18">
        <f t="shared" si="40"/>
        <v>224624</v>
      </c>
      <c r="E169" s="153">
        <f>G169</f>
        <v>0</v>
      </c>
      <c r="F169" s="153"/>
      <c r="G169" s="153"/>
      <c r="H169" s="153">
        <f t="shared" si="39"/>
        <v>224624</v>
      </c>
      <c r="I169" s="153"/>
      <c r="J169" s="153"/>
      <c r="K169" s="153"/>
      <c r="L169" s="153"/>
      <c r="M169" s="153"/>
      <c r="N169" s="153"/>
      <c r="O169" s="153">
        <f>55002-135</f>
        <v>54867</v>
      </c>
      <c r="P169" s="153"/>
      <c r="Q169" s="153"/>
      <c r="R169" s="153"/>
      <c r="S169" s="153"/>
      <c r="T169" s="153"/>
      <c r="U169" s="153"/>
      <c r="V169" s="153"/>
      <c r="W169" s="153"/>
      <c r="X169" s="153"/>
      <c r="Y169" s="153"/>
      <c r="Z169" s="153"/>
      <c r="AA169" s="153"/>
      <c r="AB169" s="153"/>
      <c r="AC169" s="153"/>
      <c r="AD169" s="153">
        <f>174998+135-5376</f>
        <v>169757</v>
      </c>
      <c r="AE169" s="153"/>
      <c r="AF169" s="153"/>
      <c r="AG169" s="153"/>
      <c r="AH169" s="18"/>
      <c r="AI169" s="18"/>
    </row>
    <row r="170" spans="1:37" ht="46.5" customHeight="1">
      <c r="A170" s="154">
        <v>44</v>
      </c>
      <c r="B170" s="130" t="s">
        <v>305</v>
      </c>
      <c r="C170" s="208" t="e">
        <f>#REF!+#REF!-D170</f>
        <v>#REF!</v>
      </c>
      <c r="D170" s="18">
        <f t="shared" si="40"/>
        <v>29000</v>
      </c>
      <c r="E170" s="155">
        <f>F170</f>
        <v>29000</v>
      </c>
      <c r="F170" s="155">
        <v>29000</v>
      </c>
      <c r="G170" s="155"/>
      <c r="H170" s="155">
        <f t="shared" si="39"/>
        <v>0</v>
      </c>
      <c r="I170" s="155"/>
      <c r="J170" s="155"/>
      <c r="K170" s="155"/>
      <c r="L170" s="155"/>
      <c r="M170" s="155"/>
      <c r="N170" s="155"/>
      <c r="O170" s="155"/>
      <c r="P170" s="155"/>
      <c r="Q170" s="155"/>
      <c r="R170" s="155"/>
      <c r="S170" s="155"/>
      <c r="T170" s="155"/>
      <c r="U170" s="155"/>
      <c r="V170" s="155"/>
      <c r="W170" s="155"/>
      <c r="X170" s="155"/>
      <c r="Y170" s="155"/>
      <c r="Z170" s="155"/>
      <c r="AA170" s="155"/>
      <c r="AB170" s="155"/>
      <c r="AC170" s="155"/>
      <c r="AD170" s="155"/>
      <c r="AE170" s="155"/>
      <c r="AF170" s="155"/>
      <c r="AG170" s="155"/>
      <c r="AH170" s="128"/>
      <c r="AI170" s="128"/>
    </row>
    <row r="171" spans="1:37" ht="24" customHeight="1">
      <c r="A171" s="129">
        <v>45</v>
      </c>
      <c r="B171" s="130" t="s">
        <v>276</v>
      </c>
      <c r="C171" s="208" t="e">
        <f>#REF!+#REF!-D171</f>
        <v>#REF!</v>
      </c>
      <c r="D171" s="18">
        <f t="shared" si="40"/>
        <v>420</v>
      </c>
      <c r="E171" s="128"/>
      <c r="F171" s="128"/>
      <c r="G171" s="128"/>
      <c r="H171" s="155">
        <f>Y171</f>
        <v>420</v>
      </c>
      <c r="I171" s="128"/>
      <c r="J171" s="128"/>
      <c r="K171" s="128"/>
      <c r="L171" s="128"/>
      <c r="M171" s="128"/>
      <c r="N171" s="128"/>
      <c r="O171" s="128"/>
      <c r="P171" s="128"/>
      <c r="Q171" s="128"/>
      <c r="R171" s="128"/>
      <c r="S171" s="128"/>
      <c r="T171" s="128"/>
      <c r="U171" s="128"/>
      <c r="V171" s="128"/>
      <c r="W171" s="128"/>
      <c r="X171" s="128"/>
      <c r="Y171" s="128">
        <v>420</v>
      </c>
      <c r="Z171" s="128"/>
      <c r="AA171" s="128"/>
      <c r="AB171" s="128"/>
      <c r="AC171" s="128"/>
      <c r="AD171" s="128"/>
      <c r="AE171" s="128"/>
      <c r="AF171" s="128"/>
      <c r="AG171" s="128"/>
      <c r="AH171" s="128"/>
      <c r="AI171" s="128"/>
    </row>
    <row r="172" spans="1:37" ht="33.6">
      <c r="A172" s="129">
        <v>46</v>
      </c>
      <c r="B172" s="130" t="s">
        <v>298</v>
      </c>
      <c r="C172" s="228"/>
      <c r="D172" s="18">
        <f t="shared" si="40"/>
        <v>10900</v>
      </c>
      <c r="E172" s="128">
        <f>G172</f>
        <v>0</v>
      </c>
      <c r="F172" s="128"/>
      <c r="G172" s="128"/>
      <c r="H172" s="155">
        <f>AA172</f>
        <v>10900</v>
      </c>
      <c r="I172" s="128"/>
      <c r="J172" s="128"/>
      <c r="K172" s="128"/>
      <c r="L172" s="128"/>
      <c r="M172" s="128"/>
      <c r="N172" s="128"/>
      <c r="O172" s="128"/>
      <c r="P172" s="128"/>
      <c r="Q172" s="128"/>
      <c r="R172" s="128"/>
      <c r="S172" s="128"/>
      <c r="T172" s="128"/>
      <c r="U172" s="128"/>
      <c r="V172" s="128"/>
      <c r="W172" s="128"/>
      <c r="X172" s="128"/>
      <c r="Y172" s="128"/>
      <c r="Z172" s="128"/>
      <c r="AA172" s="128">
        <v>10900</v>
      </c>
      <c r="AB172" s="128"/>
      <c r="AC172" s="128"/>
      <c r="AD172" s="128"/>
      <c r="AE172" s="128"/>
      <c r="AF172" s="128"/>
      <c r="AG172" s="128"/>
      <c r="AH172" s="128"/>
      <c r="AI172" s="128"/>
    </row>
    <row r="173" spans="1:37" s="132" customFormat="1" ht="18.75" customHeight="1">
      <c r="A173" s="23"/>
      <c r="B173" s="23" t="s">
        <v>162</v>
      </c>
      <c r="C173" s="209"/>
      <c r="D173" s="131">
        <f>E173+H173</f>
        <v>3033312</v>
      </c>
      <c r="E173" s="131">
        <f>E10+E18+E23+E28+E33+E39+E44+E49+E54+E60+E61+E66+E72+E77+E82+E88+E94+E101+E106+E107+E112+E117+E118+E130+E135+E136+E153+E154+E155+E156+E157+E158+E159+E160+E161+E162+E163+E164+E165+E166+E167+E168+E169+E170+E172</f>
        <v>29000</v>
      </c>
      <c r="F173" s="131">
        <f>F10+F18+F23+F28+F33+F39+F44+F49+F54+F60+F61+F66+F72+F77+F82+F88+F94+F101+F106+F107+F112+F117+F118+F130+F135+F136+F153+F154+F155+F156+F157+F158+F159+F160+F161+F162+F163+F164+F165+F166+F167+F168+F169+F170+F172</f>
        <v>29000</v>
      </c>
      <c r="G173" s="131">
        <f>G10+G18+G23+G28+G33+G39+G44+G49+G54+G60+G61+G66+G72+G77+G82+G88+G94+G101+G106+G107+G112+G117+G118+G130+G135+G136+G153+G154+G155+G156+G157+G158+G159+G160+G161+G162+G163+G164+G165+G166+G167+G168+G169+G170+G172</f>
        <v>0</v>
      </c>
      <c r="H173" s="131">
        <f>H10+H18+H23+H28+H33+H39+H44+H49+H54+H60+H61+H66+H72+H77+H82+H88+H94+H101+H106+H107+H112+H117+H118+H130+H135+H136+H153+H154+H155+H156+H157+H158+H159+H160+H161+H162+H163+H164+H165+H166+H167+H168+H169+H170+H171+H172</f>
        <v>3004312</v>
      </c>
      <c r="I173" s="131">
        <f t="shared" ref="I173:AG173" si="41">I10+I18+I23+I28+I33+I39+I44+I49+I54+I60+I61+I66+I72+I77+I82+I88+I94+I101+I106+I107+I112+I117+I118+I130+I135+I136+I153+I154+I155+I156+I157+I158+I159+I160+I161+I162+I163+I164+I165+I166+I167+I168+I169+I170+I171</f>
        <v>55997</v>
      </c>
      <c r="J173" s="131">
        <f t="shared" si="41"/>
        <v>97283</v>
      </c>
      <c r="K173" s="131">
        <f t="shared" si="41"/>
        <v>19728</v>
      </c>
      <c r="L173" s="131">
        <f t="shared" si="41"/>
        <v>28497</v>
      </c>
      <c r="M173" s="131">
        <f t="shared" si="41"/>
        <v>113896</v>
      </c>
      <c r="N173" s="131">
        <f t="shared" si="41"/>
        <v>9026</v>
      </c>
      <c r="O173" s="131">
        <f t="shared" si="41"/>
        <v>875054</v>
      </c>
      <c r="P173" s="131">
        <f t="shared" si="41"/>
        <v>590834</v>
      </c>
      <c r="Q173" s="131">
        <f t="shared" si="41"/>
        <v>59441</v>
      </c>
      <c r="R173" s="131">
        <f t="shared" si="41"/>
        <v>36365</v>
      </c>
      <c r="S173" s="131">
        <f t="shared" si="41"/>
        <v>44253</v>
      </c>
      <c r="T173" s="131">
        <f t="shared" si="41"/>
        <v>86982</v>
      </c>
      <c r="U173" s="131">
        <f t="shared" si="41"/>
        <v>33911</v>
      </c>
      <c r="V173" s="131">
        <f t="shared" si="41"/>
        <v>396102</v>
      </c>
      <c r="W173" s="131">
        <f t="shared" si="41"/>
        <v>54716</v>
      </c>
      <c r="X173" s="131">
        <f t="shared" si="41"/>
        <v>37968</v>
      </c>
      <c r="Y173" s="131">
        <f t="shared" si="41"/>
        <v>86009</v>
      </c>
      <c r="Z173" s="131">
        <f t="shared" si="41"/>
        <v>0</v>
      </c>
      <c r="AA173" s="131">
        <f>AA10+AA18+AA23+AA28+AA33+AA39+AA44+AA49+AA54+AA60+AA61+AA66+AA72+AA77+AA82+AA88+AA94+AA101+AA106+AA107+AA112+AA117+AA118+AA130+AA135+AA136+AA153+AA154+AA155+AA156+AA157+AA158+AA159+AA160+AA161+AA162+AA163+AA164+AA165+AA166+AA167+AA168+AA169+AA170+AA171+AA172</f>
        <v>10900</v>
      </c>
      <c r="AB173" s="131">
        <f t="shared" si="41"/>
        <v>20000</v>
      </c>
      <c r="AC173" s="131">
        <f t="shared" si="41"/>
        <v>100000</v>
      </c>
      <c r="AD173" s="131">
        <f t="shared" si="41"/>
        <v>169757</v>
      </c>
      <c r="AE173" s="131">
        <f t="shared" si="41"/>
        <v>59295</v>
      </c>
      <c r="AF173" s="131">
        <f t="shared" si="41"/>
        <v>0</v>
      </c>
      <c r="AG173" s="131">
        <f t="shared" si="41"/>
        <v>18298</v>
      </c>
      <c r="AH173" s="131">
        <f t="shared" ref="AH173:AK173" si="42">AH10+AH18+AH23+AH28+AH33+AH39+AH44+AH49+AH54+AH60+AH61+AH66+AH72+AH77+AH82+AH88+AH94+AH101+AH106+AH107+AH112+AH117+AH118+AH130+AH135+AH136+AH153+AH154+AH155+AH156+AH157+AH158+AH159+AH160+AH161+AH162+AH163+AH164+AH165+AH166+AH167+AH168+AH169+AH170</f>
        <v>164671</v>
      </c>
      <c r="AI173" s="131">
        <f t="shared" si="42"/>
        <v>1799360</v>
      </c>
      <c r="AJ173" s="131">
        <f t="shared" si="42"/>
        <v>299793</v>
      </c>
      <c r="AK173" s="131">
        <f t="shared" si="42"/>
        <v>71388</v>
      </c>
    </row>
    <row r="174" spans="1:37" s="132" customFormat="1" ht="18.75" hidden="1" customHeight="1">
      <c r="A174" s="133"/>
      <c r="B174" s="133"/>
      <c r="C174" s="210"/>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34"/>
      <c r="AA174" s="134"/>
      <c r="AB174" s="134"/>
      <c r="AC174" s="134"/>
      <c r="AD174" s="134"/>
      <c r="AE174" s="134"/>
      <c r="AF174" s="24"/>
      <c r="AG174" s="134"/>
      <c r="AH174" s="134"/>
      <c r="AI174" s="134"/>
      <c r="AJ174" s="135"/>
      <c r="AK174" s="135"/>
    </row>
    <row r="175" spans="1:37" s="132" customFormat="1" ht="18.75" hidden="1" customHeight="1">
      <c r="A175" s="133"/>
      <c r="B175" s="133"/>
      <c r="C175" s="210"/>
      <c r="D175" s="134"/>
      <c r="E175" s="134"/>
      <c r="F175" s="134"/>
      <c r="G175" s="134"/>
      <c r="H175" s="134"/>
      <c r="I175" s="134"/>
      <c r="J175" s="134"/>
      <c r="K175" s="134"/>
      <c r="L175" s="134"/>
      <c r="M175" s="134"/>
      <c r="N175" s="134"/>
      <c r="O175" s="134"/>
      <c r="P175" s="134"/>
      <c r="Q175" s="134"/>
      <c r="R175" s="134"/>
      <c r="S175" s="134"/>
      <c r="T175" s="134"/>
      <c r="U175" s="134"/>
      <c r="V175" s="134"/>
      <c r="W175" s="134"/>
      <c r="X175" s="134"/>
      <c r="Y175" s="134"/>
      <c r="Z175" s="134"/>
      <c r="AA175" s="134"/>
      <c r="AB175" s="134"/>
      <c r="AC175" s="134"/>
      <c r="AD175" s="134"/>
      <c r="AE175" s="134"/>
      <c r="AF175" s="24"/>
      <c r="AG175" s="134"/>
      <c r="AH175" s="134"/>
      <c r="AI175" s="134"/>
      <c r="AJ175" s="135"/>
      <c r="AK175" s="135"/>
    </row>
    <row r="176" spans="1:37" s="132" customFormat="1" ht="18.75" hidden="1" customHeight="1">
      <c r="A176" s="133"/>
      <c r="B176" s="133"/>
      <c r="C176" s="210"/>
      <c r="D176" s="134"/>
      <c r="E176" s="134"/>
      <c r="F176" s="134"/>
      <c r="G176" s="134"/>
      <c r="H176" s="134"/>
      <c r="I176" s="134"/>
      <c r="J176" s="134"/>
      <c r="K176" s="134"/>
      <c r="L176" s="134"/>
      <c r="M176" s="134"/>
      <c r="N176" s="134"/>
      <c r="O176" s="134"/>
      <c r="P176" s="134"/>
      <c r="Q176" s="134"/>
      <c r="R176" s="134"/>
      <c r="S176" s="134"/>
      <c r="T176" s="134"/>
      <c r="U176" s="134"/>
      <c r="V176" s="134"/>
      <c r="W176" s="134"/>
      <c r="X176" s="134"/>
      <c r="Y176" s="134"/>
      <c r="Z176" s="134"/>
      <c r="AA176" s="134"/>
      <c r="AB176" s="134"/>
      <c r="AC176" s="134"/>
      <c r="AD176" s="134"/>
      <c r="AE176" s="134"/>
      <c r="AF176" s="24"/>
      <c r="AG176" s="134"/>
      <c r="AH176" s="134"/>
      <c r="AI176" s="134"/>
      <c r="AJ176" s="135"/>
      <c r="AK176" s="135"/>
    </row>
    <row r="177" spans="1:37" s="132" customFormat="1" ht="18.75" hidden="1" customHeight="1">
      <c r="A177" s="133"/>
      <c r="B177" s="133"/>
      <c r="C177" s="210"/>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34"/>
      <c r="AA177" s="134"/>
      <c r="AB177" s="134"/>
      <c r="AC177" s="134"/>
      <c r="AD177" s="134"/>
      <c r="AE177" s="134"/>
      <c r="AF177" s="24"/>
      <c r="AG177" s="134"/>
      <c r="AH177" s="134"/>
      <c r="AI177" s="134"/>
      <c r="AJ177" s="135"/>
      <c r="AK177" s="135"/>
    </row>
    <row r="178" spans="1:37" s="132" customFormat="1" ht="18.75" hidden="1" customHeight="1">
      <c r="A178" s="133"/>
      <c r="B178" s="133"/>
      <c r="C178" s="210"/>
      <c r="D178" s="134"/>
      <c r="E178" s="134"/>
      <c r="F178" s="134"/>
      <c r="G178" s="134"/>
      <c r="H178" s="134"/>
      <c r="I178" s="134"/>
      <c r="J178" s="134"/>
      <c r="K178" s="134"/>
      <c r="L178" s="134"/>
      <c r="M178" s="134"/>
      <c r="N178" s="134"/>
      <c r="O178" s="134"/>
      <c r="P178" s="134"/>
      <c r="Q178" s="134"/>
      <c r="R178" s="134"/>
      <c r="S178" s="134"/>
      <c r="T178" s="134"/>
      <c r="U178" s="134"/>
      <c r="V178" s="134"/>
      <c r="W178" s="134"/>
      <c r="X178" s="134"/>
      <c r="Y178" s="134"/>
      <c r="Z178" s="134"/>
      <c r="AA178" s="134"/>
      <c r="AB178" s="134"/>
      <c r="AC178" s="134"/>
      <c r="AD178" s="134"/>
      <c r="AE178" s="134"/>
      <c r="AF178" s="24"/>
      <c r="AG178" s="134"/>
      <c r="AH178" s="134"/>
      <c r="AI178" s="134"/>
      <c r="AJ178" s="135"/>
      <c r="AK178" s="135"/>
    </row>
    <row r="179" spans="1:37" s="132" customFormat="1" ht="18.75" hidden="1" customHeight="1">
      <c r="A179" s="133"/>
      <c r="B179" s="133"/>
      <c r="C179" s="210"/>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34"/>
      <c r="AA179" s="134"/>
      <c r="AB179" s="134"/>
      <c r="AC179" s="134"/>
      <c r="AD179" s="134"/>
      <c r="AE179" s="134"/>
      <c r="AF179" s="24"/>
      <c r="AG179" s="134"/>
      <c r="AH179" s="134"/>
      <c r="AI179" s="134"/>
      <c r="AJ179" s="135"/>
      <c r="AK179" s="135"/>
    </row>
    <row r="180" spans="1:37" ht="15" hidden="1" customHeight="1">
      <c r="A180" s="136"/>
      <c r="B180" s="137"/>
      <c r="C180" s="211"/>
      <c r="D180" s="137"/>
      <c r="E180" s="137"/>
      <c r="F180" s="137"/>
      <c r="G180" s="137"/>
      <c r="H180" s="137"/>
      <c r="I180" s="137"/>
      <c r="J180" s="137"/>
      <c r="K180" s="137"/>
      <c r="L180" s="137"/>
      <c r="M180" s="137"/>
      <c r="N180" s="137"/>
      <c r="O180" s="137"/>
      <c r="P180" s="137"/>
      <c r="Q180" s="137"/>
      <c r="R180" s="137"/>
      <c r="S180" s="137"/>
      <c r="T180" s="137"/>
      <c r="U180" s="137"/>
      <c r="V180" s="137"/>
      <c r="W180" s="137"/>
      <c r="X180" s="137"/>
      <c r="Y180" s="137"/>
      <c r="Z180" s="137"/>
      <c r="AA180" s="137"/>
      <c r="AB180" s="137"/>
      <c r="AC180" s="137"/>
      <c r="AD180" s="137"/>
      <c r="AE180" s="137"/>
      <c r="AF180" s="24"/>
      <c r="AG180" s="137"/>
      <c r="AH180" s="137"/>
      <c r="AI180" s="138"/>
    </row>
    <row r="181" spans="1:37" ht="15" hidden="1" customHeight="1">
      <c r="A181" s="136">
        <v>32</v>
      </c>
      <c r="B181" s="137" t="s">
        <v>84</v>
      </c>
      <c r="C181" s="211"/>
      <c r="D181" s="137" t="e">
        <f t="shared" ref="D181:D200" si="43">E181+H181</f>
        <v>#REF!</v>
      </c>
      <c r="E181" s="137" t="e">
        <f>#REF!+G181</f>
        <v>#REF!</v>
      </c>
      <c r="F181" s="137"/>
      <c r="G181" s="137"/>
      <c r="H181" s="137">
        <f t="shared" ref="H181:H199" si="44">SUM(I181:AG181)</f>
        <v>6000</v>
      </c>
      <c r="I181" s="137"/>
      <c r="J181" s="137"/>
      <c r="K181" s="137"/>
      <c r="L181" s="137"/>
      <c r="M181" s="137"/>
      <c r="N181" s="137"/>
      <c r="O181" s="137"/>
      <c r="P181" s="137"/>
      <c r="Q181" s="137"/>
      <c r="R181" s="137"/>
      <c r="S181" s="137"/>
      <c r="T181" s="137">
        <v>6000</v>
      </c>
      <c r="U181" s="137"/>
      <c r="V181" s="137"/>
      <c r="W181" s="137"/>
      <c r="X181" s="137"/>
      <c r="Y181" s="137"/>
      <c r="Z181" s="137"/>
      <c r="AA181" s="137"/>
      <c r="AB181" s="137"/>
      <c r="AC181" s="137"/>
      <c r="AD181" s="137"/>
      <c r="AE181" s="137"/>
      <c r="AF181" s="24"/>
      <c r="AG181" s="137"/>
      <c r="AH181" s="137"/>
      <c r="AI181" s="137" t="e">
        <f>D181</f>
        <v>#REF!</v>
      </c>
    </row>
    <row r="182" spans="1:37" ht="34.5" hidden="1" customHeight="1">
      <c r="A182" s="136">
        <v>33</v>
      </c>
      <c r="B182" s="139" t="s">
        <v>102</v>
      </c>
      <c r="C182" s="212"/>
      <c r="D182" s="137" t="e">
        <f t="shared" si="43"/>
        <v>#REF!</v>
      </c>
      <c r="E182" s="137" t="e">
        <f>#REF!+G182</f>
        <v>#REF!</v>
      </c>
      <c r="F182" s="137"/>
      <c r="G182" s="137"/>
      <c r="H182" s="137">
        <f t="shared" si="44"/>
        <v>160007</v>
      </c>
      <c r="I182" s="137"/>
      <c r="J182" s="137"/>
      <c r="K182" s="137"/>
      <c r="L182" s="137"/>
      <c r="M182" s="137"/>
      <c r="N182" s="137"/>
      <c r="O182" s="137"/>
      <c r="P182" s="137">
        <v>160007</v>
      </c>
      <c r="Q182" s="137"/>
      <c r="R182" s="137"/>
      <c r="S182" s="137"/>
      <c r="T182" s="137"/>
      <c r="U182" s="137"/>
      <c r="V182" s="137"/>
      <c r="W182" s="137"/>
      <c r="X182" s="137"/>
      <c r="Y182" s="137"/>
      <c r="Z182" s="137"/>
      <c r="AA182" s="137"/>
      <c r="AB182" s="137"/>
      <c r="AC182" s="137"/>
      <c r="AD182" s="137"/>
      <c r="AE182" s="137"/>
      <c r="AF182" s="24"/>
      <c r="AG182" s="137"/>
      <c r="AH182" s="137"/>
      <c r="AI182" s="137" t="e">
        <f>D182</f>
        <v>#REF!</v>
      </c>
    </row>
    <row r="183" spans="1:37" ht="21.75" hidden="1" customHeight="1">
      <c r="A183" s="136">
        <v>34</v>
      </c>
      <c r="B183" s="139" t="s">
        <v>25</v>
      </c>
      <c r="C183" s="212"/>
      <c r="D183" s="137" t="e">
        <f t="shared" si="43"/>
        <v>#REF!</v>
      </c>
      <c r="E183" s="137" t="e">
        <f>#REF!+G183</f>
        <v>#REF!</v>
      </c>
      <c r="F183" s="137"/>
      <c r="G183" s="137"/>
      <c r="H183" s="137">
        <f t="shared" si="44"/>
        <v>0</v>
      </c>
      <c r="I183" s="137"/>
      <c r="J183" s="137"/>
      <c r="K183" s="137"/>
      <c r="L183" s="137"/>
      <c r="M183" s="137"/>
      <c r="N183" s="137"/>
      <c r="O183" s="137"/>
      <c r="P183" s="137"/>
      <c r="Q183" s="137"/>
      <c r="R183" s="137"/>
      <c r="S183" s="137"/>
      <c r="T183" s="137"/>
      <c r="U183" s="137"/>
      <c r="V183" s="137"/>
      <c r="W183" s="137"/>
      <c r="X183" s="137"/>
      <c r="Y183" s="137"/>
      <c r="Z183" s="137"/>
      <c r="AA183" s="137"/>
      <c r="AB183" s="137"/>
      <c r="AC183" s="137"/>
      <c r="AD183" s="137"/>
      <c r="AE183" s="137"/>
      <c r="AF183" s="24"/>
      <c r="AG183" s="137"/>
      <c r="AH183" s="137"/>
      <c r="AI183" s="137"/>
    </row>
    <row r="184" spans="1:37" ht="15" hidden="1" customHeight="1">
      <c r="A184" s="136">
        <v>35</v>
      </c>
      <c r="B184" s="137" t="s">
        <v>128</v>
      </c>
      <c r="C184" s="211"/>
      <c r="D184" s="137" t="e">
        <f t="shared" si="43"/>
        <v>#REF!</v>
      </c>
      <c r="E184" s="137" t="e">
        <f>#REF!+G184</f>
        <v>#REF!</v>
      </c>
      <c r="F184" s="137"/>
      <c r="G184" s="137"/>
      <c r="H184" s="137">
        <f t="shared" si="44"/>
        <v>0</v>
      </c>
      <c r="I184" s="137"/>
      <c r="J184" s="137"/>
      <c r="K184" s="137"/>
      <c r="L184" s="137"/>
      <c r="M184" s="137"/>
      <c r="N184" s="137"/>
      <c r="O184" s="137"/>
      <c r="P184" s="137"/>
      <c r="Q184" s="137"/>
      <c r="R184" s="137"/>
      <c r="S184" s="137"/>
      <c r="T184" s="137"/>
      <c r="U184" s="137"/>
      <c r="V184" s="137"/>
      <c r="W184" s="137"/>
      <c r="X184" s="137"/>
      <c r="Y184" s="137"/>
      <c r="Z184" s="137"/>
      <c r="AA184" s="137"/>
      <c r="AB184" s="137"/>
      <c r="AC184" s="137"/>
      <c r="AD184" s="137"/>
      <c r="AE184" s="137"/>
      <c r="AF184" s="24"/>
      <c r="AG184" s="137"/>
      <c r="AH184" s="137"/>
      <c r="AI184" s="137"/>
    </row>
    <row r="185" spans="1:37" ht="39" hidden="1" customHeight="1">
      <c r="A185" s="136">
        <v>36</v>
      </c>
      <c r="B185" s="139" t="s">
        <v>141</v>
      </c>
      <c r="C185" s="212"/>
      <c r="D185" s="137">
        <f t="shared" si="43"/>
        <v>0</v>
      </c>
      <c r="E185" s="137">
        <f>F185</f>
        <v>0</v>
      </c>
      <c r="F185" s="137"/>
      <c r="G185" s="137"/>
      <c r="H185" s="137">
        <f t="shared" si="44"/>
        <v>0</v>
      </c>
      <c r="I185" s="137"/>
      <c r="J185" s="137"/>
      <c r="K185" s="137"/>
      <c r="L185" s="137"/>
      <c r="M185" s="137"/>
      <c r="N185" s="137"/>
      <c r="O185" s="137"/>
      <c r="P185" s="137"/>
      <c r="Q185" s="137"/>
      <c r="R185" s="137"/>
      <c r="S185" s="137"/>
      <c r="T185" s="137"/>
      <c r="U185" s="137"/>
      <c r="V185" s="137"/>
      <c r="W185" s="137"/>
      <c r="X185" s="137"/>
      <c r="Y185" s="137"/>
      <c r="Z185" s="137"/>
      <c r="AA185" s="137"/>
      <c r="AB185" s="137"/>
      <c r="AC185" s="137"/>
      <c r="AD185" s="137"/>
      <c r="AE185" s="137"/>
      <c r="AF185" s="24"/>
      <c r="AG185" s="137"/>
      <c r="AH185" s="137"/>
      <c r="AI185" s="137"/>
    </row>
    <row r="186" spans="1:37" ht="14.25" hidden="1" customHeight="1">
      <c r="A186" s="136">
        <v>37</v>
      </c>
      <c r="B186" s="137" t="s">
        <v>127</v>
      </c>
      <c r="C186" s="211"/>
      <c r="D186" s="137" t="e">
        <f t="shared" si="43"/>
        <v>#REF!</v>
      </c>
      <c r="E186" s="140" t="e">
        <f>#REF!+F186+G186</f>
        <v>#REF!</v>
      </c>
      <c r="F186" s="137"/>
      <c r="G186" s="137"/>
      <c r="H186" s="137">
        <f t="shared" si="44"/>
        <v>0</v>
      </c>
      <c r="I186" s="137"/>
      <c r="J186" s="137"/>
      <c r="K186" s="137"/>
      <c r="L186" s="137"/>
      <c r="M186" s="137"/>
      <c r="N186" s="137"/>
      <c r="O186" s="137"/>
      <c r="P186" s="137"/>
      <c r="Q186" s="137"/>
      <c r="R186" s="137"/>
      <c r="S186" s="137"/>
      <c r="T186" s="137"/>
      <c r="U186" s="137"/>
      <c r="V186" s="137"/>
      <c r="W186" s="137"/>
      <c r="X186" s="137"/>
      <c r="Y186" s="137"/>
      <c r="Z186" s="137"/>
      <c r="AA186" s="137"/>
      <c r="AB186" s="137"/>
      <c r="AC186" s="137"/>
      <c r="AD186" s="137"/>
      <c r="AE186" s="137"/>
      <c r="AF186" s="24"/>
      <c r="AG186" s="137"/>
      <c r="AH186" s="137"/>
      <c r="AI186" s="137"/>
    </row>
    <row r="187" spans="1:37" ht="30.75" hidden="1" customHeight="1">
      <c r="A187" s="136">
        <v>38</v>
      </c>
      <c r="B187" s="140" t="s">
        <v>97</v>
      </c>
      <c r="C187" s="213"/>
      <c r="D187" s="137" t="e">
        <f t="shared" si="43"/>
        <v>#REF!</v>
      </c>
      <c r="E187" s="137" t="e">
        <f>#REF!+G187</f>
        <v>#REF!</v>
      </c>
      <c r="F187" s="137"/>
      <c r="G187" s="137"/>
      <c r="H187" s="137">
        <f t="shared" si="44"/>
        <v>0</v>
      </c>
      <c r="I187" s="137"/>
      <c r="J187" s="137"/>
      <c r="K187" s="137"/>
      <c r="L187" s="137"/>
      <c r="M187" s="137"/>
      <c r="N187" s="137"/>
      <c r="O187" s="137"/>
      <c r="P187" s="137"/>
      <c r="Q187" s="137"/>
      <c r="R187" s="137"/>
      <c r="S187" s="137"/>
      <c r="T187" s="137"/>
      <c r="U187" s="137"/>
      <c r="V187" s="137"/>
      <c r="W187" s="137"/>
      <c r="X187" s="137"/>
      <c r="Y187" s="137"/>
      <c r="Z187" s="137"/>
      <c r="AA187" s="137"/>
      <c r="AB187" s="137"/>
      <c r="AC187" s="137"/>
      <c r="AD187" s="137"/>
      <c r="AE187" s="137"/>
      <c r="AF187" s="24"/>
      <c r="AG187" s="137"/>
      <c r="AH187" s="137"/>
      <c r="AI187" s="137"/>
    </row>
    <row r="188" spans="1:37" ht="15" hidden="1" customHeight="1">
      <c r="A188" s="136">
        <v>39</v>
      </c>
      <c r="B188" s="137" t="s">
        <v>117</v>
      </c>
      <c r="C188" s="211"/>
      <c r="D188" s="137" t="e">
        <f t="shared" si="43"/>
        <v>#REF!</v>
      </c>
      <c r="E188" s="137" t="e">
        <f>#REF!+G188</f>
        <v>#REF!</v>
      </c>
      <c r="F188" s="137"/>
      <c r="G188" s="137"/>
      <c r="H188" s="137">
        <f t="shared" si="44"/>
        <v>0</v>
      </c>
      <c r="I188" s="137"/>
      <c r="J188" s="137"/>
      <c r="K188" s="137"/>
      <c r="L188" s="137"/>
      <c r="M188" s="137"/>
      <c r="N188" s="137"/>
      <c r="O188" s="137"/>
      <c r="P188" s="137"/>
      <c r="Q188" s="137"/>
      <c r="R188" s="137"/>
      <c r="S188" s="137"/>
      <c r="T188" s="137"/>
      <c r="U188" s="137"/>
      <c r="V188" s="137"/>
      <c r="W188" s="137"/>
      <c r="X188" s="137"/>
      <c r="Y188" s="137"/>
      <c r="Z188" s="137"/>
      <c r="AA188" s="137"/>
      <c r="AB188" s="137"/>
      <c r="AC188" s="137"/>
      <c r="AD188" s="137"/>
      <c r="AE188" s="137"/>
      <c r="AF188" s="24"/>
      <c r="AG188" s="137"/>
      <c r="AH188" s="137"/>
      <c r="AI188" s="137"/>
    </row>
    <row r="189" spans="1:37" ht="15" hidden="1" customHeight="1">
      <c r="A189" s="136">
        <v>40</v>
      </c>
      <c r="B189" s="137" t="s">
        <v>90</v>
      </c>
      <c r="C189" s="211"/>
      <c r="D189" s="137" t="e">
        <f t="shared" si="43"/>
        <v>#REF!</v>
      </c>
      <c r="E189" s="137" t="e">
        <f>#REF!+G189</f>
        <v>#REF!</v>
      </c>
      <c r="F189" s="137"/>
      <c r="G189" s="137"/>
      <c r="H189" s="137">
        <f t="shared" si="44"/>
        <v>0</v>
      </c>
      <c r="I189" s="137"/>
      <c r="J189" s="137"/>
      <c r="K189" s="137"/>
      <c r="L189" s="137"/>
      <c r="M189" s="137"/>
      <c r="N189" s="137"/>
      <c r="O189" s="137"/>
      <c r="P189" s="137"/>
      <c r="Q189" s="137"/>
      <c r="R189" s="137"/>
      <c r="S189" s="137"/>
      <c r="T189" s="137"/>
      <c r="U189" s="137"/>
      <c r="V189" s="137"/>
      <c r="W189" s="137"/>
      <c r="X189" s="137"/>
      <c r="Y189" s="137"/>
      <c r="Z189" s="137"/>
      <c r="AA189" s="137"/>
      <c r="AB189" s="137"/>
      <c r="AC189" s="137"/>
      <c r="AD189" s="137"/>
      <c r="AE189" s="137"/>
      <c r="AF189" s="24"/>
      <c r="AG189" s="137"/>
      <c r="AH189" s="137"/>
      <c r="AI189" s="137"/>
    </row>
    <row r="190" spans="1:37" ht="12" hidden="1" customHeight="1">
      <c r="A190" s="136">
        <v>41</v>
      </c>
      <c r="B190" s="140" t="s">
        <v>125</v>
      </c>
      <c r="C190" s="213"/>
      <c r="D190" s="137">
        <f t="shared" si="43"/>
        <v>0</v>
      </c>
      <c r="E190" s="140"/>
      <c r="F190" s="137"/>
      <c r="G190" s="137"/>
      <c r="H190" s="137">
        <f t="shared" si="44"/>
        <v>0</v>
      </c>
      <c r="I190" s="137"/>
      <c r="J190" s="137"/>
      <c r="K190" s="137"/>
      <c r="L190" s="137"/>
      <c r="M190" s="137"/>
      <c r="N190" s="137"/>
      <c r="O190" s="137"/>
      <c r="P190" s="137"/>
      <c r="Q190" s="137"/>
      <c r="R190" s="137"/>
      <c r="S190" s="137"/>
      <c r="T190" s="137"/>
      <c r="U190" s="137"/>
      <c r="V190" s="137"/>
      <c r="W190" s="137"/>
      <c r="X190" s="137"/>
      <c r="Y190" s="137"/>
      <c r="Z190" s="137"/>
      <c r="AA190" s="137"/>
      <c r="AB190" s="137"/>
      <c r="AC190" s="137"/>
      <c r="AD190" s="137"/>
      <c r="AE190" s="137"/>
      <c r="AF190" s="24"/>
      <c r="AG190" s="137"/>
      <c r="AH190" s="137"/>
      <c r="AI190" s="137"/>
    </row>
    <row r="191" spans="1:37" ht="15" hidden="1" customHeight="1">
      <c r="A191" s="136">
        <v>42</v>
      </c>
      <c r="B191" s="137" t="s">
        <v>92</v>
      </c>
      <c r="C191" s="211"/>
      <c r="D191" s="137">
        <f t="shared" si="43"/>
        <v>0</v>
      </c>
      <c r="E191" s="137"/>
      <c r="F191" s="137"/>
      <c r="G191" s="137"/>
      <c r="H191" s="137">
        <f t="shared" si="44"/>
        <v>0</v>
      </c>
      <c r="I191" s="137"/>
      <c r="J191" s="137"/>
      <c r="K191" s="137"/>
      <c r="L191" s="137"/>
      <c r="M191" s="137"/>
      <c r="N191" s="137"/>
      <c r="O191" s="137"/>
      <c r="P191" s="137"/>
      <c r="Q191" s="137"/>
      <c r="R191" s="137"/>
      <c r="S191" s="137"/>
      <c r="T191" s="137"/>
      <c r="U191" s="137"/>
      <c r="V191" s="137"/>
      <c r="W191" s="137"/>
      <c r="X191" s="137"/>
      <c r="Y191" s="137"/>
      <c r="Z191" s="137"/>
      <c r="AA191" s="137"/>
      <c r="AB191" s="137"/>
      <c r="AC191" s="137"/>
      <c r="AD191" s="137"/>
      <c r="AE191" s="137"/>
      <c r="AF191" s="24"/>
      <c r="AG191" s="137"/>
      <c r="AH191" s="137"/>
      <c r="AI191" s="137"/>
    </row>
    <row r="192" spans="1:37" ht="12" hidden="1" customHeight="1">
      <c r="A192" s="136">
        <v>43</v>
      </c>
      <c r="B192" s="137" t="s">
        <v>98</v>
      </c>
      <c r="C192" s="211"/>
      <c r="D192" s="137">
        <f t="shared" si="43"/>
        <v>0</v>
      </c>
      <c r="E192" s="137"/>
      <c r="F192" s="137"/>
      <c r="G192" s="137"/>
      <c r="H192" s="137">
        <f t="shared" si="44"/>
        <v>0</v>
      </c>
      <c r="I192" s="137"/>
      <c r="J192" s="137"/>
      <c r="K192" s="137"/>
      <c r="L192" s="137"/>
      <c r="M192" s="137"/>
      <c r="N192" s="137"/>
      <c r="O192" s="137"/>
      <c r="P192" s="137"/>
      <c r="Q192" s="137"/>
      <c r="R192" s="137"/>
      <c r="S192" s="137"/>
      <c r="T192" s="137"/>
      <c r="U192" s="137"/>
      <c r="V192" s="137"/>
      <c r="W192" s="137"/>
      <c r="X192" s="137"/>
      <c r="Y192" s="137"/>
      <c r="Z192" s="137"/>
      <c r="AA192" s="137"/>
      <c r="AB192" s="137"/>
      <c r="AC192" s="137"/>
      <c r="AD192" s="137"/>
      <c r="AE192" s="137"/>
      <c r="AF192" s="24"/>
      <c r="AG192" s="137"/>
      <c r="AH192" s="137"/>
      <c r="AI192" s="137">
        <f>D192</f>
        <v>0</v>
      </c>
    </row>
    <row r="193" spans="1:37" s="24" customFormat="1" ht="16.5" hidden="1" customHeight="1">
      <c r="A193" s="136">
        <v>44</v>
      </c>
      <c r="B193" s="140" t="s">
        <v>126</v>
      </c>
      <c r="C193" s="213"/>
      <c r="D193" s="141">
        <f t="shared" si="43"/>
        <v>0</v>
      </c>
      <c r="E193" s="141"/>
      <c r="F193" s="141"/>
      <c r="G193" s="141"/>
      <c r="H193" s="141">
        <f t="shared" si="44"/>
        <v>0</v>
      </c>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G193" s="141"/>
      <c r="AH193" s="141"/>
      <c r="AI193" s="141"/>
      <c r="AJ193" s="29"/>
      <c r="AK193" s="29"/>
    </row>
    <row r="194" spans="1:37" ht="12.75" hidden="1" customHeight="1">
      <c r="A194" s="136">
        <v>45</v>
      </c>
      <c r="B194" s="137" t="s">
        <v>140</v>
      </c>
      <c r="C194" s="211"/>
      <c r="D194" s="137">
        <f t="shared" si="43"/>
        <v>0</v>
      </c>
      <c r="E194" s="137"/>
      <c r="F194" s="137"/>
      <c r="G194" s="137"/>
      <c r="H194" s="137">
        <f t="shared" si="44"/>
        <v>0</v>
      </c>
      <c r="I194" s="137"/>
      <c r="J194" s="137"/>
      <c r="K194" s="137"/>
      <c r="L194" s="137"/>
      <c r="M194" s="137"/>
      <c r="N194" s="137"/>
      <c r="O194" s="137"/>
      <c r="P194" s="137"/>
      <c r="Q194" s="137"/>
      <c r="R194" s="137"/>
      <c r="S194" s="137"/>
      <c r="T194" s="137"/>
      <c r="U194" s="137"/>
      <c r="V194" s="137"/>
      <c r="W194" s="137"/>
      <c r="X194" s="137"/>
      <c r="Y194" s="137"/>
      <c r="Z194" s="137"/>
      <c r="AA194" s="137"/>
      <c r="AB194" s="137"/>
      <c r="AC194" s="137"/>
      <c r="AD194" s="137"/>
      <c r="AE194" s="137"/>
      <c r="AF194" s="24"/>
      <c r="AG194" s="137"/>
      <c r="AH194" s="137"/>
      <c r="AI194" s="137"/>
    </row>
    <row r="195" spans="1:37" ht="12.75" hidden="1" customHeight="1">
      <c r="A195" s="136">
        <v>46</v>
      </c>
      <c r="B195" s="137" t="s">
        <v>99</v>
      </c>
      <c r="C195" s="211"/>
      <c r="D195" s="137">
        <f t="shared" si="43"/>
        <v>0</v>
      </c>
      <c r="E195" s="137"/>
      <c r="F195" s="137"/>
      <c r="G195" s="137"/>
      <c r="H195" s="137">
        <f t="shared" si="44"/>
        <v>0</v>
      </c>
      <c r="I195" s="137"/>
      <c r="J195" s="137"/>
      <c r="K195" s="137"/>
      <c r="L195" s="137"/>
      <c r="M195" s="137"/>
      <c r="N195" s="137"/>
      <c r="O195" s="137"/>
      <c r="P195" s="137"/>
      <c r="Q195" s="137"/>
      <c r="R195" s="137"/>
      <c r="S195" s="137"/>
      <c r="T195" s="137"/>
      <c r="U195" s="137"/>
      <c r="V195" s="137"/>
      <c r="W195" s="137"/>
      <c r="X195" s="137"/>
      <c r="Y195" s="137"/>
      <c r="Z195" s="137"/>
      <c r="AA195" s="137"/>
      <c r="AB195" s="137"/>
      <c r="AC195" s="137"/>
      <c r="AD195" s="137"/>
      <c r="AE195" s="137"/>
      <c r="AF195" s="24"/>
      <c r="AG195" s="137"/>
      <c r="AH195" s="137"/>
      <c r="AI195" s="137"/>
    </row>
    <row r="196" spans="1:37" ht="38.25" hidden="1" customHeight="1">
      <c r="A196" s="136">
        <v>47</v>
      </c>
      <c r="B196" s="140" t="s">
        <v>150</v>
      </c>
      <c r="C196" s="213"/>
      <c r="D196" s="137">
        <f t="shared" si="43"/>
        <v>60000</v>
      </c>
      <c r="E196" s="137">
        <f>F196</f>
        <v>60000</v>
      </c>
      <c r="F196" s="137">
        <v>60000</v>
      </c>
      <c r="G196" s="137"/>
      <c r="H196" s="137">
        <f t="shared" si="44"/>
        <v>0</v>
      </c>
      <c r="I196" s="137"/>
      <c r="J196" s="137"/>
      <c r="K196" s="137"/>
      <c r="L196" s="137"/>
      <c r="M196" s="137"/>
      <c r="N196" s="137"/>
      <c r="O196" s="137"/>
      <c r="P196" s="137"/>
      <c r="Q196" s="137"/>
      <c r="R196" s="137"/>
      <c r="S196" s="137"/>
      <c r="T196" s="137"/>
      <c r="U196" s="137"/>
      <c r="V196" s="137"/>
      <c r="W196" s="137"/>
      <c r="X196" s="137"/>
      <c r="Y196" s="137"/>
      <c r="Z196" s="137"/>
      <c r="AA196" s="137"/>
      <c r="AB196" s="137"/>
      <c r="AC196" s="137"/>
      <c r="AD196" s="137"/>
      <c r="AE196" s="137"/>
      <c r="AF196" s="24"/>
      <c r="AG196" s="137"/>
      <c r="AH196" s="137"/>
      <c r="AI196" s="137">
        <f>D196</f>
        <v>60000</v>
      </c>
    </row>
    <row r="197" spans="1:37" ht="23.25" hidden="1" customHeight="1">
      <c r="A197" s="136">
        <v>48</v>
      </c>
      <c r="B197" s="142" t="s">
        <v>122</v>
      </c>
      <c r="C197" s="214"/>
      <c r="D197" s="137">
        <f t="shared" si="43"/>
        <v>0</v>
      </c>
      <c r="E197" s="143"/>
      <c r="F197" s="143"/>
      <c r="G197" s="143"/>
      <c r="H197" s="137">
        <f t="shared" si="44"/>
        <v>0</v>
      </c>
      <c r="I197" s="143"/>
      <c r="J197" s="143"/>
      <c r="K197" s="143"/>
      <c r="L197" s="143"/>
      <c r="M197" s="143"/>
      <c r="N197" s="143"/>
      <c r="O197" s="143"/>
      <c r="P197" s="143"/>
      <c r="Q197" s="143"/>
      <c r="R197" s="143"/>
      <c r="S197" s="143"/>
      <c r="T197" s="143"/>
      <c r="U197" s="143"/>
      <c r="V197" s="143"/>
      <c r="W197" s="143"/>
      <c r="X197" s="143"/>
      <c r="Y197" s="143"/>
      <c r="Z197" s="143"/>
      <c r="AA197" s="143"/>
      <c r="AB197" s="143"/>
      <c r="AC197" s="143"/>
      <c r="AD197" s="143"/>
      <c r="AE197" s="143"/>
      <c r="AF197" s="24"/>
      <c r="AG197" s="143"/>
      <c r="AH197" s="143"/>
      <c r="AI197" s="143"/>
    </row>
    <row r="198" spans="1:37" ht="18.75" hidden="1" customHeight="1">
      <c r="A198" s="136">
        <v>49</v>
      </c>
      <c r="B198" s="142" t="s">
        <v>144</v>
      </c>
      <c r="C198" s="214"/>
      <c r="D198" s="137">
        <f t="shared" si="43"/>
        <v>0</v>
      </c>
      <c r="E198" s="143">
        <f>F198</f>
        <v>0</v>
      </c>
      <c r="F198" s="143"/>
      <c r="G198" s="143"/>
      <c r="H198" s="137">
        <f t="shared" si="44"/>
        <v>0</v>
      </c>
      <c r="I198" s="143"/>
      <c r="J198" s="143"/>
      <c r="K198" s="143"/>
      <c r="L198" s="143"/>
      <c r="M198" s="143"/>
      <c r="N198" s="143"/>
      <c r="O198" s="143"/>
      <c r="P198" s="143"/>
      <c r="Q198" s="143"/>
      <c r="R198" s="143"/>
      <c r="S198" s="143"/>
      <c r="T198" s="143"/>
      <c r="U198" s="143"/>
      <c r="V198" s="143"/>
      <c r="W198" s="143"/>
      <c r="X198" s="143"/>
      <c r="Y198" s="143"/>
      <c r="Z198" s="143"/>
      <c r="AA198" s="143"/>
      <c r="AB198" s="143"/>
      <c r="AC198" s="143"/>
      <c r="AD198" s="143"/>
      <c r="AE198" s="143"/>
      <c r="AF198" s="24"/>
      <c r="AG198" s="143"/>
      <c r="AH198" s="143"/>
      <c r="AI198" s="143"/>
    </row>
    <row r="199" spans="1:37" ht="18" hidden="1" customHeight="1">
      <c r="A199" s="144">
        <v>50</v>
      </c>
      <c r="B199" s="145" t="s">
        <v>135</v>
      </c>
      <c r="C199" s="215"/>
      <c r="D199" s="145">
        <f t="shared" si="43"/>
        <v>0</v>
      </c>
      <c r="E199" s="145"/>
      <c r="F199" s="145"/>
      <c r="G199" s="145"/>
      <c r="H199" s="145">
        <f t="shared" si="44"/>
        <v>0</v>
      </c>
      <c r="I199" s="145"/>
      <c r="J199" s="145"/>
      <c r="K199" s="145"/>
      <c r="L199" s="145"/>
      <c r="M199" s="145"/>
      <c r="N199" s="145"/>
      <c r="O199" s="145"/>
      <c r="P199" s="145"/>
      <c r="Q199" s="145"/>
      <c r="R199" s="145"/>
      <c r="S199" s="145"/>
      <c r="T199" s="145"/>
      <c r="U199" s="145"/>
      <c r="V199" s="145"/>
      <c r="W199" s="145"/>
      <c r="X199" s="145"/>
      <c r="Y199" s="145"/>
      <c r="Z199" s="145"/>
      <c r="AA199" s="145"/>
      <c r="AB199" s="145"/>
      <c r="AC199" s="145"/>
      <c r="AD199" s="145"/>
      <c r="AE199" s="145"/>
      <c r="AF199" s="24"/>
      <c r="AG199" s="145"/>
      <c r="AH199" s="145"/>
      <c r="AI199" s="145"/>
    </row>
    <row r="200" spans="1:37" s="132" customFormat="1" ht="18.75" hidden="1" customHeight="1">
      <c r="A200" s="23"/>
      <c r="B200" s="146" t="s">
        <v>153</v>
      </c>
      <c r="C200" s="216"/>
      <c r="D200" s="147" t="e">
        <f t="shared" si="43"/>
        <v>#REF!</v>
      </c>
      <c r="E200" s="147" t="e">
        <f>E185+E10+E18+E23+E28+E33+E39+E44+E49+E54+E60+E61+E66+E72+E77+E82+E88+E94+E101+E106+E107+E112+E117+E118+#REF!+E130+E135+E153+E154+E155+E156+E181+E182+E183+E184+E186+E187+E190+E192+E188+E189+E191+E136+E193+E194+E195+E196+E199+E197+E198</f>
        <v>#REF!</v>
      </c>
      <c r="F200" s="147" t="e">
        <f>F185+F10+F18+F23+F28+F33+F39+F44+F49+F54+F60+F61+F66+F72+F77+F82+F88+F94+F101+F106+F107+F112+F117+F118+#REF!+F130+F135+F153+F154+F155+F156+F181+F182+F183+F184+F186+F187+F190+F192+F188+F189+F191+F136+F193+F194+F195+F196+F199+F197+F198</f>
        <v>#REF!</v>
      </c>
      <c r="G200" s="147" t="e">
        <f>G185+G10+G18+G23+G28+G33+G39+G44+G49+G54+G60+G61+G66+G72+G77+G82+G88+G94+G101+G106+G107+G112+G117+G118+#REF!+G130+G135+G153+G154+G155+G156+G181+G182+G183+G184+G186+G187+G190+G192+G188+G189+G191+G136+G193+G194+G195+G196+G199+G197+G198</f>
        <v>#REF!</v>
      </c>
      <c r="H200" s="147" t="e">
        <f>H185+H10+H18+H23+H28+H33+H39+H44+H49+H54+H60+H61+H66+H72+H77+H82+H88+H94+H101+H106+H107+H112+H117+H118+#REF!+H130+H135+H153+H154+H155+H156+H181+H182+H183+H184+H186+H187+H190+H192+H188+H189+H191+H136+H193+H194+H195+H196+H199+H197+H198+H157+H158+H159+#REF!</f>
        <v>#REF!</v>
      </c>
      <c r="I200" s="147" t="e">
        <f>I185+I10+I18+I23+I28+I33+I39+I44+I49+I54+I60+I61+I66+I72+I77+I82+I88+I94+I101+I106+I107+I112+I117+I118+#REF!+I130+I135+I153+I154+I155+I156+I181+I182+I183+I184+I186+I187+I190+I192+I188+I189+I191+I136+I193+I194+I195+I196+I199+I197+I198+I157+I158+I159+#REF!</f>
        <v>#REF!</v>
      </c>
      <c r="J200" s="147" t="e">
        <f>J185+J10+J18+J23+J28+J33+J39+J44+J49+J54+J60+J61+J66+J72+J77+J82+J88+J94+J101+J106+J107+J112+J117+J118+#REF!+J130+J135+J153+J154+J155+J156+J181+J182+J183+J184+J186+J187+J190+J192+J188+J189+J191+J136+J193+J194+J195+J196+J199+J197+J198+J157+J158+J159+#REF!</f>
        <v>#REF!</v>
      </c>
      <c r="K200" s="147" t="e">
        <f>K185+K10+K18+K23+K28+K33+K39+K44+K49+K54+K60+K61+K66+K72+K77+K82+K88+K94+K101+K106+K107+K112+K117+K118+#REF!+K130+K135+K153+K154+K155+K156+K181+K182+K183+K184+K186+K187+K190+K192+K188+K189+K191+K136+K193+K194+K195+K196+K199+K197+K198+K157+K158+K159+#REF!</f>
        <v>#REF!</v>
      </c>
      <c r="L200" s="147" t="e">
        <f>L185+L10+L18+L23+L28+L33+L39+L44+L49+L54+L60+L61+L66+L72+L77+L82+L88+L94+L101+L106+L107+L112+L117+L118+#REF!+L130+L135+L153+L154+L155+L156+L181+L182+L183+L184+L186+L187+L190+L192+L188+L189+L191+L136+L193+L194+L195+L196+L199+L197+L198+L157+L158+L159+#REF!</f>
        <v>#REF!</v>
      </c>
      <c r="M200" s="147" t="e">
        <f>M185+M10+M18+M23+M28+M33+M39+M44+M49+M54+M60+M61+M66+M72+M77+M82+M88+M94+M101+M106+M107+M112+M117+M118+#REF!+M130+M135+M153+M154+M155+M156+M181+M182+M183+M184+M186+M187+M190+M192+M188+M189+M191+M136+M193+M194+M195+M196+M199+M197+M198+M157+M158+M159+#REF!</f>
        <v>#REF!</v>
      </c>
      <c r="N200" s="147" t="e">
        <f>N185+N10+N18+N23+N28+N33+N39+N44+N49+N54+N60+N61+N66+N72+N77+N82+N88+N94+N101+N106+N107+N112+N117+N118+#REF!+N130+N135+N153+N154+N155+N156+N181+N182+N183+N184+N186+N187+N190+N192+N188+N189+N191+N136+N193+N194+N195+N196+N199+N197+N198+N157+N158+N159+#REF!</f>
        <v>#REF!</v>
      </c>
      <c r="O200" s="147" t="e">
        <f>O185+O10+O18+O23+O28+O33+O39+O44+O49+O54+O60+O61+O66+O72+O77+O82+O88+O94+O101+O106+O107+O112+O117+O118+#REF!+O130+O135+O153+O154+O155+O156+O181+O182+O183+O184+O186+O187+O190+O192+O188+O189+O191+O136+O193+O194+O195+O196+O199+O197+O198+O157+O158+O159+#REF!</f>
        <v>#REF!</v>
      </c>
      <c r="P200" s="147" t="e">
        <f>P185+P10+P18+P23+P28+P33+P39+P44+P49+P54+P60+P61+P66+P72+P77+P82+P88+P94+P101+P106+P107+P112+P117+P118+#REF!+P130+P135+P153+P154+P155+P156+P181+P182+P183+P184+P186+P187+P190+P192+P188+P189+P191+P136+P193+P194+P195+P196+P199+P197+P198+P157+P158+P159+#REF!</f>
        <v>#REF!</v>
      </c>
      <c r="Q200" s="147" t="e">
        <f>Q185+Q10+Q18+Q23+Q28+Q33+Q39+Q44+Q49+Q54+Q60+Q61+Q66+Q72+Q77+Q82+Q88+Q94+Q101+Q106+Q107+Q112+Q117+Q118+#REF!+Q130+Q135+Q153+Q154+Q155+Q156+Q181+Q182+Q183+Q184+Q186+Q187+Q190+Q192+Q188+Q189+Q191+Q136+Q193+Q194+Q195+Q196+Q199+Q197+Q198+Q157+Q158+Q159+#REF!</f>
        <v>#REF!</v>
      </c>
      <c r="R200" s="147" t="e">
        <f>R185+R10+R18+R23+R28+R33+R39+R44+R49+R54+R60+R61+R66+R72+R77+R82+R88+R94+R101+R106+R107+R112+R117+R118+#REF!+R130+R135+R153+R154+R155+R156+R181+R182+R183+R184+R186+R187+R190+R192+R188+R189+R191+R136+R193+R194+R195+R196+R199+R197+R198+R157+R158+R159+#REF!</f>
        <v>#REF!</v>
      </c>
      <c r="S200" s="147" t="e">
        <f>S185+S10+S18+S23+S28+S33+S39+S44+S49+S54+S60+S61+S66+S72+S77+S82+S88+S94+S101+S106+S107+S112+S117+S118+#REF!+S130+S135+S153+S154+S155+S156+S181+S182+S183+S184+S186+S187+S190+S192+S188+S189+S191+S136+S193+S194+S195+S196+S199+S197+S198+S157+S158+S159+#REF!</f>
        <v>#REF!</v>
      </c>
      <c r="T200" s="147" t="e">
        <f>T185+T10+T18+T23+T28+T33+T39+T44+T49+T54+T60+T61+T66+T72+T77+T82+T88+T94+T101+T106+T107+T112+T117+T118+#REF!+T130+T135+T153+T154+T155+T156+T181+T182+T183+T184+T186+T187+T190+T192+T188+T189+T191+T136+T193+T194+T195+T196+T199+T197+T198+T157+T158+T159+#REF!</f>
        <v>#REF!</v>
      </c>
      <c r="U200" s="147" t="e">
        <f>U185+U10+U18+U23+U28+U33+U39+U44+U49+U54+U60+U61+U66+U72+U77+U82+U88+U94+U101+U106+U107+U112+U117+U118+#REF!+U130+U135+U153+U154+U155+U156+U181+U182+U183+U184+U186+U187+U190+U192+U188+U189+U191+U136+U193+U194+U195+U196+U199+U197+U198+U157+U158+U159+#REF!</f>
        <v>#REF!</v>
      </c>
      <c r="V200" s="147" t="e">
        <f>V185+V10+V18+V23+V28+V33+V39+V44+V49+V54+V60+V61+V66+V72+V77+V82+V88+V94+V101+V106+V107+V112+V117+V118+#REF!+V130+V135+V153+V154+V155+V156+V181+V182+V183+V184+V186+V187+V190+V192+V188+V189+V191+V136+V193+V194+V195+V196+V199+V197+V198+V157+V158+V159+#REF!</f>
        <v>#REF!</v>
      </c>
      <c r="W200" s="147" t="e">
        <f>W185+W10+W18+W23+W28+W33+W39+W44+W49+W54+W60+W61+W66+W72+W77+W82+W88+W94+W101+W106+W107+W112+W117+W118+#REF!+W130+W135+W153+W154+W155+W156+W181+W182+W183+W184+W186+W187+W190+W192+W188+W189+W191+W136+W193+W194+W195+W196+W199+W197+W198+W157+W158+W159+#REF!</f>
        <v>#REF!</v>
      </c>
      <c r="X200" s="147" t="e">
        <f>X185+X10+X18+X23+X28+X33+X39+X44+X49+X54+X60+X61+X66+X72+X77+X82+X88+X94+X101+X106+X107+X112+X117+X118+#REF!+X130+X135+X153+X154+X155+X156+X181+X182+X183+X184+X186+X187+X190+X192+X188+X189+X191+X136+X193+X194+X195+X196+X199+X197+X198+X157+X158+X159+#REF!</f>
        <v>#REF!</v>
      </c>
      <c r="Y200" s="147" t="e">
        <f>Y185+Y10+Y18+Y23+Y28+Y33+Y39+Y44+Y49+Y54+Y60+Y61+Y66+Y72+Y77+Y82+Y88+Y94+Y101+Y106+Y107+Y112+Y117+Y118+#REF!+Y130+Y135+Y153+Y154+Y155+Y156+Y181+Y182+Y183+Y184+Y186+Y187+Y190+Y192+Y188+Y189+Y191+Y136+Y193+Y194+Y195+Y196+Y199+Y197+Y198+Y157+Y158+Y159+#REF!</f>
        <v>#REF!</v>
      </c>
      <c r="Z200" s="147" t="e">
        <f>Z185+Z10+Z18+Z23+Z28+Z33+Z39+Z44+Z49+Z54+Z60+Z61+Z66+Z72+Z77+Z82+Z88+Z94+Z101+Z106+Z107+Z112+Z117+Z118+#REF!+Z130+Z135+Z153+Z154+Z155+Z156+Z181+Z182+Z183+Z184+Z186+Z187+Z190+Z192+Z188+Z189+Z191+Z136+Z193+Z194+Z195+Z196+Z199+Z197+Z198+Z157+Z158+Z159+#REF!</f>
        <v>#REF!</v>
      </c>
      <c r="AA200" s="147"/>
      <c r="AB200" s="147"/>
      <c r="AC200" s="147"/>
      <c r="AD200" s="147"/>
      <c r="AE200" s="147" t="e">
        <f>AE185+AE10+AE18+AE23+AE28+AE33+AE39+AE44+AE49+AE54+AE60+AE61+AE66+AE72+AE77+AE82+AE88+AE94+AE101+AE106+AE107+AE112+AE117+AE118+#REF!+AE130+AE135+AE153+AE154+AE155+AE156+AE181+AE182+AE183+AE184+AE186+AE187+AE190+AE192+AE188+AE189+AE191+AE136+AE193+AE194+AE195+AE196+AE199+AE197+AE198+AE157+AE158+AE159+#REF!</f>
        <v>#REF!</v>
      </c>
      <c r="AF200" s="24"/>
      <c r="AG200" s="147" t="e">
        <f>AG185+AG10+AG18+AG23+AG28+AG33+AG39+AG44+AG49+AG54+AG60+AG61+AG66+AG72+AG77+AG82+AG88+AG94+AG101+AG106+AG107+AG112+AG117+AG118+#REF!+AG130+AG135+AG153+AG154+AG155+AG156+AG181+AG182+AG183+AG184+AG186+AG187+AG190+AG192+AG188+AG189+AG191+AG136+AG193+AG194+AG195+AG196+AG199+AG197+AG198+AG157+AG158+AG159+#REF!</f>
        <v>#REF!</v>
      </c>
      <c r="AH200" s="147" t="e">
        <f>AH185+AH10+AH18+AH23+AH28+AH33+AH39+AH44+AH49+AH54+AH60+AH61+AH66+AH72+AH77+AH82+AH88+AH94+AH101+AH106+AH107+AH112+AH117+AH118+#REF!+AH130+AH135+AH153+AH154+AH155+AH156+AH181+AH182+AH183+AH184+AH186+AH187+AH190+AH192+AH188+AH189+AH191+AH136+AH193+AH194+AH195+AH196+AH199+AH197+AH198+AH157+AH158+AH159+#REF!</f>
        <v>#REF!</v>
      </c>
      <c r="AI200" s="147" t="e">
        <f>AI185+AI10+AI18+AI23+AI28+AI33+AI39+AI44+AI49+AI54+AI60+AI61+AI66+AI72+AI77+AI82+AI88+AI94+AI101+AI106+AI107+AI112+AI117+AI118+#REF!+AI130+AI135+AI153+AI154+AI155+AI156+AI181+AI182+AI183+AI184+AI186+AI187+AI190+AI192+AI188+AI189+AI191+AI136+AI193+AI194+AI195+AI196+AI199+AI197+AI198+AI157+AI158+AI159+#REF!</f>
        <v>#REF!</v>
      </c>
      <c r="AJ200" s="135"/>
      <c r="AK200" s="135"/>
    </row>
    <row r="201" spans="1:37" hidden="1">
      <c r="AF201" s="24"/>
    </row>
    <row r="202" spans="1:37" hidden="1">
      <c r="B202" s="110" t="s">
        <v>29</v>
      </c>
      <c r="D202" s="110">
        <v>1756309.0920000002</v>
      </c>
      <c r="E202" s="110">
        <v>0</v>
      </c>
      <c r="F202" s="110">
        <v>0</v>
      </c>
      <c r="G202" s="110">
        <v>0</v>
      </c>
      <c r="H202" s="147">
        <v>1756309.0920000002</v>
      </c>
      <c r="I202" s="147">
        <v>58151</v>
      </c>
      <c r="J202" s="147">
        <v>28693</v>
      </c>
      <c r="K202" s="147">
        <v>16316</v>
      </c>
      <c r="L202" s="147">
        <v>710</v>
      </c>
      <c r="M202" s="147">
        <v>70987</v>
      </c>
      <c r="N202" s="147">
        <v>5950</v>
      </c>
      <c r="O202" s="147">
        <v>465509</v>
      </c>
      <c r="P202" s="147">
        <v>353099</v>
      </c>
      <c r="Q202" s="147">
        <v>35693</v>
      </c>
      <c r="R202" s="147">
        <v>9902</v>
      </c>
      <c r="S202" s="147">
        <v>23433</v>
      </c>
      <c r="T202" s="147">
        <v>88354</v>
      </c>
      <c r="U202" s="147">
        <v>27846</v>
      </c>
      <c r="V202" s="147">
        <v>253210.09200000003</v>
      </c>
      <c r="W202" s="147">
        <v>37043</v>
      </c>
      <c r="X202" s="147">
        <v>24673</v>
      </c>
      <c r="Y202" s="147">
        <v>209835</v>
      </c>
      <c r="Z202" s="147"/>
      <c r="AA202" s="147"/>
      <c r="AB202" s="147"/>
      <c r="AC202" s="147"/>
      <c r="AD202" s="147"/>
      <c r="AE202" s="147">
        <v>0</v>
      </c>
      <c r="AF202" s="24"/>
      <c r="AG202" s="147">
        <v>46905</v>
      </c>
      <c r="AH202" s="147"/>
      <c r="AI202" s="147"/>
    </row>
    <row r="203" spans="1:37" hidden="1">
      <c r="B203" s="110" t="s">
        <v>103</v>
      </c>
      <c r="D203" s="110">
        <f>W203</f>
        <v>13002</v>
      </c>
      <c r="W203" s="110">
        <f>W204+W205</f>
        <v>13002</v>
      </c>
      <c r="AF203" s="24"/>
    </row>
    <row r="204" spans="1:37" ht="13.2" hidden="1">
      <c r="B204" s="110" t="s">
        <v>104</v>
      </c>
      <c r="F204" s="148"/>
      <c r="G204" s="148"/>
      <c r="H204" s="148"/>
      <c r="I204" s="148"/>
      <c r="J204" s="148"/>
      <c r="K204" s="148"/>
      <c r="L204" s="148"/>
      <c r="M204" s="148"/>
      <c r="N204" s="148"/>
      <c r="O204" s="148"/>
      <c r="P204" s="148"/>
      <c r="W204" s="110">
        <v>2702</v>
      </c>
      <c r="AF204" s="24"/>
    </row>
    <row r="205" spans="1:37" ht="13.2" hidden="1">
      <c r="B205" s="110" t="s">
        <v>105</v>
      </c>
      <c r="F205" s="148"/>
      <c r="G205" s="148"/>
      <c r="H205" s="148"/>
      <c r="I205" s="148"/>
      <c r="J205" s="148"/>
      <c r="K205" s="148"/>
      <c r="L205" s="148"/>
      <c r="M205" s="148"/>
      <c r="N205" s="148"/>
      <c r="O205" s="148"/>
      <c r="P205" s="148"/>
      <c r="W205" s="110">
        <v>10300</v>
      </c>
      <c r="AF205" s="24"/>
    </row>
    <row r="206" spans="1:37" ht="13.2" hidden="1">
      <c r="B206" s="110" t="s">
        <v>106</v>
      </c>
      <c r="D206" s="110">
        <f>P206+V206+M206</f>
        <v>11966</v>
      </c>
      <c r="F206" s="148"/>
      <c r="G206" s="148"/>
      <c r="H206" s="148"/>
      <c r="I206" s="148"/>
      <c r="J206" s="148"/>
      <c r="K206" s="148"/>
      <c r="L206" s="148"/>
      <c r="M206" s="110">
        <f>M209</f>
        <v>1800</v>
      </c>
      <c r="N206" s="148"/>
      <c r="O206" s="148"/>
      <c r="P206" s="147">
        <f>P207+P208</f>
        <v>4651</v>
      </c>
      <c r="Q206" s="147">
        <f t="shared" ref="Q206:W206" si="45">Q207+Q208</f>
        <v>0</v>
      </c>
      <c r="R206" s="147">
        <f t="shared" si="45"/>
        <v>0</v>
      </c>
      <c r="S206" s="147">
        <f t="shared" si="45"/>
        <v>0</v>
      </c>
      <c r="T206" s="147">
        <f t="shared" si="45"/>
        <v>0</v>
      </c>
      <c r="U206" s="147">
        <f t="shared" si="45"/>
        <v>0</v>
      </c>
      <c r="V206" s="147">
        <f t="shared" si="45"/>
        <v>5515</v>
      </c>
      <c r="W206" s="147">
        <f t="shared" si="45"/>
        <v>0</v>
      </c>
      <c r="AF206" s="24"/>
    </row>
    <row r="207" spans="1:37" ht="13.2" hidden="1">
      <c r="B207" s="110" t="s">
        <v>107</v>
      </c>
      <c r="F207" s="148"/>
      <c r="G207" s="148"/>
      <c r="H207" s="148"/>
      <c r="I207" s="148"/>
      <c r="J207" s="148"/>
      <c r="K207" s="148"/>
      <c r="L207" s="148"/>
      <c r="M207" s="148"/>
      <c r="N207" s="148"/>
      <c r="O207" s="148"/>
      <c r="P207" s="148"/>
      <c r="V207" s="110">
        <v>5515</v>
      </c>
      <c r="AF207" s="24"/>
    </row>
    <row r="208" spans="1:37" hidden="1">
      <c r="A208" s="110"/>
      <c r="B208" s="110" t="s">
        <v>108</v>
      </c>
      <c r="P208" s="110">
        <v>4651</v>
      </c>
      <c r="AF208" s="24"/>
    </row>
    <row r="209" spans="1:37" hidden="1">
      <c r="A209" s="110"/>
      <c r="B209" s="110" t="s">
        <v>109</v>
      </c>
      <c r="M209" s="110">
        <v>1800</v>
      </c>
      <c r="AF209" s="24"/>
    </row>
    <row r="210" spans="1:37" hidden="1">
      <c r="A210" s="110"/>
      <c r="D210" s="110">
        <f>D202+D203-D206</f>
        <v>1757345.0920000002</v>
      </c>
      <c r="AF210" s="24"/>
    </row>
    <row r="211" spans="1:37" hidden="1">
      <c r="A211" s="110"/>
      <c r="D211" s="110" t="e">
        <f>D200-D210</f>
        <v>#REF!</v>
      </c>
      <c r="AF211" s="24"/>
      <c r="AJ211" s="110"/>
      <c r="AK211" s="110"/>
    </row>
    <row r="212" spans="1:37" ht="13.5" hidden="1" customHeight="1">
      <c r="A212" s="110"/>
      <c r="AF212" s="24"/>
      <c r="AJ212" s="110"/>
      <c r="AK212" s="110"/>
    </row>
    <row r="213" spans="1:37" ht="13.5" hidden="1" customHeight="1">
      <c r="A213" s="110"/>
      <c r="D213" s="110" t="e">
        <f>D200-AH200-AI200</f>
        <v>#REF!</v>
      </c>
      <c r="AF213" s="24"/>
      <c r="AJ213" s="110"/>
      <c r="AK213" s="110"/>
    </row>
    <row r="214" spans="1:37" ht="13.5" hidden="1" customHeight="1">
      <c r="A214" s="110"/>
      <c r="AF214" s="24"/>
      <c r="AJ214" s="110"/>
      <c r="AK214" s="110"/>
    </row>
    <row r="215" spans="1:37" ht="13.5" hidden="1" customHeight="1">
      <c r="A215" s="110"/>
      <c r="AF215" s="24"/>
      <c r="AJ215" s="110"/>
      <c r="AK215" s="110"/>
    </row>
    <row r="216" spans="1:37" ht="15" hidden="1" customHeight="1">
      <c r="A216" s="110"/>
      <c r="AF216" s="24"/>
      <c r="AJ216" s="110"/>
      <c r="AK216" s="110"/>
    </row>
    <row r="217" spans="1:37" hidden="1">
      <c r="A217" s="110"/>
      <c r="AF217" s="24"/>
      <c r="AJ217" s="110"/>
      <c r="AK217" s="110"/>
    </row>
    <row r="218" spans="1:37" ht="21" hidden="1" customHeight="1">
      <c r="A218" s="110"/>
      <c r="AF218" s="24"/>
      <c r="AJ218" s="110"/>
      <c r="AK218" s="110"/>
    </row>
    <row r="219" spans="1:37" hidden="1">
      <c r="AF219" s="24"/>
      <c r="AJ219" s="110"/>
      <c r="AK219" s="110"/>
    </row>
    <row r="220" spans="1:37" hidden="1">
      <c r="AF220" s="24"/>
      <c r="AJ220" s="110"/>
      <c r="AK220" s="110"/>
    </row>
    <row r="221" spans="1:37" hidden="1">
      <c r="AF221" s="24"/>
      <c r="AJ221" s="110"/>
      <c r="AK221" s="110"/>
    </row>
    <row r="222" spans="1:37" ht="19.5" hidden="1" customHeight="1">
      <c r="A222" s="163"/>
      <c r="AF222" s="24"/>
      <c r="AJ222" s="110"/>
      <c r="AK222" s="110"/>
    </row>
    <row r="223" spans="1:37" ht="24" hidden="1" customHeight="1">
      <c r="D223" s="110">
        <f>SUM(I223:AG223)</f>
        <v>21749</v>
      </c>
      <c r="I223" s="110">
        <v>3420</v>
      </c>
      <c r="J223" s="110">
        <v>90</v>
      </c>
      <c r="K223" s="110">
        <v>500</v>
      </c>
      <c r="L223" s="110">
        <v>0</v>
      </c>
      <c r="M223" s="110">
        <v>2700</v>
      </c>
      <c r="N223" s="110">
        <v>699</v>
      </c>
      <c r="O223" s="110">
        <v>0</v>
      </c>
      <c r="P223" s="110">
        <v>1016</v>
      </c>
      <c r="Q223" s="110">
        <v>1261</v>
      </c>
      <c r="R223" s="110">
        <v>1060</v>
      </c>
      <c r="S223" s="110">
        <v>300</v>
      </c>
      <c r="T223" s="110">
        <v>2177</v>
      </c>
      <c r="U223" s="110">
        <v>630</v>
      </c>
      <c r="V223" s="110">
        <v>6688</v>
      </c>
      <c r="W223" s="110">
        <v>0</v>
      </c>
      <c r="X223" s="110">
        <v>708</v>
      </c>
      <c r="AF223" s="24"/>
      <c r="AG223" s="110">
        <v>500</v>
      </c>
      <c r="AJ223" s="110"/>
      <c r="AK223" s="110"/>
    </row>
    <row r="224" spans="1:37" ht="15.75" hidden="1" customHeight="1">
      <c r="A224" s="567" t="s">
        <v>289</v>
      </c>
      <c r="B224" s="567"/>
      <c r="C224" s="217"/>
      <c r="AF224" s="24"/>
      <c r="AJ224" s="110"/>
      <c r="AK224" s="110"/>
    </row>
    <row r="225" spans="1:37" ht="15.75" hidden="1" customHeight="1">
      <c r="B225" s="157" t="s">
        <v>290</v>
      </c>
      <c r="C225" s="217"/>
      <c r="AF225" s="24"/>
      <c r="AJ225" s="110"/>
      <c r="AK225" s="110"/>
    </row>
    <row r="226" spans="1:37" ht="15.75" hidden="1" customHeight="1">
      <c r="B226" s="157"/>
      <c r="C226" s="217"/>
      <c r="AF226" s="24"/>
      <c r="AJ226" s="110"/>
      <c r="AK226" s="110"/>
    </row>
    <row r="227" spans="1:37" ht="15.75" customHeight="1">
      <c r="A227" s="110"/>
      <c r="B227" s="157"/>
      <c r="C227" s="217"/>
      <c r="AF227" s="24"/>
      <c r="AJ227" s="110"/>
      <c r="AK227" s="110"/>
    </row>
    <row r="228" spans="1:37" ht="15.75" hidden="1" customHeight="1">
      <c r="A228" s="110"/>
      <c r="B228" s="30" t="s">
        <v>280</v>
      </c>
      <c r="C228" s="218"/>
      <c r="AJ228" s="110"/>
      <c r="AK228" s="110"/>
    </row>
    <row r="229" spans="1:37" ht="23.25" customHeight="1">
      <c r="A229" s="110"/>
      <c r="B229" s="149"/>
      <c r="C229" s="219"/>
      <c r="AJ229" s="110"/>
      <c r="AK229" s="110"/>
    </row>
    <row r="230" spans="1:37" ht="23.25" customHeight="1">
      <c r="A230" s="110"/>
      <c r="B230" s="149"/>
      <c r="C230" s="219"/>
      <c r="AJ230" s="110"/>
      <c r="AK230" s="110"/>
    </row>
    <row r="231" spans="1:37" ht="23.25" customHeight="1">
      <c r="A231" s="110"/>
      <c r="B231" s="149"/>
      <c r="C231" s="219"/>
      <c r="AJ231" s="110"/>
      <c r="AK231" s="110"/>
    </row>
    <row r="232" spans="1:37" ht="17.25" customHeight="1">
      <c r="A232" s="110"/>
      <c r="B232" s="149"/>
      <c r="C232" s="219"/>
      <c r="AJ232" s="110"/>
      <c r="AK232" s="110"/>
    </row>
    <row r="233" spans="1:37" ht="15.75" customHeight="1">
      <c r="A233" s="110"/>
      <c r="B233" s="149"/>
      <c r="C233" s="219"/>
      <c r="AJ233" s="110"/>
      <c r="AK233" s="110"/>
    </row>
    <row r="234" spans="1:37" ht="39.75" customHeight="1">
      <c r="A234" s="110"/>
      <c r="B234" s="149"/>
      <c r="C234" s="219"/>
      <c r="AJ234" s="110"/>
      <c r="AK234" s="110"/>
    </row>
    <row r="235" spans="1:37" ht="17.25" customHeight="1">
      <c r="A235" s="110"/>
      <c r="AJ235" s="110"/>
      <c r="AK235" s="110"/>
    </row>
    <row r="240" spans="1:37" ht="28.5" customHeight="1">
      <c r="A240" s="110"/>
      <c r="B240" s="149"/>
      <c r="C240" s="219"/>
      <c r="AJ240" s="110"/>
      <c r="AK240" s="110"/>
    </row>
    <row r="241" spans="1:37" ht="15.75" customHeight="1">
      <c r="A241" s="110"/>
      <c r="AJ241" s="110"/>
      <c r="AK241" s="110"/>
    </row>
  </sheetData>
  <mergeCells count="41">
    <mergeCell ref="A224:B224"/>
    <mergeCell ref="P7:P9"/>
    <mergeCell ref="R7:R9"/>
    <mergeCell ref="Y6:Y9"/>
    <mergeCell ref="AE6:AE9"/>
    <mergeCell ref="X6:X9"/>
    <mergeCell ref="A6:A9"/>
    <mergeCell ref="K7:K9"/>
    <mergeCell ref="H6:H9"/>
    <mergeCell ref="F7:F9"/>
    <mergeCell ref="M7:M9"/>
    <mergeCell ref="J7:J9"/>
    <mergeCell ref="AD6:AD9"/>
    <mergeCell ref="AA6:AA9"/>
    <mergeCell ref="A2:AG2"/>
    <mergeCell ref="I6:M6"/>
    <mergeCell ref="O6:U6"/>
    <mergeCell ref="N6:N9"/>
    <mergeCell ref="B6:B9"/>
    <mergeCell ref="I7:I9"/>
    <mergeCell ref="D6:D9"/>
    <mergeCell ref="V6:V9"/>
    <mergeCell ref="W6:W9"/>
    <mergeCell ref="S7:S9"/>
    <mergeCell ref="T7:T9"/>
    <mergeCell ref="U7:U9"/>
    <mergeCell ref="E6:G6"/>
    <mergeCell ref="E7:E9"/>
    <mergeCell ref="G7:G9"/>
    <mergeCell ref="A3:AI3"/>
    <mergeCell ref="AI6:AI9"/>
    <mergeCell ref="U5:AG5"/>
    <mergeCell ref="L7:L9"/>
    <mergeCell ref="Q7:Q9"/>
    <mergeCell ref="Z6:Z9"/>
    <mergeCell ref="AH6:AH9"/>
    <mergeCell ref="AG6:AG9"/>
    <mergeCell ref="O7:O9"/>
    <mergeCell ref="AF6:AF9"/>
    <mergeCell ref="AC6:AC9"/>
    <mergeCell ref="AB6:AB9"/>
  </mergeCells>
  <phoneticPr fontId="12" type="noConversion"/>
  <printOptions horizontalCentered="1"/>
  <pageMargins left="0" right="0" top="0.44685039399999998" bottom="0.44685039399999998" header="0.39370078740157499" footer="0.196850393700787"/>
  <pageSetup paperSize="9" scale="7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0"/>
  <sheetViews>
    <sheetView showZeros="0" topLeftCell="A78" zoomScale="106" zoomScaleNormal="106" zoomScaleSheetLayoutView="80" workbookViewId="0">
      <selection activeCell="A3" sqref="A3:AE3"/>
    </sheetView>
  </sheetViews>
  <sheetFormatPr defaultColWidth="8.90625" defaultRowHeight="8.4"/>
  <cols>
    <col min="1" max="1" width="2.36328125" style="220" customWidth="1"/>
    <col min="2" max="2" width="17.54296875" style="20" customWidth="1"/>
    <col min="3" max="3" width="5.08984375" style="221" customWidth="1"/>
    <col min="4" max="5" width="3.81640625" style="20" customWidth="1"/>
    <col min="6" max="6" width="6.90625" style="20" hidden="1" customWidth="1"/>
    <col min="7" max="7" width="5.08984375" style="20" customWidth="1"/>
    <col min="8" max="11" width="3.81640625" style="20" customWidth="1"/>
    <col min="12" max="12" width="4.36328125" style="20" customWidth="1"/>
    <col min="13" max="13" width="3.1796875" style="20" customWidth="1"/>
    <col min="14" max="15" width="4.36328125" style="20" customWidth="1"/>
    <col min="16" max="20" width="3.81640625" style="20" customWidth="1"/>
    <col min="21" max="21" width="4.36328125" style="20" customWidth="1"/>
    <col min="22" max="24" width="3.81640625" style="20" customWidth="1"/>
    <col min="25" max="25" width="5.81640625" style="20" customWidth="1"/>
    <col min="26" max="26" width="3.81640625" style="20" customWidth="1"/>
    <col min="27" max="27" width="4.36328125" style="20" customWidth="1"/>
    <col min="28" max="28" width="5.6328125" style="20" customWidth="1"/>
    <col min="29" max="29" width="3.81640625" style="20" customWidth="1"/>
    <col min="30" max="30" width="4.453125" style="20" hidden="1" customWidth="1"/>
    <col min="31" max="31" width="3.81640625" style="20" customWidth="1"/>
    <col min="32" max="16384" width="8.90625" style="20"/>
  </cols>
  <sheetData>
    <row r="1" spans="1:31" s="27" customFormat="1" ht="13.2">
      <c r="A1" s="226"/>
      <c r="C1" s="227"/>
      <c r="X1" s="601" t="s">
        <v>304</v>
      </c>
      <c r="Y1" s="601"/>
      <c r="Z1" s="601"/>
      <c r="AA1" s="601"/>
      <c r="AB1" s="601"/>
      <c r="AC1" s="601"/>
      <c r="AD1" s="601"/>
      <c r="AE1" s="601"/>
    </row>
    <row r="2" spans="1:31" s="27" customFormat="1" ht="13.2">
      <c r="A2" s="602" t="s">
        <v>297</v>
      </c>
      <c r="B2" s="602"/>
      <c r="C2" s="602"/>
      <c r="D2" s="602"/>
      <c r="E2" s="602"/>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2"/>
    </row>
    <row r="3" spans="1:31" s="27" customFormat="1" ht="21" customHeight="1">
      <c r="A3" s="624" t="str">
        <f>'Bieu so 01'!$A$3:$C$3</f>
        <v>(Kèm theo Quyết định số 2603/QĐ-UBND ngày 16/12/2024 của Ủy ban nhân dân tỉnh)</v>
      </c>
      <c r="B3" s="624"/>
      <c r="C3" s="624"/>
      <c r="D3" s="624"/>
      <c r="E3" s="624"/>
      <c r="F3" s="624"/>
      <c r="G3" s="624"/>
      <c r="H3" s="624"/>
      <c r="I3" s="624"/>
      <c r="J3" s="624"/>
      <c r="K3" s="624"/>
      <c r="L3" s="624"/>
      <c r="M3" s="624"/>
      <c r="N3" s="624"/>
      <c r="O3" s="624"/>
      <c r="P3" s="624"/>
      <c r="Q3" s="624"/>
      <c r="R3" s="624"/>
      <c r="S3" s="624"/>
      <c r="T3" s="624"/>
      <c r="U3" s="624"/>
      <c r="V3" s="624"/>
      <c r="W3" s="624"/>
      <c r="X3" s="624"/>
      <c r="Y3" s="624"/>
      <c r="Z3" s="624"/>
      <c r="AA3" s="624"/>
      <c r="AB3" s="624"/>
      <c r="AC3" s="624"/>
      <c r="AD3" s="624"/>
      <c r="AE3" s="624"/>
    </row>
    <row r="4" spans="1:31" s="27" customFormat="1" ht="31.5" customHeight="1">
      <c r="A4" s="330"/>
      <c r="B4" s="620"/>
      <c r="C4" s="620"/>
      <c r="D4" s="620"/>
      <c r="E4" s="620"/>
      <c r="F4" s="620"/>
      <c r="G4" s="620"/>
      <c r="H4" s="620"/>
      <c r="I4" s="620"/>
      <c r="J4" s="620"/>
      <c r="K4" s="620"/>
      <c r="L4" s="620"/>
      <c r="M4" s="620"/>
      <c r="N4" s="620"/>
      <c r="O4" s="620"/>
      <c r="P4" s="330"/>
      <c r="Q4" s="330"/>
      <c r="R4" s="330"/>
      <c r="S4" s="330"/>
      <c r="T4" s="603" t="s">
        <v>306</v>
      </c>
      <c r="U4" s="603"/>
      <c r="V4" s="603"/>
      <c r="W4" s="603"/>
      <c r="X4" s="603"/>
      <c r="Y4" s="603"/>
      <c r="Z4" s="603"/>
      <c r="AA4" s="603"/>
      <c r="AB4" s="603"/>
      <c r="AC4" s="603"/>
      <c r="AD4" s="603"/>
      <c r="AE4" s="603"/>
    </row>
    <row r="5" spans="1:31" s="27" customFormat="1" ht="29.25" customHeight="1">
      <c r="A5" s="604" t="s">
        <v>89</v>
      </c>
      <c r="B5" s="604" t="s">
        <v>28</v>
      </c>
      <c r="C5" s="604" t="s">
        <v>29</v>
      </c>
      <c r="D5" s="607" t="s">
        <v>36</v>
      </c>
      <c r="E5" s="608"/>
      <c r="F5" s="608"/>
      <c r="G5" s="609" t="s">
        <v>160</v>
      </c>
      <c r="H5" s="612" t="s">
        <v>30</v>
      </c>
      <c r="I5" s="613"/>
      <c r="J5" s="613"/>
      <c r="K5" s="613"/>
      <c r="L5" s="614"/>
      <c r="M5" s="604" t="s">
        <v>27</v>
      </c>
      <c r="N5" s="612" t="s">
        <v>31</v>
      </c>
      <c r="O5" s="613"/>
      <c r="P5" s="613"/>
      <c r="Q5" s="613"/>
      <c r="R5" s="613"/>
      <c r="S5" s="613"/>
      <c r="T5" s="614"/>
      <c r="U5" s="604" t="s">
        <v>0</v>
      </c>
      <c r="V5" s="604" t="s">
        <v>32</v>
      </c>
      <c r="W5" s="604" t="s">
        <v>33</v>
      </c>
      <c r="X5" s="604" t="s">
        <v>26</v>
      </c>
      <c r="Y5" s="617" t="s">
        <v>298</v>
      </c>
      <c r="Z5" s="604" t="s">
        <v>282</v>
      </c>
      <c r="AA5" s="604" t="str">
        <f>'DT trinh GD'!B167</f>
        <v>KP phục vụ đại hội đảng các cấp nhiệm kỳ 2025-2030</v>
      </c>
      <c r="AB5" s="617" t="s">
        <v>284</v>
      </c>
      <c r="AC5" s="604" t="s">
        <v>303</v>
      </c>
      <c r="AD5" s="604"/>
      <c r="AE5" s="604" t="s">
        <v>85</v>
      </c>
    </row>
    <row r="6" spans="1:31" ht="12.75" customHeight="1">
      <c r="A6" s="605"/>
      <c r="B6" s="605"/>
      <c r="C6" s="605"/>
      <c r="D6" s="621" t="s">
        <v>37</v>
      </c>
      <c r="E6" s="623" t="s">
        <v>96</v>
      </c>
      <c r="F6" s="623" t="s">
        <v>161</v>
      </c>
      <c r="G6" s="610"/>
      <c r="H6" s="604" t="s">
        <v>1</v>
      </c>
      <c r="I6" s="604" t="s">
        <v>2</v>
      </c>
      <c r="J6" s="604" t="s">
        <v>3</v>
      </c>
      <c r="K6" s="604" t="s">
        <v>4</v>
      </c>
      <c r="L6" s="604" t="s">
        <v>86</v>
      </c>
      <c r="M6" s="615"/>
      <c r="N6" s="604" t="s">
        <v>88</v>
      </c>
      <c r="O6" s="604" t="s">
        <v>34</v>
      </c>
      <c r="P6" s="604" t="s">
        <v>5</v>
      </c>
      <c r="Q6" s="604" t="s">
        <v>23</v>
      </c>
      <c r="R6" s="604" t="s">
        <v>6</v>
      </c>
      <c r="S6" s="604" t="s">
        <v>7</v>
      </c>
      <c r="T6" s="604" t="s">
        <v>8</v>
      </c>
      <c r="U6" s="605"/>
      <c r="V6" s="605"/>
      <c r="W6" s="605"/>
      <c r="X6" s="605"/>
      <c r="Y6" s="618"/>
      <c r="Z6" s="605"/>
      <c r="AA6" s="605"/>
      <c r="AB6" s="618"/>
      <c r="AC6" s="605"/>
      <c r="AD6" s="605"/>
      <c r="AE6" s="605"/>
    </row>
    <row r="7" spans="1:31" ht="16.5" customHeight="1">
      <c r="A7" s="605"/>
      <c r="B7" s="605"/>
      <c r="C7" s="605"/>
      <c r="D7" s="621"/>
      <c r="E7" s="621"/>
      <c r="F7" s="621"/>
      <c r="G7" s="610"/>
      <c r="H7" s="605"/>
      <c r="I7" s="605"/>
      <c r="J7" s="605"/>
      <c r="K7" s="605"/>
      <c r="L7" s="615"/>
      <c r="M7" s="615"/>
      <c r="N7" s="605"/>
      <c r="O7" s="605"/>
      <c r="P7" s="605"/>
      <c r="Q7" s="605"/>
      <c r="R7" s="605"/>
      <c r="S7" s="605"/>
      <c r="T7" s="605"/>
      <c r="U7" s="605"/>
      <c r="V7" s="605"/>
      <c r="W7" s="605"/>
      <c r="X7" s="605"/>
      <c r="Y7" s="618"/>
      <c r="Z7" s="605"/>
      <c r="AA7" s="605"/>
      <c r="AB7" s="618"/>
      <c r="AC7" s="605"/>
      <c r="AD7" s="605"/>
      <c r="AE7" s="605"/>
    </row>
    <row r="8" spans="1:31" ht="87" customHeight="1">
      <c r="A8" s="606"/>
      <c r="B8" s="606"/>
      <c r="C8" s="606"/>
      <c r="D8" s="622"/>
      <c r="E8" s="622"/>
      <c r="F8" s="622"/>
      <c r="G8" s="611"/>
      <c r="H8" s="606"/>
      <c r="I8" s="606"/>
      <c r="J8" s="606"/>
      <c r="K8" s="606"/>
      <c r="L8" s="606"/>
      <c r="M8" s="616"/>
      <c r="N8" s="606"/>
      <c r="O8" s="606"/>
      <c r="P8" s="606"/>
      <c r="Q8" s="606"/>
      <c r="R8" s="606"/>
      <c r="S8" s="606"/>
      <c r="T8" s="606"/>
      <c r="U8" s="606"/>
      <c r="V8" s="606"/>
      <c r="W8" s="606"/>
      <c r="X8" s="606"/>
      <c r="Y8" s="619"/>
      <c r="Z8" s="606"/>
      <c r="AA8" s="606"/>
      <c r="AB8" s="619"/>
      <c r="AC8" s="606"/>
      <c r="AD8" s="606"/>
      <c r="AE8" s="606"/>
    </row>
    <row r="9" spans="1:31" s="223" customFormat="1" ht="19.5" customHeight="1">
      <c r="A9" s="397">
        <v>1</v>
      </c>
      <c r="B9" s="398" t="s">
        <v>35</v>
      </c>
      <c r="C9" s="399">
        <f>D9+G9</f>
        <v>197082</v>
      </c>
      <c r="D9" s="399">
        <f>'DT trinh GD'!E10</f>
        <v>0</v>
      </c>
      <c r="E9" s="399"/>
      <c r="F9" s="399">
        <f>'DT trinh GD'!F10</f>
        <v>0</v>
      </c>
      <c r="G9" s="399">
        <f>'DT trinh GD'!H10</f>
        <v>197082</v>
      </c>
      <c r="H9" s="399">
        <f>'DT trinh GD'!I10</f>
        <v>55882</v>
      </c>
      <c r="I9" s="399">
        <f>'DT trinh GD'!J10</f>
        <v>97283</v>
      </c>
      <c r="J9" s="399">
        <f>'DT trinh GD'!K10</f>
        <v>0</v>
      </c>
      <c r="K9" s="399">
        <f>'DT trinh GD'!L10</f>
        <v>250</v>
      </c>
      <c r="L9" s="399">
        <f>'DT trinh GD'!M10</f>
        <v>0</v>
      </c>
      <c r="M9" s="399">
        <f>'DT trinh GD'!N10</f>
        <v>880</v>
      </c>
      <c r="N9" s="399">
        <f>'DT trinh GD'!O10</f>
        <v>300</v>
      </c>
      <c r="O9" s="399">
        <f>'DT trinh GD'!P10</f>
        <v>0</v>
      </c>
      <c r="P9" s="399">
        <f>'DT trinh GD'!Q10</f>
        <v>0</v>
      </c>
      <c r="Q9" s="399">
        <f>'DT trinh GD'!R10</f>
        <v>0</v>
      </c>
      <c r="R9" s="399">
        <f>'DT trinh GD'!S10</f>
        <v>0</v>
      </c>
      <c r="S9" s="399">
        <f>'DT trinh GD'!T10</f>
        <v>0</v>
      </c>
      <c r="T9" s="399">
        <f>'DT trinh GD'!U10</f>
        <v>385</v>
      </c>
      <c r="U9" s="399">
        <f>'DT trinh GD'!V10</f>
        <v>42102</v>
      </c>
      <c r="V9" s="399">
        <f>'DT trinh GD'!W10</f>
        <v>0</v>
      </c>
      <c r="W9" s="399">
        <f>'DT trinh GD'!X10</f>
        <v>0</v>
      </c>
      <c r="X9" s="399">
        <f>'DT trinh GD'!Y10</f>
        <v>0</v>
      </c>
      <c r="Y9" s="399"/>
      <c r="Z9" s="399"/>
      <c r="AA9" s="399"/>
      <c r="AB9" s="399"/>
      <c r="AC9" s="399">
        <f>'DT trinh GD'!AE10</f>
        <v>0</v>
      </c>
      <c r="AD9" s="399"/>
      <c r="AE9" s="399">
        <f>'DT trinh GD'!AG10</f>
        <v>0</v>
      </c>
    </row>
    <row r="10" spans="1:31" s="223" customFormat="1" ht="19.5" customHeight="1">
      <c r="A10" s="400">
        <v>2</v>
      </c>
      <c r="B10" s="401" t="s">
        <v>40</v>
      </c>
      <c r="C10" s="402">
        <f t="shared" ref="C10:C73" si="0">D10+G10</f>
        <v>92736</v>
      </c>
      <c r="D10" s="402">
        <f>'DT trinh GD'!E18</f>
        <v>0</v>
      </c>
      <c r="E10" s="402"/>
      <c r="F10" s="402">
        <f>'DT trinh GD'!F18</f>
        <v>0</v>
      </c>
      <c r="G10" s="402">
        <f>'DT trinh GD'!H18</f>
        <v>92736</v>
      </c>
      <c r="H10" s="402">
        <f>'DT trinh GD'!I18</f>
        <v>0</v>
      </c>
      <c r="I10" s="402">
        <f>'DT trinh GD'!J18</f>
        <v>0</v>
      </c>
      <c r="J10" s="402">
        <f>'DT trinh GD'!K18</f>
        <v>19728</v>
      </c>
      <c r="K10" s="402">
        <f>'DT trinh GD'!L18</f>
        <v>2462</v>
      </c>
      <c r="L10" s="402">
        <f>'DT trinh GD'!M18</f>
        <v>0</v>
      </c>
      <c r="M10" s="402">
        <f>'DT trinh GD'!N18</f>
        <v>0</v>
      </c>
      <c r="N10" s="402">
        <f>'DT trinh GD'!O18</f>
        <v>222</v>
      </c>
      <c r="O10" s="402">
        <f>'DT trinh GD'!P18</f>
        <v>0</v>
      </c>
      <c r="P10" s="402">
        <f>'DT trinh GD'!Q18</f>
        <v>0</v>
      </c>
      <c r="Q10" s="402">
        <f>'DT trinh GD'!R18</f>
        <v>0</v>
      </c>
      <c r="R10" s="402">
        <f>'DT trinh GD'!S18</f>
        <v>0</v>
      </c>
      <c r="S10" s="402">
        <f>'DT trinh GD'!T18</f>
        <v>0</v>
      </c>
      <c r="T10" s="402">
        <f>'DT trinh GD'!U18</f>
        <v>51</v>
      </c>
      <c r="U10" s="402">
        <f>'DT trinh GD'!V18</f>
        <v>16518</v>
      </c>
      <c r="V10" s="402">
        <f>'DT trinh GD'!W18</f>
        <v>0</v>
      </c>
      <c r="W10" s="402">
        <f>'DT trinh GD'!X18</f>
        <v>3700</v>
      </c>
      <c r="X10" s="402">
        <f>'DT trinh GD'!Y18</f>
        <v>50055</v>
      </c>
      <c r="Y10" s="402"/>
      <c r="Z10" s="402"/>
      <c r="AA10" s="402"/>
      <c r="AB10" s="402"/>
      <c r="AC10" s="402">
        <f>'DT trinh GD'!AE18</f>
        <v>0</v>
      </c>
      <c r="AD10" s="402"/>
      <c r="AE10" s="402">
        <f>'DT trinh GD'!AG18</f>
        <v>0</v>
      </c>
    </row>
    <row r="11" spans="1:31" s="223" customFormat="1" ht="19.5" customHeight="1">
      <c r="A11" s="400">
        <v>3</v>
      </c>
      <c r="B11" s="401" t="s">
        <v>41</v>
      </c>
      <c r="C11" s="402">
        <f t="shared" si="0"/>
        <v>31669</v>
      </c>
      <c r="D11" s="402">
        <f>'DT trinh GD'!E23</f>
        <v>0</v>
      </c>
      <c r="E11" s="402"/>
      <c r="F11" s="402">
        <f>'DT trinh GD'!F23</f>
        <v>0</v>
      </c>
      <c r="G11" s="402">
        <f>'DT trinh GD'!H23</f>
        <v>31669</v>
      </c>
      <c r="H11" s="402">
        <f>'DT trinh GD'!I23</f>
        <v>0</v>
      </c>
      <c r="I11" s="402">
        <f>'DT trinh GD'!J23</f>
        <v>0</v>
      </c>
      <c r="J11" s="402">
        <f>'DT trinh GD'!K23</f>
        <v>0</v>
      </c>
      <c r="K11" s="402">
        <f>'DT trinh GD'!L23</f>
        <v>0</v>
      </c>
      <c r="L11" s="402">
        <f>'DT trinh GD'!M23</f>
        <v>13500</v>
      </c>
      <c r="M11" s="402">
        <f>'DT trinh GD'!N23</f>
        <v>0</v>
      </c>
      <c r="N11" s="402">
        <f>'DT trinh GD'!O23</f>
        <v>50</v>
      </c>
      <c r="O11" s="402">
        <f>'DT trinh GD'!P23</f>
        <v>0</v>
      </c>
      <c r="P11" s="402">
        <f>'DT trinh GD'!Q23</f>
        <v>0</v>
      </c>
      <c r="Q11" s="402">
        <f>'DT trinh GD'!R23</f>
        <v>1500</v>
      </c>
      <c r="R11" s="402">
        <f>'DT trinh GD'!S23</f>
        <v>0</v>
      </c>
      <c r="S11" s="402">
        <f>'DT trinh GD'!T23</f>
        <v>0</v>
      </c>
      <c r="T11" s="402">
        <f>'DT trinh GD'!U23</f>
        <v>40</v>
      </c>
      <c r="U11" s="402">
        <f>'DT trinh GD'!V23</f>
        <v>11079</v>
      </c>
      <c r="V11" s="402">
        <f>'DT trinh GD'!W23</f>
        <v>0</v>
      </c>
      <c r="W11" s="402">
        <f>'DT trinh GD'!X23</f>
        <v>0</v>
      </c>
      <c r="X11" s="402">
        <f>'DT trinh GD'!Y23</f>
        <v>0</v>
      </c>
      <c r="Y11" s="402"/>
      <c r="Z11" s="402"/>
      <c r="AA11" s="402"/>
      <c r="AB11" s="402"/>
      <c r="AC11" s="402">
        <f>'DT trinh GD'!AE23</f>
        <v>0</v>
      </c>
      <c r="AD11" s="402"/>
      <c r="AE11" s="402">
        <f>'DT trinh GD'!AG23</f>
        <v>5500</v>
      </c>
    </row>
    <row r="12" spans="1:31" s="223" customFormat="1" ht="19.5" customHeight="1">
      <c r="A12" s="400">
        <v>4</v>
      </c>
      <c r="B12" s="401" t="s">
        <v>42</v>
      </c>
      <c r="C12" s="402">
        <f t="shared" si="0"/>
        <v>14030</v>
      </c>
      <c r="D12" s="402">
        <f>'DT trinh GD'!E28</f>
        <v>0</v>
      </c>
      <c r="E12" s="402"/>
      <c r="F12" s="402">
        <f>'DT trinh GD'!F28</f>
        <v>0</v>
      </c>
      <c r="G12" s="402">
        <f>'DT trinh GD'!H28</f>
        <v>14030</v>
      </c>
      <c r="H12" s="402">
        <f>'DT trinh GD'!I28</f>
        <v>0</v>
      </c>
      <c r="I12" s="402">
        <f>'DT trinh GD'!J28</f>
        <v>0</v>
      </c>
      <c r="J12" s="402">
        <f>'DT trinh GD'!K28</f>
        <v>0</v>
      </c>
      <c r="K12" s="402">
        <f>'DT trinh GD'!L28</f>
        <v>0</v>
      </c>
      <c r="L12" s="402">
        <f>'DT trinh GD'!M28</f>
        <v>300</v>
      </c>
      <c r="M12" s="402">
        <f>'DT trinh GD'!N28</f>
        <v>0</v>
      </c>
      <c r="N12" s="402">
        <f>'DT trinh GD'!O28</f>
        <v>500</v>
      </c>
      <c r="O12" s="402">
        <f>'DT trinh GD'!P28</f>
        <v>0</v>
      </c>
      <c r="P12" s="402">
        <f>'DT trinh GD'!Q28</f>
        <v>0</v>
      </c>
      <c r="Q12" s="402">
        <f>'DT trinh GD'!R28</f>
        <v>0</v>
      </c>
      <c r="R12" s="402">
        <f>'DT trinh GD'!S28</f>
        <v>0</v>
      </c>
      <c r="S12" s="402">
        <f>'DT trinh GD'!T28</f>
        <v>0</v>
      </c>
      <c r="T12" s="402">
        <f>'DT trinh GD'!U28</f>
        <v>40</v>
      </c>
      <c r="U12" s="402">
        <f>'DT trinh GD'!V28</f>
        <v>13064</v>
      </c>
      <c r="V12" s="402">
        <f>'DT trinh GD'!W28</f>
        <v>0</v>
      </c>
      <c r="W12" s="402">
        <f>'DT trinh GD'!X28</f>
        <v>126</v>
      </c>
      <c r="X12" s="402">
        <f>'DT trinh GD'!Y28</f>
        <v>0</v>
      </c>
      <c r="Y12" s="402"/>
      <c r="Z12" s="402"/>
      <c r="AA12" s="402"/>
      <c r="AB12" s="402"/>
      <c r="AC12" s="402">
        <f>'DT trinh GD'!AE28</f>
        <v>0</v>
      </c>
      <c r="AD12" s="402"/>
      <c r="AE12" s="402">
        <f>'DT trinh GD'!AG28</f>
        <v>0</v>
      </c>
    </row>
    <row r="13" spans="1:31" s="223" customFormat="1" ht="19.5" customHeight="1">
      <c r="A13" s="400">
        <v>5</v>
      </c>
      <c r="B13" s="401" t="s">
        <v>43</v>
      </c>
      <c r="C13" s="402">
        <f t="shared" si="0"/>
        <v>28063</v>
      </c>
      <c r="D13" s="402">
        <f>'DT trinh GD'!E33</f>
        <v>0</v>
      </c>
      <c r="E13" s="402"/>
      <c r="F13" s="402">
        <f>'DT trinh GD'!F33</f>
        <v>0</v>
      </c>
      <c r="G13" s="402">
        <f>'DT trinh GD'!H33</f>
        <v>28063</v>
      </c>
      <c r="H13" s="402">
        <f>'DT trinh GD'!I33</f>
        <v>0</v>
      </c>
      <c r="I13" s="402">
        <f>'DT trinh GD'!J33</f>
        <v>0</v>
      </c>
      <c r="J13" s="402">
        <f>'DT trinh GD'!K33</f>
        <v>0</v>
      </c>
      <c r="K13" s="402">
        <f>'DT trinh GD'!L33</f>
        <v>320</v>
      </c>
      <c r="L13" s="402">
        <f>'DT trinh GD'!M33</f>
        <v>12942</v>
      </c>
      <c r="M13" s="402">
        <f>'DT trinh GD'!N33</f>
        <v>2030</v>
      </c>
      <c r="N13" s="402">
        <f>'DT trinh GD'!O33</f>
        <v>160</v>
      </c>
      <c r="O13" s="402">
        <f>'DT trinh GD'!P33</f>
        <v>0</v>
      </c>
      <c r="P13" s="402">
        <f>'DT trinh GD'!Q33</f>
        <v>0</v>
      </c>
      <c r="Q13" s="402">
        <f>'DT trinh GD'!R33</f>
        <v>1222</v>
      </c>
      <c r="R13" s="402">
        <f>'DT trinh GD'!S33</f>
        <v>0</v>
      </c>
      <c r="S13" s="402">
        <f>'DT trinh GD'!T33</f>
        <v>0</v>
      </c>
      <c r="T13" s="402">
        <f>'DT trinh GD'!U33</f>
        <v>110</v>
      </c>
      <c r="U13" s="402">
        <f>'DT trinh GD'!V33</f>
        <v>11017</v>
      </c>
      <c r="V13" s="402">
        <f>'DT trinh GD'!W33</f>
        <v>0</v>
      </c>
      <c r="W13" s="402">
        <f>'DT trinh GD'!X33</f>
        <v>192</v>
      </c>
      <c r="X13" s="402">
        <f>'DT trinh GD'!Y33</f>
        <v>0</v>
      </c>
      <c r="Y13" s="402"/>
      <c r="Z13" s="402"/>
      <c r="AA13" s="402"/>
      <c r="AB13" s="402"/>
      <c r="AC13" s="402">
        <f>'DT trinh GD'!AE33</f>
        <v>0</v>
      </c>
      <c r="AD13" s="402"/>
      <c r="AE13" s="402">
        <f>'DT trinh GD'!AG33</f>
        <v>70</v>
      </c>
    </row>
    <row r="14" spans="1:31" s="223" customFormat="1" ht="19.5" customHeight="1">
      <c r="A14" s="400">
        <v>6</v>
      </c>
      <c r="B14" s="401" t="s">
        <v>44</v>
      </c>
      <c r="C14" s="402">
        <f t="shared" si="0"/>
        <v>21055</v>
      </c>
      <c r="D14" s="402">
        <f>'DT trinh GD'!E39</f>
        <v>0</v>
      </c>
      <c r="E14" s="402"/>
      <c r="F14" s="402">
        <f>'DT trinh GD'!F39</f>
        <v>0</v>
      </c>
      <c r="G14" s="402">
        <f>'DT trinh GD'!H39</f>
        <v>21055</v>
      </c>
      <c r="H14" s="402">
        <f>'DT trinh GD'!I39</f>
        <v>0</v>
      </c>
      <c r="I14" s="402">
        <f>'DT trinh GD'!J39</f>
        <v>0</v>
      </c>
      <c r="J14" s="402">
        <f>'DT trinh GD'!K39</f>
        <v>0</v>
      </c>
      <c r="K14" s="402">
        <f>'DT trinh GD'!L39</f>
        <v>1410</v>
      </c>
      <c r="L14" s="402">
        <f>'DT trinh GD'!M39</f>
        <v>7467</v>
      </c>
      <c r="M14" s="402">
        <f>'DT trinh GD'!N39</f>
        <v>0</v>
      </c>
      <c r="N14" s="402">
        <f>'DT trinh GD'!O39</f>
        <v>440</v>
      </c>
      <c r="O14" s="402">
        <f>'DT trinh GD'!P39</f>
        <v>0</v>
      </c>
      <c r="P14" s="402">
        <f>'DT trinh GD'!Q39</f>
        <v>0</v>
      </c>
      <c r="Q14" s="402">
        <f>'DT trinh GD'!R39</f>
        <v>0</v>
      </c>
      <c r="R14" s="402">
        <f>'DT trinh GD'!S39</f>
        <v>0</v>
      </c>
      <c r="S14" s="402">
        <f>'DT trinh GD'!T39</f>
        <v>0</v>
      </c>
      <c r="T14" s="402">
        <f>'DT trinh GD'!U39</f>
        <v>55</v>
      </c>
      <c r="U14" s="402">
        <f>'DT trinh GD'!V39</f>
        <v>11513</v>
      </c>
      <c r="V14" s="402">
        <f>'DT trinh GD'!W39</f>
        <v>0</v>
      </c>
      <c r="W14" s="402">
        <f>'DT trinh GD'!X39</f>
        <v>170</v>
      </c>
      <c r="X14" s="402">
        <f>'DT trinh GD'!Y39</f>
        <v>0</v>
      </c>
      <c r="Y14" s="402"/>
      <c r="Z14" s="402"/>
      <c r="AA14" s="402"/>
      <c r="AB14" s="402"/>
      <c r="AC14" s="402">
        <f>'DT trinh GD'!AE39</f>
        <v>0</v>
      </c>
      <c r="AD14" s="402"/>
      <c r="AE14" s="402">
        <f>'DT trinh GD'!AG39</f>
        <v>0</v>
      </c>
    </row>
    <row r="15" spans="1:31" s="223" customFormat="1" ht="19.5" customHeight="1">
      <c r="A15" s="400">
        <v>7</v>
      </c>
      <c r="B15" s="401" t="s">
        <v>45</v>
      </c>
      <c r="C15" s="402">
        <f t="shared" si="0"/>
        <v>22858</v>
      </c>
      <c r="D15" s="402">
        <f>'DT trinh GD'!E44</f>
        <v>0</v>
      </c>
      <c r="E15" s="402"/>
      <c r="F15" s="402">
        <f>'DT trinh GD'!F44</f>
        <v>0</v>
      </c>
      <c r="G15" s="402">
        <f>'DT trinh GD'!H44</f>
        <v>22858</v>
      </c>
      <c r="H15" s="402">
        <f>'DT trinh GD'!I44</f>
        <v>0</v>
      </c>
      <c r="I15" s="402">
        <f>'DT trinh GD'!J44</f>
        <v>0</v>
      </c>
      <c r="J15" s="402">
        <f>'DT trinh GD'!K44</f>
        <v>0</v>
      </c>
      <c r="K15" s="402">
        <f>'DT trinh GD'!L44</f>
        <v>0</v>
      </c>
      <c r="L15" s="402">
        <f>'DT trinh GD'!M44</f>
        <v>14152</v>
      </c>
      <c r="M15" s="402">
        <f>'DT trinh GD'!N44</f>
        <v>0</v>
      </c>
      <c r="N15" s="402">
        <f>'DT trinh GD'!O44</f>
        <v>200</v>
      </c>
      <c r="O15" s="402">
        <f>'DT trinh GD'!P44</f>
        <v>0</v>
      </c>
      <c r="P15" s="402">
        <f>'DT trinh GD'!Q44</f>
        <v>0</v>
      </c>
      <c r="Q15" s="402">
        <f>'DT trinh GD'!R44</f>
        <v>0</v>
      </c>
      <c r="R15" s="402">
        <f>'DT trinh GD'!S44</f>
        <v>0</v>
      </c>
      <c r="S15" s="402">
        <f>'DT trinh GD'!T44</f>
        <v>0</v>
      </c>
      <c r="T15" s="402">
        <f>'DT trinh GD'!U44</f>
        <v>20</v>
      </c>
      <c r="U15" s="402">
        <f>'DT trinh GD'!V44</f>
        <v>8486</v>
      </c>
      <c r="V15" s="402">
        <f>'DT trinh GD'!W44</f>
        <v>0</v>
      </c>
      <c r="W15" s="402">
        <f>'DT trinh GD'!X44</f>
        <v>0</v>
      </c>
      <c r="X15" s="402">
        <f>'DT trinh GD'!Y44</f>
        <v>0</v>
      </c>
      <c r="Y15" s="402"/>
      <c r="Z15" s="402"/>
      <c r="AA15" s="402"/>
      <c r="AB15" s="402"/>
      <c r="AC15" s="402">
        <f>'DT trinh GD'!AE44</f>
        <v>0</v>
      </c>
      <c r="AD15" s="402"/>
      <c r="AE15" s="402">
        <f>'DT trinh GD'!AG44</f>
        <v>0</v>
      </c>
    </row>
    <row r="16" spans="1:31" s="223" customFormat="1" ht="19.5" customHeight="1">
      <c r="A16" s="400">
        <v>8</v>
      </c>
      <c r="B16" s="401" t="s">
        <v>46</v>
      </c>
      <c r="C16" s="402">
        <f t="shared" si="0"/>
        <v>16463</v>
      </c>
      <c r="D16" s="402">
        <f>'DT trinh GD'!E49</f>
        <v>0</v>
      </c>
      <c r="E16" s="402"/>
      <c r="F16" s="402">
        <f>'DT trinh GD'!F49</f>
        <v>0</v>
      </c>
      <c r="G16" s="402">
        <f>'DT trinh GD'!H49</f>
        <v>16463</v>
      </c>
      <c r="H16" s="402">
        <f>'DT trinh GD'!I49</f>
        <v>0</v>
      </c>
      <c r="I16" s="402">
        <f>'DT trinh GD'!J49</f>
        <v>0</v>
      </c>
      <c r="J16" s="402">
        <f>'DT trinh GD'!K49</f>
        <v>0</v>
      </c>
      <c r="K16" s="402">
        <f>'DT trinh GD'!L49</f>
        <v>0</v>
      </c>
      <c r="L16" s="402">
        <f>'DT trinh GD'!M49</f>
        <v>3455</v>
      </c>
      <c r="M16" s="402">
        <f>'DT trinh GD'!N49</f>
        <v>3465</v>
      </c>
      <c r="N16" s="402">
        <f>'DT trinh GD'!O49</f>
        <v>260</v>
      </c>
      <c r="O16" s="402">
        <f>'DT trinh GD'!P49</f>
        <v>0</v>
      </c>
      <c r="P16" s="402">
        <f>'DT trinh GD'!Q49</f>
        <v>0</v>
      </c>
      <c r="Q16" s="402">
        <f>'DT trinh GD'!R49</f>
        <v>0</v>
      </c>
      <c r="R16" s="402">
        <f>'DT trinh GD'!S49</f>
        <v>0</v>
      </c>
      <c r="S16" s="402">
        <f>'DT trinh GD'!T49</f>
        <v>0</v>
      </c>
      <c r="T16" s="402">
        <f>'DT trinh GD'!U49</f>
        <v>180</v>
      </c>
      <c r="U16" s="402">
        <f>'DT trinh GD'!V49</f>
        <v>9103</v>
      </c>
      <c r="V16" s="402">
        <f>'DT trinh GD'!W49</f>
        <v>0</v>
      </c>
      <c r="W16" s="402">
        <f>'DT trinh GD'!X49</f>
        <v>0</v>
      </c>
      <c r="X16" s="402">
        <f>'DT trinh GD'!Y49</f>
        <v>0</v>
      </c>
      <c r="Y16" s="402"/>
      <c r="Z16" s="402"/>
      <c r="AA16" s="402"/>
      <c r="AB16" s="402"/>
      <c r="AC16" s="402">
        <f>'DT trinh GD'!AE49</f>
        <v>0</v>
      </c>
      <c r="AD16" s="402"/>
      <c r="AE16" s="402">
        <f>'DT trinh GD'!AG49</f>
        <v>0</v>
      </c>
    </row>
    <row r="17" spans="1:31" s="223" customFormat="1" ht="19.5" customHeight="1">
      <c r="A17" s="400">
        <v>9</v>
      </c>
      <c r="B17" s="401" t="s">
        <v>47</v>
      </c>
      <c r="C17" s="402">
        <f t="shared" si="0"/>
        <v>153674</v>
      </c>
      <c r="D17" s="402">
        <f>'DT trinh GD'!E54</f>
        <v>0</v>
      </c>
      <c r="E17" s="402"/>
      <c r="F17" s="402">
        <f>'DT trinh GD'!F54</f>
        <v>0</v>
      </c>
      <c r="G17" s="402">
        <f>'DT trinh GD'!H54</f>
        <v>153674</v>
      </c>
      <c r="H17" s="402">
        <f>'DT trinh GD'!I54</f>
        <v>0</v>
      </c>
      <c r="I17" s="402">
        <f>'DT trinh GD'!J54</f>
        <v>0</v>
      </c>
      <c r="J17" s="402">
        <f>'DT trinh GD'!K54</f>
        <v>0</v>
      </c>
      <c r="K17" s="402">
        <f>'DT trinh GD'!L54</f>
        <v>4370</v>
      </c>
      <c r="L17" s="402">
        <f>'DT trinh GD'!M54</f>
        <v>5565</v>
      </c>
      <c r="M17" s="402">
        <f>'DT trinh GD'!N54</f>
        <v>2170</v>
      </c>
      <c r="N17" s="402">
        <f>'DT trinh GD'!O54</f>
        <v>44091</v>
      </c>
      <c r="O17" s="402">
        <f>'DT trinh GD'!P54</f>
        <v>0</v>
      </c>
      <c r="P17" s="402">
        <f>'DT trinh GD'!Q54</f>
        <v>42903</v>
      </c>
      <c r="Q17" s="402">
        <f>'DT trinh GD'!R54</f>
        <v>0</v>
      </c>
      <c r="R17" s="402">
        <f>'DT trinh GD'!S54</f>
        <v>44253</v>
      </c>
      <c r="S17" s="402">
        <f>'DT trinh GD'!T54</f>
        <v>0</v>
      </c>
      <c r="T17" s="402">
        <f>'DT trinh GD'!U54</f>
        <v>551</v>
      </c>
      <c r="U17" s="402">
        <f>'DT trinh GD'!V54</f>
        <v>9741</v>
      </c>
      <c r="V17" s="402">
        <f>'DT trinh GD'!W54</f>
        <v>0</v>
      </c>
      <c r="W17" s="402">
        <f>'DT trinh GD'!X54</f>
        <v>30</v>
      </c>
      <c r="X17" s="402">
        <f>'DT trinh GD'!Y54</f>
        <v>0</v>
      </c>
      <c r="Y17" s="402"/>
      <c r="Z17" s="402"/>
      <c r="AA17" s="402"/>
      <c r="AB17" s="402"/>
      <c r="AC17" s="402">
        <f>'DT trinh GD'!AE54</f>
        <v>0</v>
      </c>
      <c r="AD17" s="402"/>
      <c r="AE17" s="402">
        <f>'DT trinh GD'!AG54</f>
        <v>0</v>
      </c>
    </row>
    <row r="18" spans="1:31" s="395" customFormat="1" ht="19.5" customHeight="1">
      <c r="A18" s="403">
        <v>10</v>
      </c>
      <c r="B18" s="404" t="s">
        <v>116</v>
      </c>
      <c r="C18" s="405">
        <f t="shared" si="0"/>
        <v>19205</v>
      </c>
      <c r="D18" s="405">
        <f>'DT trinh GD'!E60</f>
        <v>0</v>
      </c>
      <c r="E18" s="405"/>
      <c r="F18" s="405">
        <f>'DT trinh GD'!F60</f>
        <v>0</v>
      </c>
      <c r="G18" s="405">
        <f>'DT trinh GD'!H60</f>
        <v>19205</v>
      </c>
      <c r="H18" s="405">
        <f>'DT trinh GD'!I60</f>
        <v>0</v>
      </c>
      <c r="I18" s="405">
        <f>'DT trinh GD'!J60</f>
        <v>0</v>
      </c>
      <c r="J18" s="405">
        <f>'DT trinh GD'!K60</f>
        <v>0</v>
      </c>
      <c r="K18" s="405">
        <f>'DT trinh GD'!L60</f>
        <v>0</v>
      </c>
      <c r="L18" s="405">
        <f>'DT trinh GD'!M60</f>
        <v>0</v>
      </c>
      <c r="M18" s="405">
        <f>'DT trinh GD'!N60</f>
        <v>0</v>
      </c>
      <c r="N18" s="405">
        <f>'DT trinh GD'!O60</f>
        <v>300</v>
      </c>
      <c r="O18" s="405">
        <f>'DT trinh GD'!P60</f>
        <v>0</v>
      </c>
      <c r="P18" s="405">
        <f>'DT trinh GD'!Q60</f>
        <v>0</v>
      </c>
      <c r="Q18" s="405">
        <f>'DT trinh GD'!R60</f>
        <v>0</v>
      </c>
      <c r="R18" s="405">
        <f>'DT trinh GD'!S60</f>
        <v>0</v>
      </c>
      <c r="S18" s="405">
        <f>'DT trinh GD'!T60</f>
        <v>590</v>
      </c>
      <c r="T18" s="405">
        <f>'DT trinh GD'!U60</f>
        <v>180</v>
      </c>
      <c r="U18" s="405">
        <f>'DT trinh GD'!V60</f>
        <v>18135</v>
      </c>
      <c r="V18" s="405">
        <f>'DT trinh GD'!W60</f>
        <v>0</v>
      </c>
      <c r="W18" s="405">
        <f>'DT trinh GD'!X60</f>
        <v>0</v>
      </c>
      <c r="X18" s="405">
        <f>'DT trinh GD'!Y60</f>
        <v>0</v>
      </c>
      <c r="Y18" s="405"/>
      <c r="Z18" s="405"/>
      <c r="AA18" s="405"/>
      <c r="AB18" s="405"/>
      <c r="AC18" s="405">
        <f>'DT trinh GD'!AE60</f>
        <v>0</v>
      </c>
      <c r="AD18" s="405"/>
      <c r="AE18" s="405">
        <f>'DT trinh GD'!AG60</f>
        <v>0</v>
      </c>
    </row>
    <row r="19" spans="1:31" s="223" customFormat="1" ht="19.5" customHeight="1">
      <c r="A19" s="400">
        <v>11</v>
      </c>
      <c r="B19" s="401" t="s">
        <v>48</v>
      </c>
      <c r="C19" s="402">
        <f t="shared" si="0"/>
        <v>18230</v>
      </c>
      <c r="D19" s="402">
        <f>'DT trinh GD'!E61</f>
        <v>0</v>
      </c>
      <c r="E19" s="402"/>
      <c r="F19" s="402">
        <f>'DT trinh GD'!F61</f>
        <v>0</v>
      </c>
      <c r="G19" s="402">
        <f>'DT trinh GD'!H61</f>
        <v>18230</v>
      </c>
      <c r="H19" s="402">
        <f>'DT trinh GD'!I61</f>
        <v>0</v>
      </c>
      <c r="I19" s="402">
        <f>'DT trinh GD'!J61</f>
        <v>0</v>
      </c>
      <c r="J19" s="402">
        <f>'DT trinh GD'!K61</f>
        <v>0</v>
      </c>
      <c r="K19" s="402">
        <f>'DT trinh GD'!L61</f>
        <v>0</v>
      </c>
      <c r="L19" s="402">
        <f>'DT trinh GD'!M61</f>
        <v>260</v>
      </c>
      <c r="M19" s="402">
        <f>'DT trinh GD'!N61</f>
        <v>0</v>
      </c>
      <c r="N19" s="402">
        <f>'DT trinh GD'!O61</f>
        <v>230</v>
      </c>
      <c r="O19" s="402">
        <f>'DT trinh GD'!P61</f>
        <v>0</v>
      </c>
      <c r="P19" s="402">
        <f>'DT trinh GD'!Q61</f>
        <v>0</v>
      </c>
      <c r="Q19" s="402">
        <f>'DT trinh GD'!R61</f>
        <v>6800</v>
      </c>
      <c r="R19" s="402">
        <f>'DT trinh GD'!S61</f>
        <v>0</v>
      </c>
      <c r="S19" s="402">
        <f>'DT trinh GD'!T61</f>
        <v>0</v>
      </c>
      <c r="T19" s="402">
        <f>'DT trinh GD'!U61</f>
        <v>1285</v>
      </c>
      <c r="U19" s="402">
        <f>'DT trinh GD'!V61</f>
        <v>9455</v>
      </c>
      <c r="V19" s="402">
        <f>'DT trinh GD'!W61</f>
        <v>0</v>
      </c>
      <c r="W19" s="402">
        <f>'DT trinh GD'!X61</f>
        <v>200</v>
      </c>
      <c r="X19" s="402">
        <f>'DT trinh GD'!Y61</f>
        <v>0</v>
      </c>
      <c r="Y19" s="402"/>
      <c r="Z19" s="402"/>
      <c r="AA19" s="402"/>
      <c r="AB19" s="402"/>
      <c r="AC19" s="402">
        <f>'DT trinh GD'!AE61</f>
        <v>0</v>
      </c>
      <c r="AD19" s="402"/>
      <c r="AE19" s="402">
        <f>'DT trinh GD'!AG61</f>
        <v>0</v>
      </c>
    </row>
    <row r="20" spans="1:31" s="223" customFormat="1" ht="19.5" customHeight="1">
      <c r="A20" s="400">
        <v>12</v>
      </c>
      <c r="B20" s="401" t="s">
        <v>49</v>
      </c>
      <c r="C20" s="402">
        <f t="shared" si="0"/>
        <v>48254</v>
      </c>
      <c r="D20" s="402">
        <f>'DT trinh GD'!E66</f>
        <v>0</v>
      </c>
      <c r="E20" s="402"/>
      <c r="F20" s="402">
        <f>'DT trinh GD'!F66</f>
        <v>0</v>
      </c>
      <c r="G20" s="402">
        <f>'DT trinh GD'!H66</f>
        <v>48254</v>
      </c>
      <c r="H20" s="402">
        <f>'DT trinh GD'!I66</f>
        <v>0</v>
      </c>
      <c r="I20" s="402">
        <f>'DT trinh GD'!J66</f>
        <v>0</v>
      </c>
      <c r="J20" s="402">
        <f>'DT trinh GD'!K66</f>
        <v>0</v>
      </c>
      <c r="K20" s="402">
        <f>'DT trinh GD'!L66</f>
        <v>49</v>
      </c>
      <c r="L20" s="402">
        <f>'DT trinh GD'!M66</f>
        <v>5618</v>
      </c>
      <c r="M20" s="402">
        <f>'DT trinh GD'!N66</f>
        <v>0</v>
      </c>
      <c r="N20" s="402">
        <f>'DT trinh GD'!O66</f>
        <v>1320</v>
      </c>
      <c r="O20" s="402">
        <f>'DT trinh GD'!P66</f>
        <v>0</v>
      </c>
      <c r="P20" s="402">
        <f>'DT trinh GD'!Q66</f>
        <v>0</v>
      </c>
      <c r="Q20" s="402">
        <f>'DT trinh GD'!R66</f>
        <v>1800</v>
      </c>
      <c r="R20" s="402">
        <f>'DT trinh GD'!S66</f>
        <v>0</v>
      </c>
      <c r="S20" s="402">
        <f>'DT trinh GD'!T66</f>
        <v>1533</v>
      </c>
      <c r="T20" s="402">
        <f>'DT trinh GD'!U66</f>
        <v>25</v>
      </c>
      <c r="U20" s="402">
        <f>'DT trinh GD'!V66</f>
        <v>13509</v>
      </c>
      <c r="V20" s="402">
        <f>'DT trinh GD'!W66</f>
        <v>100</v>
      </c>
      <c r="W20" s="402">
        <f>'DT trinh GD'!X66</f>
        <v>24300</v>
      </c>
      <c r="X20" s="402">
        <f>'DT trinh GD'!Y66</f>
        <v>0</v>
      </c>
      <c r="Y20" s="402"/>
      <c r="Z20" s="402"/>
      <c r="AA20" s="402"/>
      <c r="AB20" s="402"/>
      <c r="AC20" s="402">
        <f>'DT trinh GD'!AE66</f>
        <v>0</v>
      </c>
      <c r="AD20" s="402"/>
      <c r="AE20" s="402">
        <f>'DT trinh GD'!AG66</f>
        <v>0</v>
      </c>
    </row>
    <row r="21" spans="1:31" s="223" customFormat="1" ht="19.5" customHeight="1">
      <c r="A21" s="400">
        <v>13</v>
      </c>
      <c r="B21" s="401" t="s">
        <v>50</v>
      </c>
      <c r="C21" s="402">
        <f t="shared" si="0"/>
        <v>33356</v>
      </c>
      <c r="D21" s="402">
        <f>'DT trinh GD'!E72</f>
        <v>0</v>
      </c>
      <c r="E21" s="402"/>
      <c r="F21" s="402">
        <f>'DT trinh GD'!F72</f>
        <v>0</v>
      </c>
      <c r="G21" s="402">
        <f>'DT trinh GD'!H72</f>
        <v>33356</v>
      </c>
      <c r="H21" s="402">
        <f>'DT trinh GD'!I72</f>
        <v>0</v>
      </c>
      <c r="I21" s="402">
        <f>'DT trinh GD'!J72</f>
        <v>0</v>
      </c>
      <c r="J21" s="402">
        <f>'DT trinh GD'!K72</f>
        <v>0</v>
      </c>
      <c r="K21" s="402">
        <f>'DT trinh GD'!L72</f>
        <v>0</v>
      </c>
      <c r="L21" s="402">
        <f>'DT trinh GD'!M72</f>
        <v>0</v>
      </c>
      <c r="M21" s="402">
        <f>'DT trinh GD'!N72</f>
        <v>0</v>
      </c>
      <c r="N21" s="402">
        <f>'DT trinh GD'!O72</f>
        <v>330</v>
      </c>
      <c r="O21" s="402">
        <f>'DT trinh GD'!P72</f>
        <v>0</v>
      </c>
      <c r="P21" s="402">
        <f>'DT trinh GD'!Q72</f>
        <v>0</v>
      </c>
      <c r="Q21" s="402">
        <f>'DT trinh GD'!R72</f>
        <v>16749</v>
      </c>
      <c r="R21" s="402">
        <f>'DT trinh GD'!S72</f>
        <v>0</v>
      </c>
      <c r="S21" s="402">
        <f>'DT trinh GD'!T72</f>
        <v>0</v>
      </c>
      <c r="T21" s="402">
        <f>'DT trinh GD'!U72</f>
        <v>7850</v>
      </c>
      <c r="U21" s="402">
        <f>'DT trinh GD'!V72</f>
        <v>8327</v>
      </c>
      <c r="V21" s="402">
        <f>'DT trinh GD'!W72</f>
        <v>0</v>
      </c>
      <c r="W21" s="402">
        <f>'DT trinh GD'!X72</f>
        <v>100</v>
      </c>
      <c r="X21" s="402">
        <f>'DT trinh GD'!Y72</f>
        <v>0</v>
      </c>
      <c r="Y21" s="402"/>
      <c r="Z21" s="402"/>
      <c r="AA21" s="402"/>
      <c r="AB21" s="402"/>
      <c r="AC21" s="402">
        <f>'DT trinh GD'!AE72</f>
        <v>0</v>
      </c>
      <c r="AD21" s="402"/>
      <c r="AE21" s="402">
        <f>'DT trinh GD'!AG72</f>
        <v>0</v>
      </c>
    </row>
    <row r="22" spans="1:31" s="223" customFormat="1" ht="19.5" customHeight="1">
      <c r="A22" s="400">
        <v>14</v>
      </c>
      <c r="B22" s="401" t="s">
        <v>51</v>
      </c>
      <c r="C22" s="402">
        <f t="shared" si="0"/>
        <v>101081</v>
      </c>
      <c r="D22" s="402">
        <f>'DT trinh GD'!E77</f>
        <v>0</v>
      </c>
      <c r="E22" s="402"/>
      <c r="F22" s="402">
        <f>'DT trinh GD'!F77</f>
        <v>0</v>
      </c>
      <c r="G22" s="402">
        <f>'DT trinh GD'!H77</f>
        <v>101081</v>
      </c>
      <c r="H22" s="402">
        <f>'DT trinh GD'!I77</f>
        <v>0</v>
      </c>
      <c r="I22" s="402">
        <f>'DT trinh GD'!J77</f>
        <v>0</v>
      </c>
      <c r="J22" s="402">
        <f>'DT trinh GD'!K77</f>
        <v>0</v>
      </c>
      <c r="K22" s="402">
        <f>'DT trinh GD'!L77</f>
        <v>3600</v>
      </c>
      <c r="L22" s="402">
        <f>'DT trinh GD'!M77</f>
        <v>2608</v>
      </c>
      <c r="M22" s="402">
        <f>'DT trinh GD'!N77</f>
        <v>0</v>
      </c>
      <c r="N22" s="402">
        <f>'DT trinh GD'!O77</f>
        <v>14800</v>
      </c>
      <c r="O22" s="402">
        <f>'DT trinh GD'!P77</f>
        <v>0</v>
      </c>
      <c r="P22" s="402">
        <f>'DT trinh GD'!Q77</f>
        <v>0</v>
      </c>
      <c r="Q22" s="402">
        <f>'DT trinh GD'!R77</f>
        <v>0</v>
      </c>
      <c r="R22" s="402">
        <f>'DT trinh GD'!S77</f>
        <v>0</v>
      </c>
      <c r="S22" s="402">
        <f>'DT trinh GD'!T77</f>
        <v>68771</v>
      </c>
      <c r="T22" s="402">
        <f>'DT trinh GD'!U77</f>
        <v>300</v>
      </c>
      <c r="U22" s="402">
        <f>'DT trinh GD'!V77</f>
        <v>11002</v>
      </c>
      <c r="V22" s="402">
        <f>'DT trinh GD'!W77</f>
        <v>0</v>
      </c>
      <c r="W22" s="402">
        <f>'DT trinh GD'!X77</f>
        <v>0</v>
      </c>
      <c r="X22" s="402">
        <f>'DT trinh GD'!Y77</f>
        <v>0</v>
      </c>
      <c r="Y22" s="402"/>
      <c r="Z22" s="402"/>
      <c r="AA22" s="402"/>
      <c r="AB22" s="402"/>
      <c r="AC22" s="402">
        <f>'DT trinh GD'!AE77</f>
        <v>0</v>
      </c>
      <c r="AD22" s="402"/>
      <c r="AE22" s="402">
        <f>'DT trinh GD'!AG77</f>
        <v>0</v>
      </c>
    </row>
    <row r="23" spans="1:31" s="223" customFormat="1" ht="19.5" customHeight="1">
      <c r="A23" s="400">
        <v>15</v>
      </c>
      <c r="B23" s="401" t="s">
        <v>52</v>
      </c>
      <c r="C23" s="402">
        <f t="shared" si="0"/>
        <v>26265</v>
      </c>
      <c r="D23" s="402">
        <f>'DT trinh GD'!E82</f>
        <v>0</v>
      </c>
      <c r="E23" s="402"/>
      <c r="F23" s="402">
        <f>'DT trinh GD'!F82</f>
        <v>0</v>
      </c>
      <c r="G23" s="402">
        <f>'DT trinh GD'!H82</f>
        <v>26265</v>
      </c>
      <c r="H23" s="402">
        <f>'DT trinh GD'!I82</f>
        <v>0</v>
      </c>
      <c r="I23" s="402">
        <f>'DT trinh GD'!J82</f>
        <v>0</v>
      </c>
      <c r="J23" s="402">
        <f>'DT trinh GD'!K82</f>
        <v>0</v>
      </c>
      <c r="K23" s="402">
        <f>'DT trinh GD'!L82</f>
        <v>820</v>
      </c>
      <c r="L23" s="402">
        <f>'DT trinh GD'!M82</f>
        <v>0</v>
      </c>
      <c r="M23" s="402">
        <f>'DT trinh GD'!N82</f>
        <v>0</v>
      </c>
      <c r="N23" s="402">
        <f>'DT trinh GD'!O82</f>
        <v>40</v>
      </c>
      <c r="O23" s="402">
        <f>'DT trinh GD'!P82</f>
        <v>0</v>
      </c>
      <c r="P23" s="402">
        <f>'DT trinh GD'!Q82</f>
        <v>0</v>
      </c>
      <c r="Q23" s="402">
        <f>'DT trinh GD'!R82</f>
        <v>0</v>
      </c>
      <c r="R23" s="402">
        <f>'DT trinh GD'!S82</f>
        <v>0</v>
      </c>
      <c r="S23" s="402">
        <f>'DT trinh GD'!T82</f>
        <v>0</v>
      </c>
      <c r="T23" s="402">
        <f>'DT trinh GD'!U82</f>
        <v>17356</v>
      </c>
      <c r="U23" s="402">
        <f>'DT trinh GD'!V82</f>
        <v>7899</v>
      </c>
      <c r="V23" s="402">
        <f>'DT trinh GD'!W82</f>
        <v>0</v>
      </c>
      <c r="W23" s="402">
        <f>'DT trinh GD'!X82</f>
        <v>150</v>
      </c>
      <c r="X23" s="402">
        <f>'DT trinh GD'!Y82</f>
        <v>0</v>
      </c>
      <c r="Y23" s="402"/>
      <c r="Z23" s="402"/>
      <c r="AA23" s="402"/>
      <c r="AB23" s="402"/>
      <c r="AC23" s="402">
        <f>'DT trinh GD'!AE82</f>
        <v>0</v>
      </c>
      <c r="AD23" s="402"/>
      <c r="AE23" s="402">
        <f>'DT trinh GD'!AG82</f>
        <v>0</v>
      </c>
    </row>
    <row r="24" spans="1:31" s="223" customFormat="1" ht="19.5" customHeight="1">
      <c r="A24" s="400">
        <v>16</v>
      </c>
      <c r="B24" s="401" t="s">
        <v>53</v>
      </c>
      <c r="C24" s="402">
        <f t="shared" si="0"/>
        <v>672617</v>
      </c>
      <c r="D24" s="402">
        <f>'DT trinh GD'!E88</f>
        <v>0</v>
      </c>
      <c r="E24" s="402"/>
      <c r="F24" s="402">
        <f>'DT trinh GD'!F88</f>
        <v>0</v>
      </c>
      <c r="G24" s="402">
        <f>'DT trinh GD'!H88</f>
        <v>672617</v>
      </c>
      <c r="H24" s="402">
        <f>'DT trinh GD'!I88</f>
        <v>0</v>
      </c>
      <c r="I24" s="402">
        <f>'DT trinh GD'!J88</f>
        <v>0</v>
      </c>
      <c r="J24" s="402">
        <f>'DT trinh GD'!K88</f>
        <v>0</v>
      </c>
      <c r="K24" s="402">
        <f>'DT trinh GD'!L88</f>
        <v>0</v>
      </c>
      <c r="L24" s="402">
        <f>'DT trinh GD'!M88</f>
        <v>0</v>
      </c>
      <c r="M24" s="402">
        <f>'DT trinh GD'!N88</f>
        <v>0</v>
      </c>
      <c r="N24" s="402">
        <f>'DT trinh GD'!O88</f>
        <v>660585</v>
      </c>
      <c r="O24" s="402">
        <f>'DT trinh GD'!P88</f>
        <v>0</v>
      </c>
      <c r="P24" s="402">
        <f>'DT trinh GD'!Q88</f>
        <v>0</v>
      </c>
      <c r="Q24" s="402">
        <f>'DT trinh GD'!R88</f>
        <v>0</v>
      </c>
      <c r="R24" s="402">
        <f>'DT trinh GD'!S88</f>
        <v>0</v>
      </c>
      <c r="S24" s="402">
        <f>'DT trinh GD'!T88</f>
        <v>0</v>
      </c>
      <c r="T24" s="402">
        <f>'DT trinh GD'!U88</f>
        <v>80</v>
      </c>
      <c r="U24" s="402">
        <f>'DT trinh GD'!V88</f>
        <v>11952</v>
      </c>
      <c r="V24" s="402">
        <f>'DT trinh GD'!W88</f>
        <v>0</v>
      </c>
      <c r="W24" s="402">
        <f>'DT trinh GD'!X88</f>
        <v>0</v>
      </c>
      <c r="X24" s="402">
        <f>'DT trinh GD'!Y88</f>
        <v>0</v>
      </c>
      <c r="Y24" s="402"/>
      <c r="Z24" s="402"/>
      <c r="AA24" s="402"/>
      <c r="AB24" s="402"/>
      <c r="AC24" s="402">
        <f>'DT trinh GD'!AE88</f>
        <v>0</v>
      </c>
      <c r="AD24" s="402"/>
      <c r="AE24" s="402">
        <f>'DT trinh GD'!AG88</f>
        <v>0</v>
      </c>
    </row>
    <row r="25" spans="1:31" s="223" customFormat="1" ht="19.5" customHeight="1">
      <c r="A25" s="400">
        <v>17</v>
      </c>
      <c r="B25" s="401" t="s">
        <v>55</v>
      </c>
      <c r="C25" s="402">
        <f t="shared" si="0"/>
        <v>402537</v>
      </c>
      <c r="D25" s="402">
        <f>'DT trinh GD'!E94</f>
        <v>0</v>
      </c>
      <c r="E25" s="402"/>
      <c r="F25" s="402">
        <f>'DT trinh GD'!F94</f>
        <v>0</v>
      </c>
      <c r="G25" s="402">
        <f>'DT trinh GD'!H94</f>
        <v>402537</v>
      </c>
      <c r="H25" s="402">
        <f>'DT trinh GD'!I94</f>
        <v>0</v>
      </c>
      <c r="I25" s="402">
        <f>'DT trinh GD'!J94</f>
        <v>0</v>
      </c>
      <c r="J25" s="402">
        <f>'DT trinh GD'!K94</f>
        <v>0</v>
      </c>
      <c r="K25" s="402">
        <f>'DT trinh GD'!L94</f>
        <v>1000</v>
      </c>
      <c r="L25" s="402">
        <f>'DT trinh GD'!M94</f>
        <v>0</v>
      </c>
      <c r="M25" s="402">
        <f>'DT trinh GD'!N94</f>
        <v>0</v>
      </c>
      <c r="N25" s="402">
        <f>'DT trinh GD'!O94</f>
        <v>8700</v>
      </c>
      <c r="O25" s="402">
        <f>'DT trinh GD'!P94</f>
        <v>372888</v>
      </c>
      <c r="P25" s="402">
        <f>'DT trinh GD'!Q94</f>
        <v>0</v>
      </c>
      <c r="Q25" s="402">
        <f>'DT trinh GD'!R94</f>
        <v>8094</v>
      </c>
      <c r="R25" s="402">
        <f>'DT trinh GD'!S94</f>
        <v>0</v>
      </c>
      <c r="S25" s="402">
        <f>'DT trinh GD'!T94</f>
        <v>0</v>
      </c>
      <c r="T25" s="402">
        <f>'DT trinh GD'!U94</f>
        <v>20</v>
      </c>
      <c r="U25" s="402">
        <f>'DT trinh GD'!V94</f>
        <v>11835</v>
      </c>
      <c r="V25" s="402">
        <f>'DT trinh GD'!W94</f>
        <v>0</v>
      </c>
      <c r="W25" s="402">
        <f>'DT trinh GD'!X94</f>
        <v>0</v>
      </c>
      <c r="X25" s="402">
        <f>'DT trinh GD'!Y94</f>
        <v>0</v>
      </c>
      <c r="Y25" s="402"/>
      <c r="Z25" s="402"/>
      <c r="AA25" s="402"/>
      <c r="AB25" s="402"/>
      <c r="AC25" s="402">
        <f>'DT trinh GD'!AE94</f>
        <v>0</v>
      </c>
      <c r="AD25" s="402"/>
      <c r="AE25" s="402">
        <f>'DT trinh GD'!AG94</f>
        <v>0</v>
      </c>
    </row>
    <row r="26" spans="1:31" s="223" customFormat="1" ht="19.5" customHeight="1">
      <c r="A26" s="400">
        <v>18</v>
      </c>
      <c r="B26" s="401" t="s">
        <v>57</v>
      </c>
      <c r="C26" s="402">
        <f t="shared" si="0"/>
        <v>55099</v>
      </c>
      <c r="D26" s="402">
        <f>'DT trinh GD'!E101</f>
        <v>0</v>
      </c>
      <c r="E26" s="402"/>
      <c r="F26" s="402">
        <f>'DT trinh GD'!F101</f>
        <v>0</v>
      </c>
      <c r="G26" s="402">
        <f>'DT trinh GD'!H101</f>
        <v>55099</v>
      </c>
      <c r="H26" s="402">
        <f>'DT trinh GD'!I101</f>
        <v>0</v>
      </c>
      <c r="I26" s="402">
        <f>'DT trinh GD'!J101</f>
        <v>0</v>
      </c>
      <c r="J26" s="402">
        <f>'DT trinh GD'!K101</f>
        <v>0</v>
      </c>
      <c r="K26" s="402">
        <f>'DT trinh GD'!L101</f>
        <v>1783</v>
      </c>
      <c r="L26" s="402">
        <f>'DT trinh GD'!M101</f>
        <v>16614</v>
      </c>
      <c r="M26" s="402">
        <f>'DT trinh GD'!N101</f>
        <v>0</v>
      </c>
      <c r="N26" s="402">
        <f>'DT trinh GD'!O101</f>
        <v>250</v>
      </c>
      <c r="O26" s="402">
        <f>'DT trinh GD'!P101</f>
        <v>0</v>
      </c>
      <c r="P26" s="402">
        <f>'DT trinh GD'!Q101</f>
        <v>0</v>
      </c>
      <c r="Q26" s="402">
        <f>'DT trinh GD'!R101</f>
        <v>200</v>
      </c>
      <c r="R26" s="402">
        <f>'DT trinh GD'!S101</f>
        <v>0</v>
      </c>
      <c r="S26" s="402">
        <f>'DT trinh GD'!T101</f>
        <v>1000</v>
      </c>
      <c r="T26" s="402">
        <f>'DT trinh GD'!U101</f>
        <v>1816</v>
      </c>
      <c r="U26" s="402">
        <f>'DT trinh GD'!V101</f>
        <v>33436</v>
      </c>
      <c r="V26" s="402">
        <f>'DT trinh GD'!W101</f>
        <v>0</v>
      </c>
      <c r="W26" s="402">
        <f>'DT trinh GD'!X101</f>
        <v>0</v>
      </c>
      <c r="X26" s="402">
        <f>'DT trinh GD'!Y101</f>
        <v>0</v>
      </c>
      <c r="Y26" s="402"/>
      <c r="Z26" s="402"/>
      <c r="AA26" s="402"/>
      <c r="AB26" s="402"/>
      <c r="AC26" s="402">
        <f>'DT trinh GD'!AE101</f>
        <v>0</v>
      </c>
      <c r="AD26" s="402"/>
      <c r="AE26" s="402">
        <f>'DT trinh GD'!AG101</f>
        <v>0</v>
      </c>
    </row>
    <row r="27" spans="1:31" s="223" customFormat="1" ht="19.5" customHeight="1">
      <c r="A27" s="400">
        <v>19</v>
      </c>
      <c r="B27" s="401" t="s">
        <v>59</v>
      </c>
      <c r="C27" s="402">
        <f t="shared" si="0"/>
        <v>3715</v>
      </c>
      <c r="D27" s="402">
        <f>'DT trinh GD'!E106</f>
        <v>0</v>
      </c>
      <c r="E27" s="402"/>
      <c r="F27" s="402">
        <f>'DT trinh GD'!F106</f>
        <v>0</v>
      </c>
      <c r="G27" s="402">
        <f>'DT trinh GD'!H106</f>
        <v>3715</v>
      </c>
      <c r="H27" s="402">
        <f>'DT trinh GD'!I106</f>
        <v>0</v>
      </c>
      <c r="I27" s="402">
        <f>'DT trinh GD'!J106</f>
        <v>0</v>
      </c>
      <c r="J27" s="402">
        <f>'DT trinh GD'!K106</f>
        <v>0</v>
      </c>
      <c r="K27" s="402">
        <f>'DT trinh GD'!L106</f>
        <v>0</v>
      </c>
      <c r="L27" s="402">
        <f>'DT trinh GD'!M106</f>
        <v>0</v>
      </c>
      <c r="M27" s="402">
        <f>'DT trinh GD'!N106</f>
        <v>0</v>
      </c>
      <c r="N27" s="402">
        <f>'DT trinh GD'!O106</f>
        <v>130</v>
      </c>
      <c r="O27" s="402">
        <f>'DT trinh GD'!P106</f>
        <v>0</v>
      </c>
      <c r="P27" s="402">
        <f>'DT trinh GD'!Q106</f>
        <v>0</v>
      </c>
      <c r="Q27" s="402">
        <f>'DT trinh GD'!R106</f>
        <v>0</v>
      </c>
      <c r="R27" s="402">
        <f>'DT trinh GD'!S106</f>
        <v>0</v>
      </c>
      <c r="S27" s="402">
        <f>'DT trinh GD'!T106</f>
        <v>135</v>
      </c>
      <c r="T27" s="402">
        <f>'DT trinh GD'!U106</f>
        <v>20</v>
      </c>
      <c r="U27" s="402">
        <f>'DT trinh GD'!V106</f>
        <v>2930</v>
      </c>
      <c r="V27" s="402">
        <f>'DT trinh GD'!W106</f>
        <v>0</v>
      </c>
      <c r="W27" s="402">
        <f>'DT trinh GD'!X106</f>
        <v>0</v>
      </c>
      <c r="X27" s="402">
        <f>'DT trinh GD'!Y106</f>
        <v>0</v>
      </c>
      <c r="Y27" s="402"/>
      <c r="Z27" s="402"/>
      <c r="AA27" s="402"/>
      <c r="AB27" s="402"/>
      <c r="AC27" s="402">
        <f>'DT trinh GD'!AE106</f>
        <v>0</v>
      </c>
      <c r="AD27" s="402"/>
      <c r="AE27" s="402">
        <f>'DT trinh GD'!AG106</f>
        <v>500</v>
      </c>
    </row>
    <row r="28" spans="1:31" s="223" customFormat="1" ht="19.5" customHeight="1">
      <c r="A28" s="400">
        <v>20</v>
      </c>
      <c r="B28" s="401" t="s">
        <v>60</v>
      </c>
      <c r="C28" s="402">
        <f t="shared" si="0"/>
        <v>5041</v>
      </c>
      <c r="D28" s="402">
        <f>'DT trinh GD'!E107</f>
        <v>0</v>
      </c>
      <c r="E28" s="402"/>
      <c r="F28" s="402">
        <f>'DT trinh GD'!F107</f>
        <v>0</v>
      </c>
      <c r="G28" s="402">
        <f>'DT trinh GD'!H107</f>
        <v>5041</v>
      </c>
      <c r="H28" s="402">
        <f>'DT trinh GD'!I107</f>
        <v>0</v>
      </c>
      <c r="I28" s="402">
        <f>'DT trinh GD'!J107</f>
        <v>0</v>
      </c>
      <c r="J28" s="402">
        <f>'DT trinh GD'!K107</f>
        <v>0</v>
      </c>
      <c r="K28" s="402">
        <f>'DT trinh GD'!L107</f>
        <v>0</v>
      </c>
      <c r="L28" s="402">
        <f>'DT trinh GD'!M107</f>
        <v>0</v>
      </c>
      <c r="M28" s="402">
        <f>'DT trinh GD'!N107</f>
        <v>100</v>
      </c>
      <c r="N28" s="402">
        <f>'DT trinh GD'!O107</f>
        <v>100</v>
      </c>
      <c r="O28" s="402">
        <f>'DT trinh GD'!P107</f>
        <v>0</v>
      </c>
      <c r="P28" s="402">
        <f>'DT trinh GD'!Q107</f>
        <v>0</v>
      </c>
      <c r="Q28" s="402">
        <f>'DT trinh GD'!R107</f>
        <v>0</v>
      </c>
      <c r="R28" s="402">
        <f>'DT trinh GD'!S107</f>
        <v>0</v>
      </c>
      <c r="S28" s="402">
        <f>'DT trinh GD'!T107</f>
        <v>0</v>
      </c>
      <c r="T28" s="402">
        <f>'DT trinh GD'!U107</f>
        <v>47</v>
      </c>
      <c r="U28" s="402">
        <f>'DT trinh GD'!V107</f>
        <v>4749</v>
      </c>
      <c r="V28" s="402">
        <f>'DT trinh GD'!W107</f>
        <v>0</v>
      </c>
      <c r="W28" s="402">
        <f>'DT trinh GD'!X107</f>
        <v>0</v>
      </c>
      <c r="X28" s="402">
        <f>'DT trinh GD'!Y107</f>
        <v>0</v>
      </c>
      <c r="Y28" s="402"/>
      <c r="Z28" s="402"/>
      <c r="AA28" s="402"/>
      <c r="AB28" s="402"/>
      <c r="AC28" s="402">
        <f>'DT trinh GD'!AE107</f>
        <v>0</v>
      </c>
      <c r="AD28" s="402"/>
      <c r="AE28" s="402">
        <f>'DT trinh GD'!AG107</f>
        <v>45</v>
      </c>
    </row>
    <row r="29" spans="1:31" s="223" customFormat="1" ht="19.5" customHeight="1">
      <c r="A29" s="400">
        <v>21</v>
      </c>
      <c r="B29" s="401" t="s">
        <v>61</v>
      </c>
      <c r="C29" s="402">
        <f t="shared" si="0"/>
        <v>3393</v>
      </c>
      <c r="D29" s="402">
        <f>'DT trinh GD'!E112</f>
        <v>0</v>
      </c>
      <c r="E29" s="402"/>
      <c r="F29" s="402">
        <f>'DT trinh GD'!F112</f>
        <v>0</v>
      </c>
      <c r="G29" s="402">
        <f>'DT trinh GD'!H112</f>
        <v>3393</v>
      </c>
      <c r="H29" s="402">
        <f>'DT trinh GD'!I112</f>
        <v>0</v>
      </c>
      <c r="I29" s="402">
        <f>'DT trinh GD'!J112</f>
        <v>0</v>
      </c>
      <c r="J29" s="402">
        <f>'DT trinh GD'!K112</f>
        <v>0</v>
      </c>
      <c r="K29" s="402">
        <f>'DT trinh GD'!L112</f>
        <v>0</v>
      </c>
      <c r="L29" s="402">
        <f>'DT trinh GD'!M112</f>
        <v>2883</v>
      </c>
      <c r="M29" s="402">
        <f>'DT trinh GD'!N112</f>
        <v>300</v>
      </c>
      <c r="N29" s="402">
        <f>'DT trinh GD'!O112</f>
        <v>160</v>
      </c>
      <c r="O29" s="402">
        <f>'DT trinh GD'!P112</f>
        <v>0</v>
      </c>
      <c r="P29" s="402">
        <f>'DT trinh GD'!Q112</f>
        <v>0</v>
      </c>
      <c r="Q29" s="402">
        <f>'DT trinh GD'!R112</f>
        <v>0</v>
      </c>
      <c r="R29" s="402">
        <f>'DT trinh GD'!S112</f>
        <v>0</v>
      </c>
      <c r="S29" s="402">
        <f>'DT trinh GD'!T112</f>
        <v>0</v>
      </c>
      <c r="T29" s="402">
        <f>'DT trinh GD'!U112</f>
        <v>50</v>
      </c>
      <c r="U29" s="402">
        <f>'DT trinh GD'!V112</f>
        <v>0</v>
      </c>
      <c r="V29" s="402">
        <f>'DT trinh GD'!W112</f>
        <v>0</v>
      </c>
      <c r="W29" s="402">
        <f>'DT trinh GD'!X112</f>
        <v>0</v>
      </c>
      <c r="X29" s="402">
        <f>'DT trinh GD'!Y112</f>
        <v>0</v>
      </c>
      <c r="Y29" s="402"/>
      <c r="Z29" s="402"/>
      <c r="AA29" s="402"/>
      <c r="AB29" s="402"/>
      <c r="AC29" s="402">
        <f>'DT trinh GD'!AE112</f>
        <v>0</v>
      </c>
      <c r="AD29" s="402"/>
      <c r="AE29" s="402">
        <f>'DT trinh GD'!AG112</f>
        <v>0</v>
      </c>
    </row>
    <row r="30" spans="1:31" s="223" customFormat="1" ht="19.5" customHeight="1">
      <c r="A30" s="400">
        <v>22</v>
      </c>
      <c r="B30" s="401" t="s">
        <v>62</v>
      </c>
      <c r="C30" s="402">
        <f t="shared" si="0"/>
        <v>2318</v>
      </c>
      <c r="D30" s="402">
        <f>'DT trinh GD'!E117</f>
        <v>0</v>
      </c>
      <c r="E30" s="402"/>
      <c r="F30" s="402">
        <f>'DT trinh GD'!F117</f>
        <v>0</v>
      </c>
      <c r="G30" s="402">
        <f>'DT trinh GD'!H117</f>
        <v>2318</v>
      </c>
      <c r="H30" s="402">
        <f>'DT trinh GD'!I117</f>
        <v>0</v>
      </c>
      <c r="I30" s="402">
        <f>'DT trinh GD'!J117</f>
        <v>0</v>
      </c>
      <c r="J30" s="402">
        <f>'DT trinh GD'!K117</f>
        <v>0</v>
      </c>
      <c r="K30" s="402">
        <f>'DT trinh GD'!L117</f>
        <v>0</v>
      </c>
      <c r="L30" s="402">
        <f>'DT trinh GD'!M117</f>
        <v>0</v>
      </c>
      <c r="M30" s="402">
        <f>'DT trinh GD'!N117</f>
        <v>0</v>
      </c>
      <c r="N30" s="402">
        <f>'DT trinh GD'!O117</f>
        <v>0</v>
      </c>
      <c r="O30" s="402">
        <f>'DT trinh GD'!P117</f>
        <v>0</v>
      </c>
      <c r="P30" s="402">
        <f>'DT trinh GD'!Q117</f>
        <v>0</v>
      </c>
      <c r="Q30" s="402">
        <f>'DT trinh GD'!R117</f>
        <v>0</v>
      </c>
      <c r="R30" s="402">
        <f>'DT trinh GD'!S117</f>
        <v>0</v>
      </c>
      <c r="S30" s="402">
        <f>'DT trinh GD'!T117</f>
        <v>0</v>
      </c>
      <c r="T30" s="402">
        <f>'DT trinh GD'!U117</f>
        <v>1170</v>
      </c>
      <c r="U30" s="402">
        <f>'DT trinh GD'!V117</f>
        <v>1128</v>
      </c>
      <c r="V30" s="402">
        <f>'DT trinh GD'!W117</f>
        <v>0</v>
      </c>
      <c r="W30" s="402">
        <f>'DT trinh GD'!X117</f>
        <v>0</v>
      </c>
      <c r="X30" s="402">
        <f>'DT trinh GD'!Y117</f>
        <v>0</v>
      </c>
      <c r="Y30" s="402"/>
      <c r="Z30" s="402"/>
      <c r="AA30" s="402"/>
      <c r="AB30" s="402"/>
      <c r="AC30" s="402">
        <f>'DT trinh GD'!AE117</f>
        <v>0</v>
      </c>
      <c r="AD30" s="402"/>
      <c r="AE30" s="402">
        <f>'DT trinh GD'!AG117</f>
        <v>20</v>
      </c>
    </row>
    <row r="31" spans="1:31" s="223" customFormat="1" ht="19.5" customHeight="1">
      <c r="A31" s="400">
        <v>23</v>
      </c>
      <c r="B31" s="401" t="s">
        <v>63</v>
      </c>
      <c r="C31" s="402">
        <f t="shared" si="0"/>
        <v>43965</v>
      </c>
      <c r="D31" s="402">
        <f>'DT trinh GD'!E118</f>
        <v>0</v>
      </c>
      <c r="E31" s="402"/>
      <c r="F31" s="402">
        <f>'DT trinh GD'!F118</f>
        <v>0</v>
      </c>
      <c r="G31" s="402">
        <f>'DT trinh GD'!H118</f>
        <v>43965</v>
      </c>
      <c r="H31" s="402">
        <f>'DT trinh GD'!I118</f>
        <v>115</v>
      </c>
      <c r="I31" s="402">
        <f>'DT trinh GD'!J118</f>
        <v>0</v>
      </c>
      <c r="J31" s="402">
        <f>'DT trinh GD'!K118</f>
        <v>0</v>
      </c>
      <c r="K31" s="402">
        <f>'DT trinh GD'!L118</f>
        <v>1310</v>
      </c>
      <c r="L31" s="402">
        <f>'DT trinh GD'!M118</f>
        <v>599</v>
      </c>
      <c r="M31" s="402">
        <f>'DT trinh GD'!N118</f>
        <v>81</v>
      </c>
      <c r="N31" s="402">
        <f>'DT trinh GD'!O118</f>
        <v>1247</v>
      </c>
      <c r="O31" s="402">
        <f>'DT trinh GD'!P118</f>
        <v>1356</v>
      </c>
      <c r="P31" s="402">
        <f>'DT trinh GD'!Q118</f>
        <v>3059</v>
      </c>
      <c r="Q31" s="402">
        <f>'DT trinh GD'!R118</f>
        <v>0</v>
      </c>
      <c r="R31" s="402">
        <f>'DT trinh GD'!S118</f>
        <v>0</v>
      </c>
      <c r="S31" s="402">
        <f>'DT trinh GD'!T118</f>
        <v>2693</v>
      </c>
      <c r="T31" s="402">
        <f>'DT trinh GD'!U118</f>
        <v>240</v>
      </c>
      <c r="U31" s="402">
        <f>'DT trinh GD'!V118</f>
        <v>32419</v>
      </c>
      <c r="V31" s="402">
        <f>'DT trinh GD'!W118</f>
        <v>0</v>
      </c>
      <c r="W31" s="402">
        <f>'DT trinh GD'!X118</f>
        <v>0</v>
      </c>
      <c r="X31" s="402">
        <f>'DT trinh GD'!Y118</f>
        <v>683</v>
      </c>
      <c r="Y31" s="402"/>
      <c r="Z31" s="402"/>
      <c r="AA31" s="402"/>
      <c r="AB31" s="402"/>
      <c r="AC31" s="402">
        <f>'DT trinh GD'!AE118</f>
        <v>0</v>
      </c>
      <c r="AD31" s="402"/>
      <c r="AE31" s="402">
        <f>'DT trinh GD'!AG118</f>
        <v>163</v>
      </c>
    </row>
    <row r="32" spans="1:31" s="222" customFormat="1" ht="15" customHeight="1">
      <c r="A32" s="406"/>
      <c r="B32" s="407" t="s">
        <v>64</v>
      </c>
      <c r="C32" s="408">
        <f t="shared" si="0"/>
        <v>5626</v>
      </c>
      <c r="D32" s="408">
        <f>'DT trinh GD'!E119</f>
        <v>0</v>
      </c>
      <c r="E32" s="408"/>
      <c r="F32" s="408">
        <f>'DT trinh GD'!F119</f>
        <v>0</v>
      </c>
      <c r="G32" s="408">
        <f>'DT trinh GD'!H119</f>
        <v>5626</v>
      </c>
      <c r="H32" s="408">
        <f>'DT trinh GD'!I119</f>
        <v>0</v>
      </c>
      <c r="I32" s="408">
        <f>'DT trinh GD'!J119</f>
        <v>0</v>
      </c>
      <c r="J32" s="408">
        <f>'DT trinh GD'!K119</f>
        <v>0</v>
      </c>
      <c r="K32" s="408">
        <f>'DT trinh GD'!L119</f>
        <v>0</v>
      </c>
      <c r="L32" s="408">
        <f>'DT trinh GD'!M119</f>
        <v>0</v>
      </c>
      <c r="M32" s="408">
        <f>'DT trinh GD'!N119</f>
        <v>0</v>
      </c>
      <c r="N32" s="408">
        <f>'DT trinh GD'!O119</f>
        <v>347</v>
      </c>
      <c r="O32" s="408">
        <f>'DT trinh GD'!P119</f>
        <v>0</v>
      </c>
      <c r="P32" s="408">
        <f>'DT trinh GD'!Q119</f>
        <v>0</v>
      </c>
      <c r="Q32" s="408">
        <f>'DT trinh GD'!R119</f>
        <v>0</v>
      </c>
      <c r="R32" s="408">
        <f>'DT trinh GD'!S119</f>
        <v>0</v>
      </c>
      <c r="S32" s="408">
        <f>'DT trinh GD'!T119</f>
        <v>0</v>
      </c>
      <c r="T32" s="408">
        <f>'DT trinh GD'!U119</f>
        <v>30</v>
      </c>
      <c r="U32" s="408">
        <f>'DT trinh GD'!V119</f>
        <v>5199</v>
      </c>
      <c r="V32" s="408">
        <f>'DT trinh GD'!W119</f>
        <v>0</v>
      </c>
      <c r="W32" s="408">
        <f>'DT trinh GD'!X119</f>
        <v>0</v>
      </c>
      <c r="X32" s="408">
        <f>'DT trinh GD'!Y119</f>
        <v>0</v>
      </c>
      <c r="Y32" s="408"/>
      <c r="Z32" s="408"/>
      <c r="AA32" s="408"/>
      <c r="AB32" s="408"/>
      <c r="AC32" s="408">
        <f>'DT trinh GD'!AE119</f>
        <v>0</v>
      </c>
      <c r="AD32" s="408"/>
      <c r="AE32" s="408">
        <f>'DT trinh GD'!AG119</f>
        <v>50</v>
      </c>
    </row>
    <row r="33" spans="1:31" s="222" customFormat="1" ht="15" customHeight="1">
      <c r="A33" s="406"/>
      <c r="B33" s="407" t="s">
        <v>65</v>
      </c>
      <c r="C33" s="408">
        <f t="shared" si="0"/>
        <v>8889</v>
      </c>
      <c r="D33" s="408">
        <f>'DT trinh GD'!E120</f>
        <v>0</v>
      </c>
      <c r="E33" s="408"/>
      <c r="F33" s="408">
        <f>'DT trinh GD'!F120</f>
        <v>0</v>
      </c>
      <c r="G33" s="408">
        <f>'DT trinh GD'!H120</f>
        <v>8889</v>
      </c>
      <c r="H33" s="408">
        <f>'DT trinh GD'!I120</f>
        <v>0</v>
      </c>
      <c r="I33" s="408">
        <f>'DT trinh GD'!J120</f>
        <v>0</v>
      </c>
      <c r="J33" s="408">
        <f>'DT trinh GD'!K120</f>
        <v>0</v>
      </c>
      <c r="K33" s="408">
        <f>'DT trinh GD'!L120</f>
        <v>0</v>
      </c>
      <c r="L33" s="408">
        <f>'DT trinh GD'!M120</f>
        <v>0</v>
      </c>
      <c r="M33" s="408">
        <f>'DT trinh GD'!N120</f>
        <v>0</v>
      </c>
      <c r="N33" s="408">
        <f>'DT trinh GD'!O120</f>
        <v>525</v>
      </c>
      <c r="O33" s="408">
        <f>'DT trinh GD'!P120</f>
        <v>0</v>
      </c>
      <c r="P33" s="408">
        <f>'DT trinh GD'!Q120</f>
        <v>1753</v>
      </c>
      <c r="Q33" s="408">
        <f>'DT trinh GD'!R120</f>
        <v>0</v>
      </c>
      <c r="R33" s="408">
        <f>'DT trinh GD'!S120</f>
        <v>0</v>
      </c>
      <c r="S33" s="408">
        <f>'DT trinh GD'!T120</f>
        <v>1800</v>
      </c>
      <c r="T33" s="408">
        <f>'DT trinh GD'!U120</f>
        <v>40</v>
      </c>
      <c r="U33" s="408">
        <f>'DT trinh GD'!V120</f>
        <v>4733</v>
      </c>
      <c r="V33" s="408">
        <f>'DT trinh GD'!W120</f>
        <v>0</v>
      </c>
      <c r="W33" s="408">
        <f>'DT trinh GD'!X120</f>
        <v>0</v>
      </c>
      <c r="X33" s="408">
        <f>'DT trinh GD'!Y120</f>
        <v>0</v>
      </c>
      <c r="Y33" s="408"/>
      <c r="Z33" s="408"/>
      <c r="AA33" s="408"/>
      <c r="AB33" s="408"/>
      <c r="AC33" s="408">
        <f>'DT trinh GD'!AE120</f>
        <v>0</v>
      </c>
      <c r="AD33" s="408"/>
      <c r="AE33" s="408">
        <f>'DT trinh GD'!AG120</f>
        <v>38</v>
      </c>
    </row>
    <row r="34" spans="1:31" s="222" customFormat="1" ht="15" customHeight="1">
      <c r="A34" s="406"/>
      <c r="B34" s="407" t="s">
        <v>66</v>
      </c>
      <c r="C34" s="408">
        <f t="shared" si="0"/>
        <v>8491</v>
      </c>
      <c r="D34" s="408">
        <f>'DT trinh GD'!E121</f>
        <v>0</v>
      </c>
      <c r="E34" s="408"/>
      <c r="F34" s="408">
        <f>'DT trinh GD'!F121</f>
        <v>0</v>
      </c>
      <c r="G34" s="408">
        <f>'DT trinh GD'!H121</f>
        <v>8491</v>
      </c>
      <c r="H34" s="408">
        <f>'DT trinh GD'!I121</f>
        <v>0</v>
      </c>
      <c r="I34" s="408">
        <f>'DT trinh GD'!J121</f>
        <v>0</v>
      </c>
      <c r="J34" s="408">
        <f>'DT trinh GD'!K121</f>
        <v>0</v>
      </c>
      <c r="K34" s="408">
        <f>'DT trinh GD'!L121</f>
        <v>450</v>
      </c>
      <c r="L34" s="408">
        <f>'DT trinh GD'!M121</f>
        <v>0</v>
      </c>
      <c r="M34" s="408">
        <f>'DT trinh GD'!N121</f>
        <v>0</v>
      </c>
      <c r="N34" s="408">
        <f>'DT trinh GD'!O121</f>
        <v>150</v>
      </c>
      <c r="O34" s="408">
        <f>'DT trinh GD'!P121</f>
        <v>0</v>
      </c>
      <c r="P34" s="408">
        <f>'DT trinh GD'!Q121</f>
        <v>376</v>
      </c>
      <c r="Q34" s="408">
        <f>'DT trinh GD'!R121</f>
        <v>0</v>
      </c>
      <c r="R34" s="408">
        <f>'DT trinh GD'!S121</f>
        <v>0</v>
      </c>
      <c r="S34" s="408">
        <f>'DT trinh GD'!T121</f>
        <v>893</v>
      </c>
      <c r="T34" s="408">
        <f>'DT trinh GD'!U121</f>
        <v>25</v>
      </c>
      <c r="U34" s="408">
        <f>'DT trinh GD'!V121</f>
        <v>6575</v>
      </c>
      <c r="V34" s="408">
        <f>'DT trinh GD'!W121</f>
        <v>0</v>
      </c>
      <c r="W34" s="408">
        <f>'DT trinh GD'!X121</f>
        <v>0</v>
      </c>
      <c r="X34" s="408">
        <f>'DT trinh GD'!Y121</f>
        <v>0</v>
      </c>
      <c r="Y34" s="408"/>
      <c r="Z34" s="408"/>
      <c r="AA34" s="408"/>
      <c r="AB34" s="408"/>
      <c r="AC34" s="408">
        <f>'DT trinh GD'!AE121</f>
        <v>0</v>
      </c>
      <c r="AD34" s="408"/>
      <c r="AE34" s="408">
        <f>'DT trinh GD'!AG121</f>
        <v>22</v>
      </c>
    </row>
    <row r="35" spans="1:31" s="222" customFormat="1" ht="15" customHeight="1">
      <c r="A35" s="406"/>
      <c r="B35" s="407" t="s">
        <v>67</v>
      </c>
      <c r="C35" s="408">
        <f t="shared" si="0"/>
        <v>5807</v>
      </c>
      <c r="D35" s="408">
        <f>'DT trinh GD'!E122</f>
        <v>0</v>
      </c>
      <c r="E35" s="408"/>
      <c r="F35" s="408">
        <f>'DT trinh GD'!F122</f>
        <v>0</v>
      </c>
      <c r="G35" s="408">
        <f>'DT trinh GD'!H122</f>
        <v>5807</v>
      </c>
      <c r="H35" s="408">
        <f>'DT trinh GD'!I122</f>
        <v>115</v>
      </c>
      <c r="I35" s="408">
        <f>'DT trinh GD'!J122</f>
        <v>0</v>
      </c>
      <c r="J35" s="408">
        <f>'DT trinh GD'!K122</f>
        <v>0</v>
      </c>
      <c r="K35" s="408">
        <f>'DT trinh GD'!L122</f>
        <v>500</v>
      </c>
      <c r="L35" s="408">
        <f>'DT trinh GD'!M122</f>
        <v>0</v>
      </c>
      <c r="M35" s="408">
        <f>'DT trinh GD'!N122</f>
        <v>81</v>
      </c>
      <c r="N35" s="408">
        <f>'DT trinh GD'!O122</f>
        <v>90</v>
      </c>
      <c r="O35" s="408">
        <f>'DT trinh GD'!P122</f>
        <v>0</v>
      </c>
      <c r="P35" s="408">
        <f>'DT trinh GD'!Q122</f>
        <v>0</v>
      </c>
      <c r="Q35" s="408">
        <f>'DT trinh GD'!R122</f>
        <v>0</v>
      </c>
      <c r="R35" s="408">
        <f>'DT trinh GD'!S122</f>
        <v>0</v>
      </c>
      <c r="S35" s="408">
        <f>'DT trinh GD'!T122</f>
        <v>0</v>
      </c>
      <c r="T35" s="408">
        <f>'DT trinh GD'!U122</f>
        <v>80</v>
      </c>
      <c r="U35" s="408">
        <f>'DT trinh GD'!V122</f>
        <v>4902</v>
      </c>
      <c r="V35" s="408">
        <f>'DT trinh GD'!W122</f>
        <v>0</v>
      </c>
      <c r="W35" s="408">
        <f>'DT trinh GD'!X122</f>
        <v>0</v>
      </c>
      <c r="X35" s="408">
        <f>'DT trinh GD'!Y122</f>
        <v>0</v>
      </c>
      <c r="Y35" s="408"/>
      <c r="Z35" s="408"/>
      <c r="AA35" s="408"/>
      <c r="AB35" s="408"/>
      <c r="AC35" s="408">
        <f>'DT trinh GD'!AE122</f>
        <v>0</v>
      </c>
      <c r="AD35" s="408"/>
      <c r="AE35" s="408">
        <f>'DT trinh GD'!AG122</f>
        <v>39</v>
      </c>
    </row>
    <row r="36" spans="1:31" s="222" customFormat="1" ht="15" customHeight="1">
      <c r="A36" s="406"/>
      <c r="B36" s="407" t="s">
        <v>68</v>
      </c>
      <c r="C36" s="408">
        <f t="shared" si="0"/>
        <v>991</v>
      </c>
      <c r="D36" s="408">
        <f>'DT trinh GD'!E123</f>
        <v>0</v>
      </c>
      <c r="E36" s="408"/>
      <c r="F36" s="408">
        <f>'DT trinh GD'!F123</f>
        <v>0</v>
      </c>
      <c r="G36" s="408">
        <f>'DT trinh GD'!H123</f>
        <v>991</v>
      </c>
      <c r="H36" s="408">
        <f>'DT trinh GD'!I123</f>
        <v>0</v>
      </c>
      <c r="I36" s="408">
        <f>'DT trinh GD'!J123</f>
        <v>0</v>
      </c>
      <c r="J36" s="408">
        <f>'DT trinh GD'!K123</f>
        <v>0</v>
      </c>
      <c r="K36" s="408">
        <f>'DT trinh GD'!L123</f>
        <v>0</v>
      </c>
      <c r="L36" s="408">
        <f>'DT trinh GD'!M123</f>
        <v>0</v>
      </c>
      <c r="M36" s="408">
        <f>'DT trinh GD'!N123</f>
        <v>0</v>
      </c>
      <c r="N36" s="408">
        <f>'DT trinh GD'!O123</f>
        <v>0</v>
      </c>
      <c r="O36" s="408">
        <f>'DT trinh GD'!P123</f>
        <v>0</v>
      </c>
      <c r="P36" s="408">
        <f>'DT trinh GD'!Q123</f>
        <v>130</v>
      </c>
      <c r="Q36" s="408">
        <f>'DT trinh GD'!R123</f>
        <v>0</v>
      </c>
      <c r="R36" s="408">
        <f>'DT trinh GD'!S123</f>
        <v>0</v>
      </c>
      <c r="S36" s="408">
        <f>'DT trinh GD'!T123</f>
        <v>0</v>
      </c>
      <c r="T36" s="408">
        <f>'DT trinh GD'!U123</f>
        <v>0</v>
      </c>
      <c r="U36" s="408">
        <f>'DT trinh GD'!V123</f>
        <v>661</v>
      </c>
      <c r="V36" s="408">
        <f>'DT trinh GD'!W123</f>
        <v>0</v>
      </c>
      <c r="W36" s="408">
        <f>'DT trinh GD'!X123</f>
        <v>0</v>
      </c>
      <c r="X36" s="408">
        <f>'DT trinh GD'!Y123</f>
        <v>200</v>
      </c>
      <c r="Y36" s="408"/>
      <c r="Z36" s="408"/>
      <c r="AA36" s="408"/>
      <c r="AB36" s="408"/>
      <c r="AC36" s="408">
        <f>'DT trinh GD'!AE123</f>
        <v>0</v>
      </c>
      <c r="AD36" s="408"/>
      <c r="AE36" s="408">
        <f>'DT trinh GD'!AG123</f>
        <v>0</v>
      </c>
    </row>
    <row r="37" spans="1:31" s="222" customFormat="1" ht="15" customHeight="1">
      <c r="A37" s="406"/>
      <c r="B37" s="407" t="s">
        <v>69</v>
      </c>
      <c r="C37" s="408">
        <f t="shared" si="0"/>
        <v>2962</v>
      </c>
      <c r="D37" s="408">
        <f>'DT trinh GD'!E124</f>
        <v>0</v>
      </c>
      <c r="E37" s="408"/>
      <c r="F37" s="408">
        <f>'DT trinh GD'!F124</f>
        <v>0</v>
      </c>
      <c r="G37" s="408">
        <f>'DT trinh GD'!H124</f>
        <v>2962</v>
      </c>
      <c r="H37" s="408">
        <f>'DT trinh GD'!I124</f>
        <v>0</v>
      </c>
      <c r="I37" s="408">
        <f>'DT trinh GD'!J124</f>
        <v>0</v>
      </c>
      <c r="J37" s="408">
        <f>'DT trinh GD'!K124</f>
        <v>0</v>
      </c>
      <c r="K37" s="408">
        <f>'DT trinh GD'!L124</f>
        <v>0</v>
      </c>
      <c r="L37" s="408">
        <f>'DT trinh GD'!M124</f>
        <v>0</v>
      </c>
      <c r="M37" s="408">
        <f>'DT trinh GD'!N124</f>
        <v>0</v>
      </c>
      <c r="N37" s="408">
        <f>'DT trinh GD'!O124</f>
        <v>100</v>
      </c>
      <c r="O37" s="408">
        <f>'DT trinh GD'!P124</f>
        <v>0</v>
      </c>
      <c r="P37" s="408">
        <f>'DT trinh GD'!Q124</f>
        <v>0</v>
      </c>
      <c r="Q37" s="408">
        <f>'DT trinh GD'!R124</f>
        <v>0</v>
      </c>
      <c r="R37" s="408">
        <f>'DT trinh GD'!S124</f>
        <v>0</v>
      </c>
      <c r="S37" s="408">
        <f>'DT trinh GD'!T124</f>
        <v>0</v>
      </c>
      <c r="T37" s="408">
        <f>'DT trinh GD'!U124</f>
        <v>0</v>
      </c>
      <c r="U37" s="408">
        <f>'DT trinh GD'!V124</f>
        <v>2848</v>
      </c>
      <c r="V37" s="408">
        <f>'DT trinh GD'!W124</f>
        <v>0</v>
      </c>
      <c r="W37" s="408">
        <f>'DT trinh GD'!X124</f>
        <v>0</v>
      </c>
      <c r="X37" s="408">
        <f>'DT trinh GD'!Y124</f>
        <v>0</v>
      </c>
      <c r="Y37" s="408"/>
      <c r="Z37" s="408"/>
      <c r="AA37" s="408"/>
      <c r="AB37" s="408"/>
      <c r="AC37" s="408">
        <f>'DT trinh GD'!AE124</f>
        <v>0</v>
      </c>
      <c r="AD37" s="408"/>
      <c r="AE37" s="408">
        <f>'DT trinh GD'!AG124</f>
        <v>14</v>
      </c>
    </row>
    <row r="38" spans="1:31" s="222" customFormat="1" ht="15" customHeight="1">
      <c r="A38" s="406"/>
      <c r="B38" s="407" t="s">
        <v>70</v>
      </c>
      <c r="C38" s="408">
        <f t="shared" si="0"/>
        <v>2598</v>
      </c>
      <c r="D38" s="408">
        <f>'DT trinh GD'!E125</f>
        <v>0</v>
      </c>
      <c r="E38" s="408"/>
      <c r="F38" s="408">
        <f>'DT trinh GD'!F125</f>
        <v>0</v>
      </c>
      <c r="G38" s="408">
        <f>'DT trinh GD'!H125</f>
        <v>2598</v>
      </c>
      <c r="H38" s="408">
        <f>'DT trinh GD'!I125</f>
        <v>0</v>
      </c>
      <c r="I38" s="408">
        <f>'DT trinh GD'!J125</f>
        <v>0</v>
      </c>
      <c r="J38" s="408">
        <f>'DT trinh GD'!K125</f>
        <v>0</v>
      </c>
      <c r="K38" s="408">
        <f>'DT trinh GD'!L125</f>
        <v>0</v>
      </c>
      <c r="L38" s="408">
        <f>'DT trinh GD'!M125</f>
        <v>0</v>
      </c>
      <c r="M38" s="408">
        <f>'DT trinh GD'!N125</f>
        <v>0</v>
      </c>
      <c r="N38" s="408">
        <f>'DT trinh GD'!O125</f>
        <v>0</v>
      </c>
      <c r="O38" s="408">
        <f>'DT trinh GD'!P125</f>
        <v>0</v>
      </c>
      <c r="P38" s="408">
        <f>'DT trinh GD'!Q125</f>
        <v>800</v>
      </c>
      <c r="Q38" s="408">
        <f>'DT trinh GD'!R125</f>
        <v>0</v>
      </c>
      <c r="R38" s="408">
        <f>'DT trinh GD'!S125</f>
        <v>0</v>
      </c>
      <c r="S38" s="408">
        <f>'DT trinh GD'!T125</f>
        <v>0</v>
      </c>
      <c r="T38" s="408">
        <f>'DT trinh GD'!U125</f>
        <v>25</v>
      </c>
      <c r="U38" s="408">
        <f>'DT trinh GD'!V125</f>
        <v>1290</v>
      </c>
      <c r="V38" s="408">
        <f>'DT trinh GD'!W125</f>
        <v>0</v>
      </c>
      <c r="W38" s="408">
        <f>'DT trinh GD'!X125</f>
        <v>0</v>
      </c>
      <c r="X38" s="408">
        <f>'DT trinh GD'!Y125</f>
        <v>483</v>
      </c>
      <c r="Y38" s="408"/>
      <c r="Z38" s="408"/>
      <c r="AA38" s="408"/>
      <c r="AB38" s="408"/>
      <c r="AC38" s="408">
        <f>'DT trinh GD'!AE125</f>
        <v>0</v>
      </c>
      <c r="AD38" s="408"/>
      <c r="AE38" s="408">
        <f>'DT trinh GD'!AG125</f>
        <v>0</v>
      </c>
    </row>
    <row r="39" spans="1:31" s="222" customFormat="1" ht="15" customHeight="1">
      <c r="A39" s="406"/>
      <c r="B39" s="407" t="s">
        <v>71</v>
      </c>
      <c r="C39" s="408">
        <f t="shared" si="0"/>
        <v>3485</v>
      </c>
      <c r="D39" s="408">
        <f>'DT trinh GD'!E126</f>
        <v>0</v>
      </c>
      <c r="E39" s="408"/>
      <c r="F39" s="408">
        <f>'DT trinh GD'!F126</f>
        <v>0</v>
      </c>
      <c r="G39" s="408">
        <f>'DT trinh GD'!H126</f>
        <v>3485</v>
      </c>
      <c r="H39" s="408">
        <f>'DT trinh GD'!I126</f>
        <v>0</v>
      </c>
      <c r="I39" s="408">
        <f>'DT trinh GD'!J126</f>
        <v>0</v>
      </c>
      <c r="J39" s="408">
        <f>'DT trinh GD'!K126</f>
        <v>0</v>
      </c>
      <c r="K39" s="408">
        <f>'DT trinh GD'!L126</f>
        <v>360</v>
      </c>
      <c r="L39" s="408">
        <f>'DT trinh GD'!M126</f>
        <v>0</v>
      </c>
      <c r="M39" s="408">
        <f>'DT trinh GD'!N126</f>
        <v>0</v>
      </c>
      <c r="N39" s="408">
        <f>'DT trinh GD'!O126</f>
        <v>25</v>
      </c>
      <c r="O39" s="408">
        <f>'DT trinh GD'!P126</f>
        <v>100</v>
      </c>
      <c r="P39" s="408">
        <f>'DT trinh GD'!Q126</f>
        <v>0</v>
      </c>
      <c r="Q39" s="408">
        <f>'DT trinh GD'!R126</f>
        <v>0</v>
      </c>
      <c r="R39" s="408">
        <f>'DT trinh GD'!S126</f>
        <v>0</v>
      </c>
      <c r="S39" s="408">
        <f>'DT trinh GD'!T126</f>
        <v>0</v>
      </c>
      <c r="T39" s="408">
        <f>'DT trinh GD'!U126</f>
        <v>40</v>
      </c>
      <c r="U39" s="408">
        <f>'DT trinh GD'!V126</f>
        <v>2960</v>
      </c>
      <c r="V39" s="408">
        <f>'DT trinh GD'!W126</f>
        <v>0</v>
      </c>
      <c r="W39" s="408">
        <f>'DT trinh GD'!X126</f>
        <v>0</v>
      </c>
      <c r="X39" s="408">
        <f>'DT trinh GD'!Y126</f>
        <v>0</v>
      </c>
      <c r="Y39" s="408"/>
      <c r="Z39" s="408"/>
      <c r="AA39" s="408"/>
      <c r="AB39" s="408"/>
      <c r="AC39" s="408">
        <f>'DT trinh GD'!AE126</f>
        <v>0</v>
      </c>
      <c r="AD39" s="408"/>
      <c r="AE39" s="408">
        <f>'DT trinh GD'!AG126</f>
        <v>0</v>
      </c>
    </row>
    <row r="40" spans="1:31" s="222" customFormat="1" ht="15" customHeight="1">
      <c r="A40" s="406"/>
      <c r="B40" s="407" t="s">
        <v>72</v>
      </c>
      <c r="C40" s="408">
        <f t="shared" si="0"/>
        <v>1256</v>
      </c>
      <c r="D40" s="408">
        <f>'DT trinh GD'!E127</f>
        <v>0</v>
      </c>
      <c r="E40" s="408"/>
      <c r="F40" s="408">
        <f>'DT trinh GD'!F127</f>
        <v>0</v>
      </c>
      <c r="G40" s="408">
        <f>'DT trinh GD'!H127</f>
        <v>1256</v>
      </c>
      <c r="H40" s="408">
        <f>'DT trinh GD'!I127</f>
        <v>0</v>
      </c>
      <c r="I40" s="408">
        <f>'DT trinh GD'!J127</f>
        <v>0</v>
      </c>
      <c r="J40" s="408">
        <f>'DT trinh GD'!K127</f>
        <v>0</v>
      </c>
      <c r="K40" s="408">
        <f>'DT trinh GD'!L127</f>
        <v>0</v>
      </c>
      <c r="L40" s="408">
        <f>'DT trinh GD'!M127</f>
        <v>0</v>
      </c>
      <c r="M40" s="408">
        <f>'DT trinh GD'!N127</f>
        <v>0</v>
      </c>
      <c r="N40" s="408">
        <f>'DT trinh GD'!O127</f>
        <v>0</v>
      </c>
      <c r="O40" s="408">
        <f>'DT trinh GD'!P127</f>
        <v>1256</v>
      </c>
      <c r="P40" s="408">
        <f>'DT trinh GD'!Q127</f>
        <v>0</v>
      </c>
      <c r="Q40" s="408">
        <f>'DT trinh GD'!R127</f>
        <v>0</v>
      </c>
      <c r="R40" s="408">
        <f>'DT trinh GD'!S127</f>
        <v>0</v>
      </c>
      <c r="S40" s="408">
        <f>'DT trinh GD'!T127</f>
        <v>0</v>
      </c>
      <c r="T40" s="408">
        <f>'DT trinh GD'!U127</f>
        <v>0</v>
      </c>
      <c r="U40" s="408">
        <f>'DT trinh GD'!V127</f>
        <v>0</v>
      </c>
      <c r="V40" s="408">
        <f>'DT trinh GD'!W127</f>
        <v>0</v>
      </c>
      <c r="W40" s="408">
        <f>'DT trinh GD'!X127</f>
        <v>0</v>
      </c>
      <c r="X40" s="408">
        <f>'DT trinh GD'!Y127</f>
        <v>0</v>
      </c>
      <c r="Y40" s="408"/>
      <c r="Z40" s="408"/>
      <c r="AA40" s="408"/>
      <c r="AB40" s="408"/>
      <c r="AC40" s="408">
        <f>'DT trinh GD'!AE127</f>
        <v>0</v>
      </c>
      <c r="AD40" s="408"/>
      <c r="AE40" s="408">
        <f>'DT trinh GD'!AG127</f>
        <v>0</v>
      </c>
    </row>
    <row r="41" spans="1:31" s="222" customFormat="1" ht="15" customHeight="1">
      <c r="A41" s="406"/>
      <c r="B41" s="407" t="s">
        <v>73</v>
      </c>
      <c r="C41" s="408">
        <f t="shared" si="0"/>
        <v>2630</v>
      </c>
      <c r="D41" s="408">
        <f>'DT trinh GD'!E128</f>
        <v>0</v>
      </c>
      <c r="E41" s="408"/>
      <c r="F41" s="408">
        <f>'DT trinh GD'!F128</f>
        <v>0</v>
      </c>
      <c r="G41" s="408">
        <f>'DT trinh GD'!H128</f>
        <v>2630</v>
      </c>
      <c r="H41" s="408">
        <f>'DT trinh GD'!I128</f>
        <v>0</v>
      </c>
      <c r="I41" s="408">
        <f>'DT trinh GD'!J128</f>
        <v>0</v>
      </c>
      <c r="J41" s="408">
        <f>'DT trinh GD'!K128</f>
        <v>0</v>
      </c>
      <c r="K41" s="408">
        <f>'DT trinh GD'!L128</f>
        <v>0</v>
      </c>
      <c r="L41" s="408">
        <f>'DT trinh GD'!M128</f>
        <v>599</v>
      </c>
      <c r="M41" s="408">
        <f>'DT trinh GD'!N128</f>
        <v>0</v>
      </c>
      <c r="N41" s="408">
        <f>'DT trinh GD'!O128</f>
        <v>10</v>
      </c>
      <c r="O41" s="408">
        <f>'DT trinh GD'!P128</f>
        <v>0</v>
      </c>
      <c r="P41" s="408">
        <f>'DT trinh GD'!Q128</f>
        <v>0</v>
      </c>
      <c r="Q41" s="408">
        <f>'DT trinh GD'!R128</f>
        <v>0</v>
      </c>
      <c r="R41" s="408">
        <f>'DT trinh GD'!S128</f>
        <v>0</v>
      </c>
      <c r="S41" s="408">
        <f>'DT trinh GD'!T128</f>
        <v>0</v>
      </c>
      <c r="T41" s="408">
        <f>'DT trinh GD'!U128</f>
        <v>0</v>
      </c>
      <c r="U41" s="408">
        <f>'DT trinh GD'!V128</f>
        <v>2021</v>
      </c>
      <c r="V41" s="408">
        <f>'DT trinh GD'!W128</f>
        <v>0</v>
      </c>
      <c r="W41" s="408">
        <f>'DT trinh GD'!X128</f>
        <v>0</v>
      </c>
      <c r="X41" s="408">
        <f>'DT trinh GD'!Y128</f>
        <v>0</v>
      </c>
      <c r="Y41" s="408"/>
      <c r="Z41" s="408"/>
      <c r="AA41" s="408"/>
      <c r="AB41" s="408"/>
      <c r="AC41" s="408">
        <f>'DT trinh GD'!AE128</f>
        <v>0</v>
      </c>
      <c r="AD41" s="408"/>
      <c r="AE41" s="408">
        <f>'DT trinh GD'!AG128</f>
        <v>0</v>
      </c>
    </row>
    <row r="42" spans="1:31" s="222" customFormat="1" ht="23.25" customHeight="1">
      <c r="A42" s="406"/>
      <c r="B42" s="409" t="s">
        <v>113</v>
      </c>
      <c r="C42" s="408">
        <f t="shared" si="0"/>
        <v>1230</v>
      </c>
      <c r="D42" s="408">
        <f>'DT trinh GD'!E129</f>
        <v>0</v>
      </c>
      <c r="E42" s="408"/>
      <c r="F42" s="408">
        <f>'DT trinh GD'!F129</f>
        <v>0</v>
      </c>
      <c r="G42" s="408">
        <f>'DT trinh GD'!H129</f>
        <v>1230</v>
      </c>
      <c r="H42" s="408">
        <f>'DT trinh GD'!I129</f>
        <v>0</v>
      </c>
      <c r="I42" s="408">
        <f>'DT trinh GD'!J129</f>
        <v>0</v>
      </c>
      <c r="J42" s="408">
        <f>'DT trinh GD'!K129</f>
        <v>0</v>
      </c>
      <c r="K42" s="408">
        <f>'DT trinh GD'!L129</f>
        <v>0</v>
      </c>
      <c r="L42" s="408">
        <f>'DT trinh GD'!M129</f>
        <v>0</v>
      </c>
      <c r="M42" s="408">
        <f>'DT trinh GD'!N129</f>
        <v>0</v>
      </c>
      <c r="N42" s="408">
        <f>'DT trinh GD'!O129</f>
        <v>0</v>
      </c>
      <c r="O42" s="408">
        <f>'DT trinh GD'!P129</f>
        <v>0</v>
      </c>
      <c r="P42" s="408">
        <f>'DT trinh GD'!Q129</f>
        <v>0</v>
      </c>
      <c r="Q42" s="408">
        <f>'DT trinh GD'!R129</f>
        <v>0</v>
      </c>
      <c r="R42" s="408">
        <f>'DT trinh GD'!S129</f>
        <v>0</v>
      </c>
      <c r="S42" s="408">
        <f>'DT trinh GD'!T129</f>
        <v>0</v>
      </c>
      <c r="T42" s="408">
        <f>'DT trinh GD'!U129</f>
        <v>0</v>
      </c>
      <c r="U42" s="408">
        <f>'DT trinh GD'!V129</f>
        <v>1230</v>
      </c>
      <c r="V42" s="408">
        <f>'DT trinh GD'!W129</f>
        <v>0</v>
      </c>
      <c r="W42" s="408">
        <f>'DT trinh GD'!X129</f>
        <v>0</v>
      </c>
      <c r="X42" s="408">
        <f>'DT trinh GD'!Y129</f>
        <v>0</v>
      </c>
      <c r="Y42" s="408"/>
      <c r="Z42" s="408"/>
      <c r="AA42" s="408"/>
      <c r="AB42" s="408"/>
      <c r="AC42" s="408">
        <f>'DT trinh GD'!AE129</f>
        <v>0</v>
      </c>
      <c r="AD42" s="408"/>
      <c r="AE42" s="408">
        <f>'DT trinh GD'!AG129</f>
        <v>0</v>
      </c>
    </row>
    <row r="43" spans="1:31" s="223" customFormat="1" ht="15.75" customHeight="1">
      <c r="A43" s="400">
        <v>24</v>
      </c>
      <c r="B43" s="401" t="s">
        <v>74</v>
      </c>
      <c r="C43" s="402">
        <f t="shared" si="0"/>
        <v>82293</v>
      </c>
      <c r="D43" s="402">
        <f>'DT trinh GD'!E130</f>
        <v>0</v>
      </c>
      <c r="E43" s="402"/>
      <c r="F43" s="402">
        <f>'DT trinh GD'!F130</f>
        <v>0</v>
      </c>
      <c r="G43" s="402">
        <f>'DT trinh GD'!H130</f>
        <v>82293</v>
      </c>
      <c r="H43" s="402">
        <f>'DT trinh GD'!I130</f>
        <v>0</v>
      </c>
      <c r="I43" s="402">
        <f>'DT trinh GD'!J130</f>
        <v>0</v>
      </c>
      <c r="J43" s="402">
        <f>'DT trinh GD'!K130</f>
        <v>0</v>
      </c>
      <c r="K43" s="402">
        <f>'DT trinh GD'!L130</f>
        <v>2870</v>
      </c>
      <c r="L43" s="402">
        <f>'DT trinh GD'!M130</f>
        <v>0</v>
      </c>
      <c r="M43" s="402">
        <f>'DT trinh GD'!N130</f>
        <v>0</v>
      </c>
      <c r="N43" s="402">
        <f>'DT trinh GD'!O130</f>
        <v>79383</v>
      </c>
      <c r="O43" s="402">
        <f>'DT trinh GD'!P130</f>
        <v>0</v>
      </c>
      <c r="P43" s="402">
        <f>'DT trinh GD'!Q130</f>
        <v>0</v>
      </c>
      <c r="Q43" s="402">
        <f>'DT trinh GD'!R130</f>
        <v>0</v>
      </c>
      <c r="R43" s="402">
        <f>'DT trinh GD'!S130</f>
        <v>0</v>
      </c>
      <c r="S43" s="402">
        <f>'DT trinh GD'!T130</f>
        <v>0</v>
      </c>
      <c r="T43" s="402">
        <f>'DT trinh GD'!U130</f>
        <v>40</v>
      </c>
      <c r="U43" s="402">
        <f>'DT trinh GD'!V130</f>
        <v>0</v>
      </c>
      <c r="V43" s="402">
        <f>'DT trinh GD'!W130</f>
        <v>0</v>
      </c>
      <c r="W43" s="402">
        <f>'DT trinh GD'!X130</f>
        <v>0</v>
      </c>
      <c r="X43" s="402">
        <f>'DT trinh GD'!Y130</f>
        <v>0</v>
      </c>
      <c r="Y43" s="402"/>
      <c r="Z43" s="402"/>
      <c r="AA43" s="402"/>
      <c r="AB43" s="402"/>
      <c r="AC43" s="402">
        <f>'DT trinh GD'!AE130</f>
        <v>0</v>
      </c>
      <c r="AD43" s="402"/>
      <c r="AE43" s="402">
        <f>'DT trinh GD'!AG130</f>
        <v>0</v>
      </c>
    </row>
    <row r="44" spans="1:31" s="222" customFormat="1" ht="15.75" customHeight="1">
      <c r="A44" s="406"/>
      <c r="B44" s="407" t="s">
        <v>75</v>
      </c>
      <c r="C44" s="408">
        <f t="shared" si="0"/>
        <v>16786</v>
      </c>
      <c r="D44" s="408">
        <f>'DT trinh GD'!E131</f>
        <v>0</v>
      </c>
      <c r="E44" s="408"/>
      <c r="F44" s="408">
        <f>'DT trinh GD'!F131</f>
        <v>0</v>
      </c>
      <c r="G44" s="408">
        <f>'DT trinh GD'!H131</f>
        <v>16786</v>
      </c>
      <c r="H44" s="408">
        <f>'DT trinh GD'!I131</f>
        <v>0</v>
      </c>
      <c r="I44" s="408">
        <f>'DT trinh GD'!J131</f>
        <v>0</v>
      </c>
      <c r="J44" s="408">
        <f>'DT trinh GD'!K131</f>
        <v>0</v>
      </c>
      <c r="K44" s="408">
        <f>'DT trinh GD'!L131</f>
        <v>1900</v>
      </c>
      <c r="L44" s="408">
        <f>'DT trinh GD'!M131</f>
        <v>0</v>
      </c>
      <c r="M44" s="408">
        <f>'DT trinh GD'!N131</f>
        <v>0</v>
      </c>
      <c r="N44" s="408">
        <f>'DT trinh GD'!O131</f>
        <v>14846</v>
      </c>
      <c r="O44" s="408">
        <f>'DT trinh GD'!P131</f>
        <v>0</v>
      </c>
      <c r="P44" s="408">
        <f>'DT trinh GD'!Q131</f>
        <v>0</v>
      </c>
      <c r="Q44" s="408">
        <f>'DT trinh GD'!R131</f>
        <v>0</v>
      </c>
      <c r="R44" s="408">
        <f>'DT trinh GD'!S131</f>
        <v>0</v>
      </c>
      <c r="S44" s="408">
        <f>'DT trinh GD'!T131</f>
        <v>0</v>
      </c>
      <c r="T44" s="408">
        <f>'DT trinh GD'!U131</f>
        <v>40</v>
      </c>
      <c r="U44" s="408">
        <f>'DT trinh GD'!V131</f>
        <v>0</v>
      </c>
      <c r="V44" s="408">
        <f>'DT trinh GD'!W131</f>
        <v>0</v>
      </c>
      <c r="W44" s="408">
        <f>'DT trinh GD'!X131</f>
        <v>0</v>
      </c>
      <c r="X44" s="408">
        <f>'DT trinh GD'!Y131</f>
        <v>0</v>
      </c>
      <c r="Y44" s="408"/>
      <c r="Z44" s="408"/>
      <c r="AA44" s="408"/>
      <c r="AB44" s="408"/>
      <c r="AC44" s="408">
        <f>'DT trinh GD'!AE131</f>
        <v>0</v>
      </c>
      <c r="AD44" s="408"/>
      <c r="AE44" s="408">
        <f>'DT trinh GD'!AG131</f>
        <v>0</v>
      </c>
    </row>
    <row r="45" spans="1:31" s="222" customFormat="1" ht="15.75" customHeight="1">
      <c r="A45" s="406"/>
      <c r="B45" s="407" t="s">
        <v>110</v>
      </c>
      <c r="C45" s="408">
        <f t="shared" si="0"/>
        <v>34904</v>
      </c>
      <c r="D45" s="408">
        <f>'DT trinh GD'!E133</f>
        <v>0</v>
      </c>
      <c r="E45" s="408"/>
      <c r="F45" s="408">
        <f>'DT trinh GD'!F133</f>
        <v>0</v>
      </c>
      <c r="G45" s="408">
        <f>'DT trinh GD'!H133</f>
        <v>34904</v>
      </c>
      <c r="H45" s="408">
        <f>'DT trinh GD'!I133</f>
        <v>0</v>
      </c>
      <c r="I45" s="408">
        <f>'DT trinh GD'!J133</f>
        <v>0</v>
      </c>
      <c r="J45" s="408">
        <f>'DT trinh GD'!K133</f>
        <v>0</v>
      </c>
      <c r="K45" s="408">
        <f>'DT trinh GD'!L133</f>
        <v>970</v>
      </c>
      <c r="L45" s="408">
        <f>'DT trinh GD'!M133</f>
        <v>0</v>
      </c>
      <c r="M45" s="408">
        <f>'DT trinh GD'!N133</f>
        <v>0</v>
      </c>
      <c r="N45" s="408">
        <f>'DT trinh GD'!O133</f>
        <v>33934</v>
      </c>
      <c r="O45" s="408">
        <f>'DT trinh GD'!P133</f>
        <v>0</v>
      </c>
      <c r="P45" s="408">
        <f>'DT trinh GD'!Q133</f>
        <v>0</v>
      </c>
      <c r="Q45" s="408">
        <f>'DT trinh GD'!R133</f>
        <v>0</v>
      </c>
      <c r="R45" s="408">
        <f>'DT trinh GD'!S133</f>
        <v>0</v>
      </c>
      <c r="S45" s="408">
        <f>'DT trinh GD'!T133</f>
        <v>0</v>
      </c>
      <c r="T45" s="408">
        <f>'DT trinh GD'!U133</f>
        <v>0</v>
      </c>
      <c r="U45" s="408">
        <f>'DT trinh GD'!V133</f>
        <v>0</v>
      </c>
      <c r="V45" s="408">
        <f>'DT trinh GD'!W133</f>
        <v>0</v>
      </c>
      <c r="W45" s="408">
        <f>'DT trinh GD'!X133</f>
        <v>0</v>
      </c>
      <c r="X45" s="408">
        <f>'DT trinh GD'!Y133</f>
        <v>0</v>
      </c>
      <c r="Y45" s="408"/>
      <c r="Z45" s="408"/>
      <c r="AA45" s="408"/>
      <c r="AB45" s="408"/>
      <c r="AC45" s="408">
        <f>'DT trinh GD'!AE133</f>
        <v>0</v>
      </c>
      <c r="AD45" s="408"/>
      <c r="AE45" s="408">
        <f>'DT trinh GD'!AG133</f>
        <v>0</v>
      </c>
    </row>
    <row r="46" spans="1:31" s="222" customFormat="1" ht="15.75" customHeight="1">
      <c r="A46" s="406"/>
      <c r="B46" s="407" t="s">
        <v>114</v>
      </c>
      <c r="C46" s="408">
        <f t="shared" si="0"/>
        <v>30603</v>
      </c>
      <c r="D46" s="408">
        <f>'DT trinh GD'!E134</f>
        <v>0</v>
      </c>
      <c r="E46" s="408"/>
      <c r="F46" s="408">
        <f>'DT trinh GD'!F134</f>
        <v>0</v>
      </c>
      <c r="G46" s="408">
        <f>'DT trinh GD'!H134</f>
        <v>30603</v>
      </c>
      <c r="H46" s="408">
        <f>'DT trinh GD'!I134</f>
        <v>0</v>
      </c>
      <c r="I46" s="408">
        <f>'DT trinh GD'!J134</f>
        <v>0</v>
      </c>
      <c r="J46" s="408">
        <f>'DT trinh GD'!K134</f>
        <v>0</v>
      </c>
      <c r="K46" s="408">
        <f>'DT trinh GD'!L134</f>
        <v>0</v>
      </c>
      <c r="L46" s="408">
        <f>'DT trinh GD'!M134</f>
        <v>0</v>
      </c>
      <c r="M46" s="408">
        <f>'DT trinh GD'!N134</f>
        <v>0</v>
      </c>
      <c r="N46" s="408">
        <f>'DT trinh GD'!O134</f>
        <v>30603</v>
      </c>
      <c r="O46" s="408">
        <f>'DT trinh GD'!P134</f>
        <v>0</v>
      </c>
      <c r="P46" s="408">
        <f>'DT trinh GD'!Q134</f>
        <v>0</v>
      </c>
      <c r="Q46" s="408">
        <f>'DT trinh GD'!R134</f>
        <v>0</v>
      </c>
      <c r="R46" s="408">
        <f>'DT trinh GD'!S134</f>
        <v>0</v>
      </c>
      <c r="S46" s="408">
        <f>'DT trinh GD'!T134</f>
        <v>0</v>
      </c>
      <c r="T46" s="408">
        <f>'DT trinh GD'!U134</f>
        <v>0</v>
      </c>
      <c r="U46" s="408">
        <f>'DT trinh GD'!V134</f>
        <v>0</v>
      </c>
      <c r="V46" s="408">
        <f>'DT trinh GD'!W134</f>
        <v>0</v>
      </c>
      <c r="W46" s="408">
        <f>'DT trinh GD'!X134</f>
        <v>0</v>
      </c>
      <c r="X46" s="408">
        <f>'DT trinh GD'!Y134</f>
        <v>0</v>
      </c>
      <c r="Y46" s="408"/>
      <c r="Z46" s="408"/>
      <c r="AA46" s="408"/>
      <c r="AB46" s="408"/>
      <c r="AC46" s="408">
        <f>'DT trinh GD'!AE134</f>
        <v>0</v>
      </c>
      <c r="AD46" s="408"/>
      <c r="AE46" s="408">
        <f>'DT trinh GD'!AG134</f>
        <v>0</v>
      </c>
    </row>
    <row r="47" spans="1:31" s="223" customFormat="1" ht="15.75" customHeight="1">
      <c r="A47" s="400">
        <v>25</v>
      </c>
      <c r="B47" s="401" t="str">
        <f>'DT trinh GD'!B135</f>
        <v>Các nhiệm vụ KHCN cấp cơ sở</v>
      </c>
      <c r="C47" s="402">
        <f t="shared" si="0"/>
        <v>2000</v>
      </c>
      <c r="D47" s="402">
        <f>'DT trinh GD'!E135</f>
        <v>0</v>
      </c>
      <c r="E47" s="402"/>
      <c r="F47" s="402">
        <f>'DT trinh GD'!F135</f>
        <v>0</v>
      </c>
      <c r="G47" s="402">
        <f>'DT trinh GD'!H135</f>
        <v>2000</v>
      </c>
      <c r="H47" s="402">
        <f>'DT trinh GD'!I135</f>
        <v>0</v>
      </c>
      <c r="I47" s="402">
        <f>'DT trinh GD'!J135</f>
        <v>0</v>
      </c>
      <c r="J47" s="402">
        <f>'DT trinh GD'!K135</f>
        <v>0</v>
      </c>
      <c r="K47" s="402">
        <f>'DT trinh GD'!L135</f>
        <v>0</v>
      </c>
      <c r="L47" s="402">
        <f>'DT trinh GD'!M135</f>
        <v>0</v>
      </c>
      <c r="M47" s="402">
        <f>'DT trinh GD'!N135</f>
        <v>0</v>
      </c>
      <c r="N47" s="402">
        <f>'DT trinh GD'!O135</f>
        <v>0</v>
      </c>
      <c r="O47" s="402">
        <f>'DT trinh GD'!P135</f>
        <v>0</v>
      </c>
      <c r="P47" s="402">
        <f>'DT trinh GD'!Q135</f>
        <v>0</v>
      </c>
      <c r="Q47" s="402">
        <f>'DT trinh GD'!R135</f>
        <v>0</v>
      </c>
      <c r="R47" s="402">
        <f>'DT trinh GD'!S135</f>
        <v>0</v>
      </c>
      <c r="S47" s="402">
        <f>'DT trinh GD'!T135</f>
        <v>0</v>
      </c>
      <c r="T47" s="402">
        <f>'DT trinh GD'!U135</f>
        <v>2000</v>
      </c>
      <c r="U47" s="402">
        <f>'DT trinh GD'!V135</f>
        <v>0</v>
      </c>
      <c r="V47" s="402">
        <f>'DT trinh GD'!W135</f>
        <v>0</v>
      </c>
      <c r="W47" s="402">
        <f>'DT trinh GD'!X135</f>
        <v>0</v>
      </c>
      <c r="X47" s="402">
        <f>'DT trinh GD'!Y135</f>
        <v>0</v>
      </c>
      <c r="Y47" s="402"/>
      <c r="Z47" s="402"/>
      <c r="AA47" s="402"/>
      <c r="AB47" s="402"/>
      <c r="AC47" s="402">
        <f>'DT trinh GD'!AE135</f>
        <v>0</v>
      </c>
      <c r="AD47" s="402"/>
      <c r="AE47" s="402">
        <f>'DT trinh GD'!AG135</f>
        <v>0</v>
      </c>
    </row>
    <row r="48" spans="1:31" s="223" customFormat="1" ht="15.75" customHeight="1">
      <c r="A48" s="400">
        <v>26</v>
      </c>
      <c r="B48" s="401" t="s">
        <v>94</v>
      </c>
      <c r="C48" s="402">
        <f t="shared" si="0"/>
        <v>4517</v>
      </c>
      <c r="D48" s="402">
        <f>'DT trinh GD'!E136</f>
        <v>0</v>
      </c>
      <c r="E48" s="402"/>
      <c r="F48" s="402">
        <f>'DT trinh GD'!F136</f>
        <v>0</v>
      </c>
      <c r="G48" s="402">
        <f>'DT trinh GD'!H136</f>
        <v>4517</v>
      </c>
      <c r="H48" s="402">
        <f>'DT trinh GD'!I136</f>
        <v>0</v>
      </c>
      <c r="I48" s="402">
        <f>'DT trinh GD'!J136</f>
        <v>0</v>
      </c>
      <c r="J48" s="402">
        <f>'DT trinh GD'!K136</f>
        <v>0</v>
      </c>
      <c r="K48" s="402">
        <f>'DT trinh GD'!L136</f>
        <v>0</v>
      </c>
      <c r="L48" s="402">
        <f>'DT trinh GD'!M136</f>
        <v>0</v>
      </c>
      <c r="M48" s="402">
        <f>'DT trinh GD'!N136</f>
        <v>0</v>
      </c>
      <c r="N48" s="402">
        <f>'DT trinh GD'!O136</f>
        <v>10</v>
      </c>
      <c r="O48" s="402">
        <f>'DT trinh GD'!P136</f>
        <v>173</v>
      </c>
      <c r="P48" s="402">
        <f>'DT trinh GD'!Q136</f>
        <v>0</v>
      </c>
      <c r="Q48" s="402">
        <f>'DT trinh GD'!R136</f>
        <v>0</v>
      </c>
      <c r="R48" s="402">
        <f>'DT trinh GD'!S136</f>
        <v>0</v>
      </c>
      <c r="S48" s="402">
        <f>'DT trinh GD'!T136</f>
        <v>0</v>
      </c>
      <c r="T48" s="402">
        <f>'DT trinh GD'!U136</f>
        <v>0</v>
      </c>
      <c r="U48" s="402">
        <f>'DT trinh GD'!V136</f>
        <v>4334</v>
      </c>
      <c r="V48" s="402">
        <f>'DT trinh GD'!W136</f>
        <v>0</v>
      </c>
      <c r="W48" s="402">
        <f>'DT trinh GD'!X136</f>
        <v>0</v>
      </c>
      <c r="X48" s="402">
        <f>'DT trinh GD'!Y136</f>
        <v>0</v>
      </c>
      <c r="Y48" s="402"/>
      <c r="Z48" s="402"/>
      <c r="AA48" s="402"/>
      <c r="AB48" s="402"/>
      <c r="AC48" s="402">
        <f>'DT trinh GD'!AE136</f>
        <v>0</v>
      </c>
      <c r="AD48" s="402"/>
      <c r="AE48" s="402">
        <f>'DT trinh GD'!AG136</f>
        <v>0</v>
      </c>
    </row>
    <row r="49" spans="1:31" s="222" customFormat="1" ht="15.75" customHeight="1">
      <c r="A49" s="406"/>
      <c r="B49" s="407" t="s">
        <v>101</v>
      </c>
      <c r="C49" s="408">
        <f t="shared" si="0"/>
        <v>188</v>
      </c>
      <c r="D49" s="408">
        <f>'DT trinh GD'!E137</f>
        <v>0</v>
      </c>
      <c r="E49" s="408"/>
      <c r="F49" s="408">
        <f>'DT trinh GD'!F137</f>
        <v>0</v>
      </c>
      <c r="G49" s="408">
        <f>'DT trinh GD'!H137</f>
        <v>188</v>
      </c>
      <c r="H49" s="408">
        <f>'DT trinh GD'!I137</f>
        <v>0</v>
      </c>
      <c r="I49" s="408">
        <f>'DT trinh GD'!J137</f>
        <v>0</v>
      </c>
      <c r="J49" s="408">
        <f>'DT trinh GD'!K137</f>
        <v>0</v>
      </c>
      <c r="K49" s="408">
        <f>'DT trinh GD'!L137</f>
        <v>0</v>
      </c>
      <c r="L49" s="408">
        <f>'DT trinh GD'!M137</f>
        <v>0</v>
      </c>
      <c r="M49" s="408">
        <f>'DT trinh GD'!N137</f>
        <v>0</v>
      </c>
      <c r="N49" s="408">
        <f>'DT trinh GD'!O137</f>
        <v>0</v>
      </c>
      <c r="O49" s="408">
        <f>'DT trinh GD'!P137</f>
        <v>0</v>
      </c>
      <c r="P49" s="408">
        <f>'DT trinh GD'!Q137</f>
        <v>0</v>
      </c>
      <c r="Q49" s="408">
        <f>'DT trinh GD'!R137</f>
        <v>0</v>
      </c>
      <c r="R49" s="408">
        <f>'DT trinh GD'!S137</f>
        <v>0</v>
      </c>
      <c r="S49" s="408">
        <f>'DT trinh GD'!T137</f>
        <v>0</v>
      </c>
      <c r="T49" s="408">
        <f>'DT trinh GD'!U137</f>
        <v>0</v>
      </c>
      <c r="U49" s="408">
        <f>'DT trinh GD'!V137</f>
        <v>188</v>
      </c>
      <c r="V49" s="408">
        <f>'DT trinh GD'!W137</f>
        <v>0</v>
      </c>
      <c r="W49" s="408">
        <f>'DT trinh GD'!X137</f>
        <v>0</v>
      </c>
      <c r="X49" s="408">
        <f>'DT trinh GD'!Y137</f>
        <v>0</v>
      </c>
      <c r="Y49" s="408"/>
      <c r="Z49" s="408"/>
      <c r="AA49" s="408"/>
      <c r="AB49" s="408"/>
      <c r="AC49" s="408">
        <f>'DT trinh GD'!AE137</f>
        <v>0</v>
      </c>
      <c r="AD49" s="408"/>
      <c r="AE49" s="408">
        <f>'DT trinh GD'!AG137</f>
        <v>0</v>
      </c>
    </row>
    <row r="50" spans="1:31" s="222" customFormat="1" ht="15.75" customHeight="1">
      <c r="A50" s="406"/>
      <c r="B50" s="407" t="str">
        <f>'DT trinh GD'!B138</f>
        <v>Hội cựu giáo chức</v>
      </c>
      <c r="C50" s="408">
        <f t="shared" si="0"/>
        <v>174</v>
      </c>
      <c r="D50" s="408"/>
      <c r="E50" s="408"/>
      <c r="F50" s="408"/>
      <c r="G50" s="408">
        <f>'DT trinh GD'!H138</f>
        <v>174</v>
      </c>
      <c r="H50" s="408"/>
      <c r="I50" s="408"/>
      <c r="J50" s="408"/>
      <c r="K50" s="408"/>
      <c r="L50" s="408"/>
      <c r="M50" s="408"/>
      <c r="N50" s="408"/>
      <c r="O50" s="408"/>
      <c r="P50" s="408"/>
      <c r="Q50" s="408"/>
      <c r="R50" s="408"/>
      <c r="S50" s="408"/>
      <c r="T50" s="408"/>
      <c r="U50" s="408">
        <f>'DT trinh GD'!V138</f>
        <v>174</v>
      </c>
      <c r="V50" s="408"/>
      <c r="W50" s="408"/>
      <c r="X50" s="408"/>
      <c r="Y50" s="408"/>
      <c r="Z50" s="408"/>
      <c r="AA50" s="408"/>
      <c r="AB50" s="408"/>
      <c r="AC50" s="408"/>
      <c r="AD50" s="408"/>
      <c r="AE50" s="408"/>
    </row>
    <row r="51" spans="1:31" s="222" customFormat="1" ht="15.75" customHeight="1">
      <c r="A51" s="406"/>
      <c r="B51" s="407" t="s">
        <v>77</v>
      </c>
      <c r="C51" s="408">
        <f t="shared" si="0"/>
        <v>521</v>
      </c>
      <c r="D51" s="408">
        <f>'DT trinh GD'!E139</f>
        <v>0</v>
      </c>
      <c r="E51" s="408"/>
      <c r="F51" s="408">
        <f>'DT trinh GD'!F139</f>
        <v>0</v>
      </c>
      <c r="G51" s="408">
        <f>'DT trinh GD'!H139</f>
        <v>521</v>
      </c>
      <c r="H51" s="408">
        <f>'DT trinh GD'!I139</f>
        <v>0</v>
      </c>
      <c r="I51" s="408">
        <f>'DT trinh GD'!J139</f>
        <v>0</v>
      </c>
      <c r="J51" s="408">
        <f>'DT trinh GD'!K139</f>
        <v>0</v>
      </c>
      <c r="K51" s="408">
        <f>'DT trinh GD'!L139</f>
        <v>0</v>
      </c>
      <c r="L51" s="408">
        <f>'DT trinh GD'!M139</f>
        <v>0</v>
      </c>
      <c r="M51" s="408">
        <f>'DT trinh GD'!N139</f>
        <v>0</v>
      </c>
      <c r="N51" s="408">
        <f>'DT trinh GD'!O139</f>
        <v>0</v>
      </c>
      <c r="O51" s="408">
        <f>'DT trinh GD'!P139</f>
        <v>0</v>
      </c>
      <c r="P51" s="408">
        <f>'DT trinh GD'!Q139</f>
        <v>0</v>
      </c>
      <c r="Q51" s="408">
        <f>'DT trinh GD'!R139</f>
        <v>0</v>
      </c>
      <c r="R51" s="408">
        <f>'DT trinh GD'!S139</f>
        <v>0</v>
      </c>
      <c r="S51" s="408">
        <f>'DT trinh GD'!T139</f>
        <v>0</v>
      </c>
      <c r="T51" s="408">
        <f>'DT trinh GD'!U139</f>
        <v>0</v>
      </c>
      <c r="U51" s="408">
        <f>'DT trinh GD'!V139</f>
        <v>521</v>
      </c>
      <c r="V51" s="408">
        <f>'DT trinh GD'!W139</f>
        <v>0</v>
      </c>
      <c r="W51" s="408">
        <f>'DT trinh GD'!X139</f>
        <v>0</v>
      </c>
      <c r="X51" s="408">
        <f>'DT trinh GD'!Y139</f>
        <v>0</v>
      </c>
      <c r="Y51" s="408"/>
      <c r="Z51" s="408"/>
      <c r="AA51" s="408"/>
      <c r="AB51" s="408"/>
      <c r="AC51" s="408">
        <f>'DT trinh GD'!AE139</f>
        <v>0</v>
      </c>
      <c r="AD51" s="408"/>
      <c r="AE51" s="408">
        <f>'DT trinh GD'!AG139</f>
        <v>0</v>
      </c>
    </row>
    <row r="52" spans="1:31" s="222" customFormat="1" ht="15.75" customHeight="1">
      <c r="A52" s="406"/>
      <c r="B52" s="407" t="s">
        <v>118</v>
      </c>
      <c r="C52" s="408">
        <f t="shared" si="0"/>
        <v>56</v>
      </c>
      <c r="D52" s="408">
        <f>'DT trinh GD'!E140</f>
        <v>0</v>
      </c>
      <c r="E52" s="408"/>
      <c r="F52" s="408">
        <f>'DT trinh GD'!F140</f>
        <v>0</v>
      </c>
      <c r="G52" s="408">
        <f>'DT trinh GD'!H140</f>
        <v>56</v>
      </c>
      <c r="H52" s="408">
        <f>'DT trinh GD'!I140</f>
        <v>0</v>
      </c>
      <c r="I52" s="408">
        <f>'DT trinh GD'!J140</f>
        <v>0</v>
      </c>
      <c r="J52" s="408">
        <f>'DT trinh GD'!K140</f>
        <v>0</v>
      </c>
      <c r="K52" s="408">
        <f>'DT trinh GD'!L140</f>
        <v>0</v>
      </c>
      <c r="L52" s="408">
        <f>'DT trinh GD'!M140</f>
        <v>0</v>
      </c>
      <c r="M52" s="408">
        <f>'DT trinh GD'!N140</f>
        <v>0</v>
      </c>
      <c r="N52" s="408">
        <f>'DT trinh GD'!O140</f>
        <v>0</v>
      </c>
      <c r="O52" s="408">
        <f>'DT trinh GD'!P140</f>
        <v>0</v>
      </c>
      <c r="P52" s="408">
        <f>'DT trinh GD'!Q140</f>
        <v>0</v>
      </c>
      <c r="Q52" s="408">
        <f>'DT trinh GD'!R140</f>
        <v>0</v>
      </c>
      <c r="R52" s="408">
        <f>'DT trinh GD'!S140</f>
        <v>0</v>
      </c>
      <c r="S52" s="408">
        <f>'DT trinh GD'!T140</f>
        <v>0</v>
      </c>
      <c r="T52" s="408">
        <f>'DT trinh GD'!U140</f>
        <v>0</v>
      </c>
      <c r="U52" s="408">
        <f>'DT trinh GD'!V140</f>
        <v>56</v>
      </c>
      <c r="V52" s="408">
        <f>'DT trinh GD'!W140</f>
        <v>0</v>
      </c>
      <c r="W52" s="408">
        <f>'DT trinh GD'!X140</f>
        <v>0</v>
      </c>
      <c r="X52" s="408">
        <f>'DT trinh GD'!Y140</f>
        <v>0</v>
      </c>
      <c r="Y52" s="408"/>
      <c r="Z52" s="408"/>
      <c r="AA52" s="408"/>
      <c r="AB52" s="408"/>
      <c r="AC52" s="408">
        <f>'DT trinh GD'!AE140</f>
        <v>0</v>
      </c>
      <c r="AD52" s="408"/>
      <c r="AE52" s="408">
        <f>'DT trinh GD'!AG140</f>
        <v>0</v>
      </c>
    </row>
    <row r="53" spans="1:31" s="222" customFormat="1" ht="15.75" customHeight="1">
      <c r="A53" s="406"/>
      <c r="B53" s="407" t="s">
        <v>80</v>
      </c>
      <c r="C53" s="408">
        <f t="shared" si="0"/>
        <v>417</v>
      </c>
      <c r="D53" s="408">
        <f>'DT trinh GD'!E141</f>
        <v>0</v>
      </c>
      <c r="E53" s="408"/>
      <c r="F53" s="408">
        <f>'DT trinh GD'!F141</f>
        <v>0</v>
      </c>
      <c r="G53" s="408">
        <f>'DT trinh GD'!H141</f>
        <v>417</v>
      </c>
      <c r="H53" s="408">
        <f>'DT trinh GD'!I141</f>
        <v>0</v>
      </c>
      <c r="I53" s="408">
        <f>'DT trinh GD'!J141</f>
        <v>0</v>
      </c>
      <c r="J53" s="408">
        <f>'DT trinh GD'!K141</f>
        <v>0</v>
      </c>
      <c r="K53" s="408">
        <f>'DT trinh GD'!L141</f>
        <v>0</v>
      </c>
      <c r="L53" s="408">
        <f>'DT trinh GD'!M141</f>
        <v>0</v>
      </c>
      <c r="M53" s="408">
        <f>'DT trinh GD'!N141</f>
        <v>0</v>
      </c>
      <c r="N53" s="408">
        <f>'DT trinh GD'!O141</f>
        <v>0</v>
      </c>
      <c r="O53" s="408">
        <f>'DT trinh GD'!P141</f>
        <v>0</v>
      </c>
      <c r="P53" s="408">
        <f>'DT trinh GD'!Q141</f>
        <v>0</v>
      </c>
      <c r="Q53" s="408">
        <f>'DT trinh GD'!R141</f>
        <v>0</v>
      </c>
      <c r="R53" s="408">
        <f>'DT trinh GD'!S141</f>
        <v>0</v>
      </c>
      <c r="S53" s="408">
        <f>'DT trinh GD'!T141</f>
        <v>0</v>
      </c>
      <c r="T53" s="408">
        <f>'DT trinh GD'!U141</f>
        <v>0</v>
      </c>
      <c r="U53" s="408">
        <f>'DT trinh GD'!V141</f>
        <v>417</v>
      </c>
      <c r="V53" s="408">
        <f>'DT trinh GD'!W141</f>
        <v>0</v>
      </c>
      <c r="W53" s="408">
        <f>'DT trinh GD'!X141</f>
        <v>0</v>
      </c>
      <c r="X53" s="408">
        <f>'DT trinh GD'!Y141</f>
        <v>0</v>
      </c>
      <c r="Y53" s="408"/>
      <c r="Z53" s="408"/>
      <c r="AA53" s="408"/>
      <c r="AB53" s="408"/>
      <c r="AC53" s="408">
        <f>'DT trinh GD'!AE141</f>
        <v>0</v>
      </c>
      <c r="AD53" s="408"/>
      <c r="AE53" s="408">
        <f>'DT trinh GD'!AG141</f>
        <v>0</v>
      </c>
    </row>
    <row r="54" spans="1:31" s="222" customFormat="1" ht="15.75" customHeight="1">
      <c r="A54" s="406"/>
      <c r="B54" s="407" t="s">
        <v>100</v>
      </c>
      <c r="C54" s="408">
        <f t="shared" si="0"/>
        <v>50</v>
      </c>
      <c r="D54" s="408">
        <f>'DT trinh GD'!E142</f>
        <v>0</v>
      </c>
      <c r="E54" s="408"/>
      <c r="F54" s="408">
        <f>'DT trinh GD'!F142</f>
        <v>0</v>
      </c>
      <c r="G54" s="408">
        <f>'DT trinh GD'!H142</f>
        <v>50</v>
      </c>
      <c r="H54" s="408">
        <f>'DT trinh GD'!I142</f>
        <v>0</v>
      </c>
      <c r="I54" s="408">
        <f>'DT trinh GD'!J142</f>
        <v>0</v>
      </c>
      <c r="J54" s="408">
        <f>'DT trinh GD'!K142</f>
        <v>0</v>
      </c>
      <c r="K54" s="408">
        <f>'DT trinh GD'!L142</f>
        <v>0</v>
      </c>
      <c r="L54" s="408">
        <f>'DT trinh GD'!M142</f>
        <v>0</v>
      </c>
      <c r="M54" s="408">
        <f>'DT trinh GD'!N142</f>
        <v>0</v>
      </c>
      <c r="N54" s="408">
        <f>'DT trinh GD'!O142</f>
        <v>0</v>
      </c>
      <c r="O54" s="408">
        <f>'DT trinh GD'!P142</f>
        <v>0</v>
      </c>
      <c r="P54" s="408">
        <f>'DT trinh GD'!Q142</f>
        <v>0</v>
      </c>
      <c r="Q54" s="408">
        <f>'DT trinh GD'!R142</f>
        <v>0</v>
      </c>
      <c r="R54" s="408">
        <f>'DT trinh GD'!S142</f>
        <v>0</v>
      </c>
      <c r="S54" s="408">
        <f>'DT trinh GD'!T142</f>
        <v>0</v>
      </c>
      <c r="T54" s="408">
        <f>'DT trinh GD'!U142</f>
        <v>0</v>
      </c>
      <c r="U54" s="408">
        <f>'DT trinh GD'!V142</f>
        <v>50</v>
      </c>
      <c r="V54" s="408">
        <f>'DT trinh GD'!W142</f>
        <v>0</v>
      </c>
      <c r="W54" s="408">
        <f>'DT trinh GD'!X142</f>
        <v>0</v>
      </c>
      <c r="X54" s="408">
        <f>'DT trinh GD'!Y142</f>
        <v>0</v>
      </c>
      <c r="Y54" s="408"/>
      <c r="Z54" s="408"/>
      <c r="AA54" s="408"/>
      <c r="AB54" s="408"/>
      <c r="AC54" s="408">
        <f>'DT trinh GD'!AE142</f>
        <v>0</v>
      </c>
      <c r="AD54" s="408"/>
      <c r="AE54" s="408">
        <f>'DT trinh GD'!AG142</f>
        <v>0</v>
      </c>
    </row>
    <row r="55" spans="1:31" s="222" customFormat="1" ht="15.75" customHeight="1">
      <c r="A55" s="406"/>
      <c r="B55" s="407" t="s">
        <v>111</v>
      </c>
      <c r="C55" s="408">
        <f t="shared" si="0"/>
        <v>59</v>
      </c>
      <c r="D55" s="408">
        <f>'DT trinh GD'!E143</f>
        <v>0</v>
      </c>
      <c r="E55" s="408"/>
      <c r="F55" s="408">
        <f>'DT trinh GD'!F143</f>
        <v>0</v>
      </c>
      <c r="G55" s="408">
        <f>'DT trinh GD'!H143</f>
        <v>59</v>
      </c>
      <c r="H55" s="408">
        <f>'DT trinh GD'!I143</f>
        <v>0</v>
      </c>
      <c r="I55" s="408">
        <f>'DT trinh GD'!J143</f>
        <v>0</v>
      </c>
      <c r="J55" s="408">
        <f>'DT trinh GD'!K143</f>
        <v>0</v>
      </c>
      <c r="K55" s="408">
        <f>'DT trinh GD'!L143</f>
        <v>0</v>
      </c>
      <c r="L55" s="408">
        <f>'DT trinh GD'!M143</f>
        <v>0</v>
      </c>
      <c r="M55" s="408">
        <f>'DT trinh GD'!N143</f>
        <v>0</v>
      </c>
      <c r="N55" s="408">
        <f>'DT trinh GD'!O143</f>
        <v>0</v>
      </c>
      <c r="O55" s="408">
        <f>'DT trinh GD'!P143</f>
        <v>0</v>
      </c>
      <c r="P55" s="408">
        <f>'DT trinh GD'!Q143</f>
        <v>0</v>
      </c>
      <c r="Q55" s="408">
        <f>'DT trinh GD'!R143</f>
        <v>0</v>
      </c>
      <c r="R55" s="408">
        <f>'DT trinh GD'!S143</f>
        <v>0</v>
      </c>
      <c r="S55" s="408">
        <f>'DT trinh GD'!T143</f>
        <v>0</v>
      </c>
      <c r="T55" s="408">
        <f>'DT trinh GD'!U143</f>
        <v>0</v>
      </c>
      <c r="U55" s="408">
        <f>'DT trinh GD'!V143</f>
        <v>59</v>
      </c>
      <c r="V55" s="408">
        <f>'DT trinh GD'!W143</f>
        <v>0</v>
      </c>
      <c r="W55" s="408">
        <f>'DT trinh GD'!X143</f>
        <v>0</v>
      </c>
      <c r="X55" s="408">
        <f>'DT trinh GD'!Y143</f>
        <v>0</v>
      </c>
      <c r="Y55" s="408"/>
      <c r="Z55" s="408"/>
      <c r="AA55" s="408"/>
      <c r="AB55" s="408"/>
      <c r="AC55" s="408">
        <f>'DT trinh GD'!AE143</f>
        <v>0</v>
      </c>
      <c r="AD55" s="408"/>
      <c r="AE55" s="408">
        <f>'DT trinh GD'!AG143</f>
        <v>0</v>
      </c>
    </row>
    <row r="56" spans="1:31" s="222" customFormat="1" ht="15.75" customHeight="1">
      <c r="A56" s="406"/>
      <c r="B56" s="407" t="s">
        <v>112</v>
      </c>
      <c r="C56" s="408">
        <f t="shared" si="0"/>
        <v>60</v>
      </c>
      <c r="D56" s="408">
        <f>'DT trinh GD'!E144</f>
        <v>0</v>
      </c>
      <c r="E56" s="408"/>
      <c r="F56" s="408">
        <f>'DT trinh GD'!F144</f>
        <v>0</v>
      </c>
      <c r="G56" s="408">
        <f>'DT trinh GD'!H144</f>
        <v>60</v>
      </c>
      <c r="H56" s="408">
        <f>'DT trinh GD'!I144</f>
        <v>0</v>
      </c>
      <c r="I56" s="408">
        <f>'DT trinh GD'!J144</f>
        <v>0</v>
      </c>
      <c r="J56" s="408">
        <f>'DT trinh GD'!K144</f>
        <v>0</v>
      </c>
      <c r="K56" s="408">
        <f>'DT trinh GD'!L144</f>
        <v>0</v>
      </c>
      <c r="L56" s="408">
        <f>'DT trinh GD'!M144</f>
        <v>0</v>
      </c>
      <c r="M56" s="408">
        <f>'DT trinh GD'!N144</f>
        <v>0</v>
      </c>
      <c r="N56" s="408">
        <f>'DT trinh GD'!O144</f>
        <v>0</v>
      </c>
      <c r="O56" s="408">
        <f>'DT trinh GD'!P144</f>
        <v>0</v>
      </c>
      <c r="P56" s="408">
        <f>'DT trinh GD'!Q144</f>
        <v>0</v>
      </c>
      <c r="Q56" s="408">
        <f>'DT trinh GD'!R144</f>
        <v>0</v>
      </c>
      <c r="R56" s="408">
        <f>'DT trinh GD'!S144</f>
        <v>0</v>
      </c>
      <c r="S56" s="408">
        <f>'DT trinh GD'!T144</f>
        <v>0</v>
      </c>
      <c r="T56" s="408">
        <f>'DT trinh GD'!U144</f>
        <v>0</v>
      </c>
      <c r="U56" s="408">
        <f>'DT trinh GD'!V144</f>
        <v>60</v>
      </c>
      <c r="V56" s="408">
        <f>'DT trinh GD'!W144</f>
        <v>0</v>
      </c>
      <c r="W56" s="408">
        <f>'DT trinh GD'!X144</f>
        <v>0</v>
      </c>
      <c r="X56" s="408">
        <f>'DT trinh GD'!Y144</f>
        <v>0</v>
      </c>
      <c r="Y56" s="408"/>
      <c r="Z56" s="408"/>
      <c r="AA56" s="408"/>
      <c r="AB56" s="408"/>
      <c r="AC56" s="408">
        <f>'DT trinh GD'!AE144</f>
        <v>0</v>
      </c>
      <c r="AD56" s="408"/>
      <c r="AE56" s="408">
        <f>'DT trinh GD'!AG144</f>
        <v>0</v>
      </c>
    </row>
    <row r="57" spans="1:31" s="222" customFormat="1" ht="15.75" customHeight="1">
      <c r="A57" s="406"/>
      <c r="B57" s="407" t="s">
        <v>79</v>
      </c>
      <c r="C57" s="408">
        <f t="shared" si="0"/>
        <v>580</v>
      </c>
      <c r="D57" s="408">
        <f>'DT trinh GD'!E145</f>
        <v>0</v>
      </c>
      <c r="E57" s="408"/>
      <c r="F57" s="408">
        <f>'DT trinh GD'!F145</f>
        <v>0</v>
      </c>
      <c r="G57" s="408">
        <f>'DT trinh GD'!H145</f>
        <v>580</v>
      </c>
      <c r="H57" s="408">
        <f>'DT trinh GD'!I145</f>
        <v>0</v>
      </c>
      <c r="I57" s="408">
        <f>'DT trinh GD'!J145</f>
        <v>0</v>
      </c>
      <c r="J57" s="408">
        <f>'DT trinh GD'!K145</f>
        <v>0</v>
      </c>
      <c r="K57" s="408">
        <f>'DT trinh GD'!L145</f>
        <v>0</v>
      </c>
      <c r="L57" s="408">
        <f>'DT trinh GD'!M145</f>
        <v>0</v>
      </c>
      <c r="M57" s="408">
        <f>'DT trinh GD'!N145</f>
        <v>0</v>
      </c>
      <c r="N57" s="408">
        <f>'DT trinh GD'!O145</f>
        <v>0</v>
      </c>
      <c r="O57" s="408">
        <f>'DT trinh GD'!P145</f>
        <v>0</v>
      </c>
      <c r="P57" s="408">
        <f>'DT trinh GD'!Q145</f>
        <v>0</v>
      </c>
      <c r="Q57" s="408">
        <f>'DT trinh GD'!R145</f>
        <v>0</v>
      </c>
      <c r="R57" s="408">
        <f>'DT trinh GD'!S145</f>
        <v>0</v>
      </c>
      <c r="S57" s="408">
        <f>'DT trinh GD'!T145</f>
        <v>0</v>
      </c>
      <c r="T57" s="408">
        <f>'DT trinh GD'!U145</f>
        <v>0</v>
      </c>
      <c r="U57" s="408">
        <f>'DT trinh GD'!V145</f>
        <v>580</v>
      </c>
      <c r="V57" s="408">
        <f>'DT trinh GD'!W145</f>
        <v>0</v>
      </c>
      <c r="W57" s="408">
        <f>'DT trinh GD'!X145</f>
        <v>0</v>
      </c>
      <c r="X57" s="408">
        <f>'DT trinh GD'!Y145</f>
        <v>0</v>
      </c>
      <c r="Y57" s="408"/>
      <c r="Z57" s="408"/>
      <c r="AA57" s="408"/>
      <c r="AB57" s="408"/>
      <c r="AC57" s="408">
        <f>'DT trinh GD'!AE145</f>
        <v>0</v>
      </c>
      <c r="AD57" s="408"/>
      <c r="AE57" s="408">
        <f>'DT trinh GD'!AG145</f>
        <v>0</v>
      </c>
    </row>
    <row r="58" spans="1:31" s="222" customFormat="1" ht="15.75" customHeight="1">
      <c r="A58" s="406"/>
      <c r="B58" s="407" t="s">
        <v>78</v>
      </c>
      <c r="C58" s="408">
        <f t="shared" si="0"/>
        <v>325</v>
      </c>
      <c r="D58" s="408">
        <f>'DT trinh GD'!E146</f>
        <v>0</v>
      </c>
      <c r="E58" s="408"/>
      <c r="F58" s="408">
        <f>'DT trinh GD'!F146</f>
        <v>0</v>
      </c>
      <c r="G58" s="408">
        <f>'DT trinh GD'!H146</f>
        <v>325</v>
      </c>
      <c r="H58" s="408">
        <f>'DT trinh GD'!I146</f>
        <v>0</v>
      </c>
      <c r="I58" s="408">
        <f>'DT trinh GD'!J146</f>
        <v>0</v>
      </c>
      <c r="J58" s="408">
        <f>'DT trinh GD'!K146</f>
        <v>0</v>
      </c>
      <c r="K58" s="408">
        <f>'DT trinh GD'!L146</f>
        <v>0</v>
      </c>
      <c r="L58" s="408">
        <f>'DT trinh GD'!M146</f>
        <v>0</v>
      </c>
      <c r="M58" s="408">
        <f>'DT trinh GD'!N146</f>
        <v>0</v>
      </c>
      <c r="N58" s="408">
        <f>'DT trinh GD'!O146</f>
        <v>0</v>
      </c>
      <c r="O58" s="408">
        <f>'DT trinh GD'!P146</f>
        <v>0</v>
      </c>
      <c r="P58" s="408">
        <f>'DT trinh GD'!Q146</f>
        <v>0</v>
      </c>
      <c r="Q58" s="408">
        <f>'DT trinh GD'!R146</f>
        <v>0</v>
      </c>
      <c r="R58" s="408">
        <f>'DT trinh GD'!S146</f>
        <v>0</v>
      </c>
      <c r="S58" s="408">
        <f>'DT trinh GD'!T146</f>
        <v>0</v>
      </c>
      <c r="T58" s="408">
        <f>'DT trinh GD'!U146</f>
        <v>0</v>
      </c>
      <c r="U58" s="408">
        <f>'DT trinh GD'!V146</f>
        <v>325</v>
      </c>
      <c r="V58" s="408">
        <f>'DT trinh GD'!W146</f>
        <v>0</v>
      </c>
      <c r="W58" s="408">
        <f>'DT trinh GD'!X146</f>
        <v>0</v>
      </c>
      <c r="X58" s="408">
        <f>'DT trinh GD'!Y146</f>
        <v>0</v>
      </c>
      <c r="Y58" s="408"/>
      <c r="Z58" s="408"/>
      <c r="AA58" s="408"/>
      <c r="AB58" s="408"/>
      <c r="AC58" s="408">
        <f>'DT trinh GD'!AE146</f>
        <v>0</v>
      </c>
      <c r="AD58" s="408"/>
      <c r="AE58" s="408">
        <f>'DT trinh GD'!AG146</f>
        <v>0</v>
      </c>
    </row>
    <row r="59" spans="1:31" s="222" customFormat="1" ht="15.75" customHeight="1">
      <c r="A59" s="406"/>
      <c r="B59" s="407" t="s">
        <v>95</v>
      </c>
      <c r="C59" s="408">
        <f t="shared" si="0"/>
        <v>600</v>
      </c>
      <c r="D59" s="408">
        <f>'DT trinh GD'!E147</f>
        <v>0</v>
      </c>
      <c r="E59" s="408"/>
      <c r="F59" s="408">
        <f>'DT trinh GD'!F147</f>
        <v>0</v>
      </c>
      <c r="G59" s="408">
        <f>'DT trinh GD'!H147</f>
        <v>600</v>
      </c>
      <c r="H59" s="408">
        <f>'DT trinh GD'!I147</f>
        <v>0</v>
      </c>
      <c r="I59" s="408">
        <f>'DT trinh GD'!J147</f>
        <v>0</v>
      </c>
      <c r="J59" s="408">
        <f>'DT trinh GD'!K147</f>
        <v>0</v>
      </c>
      <c r="K59" s="408">
        <f>'DT trinh GD'!L147</f>
        <v>0</v>
      </c>
      <c r="L59" s="408">
        <f>'DT trinh GD'!M147</f>
        <v>0</v>
      </c>
      <c r="M59" s="408">
        <f>'DT trinh GD'!N147</f>
        <v>0</v>
      </c>
      <c r="N59" s="408">
        <f>'DT trinh GD'!O147</f>
        <v>0</v>
      </c>
      <c r="O59" s="408">
        <f>'DT trinh GD'!P147</f>
        <v>0</v>
      </c>
      <c r="P59" s="408">
        <f>'DT trinh GD'!Q147</f>
        <v>0</v>
      </c>
      <c r="Q59" s="408">
        <f>'DT trinh GD'!R147</f>
        <v>0</v>
      </c>
      <c r="R59" s="408">
        <f>'DT trinh GD'!S147</f>
        <v>0</v>
      </c>
      <c r="S59" s="408">
        <f>'DT trinh GD'!T147</f>
        <v>0</v>
      </c>
      <c r="T59" s="408">
        <f>'DT trinh GD'!U147</f>
        <v>0</v>
      </c>
      <c r="U59" s="408">
        <f>'DT trinh GD'!V147</f>
        <v>600</v>
      </c>
      <c r="V59" s="408">
        <f>'DT trinh GD'!W147</f>
        <v>0</v>
      </c>
      <c r="W59" s="408">
        <f>'DT trinh GD'!X147</f>
        <v>0</v>
      </c>
      <c r="X59" s="408">
        <f>'DT trinh GD'!Y147</f>
        <v>0</v>
      </c>
      <c r="Y59" s="408"/>
      <c r="Z59" s="408"/>
      <c r="AA59" s="408"/>
      <c r="AB59" s="408"/>
      <c r="AC59" s="408">
        <f>'DT trinh GD'!AE147</f>
        <v>0</v>
      </c>
      <c r="AD59" s="408"/>
      <c r="AE59" s="408">
        <f>'DT trinh GD'!AG147</f>
        <v>0</v>
      </c>
    </row>
    <row r="60" spans="1:31" s="222" customFormat="1" ht="15.75" customHeight="1">
      <c r="A60" s="406"/>
      <c r="B60" s="407" t="s">
        <v>76</v>
      </c>
      <c r="C60" s="408">
        <f t="shared" si="0"/>
        <v>407</v>
      </c>
      <c r="D60" s="408">
        <f>'DT trinh GD'!E148</f>
        <v>0</v>
      </c>
      <c r="E60" s="408"/>
      <c r="F60" s="408">
        <f>'DT trinh GD'!F148</f>
        <v>0</v>
      </c>
      <c r="G60" s="408">
        <f>'DT trinh GD'!H148</f>
        <v>407</v>
      </c>
      <c r="H60" s="408">
        <f>'DT trinh GD'!I148</f>
        <v>0</v>
      </c>
      <c r="I60" s="408">
        <f>'DT trinh GD'!J148</f>
        <v>0</v>
      </c>
      <c r="J60" s="408" t="str">
        <f>'DT trinh GD'!K148</f>
        <v xml:space="preserve">                                                           </v>
      </c>
      <c r="K60" s="408">
        <f>'DT trinh GD'!L148</f>
        <v>0</v>
      </c>
      <c r="L60" s="408">
        <f>'DT trinh GD'!M148</f>
        <v>0</v>
      </c>
      <c r="M60" s="408">
        <f>'DT trinh GD'!N148</f>
        <v>0</v>
      </c>
      <c r="N60" s="408">
        <f>'DT trinh GD'!O148</f>
        <v>0</v>
      </c>
      <c r="O60" s="408">
        <f>'DT trinh GD'!P148</f>
        <v>0</v>
      </c>
      <c r="P60" s="408">
        <f>'DT trinh GD'!Q148</f>
        <v>0</v>
      </c>
      <c r="Q60" s="408">
        <f>'DT trinh GD'!R148</f>
        <v>0</v>
      </c>
      <c r="R60" s="408">
        <f>'DT trinh GD'!S148</f>
        <v>0</v>
      </c>
      <c r="S60" s="408">
        <f>'DT trinh GD'!T148</f>
        <v>0</v>
      </c>
      <c r="T60" s="408">
        <f>'DT trinh GD'!U148</f>
        <v>0</v>
      </c>
      <c r="U60" s="408">
        <f>'DT trinh GD'!V148</f>
        <v>407</v>
      </c>
      <c r="V60" s="408">
        <f>'DT trinh GD'!W148</f>
        <v>0</v>
      </c>
      <c r="W60" s="408">
        <f>'DT trinh GD'!X148</f>
        <v>0</v>
      </c>
      <c r="X60" s="408">
        <f>'DT trinh GD'!Y148</f>
        <v>0</v>
      </c>
      <c r="Y60" s="408"/>
      <c r="Z60" s="408"/>
      <c r="AA60" s="408"/>
      <c r="AB60" s="408"/>
      <c r="AC60" s="408">
        <f>'DT trinh GD'!AE148</f>
        <v>0</v>
      </c>
      <c r="AD60" s="408"/>
      <c r="AE60" s="408">
        <f>'DT trinh GD'!AG148</f>
        <v>0</v>
      </c>
    </row>
    <row r="61" spans="1:31" s="222" customFormat="1" ht="15.75" customHeight="1">
      <c r="A61" s="406"/>
      <c r="B61" s="407" t="str">
        <f>'DT trinh GD'!B149</f>
        <v>Ban CĐVĐ hiến máu TN</v>
      </c>
      <c r="C61" s="408">
        <f t="shared" si="0"/>
        <v>550</v>
      </c>
      <c r="D61" s="408"/>
      <c r="E61" s="408"/>
      <c r="F61" s="408"/>
      <c r="G61" s="408">
        <f>'DT trinh GD'!H149</f>
        <v>550</v>
      </c>
      <c r="H61" s="408"/>
      <c r="I61" s="408"/>
      <c r="J61" s="408"/>
      <c r="K61" s="408"/>
      <c r="L61" s="408"/>
      <c r="M61" s="408"/>
      <c r="N61" s="408">
        <f>'DT trinh GD'!O149</f>
        <v>10</v>
      </c>
      <c r="O61" s="408">
        <f>'DT trinh GD'!P149</f>
        <v>173</v>
      </c>
      <c r="P61" s="408">
        <f>'DT trinh GD'!Q149</f>
        <v>0</v>
      </c>
      <c r="Q61" s="408">
        <f>'DT trinh GD'!R149</f>
        <v>0</v>
      </c>
      <c r="R61" s="408">
        <f>'DT trinh GD'!S149</f>
        <v>0</v>
      </c>
      <c r="S61" s="408">
        <f>'DT trinh GD'!T149</f>
        <v>0</v>
      </c>
      <c r="T61" s="408">
        <f>'DT trinh GD'!U149</f>
        <v>0</v>
      </c>
      <c r="U61" s="408">
        <f>'DT trinh GD'!V149</f>
        <v>367</v>
      </c>
      <c r="V61" s="408"/>
      <c r="W61" s="408"/>
      <c r="X61" s="408"/>
      <c r="Y61" s="408"/>
      <c r="Z61" s="408"/>
      <c r="AA61" s="408"/>
      <c r="AB61" s="408"/>
      <c r="AC61" s="408"/>
      <c r="AD61" s="408"/>
      <c r="AE61" s="408"/>
    </row>
    <row r="62" spans="1:31" s="222" customFormat="1" ht="15.75" customHeight="1">
      <c r="A62" s="406"/>
      <c r="B62" s="407" t="str">
        <f>'DT trinh GD'!B150</f>
        <v>CLB hưu trí tỉnh</v>
      </c>
      <c r="C62" s="408">
        <f t="shared" si="0"/>
        <v>380</v>
      </c>
      <c r="D62" s="408"/>
      <c r="E62" s="408"/>
      <c r="F62" s="408"/>
      <c r="G62" s="408">
        <f>'DT trinh GD'!H150</f>
        <v>380</v>
      </c>
      <c r="H62" s="408"/>
      <c r="I62" s="408"/>
      <c r="J62" s="408"/>
      <c r="K62" s="408"/>
      <c r="L62" s="408"/>
      <c r="M62" s="408"/>
      <c r="N62" s="408"/>
      <c r="O62" s="408"/>
      <c r="P62" s="408"/>
      <c r="Q62" s="408"/>
      <c r="R62" s="408"/>
      <c r="S62" s="408"/>
      <c r="T62" s="408"/>
      <c r="U62" s="408">
        <f>'DT trinh GD'!V150</f>
        <v>380</v>
      </c>
      <c r="V62" s="408"/>
      <c r="W62" s="408"/>
      <c r="X62" s="408"/>
      <c r="Y62" s="408"/>
      <c r="Z62" s="408"/>
      <c r="AA62" s="408"/>
      <c r="AB62" s="408"/>
      <c r="AC62" s="408"/>
      <c r="AD62" s="408"/>
      <c r="AE62" s="408"/>
    </row>
    <row r="63" spans="1:31" s="222" customFormat="1" ht="15.75" customHeight="1">
      <c r="A63" s="406"/>
      <c r="B63" s="407" t="str">
        <f>'DT trinh GD'!B151</f>
        <v>Liên đoàn lao động</v>
      </c>
      <c r="C63" s="408">
        <f t="shared" si="0"/>
        <v>150</v>
      </c>
      <c r="D63" s="408"/>
      <c r="E63" s="408"/>
      <c r="F63" s="408"/>
      <c r="G63" s="408">
        <f>'DT trinh GD'!H151</f>
        <v>150</v>
      </c>
      <c r="H63" s="408"/>
      <c r="I63" s="408"/>
      <c r="J63" s="408"/>
      <c r="K63" s="408"/>
      <c r="L63" s="408"/>
      <c r="M63" s="408"/>
      <c r="N63" s="408"/>
      <c r="O63" s="408"/>
      <c r="P63" s="408"/>
      <c r="Q63" s="408"/>
      <c r="R63" s="408"/>
      <c r="S63" s="408"/>
      <c r="T63" s="408"/>
      <c r="U63" s="408">
        <f>'DT trinh GD'!V151</f>
        <v>150</v>
      </c>
      <c r="V63" s="408"/>
      <c r="W63" s="408"/>
      <c r="X63" s="408"/>
      <c r="Y63" s="408"/>
      <c r="Z63" s="408"/>
      <c r="AA63" s="408"/>
      <c r="AB63" s="408"/>
      <c r="AC63" s="408"/>
      <c r="AD63" s="408"/>
      <c r="AE63" s="408"/>
    </row>
    <row r="64" spans="1:31" s="222" customFormat="1" ht="2.25" hidden="1" customHeight="1">
      <c r="A64" s="406"/>
      <c r="B64" s="407"/>
      <c r="C64" s="408">
        <f t="shared" si="0"/>
        <v>0</v>
      </c>
      <c r="D64" s="408"/>
      <c r="E64" s="408"/>
      <c r="F64" s="408"/>
      <c r="G64" s="408"/>
      <c r="H64" s="408"/>
      <c r="I64" s="408"/>
      <c r="J64" s="408"/>
      <c r="K64" s="408"/>
      <c r="L64" s="408"/>
      <c r="M64" s="408"/>
      <c r="N64" s="408"/>
      <c r="O64" s="408"/>
      <c r="P64" s="408"/>
      <c r="Q64" s="408"/>
      <c r="R64" s="408"/>
      <c r="S64" s="408"/>
      <c r="T64" s="408"/>
      <c r="U64" s="408"/>
      <c r="V64" s="408"/>
      <c r="W64" s="408"/>
      <c r="X64" s="408"/>
      <c r="Y64" s="408"/>
      <c r="Z64" s="408"/>
      <c r="AA64" s="408"/>
      <c r="AB64" s="408"/>
      <c r="AC64" s="408"/>
      <c r="AD64" s="408"/>
      <c r="AE64" s="408"/>
    </row>
    <row r="65" spans="1:31" s="222" customFormat="1" ht="12.75" hidden="1" customHeight="1">
      <c r="A65" s="406"/>
      <c r="B65" s="407" t="s">
        <v>115</v>
      </c>
      <c r="C65" s="408">
        <f t="shared" si="0"/>
        <v>0</v>
      </c>
      <c r="D65" s="408">
        <f>'DT trinh GD'!E152</f>
        <v>0</v>
      </c>
      <c r="E65" s="408"/>
      <c r="F65" s="408">
        <f>'DT trinh GD'!F152</f>
        <v>0</v>
      </c>
      <c r="G65" s="408">
        <f>'DT trinh GD'!H152</f>
        <v>0</v>
      </c>
      <c r="H65" s="408">
        <f>'DT trinh GD'!I152</f>
        <v>0</v>
      </c>
      <c r="I65" s="408">
        <f>'DT trinh GD'!J152</f>
        <v>0</v>
      </c>
      <c r="J65" s="408">
        <f>'DT trinh GD'!K152</f>
        <v>0</v>
      </c>
      <c r="K65" s="408">
        <f>'DT trinh GD'!L152</f>
        <v>0</v>
      </c>
      <c r="L65" s="408">
        <f>'DT trinh GD'!M152</f>
        <v>0</v>
      </c>
      <c r="M65" s="408">
        <f>'DT trinh GD'!N152</f>
        <v>0</v>
      </c>
      <c r="N65" s="408">
        <f>'DT trinh GD'!O152</f>
        <v>0</v>
      </c>
      <c r="O65" s="408">
        <f>'DT trinh GD'!P152</f>
        <v>0</v>
      </c>
      <c r="P65" s="408">
        <f>'DT trinh GD'!Q152</f>
        <v>0</v>
      </c>
      <c r="Q65" s="408">
        <f>'DT trinh GD'!R152</f>
        <v>0</v>
      </c>
      <c r="R65" s="408">
        <f>'DT trinh GD'!S152</f>
        <v>0</v>
      </c>
      <c r="S65" s="408">
        <f>'DT trinh GD'!T152</f>
        <v>0</v>
      </c>
      <c r="T65" s="408">
        <f>'DT trinh GD'!U152</f>
        <v>0</v>
      </c>
      <c r="U65" s="408">
        <f>'DT trinh GD'!V152</f>
        <v>0</v>
      </c>
      <c r="V65" s="408">
        <f>'DT trinh GD'!W152</f>
        <v>0</v>
      </c>
      <c r="W65" s="408">
        <f>'DT trinh GD'!X152</f>
        <v>0</v>
      </c>
      <c r="X65" s="408">
        <f>'DT trinh GD'!Y152</f>
        <v>0</v>
      </c>
      <c r="Y65" s="408"/>
      <c r="Z65" s="408"/>
      <c r="AA65" s="408"/>
      <c r="AB65" s="408"/>
      <c r="AC65" s="408">
        <f>'DT trinh GD'!AE152</f>
        <v>0</v>
      </c>
      <c r="AD65" s="408"/>
      <c r="AE65" s="408">
        <f>'DT trinh GD'!AG152</f>
        <v>0</v>
      </c>
    </row>
    <row r="66" spans="1:31" s="223" customFormat="1" ht="16.5" customHeight="1">
      <c r="A66" s="400">
        <v>27</v>
      </c>
      <c r="B66" s="401" t="s">
        <v>24</v>
      </c>
      <c r="C66" s="402">
        <f t="shared" si="0"/>
        <v>2140</v>
      </c>
      <c r="D66" s="402">
        <f>'DT trinh GD'!E153</f>
        <v>0</v>
      </c>
      <c r="E66" s="402"/>
      <c r="F66" s="402">
        <f>'DT trinh GD'!F153</f>
        <v>0</v>
      </c>
      <c r="G66" s="402">
        <f>'DT trinh GD'!H153</f>
        <v>2140</v>
      </c>
      <c r="H66" s="402">
        <f>'DT trinh GD'!I153</f>
        <v>0</v>
      </c>
      <c r="I66" s="402">
        <f>'DT trinh GD'!J153</f>
        <v>0</v>
      </c>
      <c r="J66" s="402">
        <f>'DT trinh GD'!K153</f>
        <v>0</v>
      </c>
      <c r="K66" s="402">
        <f>'DT trinh GD'!L153</f>
        <v>85</v>
      </c>
      <c r="L66" s="402">
        <f>'DT trinh GD'!M153</f>
        <v>2055</v>
      </c>
      <c r="M66" s="402">
        <f>'DT trinh GD'!N153</f>
        <v>0</v>
      </c>
      <c r="N66" s="402">
        <f>'DT trinh GD'!O153</f>
        <v>0</v>
      </c>
      <c r="O66" s="402">
        <f>'DT trinh GD'!P153</f>
        <v>0</v>
      </c>
      <c r="P66" s="402">
        <f>'DT trinh GD'!Q153</f>
        <v>0</v>
      </c>
      <c r="Q66" s="402">
        <f>'DT trinh GD'!R153</f>
        <v>0</v>
      </c>
      <c r="R66" s="402">
        <f>'DT trinh GD'!S153</f>
        <v>0</v>
      </c>
      <c r="S66" s="402">
        <f>'DT trinh GD'!T153</f>
        <v>0</v>
      </c>
      <c r="T66" s="402">
        <f>'DT trinh GD'!U153</f>
        <v>0</v>
      </c>
      <c r="U66" s="402">
        <f>'DT trinh GD'!V153</f>
        <v>0</v>
      </c>
      <c r="V66" s="402">
        <f>'DT trinh GD'!W153</f>
        <v>0</v>
      </c>
      <c r="W66" s="402">
        <f>'DT trinh GD'!X153</f>
        <v>0</v>
      </c>
      <c r="X66" s="402">
        <f>'DT trinh GD'!Y153</f>
        <v>0</v>
      </c>
      <c r="Y66" s="402"/>
      <c r="Z66" s="402"/>
      <c r="AA66" s="402"/>
      <c r="AB66" s="402"/>
      <c r="AC66" s="402">
        <f>'DT trinh GD'!AE153</f>
        <v>0</v>
      </c>
      <c r="AD66" s="402"/>
      <c r="AE66" s="402">
        <f>'DT trinh GD'!AG153</f>
        <v>0</v>
      </c>
    </row>
    <row r="67" spans="1:31" s="223" customFormat="1" ht="16.5" customHeight="1">
      <c r="A67" s="400">
        <v>28</v>
      </c>
      <c r="B67" s="401" t="s">
        <v>81</v>
      </c>
      <c r="C67" s="402">
        <f t="shared" si="0"/>
        <v>14525</v>
      </c>
      <c r="D67" s="402">
        <f>'DT trinh GD'!E154</f>
        <v>0</v>
      </c>
      <c r="E67" s="402"/>
      <c r="F67" s="402">
        <f>'DT trinh GD'!F154</f>
        <v>0</v>
      </c>
      <c r="G67" s="402">
        <f>'DT trinh GD'!H154</f>
        <v>14525</v>
      </c>
      <c r="H67" s="402">
        <f>'DT trinh GD'!I154</f>
        <v>0</v>
      </c>
      <c r="I67" s="402">
        <f>'DT trinh GD'!J154</f>
        <v>0</v>
      </c>
      <c r="J67" s="402">
        <f>'DT trinh GD'!K154</f>
        <v>0</v>
      </c>
      <c r="K67" s="402">
        <f>'DT trinh GD'!L154</f>
        <v>1500</v>
      </c>
      <c r="L67" s="402">
        <f>'DT trinh GD'!M154</f>
        <v>0</v>
      </c>
      <c r="M67" s="402">
        <f>'DT trinh GD'!N154</f>
        <v>0</v>
      </c>
      <c r="N67" s="402">
        <f>'DT trinh GD'!O154</f>
        <v>0</v>
      </c>
      <c r="O67" s="402">
        <f>'DT trinh GD'!P154</f>
        <v>0</v>
      </c>
      <c r="P67" s="402">
        <f>'DT trinh GD'!Q154</f>
        <v>0</v>
      </c>
      <c r="Q67" s="402">
        <f>'DT trinh GD'!R154</f>
        <v>0</v>
      </c>
      <c r="R67" s="402">
        <f>'DT trinh GD'!S154</f>
        <v>0</v>
      </c>
      <c r="S67" s="402">
        <f>'DT trinh GD'!T154</f>
        <v>0</v>
      </c>
      <c r="T67" s="402">
        <f>'DT trinh GD'!U154</f>
        <v>0</v>
      </c>
      <c r="U67" s="402">
        <f>'DT trinh GD'!V154</f>
        <v>0</v>
      </c>
      <c r="V67" s="402">
        <f>'DT trinh GD'!W154</f>
        <v>13025</v>
      </c>
      <c r="W67" s="402">
        <f>'DT trinh GD'!X154</f>
        <v>0</v>
      </c>
      <c r="X67" s="402">
        <f>'DT trinh GD'!Y154</f>
        <v>0</v>
      </c>
      <c r="Y67" s="402"/>
      <c r="Z67" s="402"/>
      <c r="AA67" s="402"/>
      <c r="AB67" s="402"/>
      <c r="AC67" s="402">
        <f>'DT trinh GD'!AE154</f>
        <v>0</v>
      </c>
      <c r="AD67" s="402"/>
      <c r="AE67" s="402">
        <f>'DT trinh GD'!AG154</f>
        <v>0</v>
      </c>
    </row>
    <row r="68" spans="1:31" s="223" customFormat="1" ht="16.5" customHeight="1">
      <c r="A68" s="400">
        <v>29</v>
      </c>
      <c r="B68" s="401" t="s">
        <v>82</v>
      </c>
      <c r="C68" s="402">
        <f t="shared" si="0"/>
        <v>68676</v>
      </c>
      <c r="D68" s="402">
        <f>'DT trinh GD'!E155</f>
        <v>0</v>
      </c>
      <c r="E68" s="402"/>
      <c r="F68" s="402">
        <f>'DT trinh GD'!F155</f>
        <v>0</v>
      </c>
      <c r="G68" s="402">
        <f>'DT trinh GD'!H155</f>
        <v>68676</v>
      </c>
      <c r="H68" s="402">
        <f>'DT trinh GD'!I155</f>
        <v>0</v>
      </c>
      <c r="I68" s="402">
        <f>'DT trinh GD'!J155</f>
        <v>0</v>
      </c>
      <c r="J68" s="402">
        <f>'DT trinh GD'!K155</f>
        <v>0</v>
      </c>
      <c r="K68" s="402">
        <f>'DT trinh GD'!L155</f>
        <v>0</v>
      </c>
      <c r="L68" s="402">
        <f>'DT trinh GD'!M155</f>
        <v>0</v>
      </c>
      <c r="M68" s="402">
        <f>'DT trinh GD'!N155</f>
        <v>0</v>
      </c>
      <c r="N68" s="402">
        <f>'DT trinh GD'!O155</f>
        <v>3085</v>
      </c>
      <c r="O68" s="402">
        <f>'DT trinh GD'!P155</f>
        <v>0</v>
      </c>
      <c r="P68" s="402">
        <f>'DT trinh GD'!Q155</f>
        <v>0</v>
      </c>
      <c r="Q68" s="402">
        <f>'DT trinh GD'!R155</f>
        <v>0</v>
      </c>
      <c r="R68" s="402">
        <f>'DT trinh GD'!S155</f>
        <v>0</v>
      </c>
      <c r="S68" s="402">
        <f>'DT trinh GD'!T155</f>
        <v>0</v>
      </c>
      <c r="T68" s="402">
        <f>'DT trinh GD'!U155</f>
        <v>0</v>
      </c>
      <c r="U68" s="402">
        <f>'DT trinh GD'!V155</f>
        <v>0</v>
      </c>
      <c r="V68" s="402">
        <f>'DT trinh GD'!W155</f>
        <v>36591</v>
      </c>
      <c r="W68" s="402">
        <f>'DT trinh GD'!X155</f>
        <v>0</v>
      </c>
      <c r="X68" s="402">
        <f>'DT trinh GD'!Y155</f>
        <v>29000</v>
      </c>
      <c r="Y68" s="402"/>
      <c r="Z68" s="402"/>
      <c r="AA68" s="402"/>
      <c r="AB68" s="402"/>
      <c r="AC68" s="402">
        <f>'DT trinh GD'!AE155</f>
        <v>0</v>
      </c>
      <c r="AD68" s="402"/>
      <c r="AE68" s="402">
        <f>'DT trinh GD'!AG155</f>
        <v>0</v>
      </c>
    </row>
    <row r="69" spans="1:31" s="223" customFormat="1" ht="16.5" customHeight="1">
      <c r="A69" s="400">
        <v>30</v>
      </c>
      <c r="B69" s="401" t="s">
        <v>545</v>
      </c>
      <c r="C69" s="402">
        <f t="shared" si="0"/>
        <v>128570</v>
      </c>
      <c r="D69" s="402">
        <f>'DT trinh GD'!E156</f>
        <v>0</v>
      </c>
      <c r="E69" s="402"/>
      <c r="F69" s="402">
        <f>'DT trinh GD'!F156</f>
        <v>0</v>
      </c>
      <c r="G69" s="402">
        <f>'DT trinh GD'!H156</f>
        <v>128570</v>
      </c>
      <c r="H69" s="402">
        <f>'DT trinh GD'!I156</f>
        <v>0</v>
      </c>
      <c r="I69" s="402">
        <f>'DT trinh GD'!J156</f>
        <v>0</v>
      </c>
      <c r="J69" s="402">
        <f>'DT trinh GD'!K156</f>
        <v>0</v>
      </c>
      <c r="K69" s="402">
        <f>'DT trinh GD'!L156</f>
        <v>3668</v>
      </c>
      <c r="L69" s="402">
        <f>'DT trinh GD'!M156</f>
        <v>0</v>
      </c>
      <c r="M69" s="402">
        <f>'DT trinh GD'!N156</f>
        <v>0</v>
      </c>
      <c r="N69" s="402">
        <f>'DT trinh GD'!O156</f>
        <v>3294</v>
      </c>
      <c r="O69" s="402">
        <f>'DT trinh GD'!P156</f>
        <v>0</v>
      </c>
      <c r="P69" s="402">
        <f>'DT trinh GD'!Q156</f>
        <v>13479</v>
      </c>
      <c r="Q69" s="402">
        <f>'DT trinh GD'!R156</f>
        <v>0</v>
      </c>
      <c r="R69" s="402">
        <f>'DT trinh GD'!S156</f>
        <v>0</v>
      </c>
      <c r="S69" s="402">
        <f>'DT trinh GD'!T156</f>
        <v>7260</v>
      </c>
      <c r="T69" s="402">
        <f>'DT trinh GD'!U156</f>
        <v>0</v>
      </c>
      <c r="U69" s="402">
        <f>'DT trinh GD'!V156</f>
        <v>92369</v>
      </c>
      <c r="V69" s="402">
        <f>'DT trinh GD'!W156</f>
        <v>0</v>
      </c>
      <c r="W69" s="402">
        <f>'DT trinh GD'!X156</f>
        <v>8500</v>
      </c>
      <c r="X69" s="402">
        <f>'DT trinh GD'!Y156</f>
        <v>0</v>
      </c>
      <c r="Y69" s="402"/>
      <c r="Z69" s="402"/>
      <c r="AA69" s="402"/>
      <c r="AB69" s="402"/>
      <c r="AC69" s="402">
        <f>'DT trinh GD'!AE156</f>
        <v>0</v>
      </c>
      <c r="AD69" s="402"/>
      <c r="AE69" s="402">
        <f>'DT trinh GD'!AG156</f>
        <v>0</v>
      </c>
    </row>
    <row r="70" spans="1:31" s="223" customFormat="1" ht="28.5" customHeight="1">
      <c r="A70" s="400">
        <v>31</v>
      </c>
      <c r="B70" s="401" t="str">
        <f>'DT trinh GD'!B157</f>
        <v xml:space="preserve">Kinh phí thực hiện CTMTQG nông thôn mới </v>
      </c>
      <c r="C70" s="410">
        <f t="shared" si="0"/>
        <v>59295</v>
      </c>
      <c r="D70" s="410"/>
      <c r="E70" s="410"/>
      <c r="F70" s="410"/>
      <c r="G70" s="410">
        <f>AC70</f>
        <v>59295</v>
      </c>
      <c r="H70" s="410"/>
      <c r="I70" s="410"/>
      <c r="J70" s="410"/>
      <c r="K70" s="410"/>
      <c r="L70" s="410"/>
      <c r="M70" s="410"/>
      <c r="N70" s="410"/>
      <c r="O70" s="410"/>
      <c r="P70" s="410"/>
      <c r="Q70" s="410"/>
      <c r="R70" s="410"/>
      <c r="S70" s="410"/>
      <c r="T70" s="410"/>
      <c r="U70" s="410"/>
      <c r="V70" s="410"/>
      <c r="W70" s="410"/>
      <c r="X70" s="410"/>
      <c r="Y70" s="410"/>
      <c r="Z70" s="410"/>
      <c r="AA70" s="410"/>
      <c r="AB70" s="410"/>
      <c r="AC70" s="410">
        <f>'DT trinh GD'!AE157</f>
        <v>59295</v>
      </c>
      <c r="AD70" s="410"/>
      <c r="AE70" s="410"/>
    </row>
    <row r="71" spans="1:31" s="223" customFormat="1" ht="36.75" customHeight="1">
      <c r="A71" s="400">
        <v>32</v>
      </c>
      <c r="B71" s="401" t="str">
        <f>'DT trinh GD'!B158</f>
        <v>BHXH (Kp mua BHYT cho các đối tượng người nghèo, trẻ em dưới 6 tuổi, HSSV...)</v>
      </c>
      <c r="C71" s="410">
        <f t="shared" si="0"/>
        <v>216417</v>
      </c>
      <c r="D71" s="410">
        <f>'DT trinh GD'!E158</f>
        <v>0</v>
      </c>
      <c r="E71" s="410"/>
      <c r="F71" s="410">
        <f>'DT trinh GD'!F158</f>
        <v>0</v>
      </c>
      <c r="G71" s="410">
        <f>'DT trinh GD'!H158</f>
        <v>216417</v>
      </c>
      <c r="H71" s="410">
        <f>'DT trinh GD'!I158</f>
        <v>0</v>
      </c>
      <c r="I71" s="410">
        <f>'DT trinh GD'!J158</f>
        <v>0</v>
      </c>
      <c r="J71" s="410">
        <f>'DT trinh GD'!K158</f>
        <v>0</v>
      </c>
      <c r="K71" s="410">
        <f>'DT trinh GD'!L158</f>
        <v>0</v>
      </c>
      <c r="L71" s="410">
        <f>'DT trinh GD'!M158</f>
        <v>0</v>
      </c>
      <c r="M71" s="410">
        <f>'DT trinh GD'!N158</f>
        <v>0</v>
      </c>
      <c r="N71" s="410">
        <f>'DT trinh GD'!O158</f>
        <v>0</v>
      </c>
      <c r="O71" s="410">
        <f>'DT trinh GD'!P158</f>
        <v>216417</v>
      </c>
      <c r="P71" s="410">
        <f>'DT trinh GD'!Q158</f>
        <v>0</v>
      </c>
      <c r="Q71" s="410">
        <f>'DT trinh GD'!R158</f>
        <v>0</v>
      </c>
      <c r="R71" s="410">
        <f>'DT trinh GD'!S158</f>
        <v>0</v>
      </c>
      <c r="S71" s="410">
        <f>'DT trinh GD'!T158</f>
        <v>0</v>
      </c>
      <c r="T71" s="410">
        <f>'DT trinh GD'!U158</f>
        <v>0</v>
      </c>
      <c r="U71" s="410">
        <f>'DT trinh GD'!V158</f>
        <v>0</v>
      </c>
      <c r="V71" s="410">
        <f>'DT trinh GD'!W158</f>
        <v>0</v>
      </c>
      <c r="W71" s="410">
        <f>'DT trinh GD'!X158</f>
        <v>0</v>
      </c>
      <c r="X71" s="410">
        <f>'DT trinh GD'!Y158</f>
        <v>0</v>
      </c>
      <c r="Y71" s="410"/>
      <c r="Z71" s="410"/>
      <c r="AA71" s="410"/>
      <c r="AB71" s="410"/>
      <c r="AC71" s="410"/>
      <c r="AD71" s="410"/>
      <c r="AE71" s="410">
        <f>'DT trinh GD'!AE158</f>
        <v>0</v>
      </c>
    </row>
    <row r="72" spans="1:31" s="223" customFormat="1" ht="21" customHeight="1">
      <c r="A72" s="400">
        <v>33</v>
      </c>
      <c r="B72" s="411" t="str">
        <f>'DT trinh GD'!B159</f>
        <v>KP đảm bảo trật tự ATGT</v>
      </c>
      <c r="C72" s="410">
        <f t="shared" si="0"/>
        <v>5851</v>
      </c>
      <c r="D72" s="410">
        <f>'DT trinh GD'!E159</f>
        <v>0</v>
      </c>
      <c r="E72" s="410"/>
      <c r="F72" s="410">
        <f>'DT trinh GD'!F159</f>
        <v>0</v>
      </c>
      <c r="G72" s="410">
        <f>'DT trinh GD'!H159</f>
        <v>5851</v>
      </c>
      <c r="H72" s="410">
        <f>'DT trinh GD'!I159</f>
        <v>0</v>
      </c>
      <c r="I72" s="410">
        <f>'DT trinh GD'!J159</f>
        <v>0</v>
      </c>
      <c r="J72" s="410">
        <f>'DT trinh GD'!K159</f>
        <v>0</v>
      </c>
      <c r="K72" s="410">
        <f>'DT trinh GD'!L159</f>
        <v>0</v>
      </c>
      <c r="L72" s="410">
        <f>'DT trinh GD'!M159</f>
        <v>0</v>
      </c>
      <c r="M72" s="410">
        <f>'DT trinh GD'!N159</f>
        <v>0</v>
      </c>
      <c r="N72" s="410">
        <f>'DT trinh GD'!O159</f>
        <v>0</v>
      </c>
      <c r="O72" s="410">
        <f>'DT trinh GD'!P159</f>
        <v>0</v>
      </c>
      <c r="P72" s="410">
        <f>'DT trinh GD'!Q159</f>
        <v>0</v>
      </c>
      <c r="Q72" s="410">
        <f>'DT trinh GD'!R159</f>
        <v>0</v>
      </c>
      <c r="R72" s="410">
        <f>'DT trinh GD'!S159</f>
        <v>0</v>
      </c>
      <c r="S72" s="410">
        <f>'DT trinh GD'!T159</f>
        <v>0</v>
      </c>
      <c r="T72" s="410">
        <f>'DT trinh GD'!U159</f>
        <v>0</v>
      </c>
      <c r="U72" s="410">
        <f>'DT trinh GD'!V159</f>
        <v>0</v>
      </c>
      <c r="V72" s="410">
        <f>'DT trinh GD'!W159</f>
        <v>0</v>
      </c>
      <c r="W72" s="410">
        <f>'DT trinh GD'!X159</f>
        <v>0</v>
      </c>
      <c r="X72" s="410">
        <f>'DT trinh GD'!Y159</f>
        <v>5851</v>
      </c>
      <c r="Y72" s="410"/>
      <c r="Z72" s="410"/>
      <c r="AA72" s="410"/>
      <c r="AB72" s="410"/>
      <c r="AC72" s="410"/>
      <c r="AD72" s="410"/>
      <c r="AE72" s="410">
        <f>'DT trinh GD'!AE159</f>
        <v>0</v>
      </c>
    </row>
    <row r="73" spans="1:31" s="223" customFormat="1" ht="6" hidden="1" customHeight="1">
      <c r="A73" s="400" t="e">
        <f>'DT trinh GD'!#REF!</f>
        <v>#REF!</v>
      </c>
      <c r="B73" s="411" t="e">
        <f>'DT trinh GD'!#REF!</f>
        <v>#REF!</v>
      </c>
      <c r="C73" s="410" t="e">
        <f t="shared" si="0"/>
        <v>#REF!</v>
      </c>
      <c r="D73" s="410" t="e">
        <f>'DT trinh GD'!#REF!</f>
        <v>#REF!</v>
      </c>
      <c r="E73" s="410"/>
      <c r="F73" s="410" t="e">
        <f>'DT trinh GD'!#REF!</f>
        <v>#REF!</v>
      </c>
      <c r="G73" s="410" t="e">
        <f>'DT trinh GD'!#REF!</f>
        <v>#REF!</v>
      </c>
      <c r="H73" s="410" t="e">
        <f>'DT trinh GD'!#REF!</f>
        <v>#REF!</v>
      </c>
      <c r="I73" s="410" t="e">
        <f>'DT trinh GD'!#REF!</f>
        <v>#REF!</v>
      </c>
      <c r="J73" s="410" t="e">
        <f>'DT trinh GD'!#REF!</f>
        <v>#REF!</v>
      </c>
      <c r="K73" s="410" t="e">
        <f>'DT trinh GD'!#REF!</f>
        <v>#REF!</v>
      </c>
      <c r="L73" s="410" t="e">
        <f>'DT trinh GD'!#REF!</f>
        <v>#REF!</v>
      </c>
      <c r="M73" s="410" t="e">
        <f>'DT trinh GD'!#REF!</f>
        <v>#REF!</v>
      </c>
      <c r="N73" s="410" t="e">
        <f>'DT trinh GD'!#REF!</f>
        <v>#REF!</v>
      </c>
      <c r="O73" s="410" t="e">
        <f>'DT trinh GD'!#REF!</f>
        <v>#REF!</v>
      </c>
      <c r="P73" s="410" t="e">
        <f>'DT trinh GD'!#REF!</f>
        <v>#REF!</v>
      </c>
      <c r="Q73" s="410" t="e">
        <f>'DT trinh GD'!#REF!</f>
        <v>#REF!</v>
      </c>
      <c r="R73" s="410" t="e">
        <f>'DT trinh GD'!#REF!</f>
        <v>#REF!</v>
      </c>
      <c r="S73" s="410" t="e">
        <f>'DT trinh GD'!#REF!</f>
        <v>#REF!</v>
      </c>
      <c r="T73" s="410" t="e">
        <f>'DT trinh GD'!#REF!</f>
        <v>#REF!</v>
      </c>
      <c r="U73" s="410" t="e">
        <f>'DT trinh GD'!#REF!</f>
        <v>#REF!</v>
      </c>
      <c r="V73" s="410" t="e">
        <f>'DT trinh GD'!#REF!</f>
        <v>#REF!</v>
      </c>
      <c r="W73" s="410" t="e">
        <f>'DT trinh GD'!#REF!</f>
        <v>#REF!</v>
      </c>
      <c r="X73" s="410" t="e">
        <f>'DT trinh GD'!#REF!</f>
        <v>#REF!</v>
      </c>
      <c r="Y73" s="410"/>
      <c r="Z73" s="410"/>
      <c r="AA73" s="410"/>
      <c r="AB73" s="410"/>
      <c r="AC73" s="410"/>
      <c r="AD73" s="410"/>
      <c r="AE73" s="410" t="e">
        <f>'DT trinh GD'!#REF!</f>
        <v>#REF!</v>
      </c>
    </row>
    <row r="74" spans="1:31" s="223" customFormat="1" ht="18.75" customHeight="1">
      <c r="A74" s="400">
        <v>34</v>
      </c>
      <c r="B74" s="401" t="str">
        <f>'DT trinh GD'!B160</f>
        <v>KP thực hiện các ngày lễ lớn</v>
      </c>
      <c r="C74" s="410">
        <f t="shared" ref="C74:C86" si="1">D74+G74</f>
        <v>20000</v>
      </c>
      <c r="D74" s="410">
        <f>'DT trinh GD'!E160</f>
        <v>0</v>
      </c>
      <c r="E74" s="410"/>
      <c r="F74" s="410">
        <f>'DT trinh GD'!F160</f>
        <v>0</v>
      </c>
      <c r="G74" s="410">
        <f>'DT trinh GD'!H160</f>
        <v>20000</v>
      </c>
      <c r="H74" s="410">
        <f>'DT trinh GD'!I160</f>
        <v>0</v>
      </c>
      <c r="I74" s="410">
        <f>'DT trinh GD'!J160</f>
        <v>0</v>
      </c>
      <c r="J74" s="410">
        <f>'DT trinh GD'!K160</f>
        <v>0</v>
      </c>
      <c r="K74" s="410">
        <f>'DT trinh GD'!L160</f>
        <v>0</v>
      </c>
      <c r="L74" s="410">
        <f>'DT trinh GD'!M160</f>
        <v>0</v>
      </c>
      <c r="M74" s="410">
        <f>'DT trinh GD'!N160</f>
        <v>0</v>
      </c>
      <c r="N74" s="410">
        <f>'DT trinh GD'!O160</f>
        <v>0</v>
      </c>
      <c r="O74" s="410">
        <f>'DT trinh GD'!P160</f>
        <v>0</v>
      </c>
      <c r="P74" s="410">
        <f>'DT trinh GD'!Q160</f>
        <v>0</v>
      </c>
      <c r="Q74" s="410">
        <f>'DT trinh GD'!R160</f>
        <v>0</v>
      </c>
      <c r="R74" s="410">
        <f>'DT trinh GD'!S160</f>
        <v>0</v>
      </c>
      <c r="S74" s="410">
        <f>'DT trinh GD'!T160</f>
        <v>0</v>
      </c>
      <c r="T74" s="410">
        <f>'DT trinh GD'!U160</f>
        <v>0</v>
      </c>
      <c r="U74" s="410">
        <f>'DT trinh GD'!V160</f>
        <v>0</v>
      </c>
      <c r="V74" s="410">
        <f>'DT trinh GD'!W160</f>
        <v>0</v>
      </c>
      <c r="W74" s="410">
        <f>'DT trinh GD'!X160</f>
        <v>0</v>
      </c>
      <c r="X74" s="410">
        <f>'DT trinh GD'!Y160</f>
        <v>0</v>
      </c>
      <c r="Y74" s="410"/>
      <c r="Z74" s="410">
        <f>'DT trinh GD'!AB160</f>
        <v>20000</v>
      </c>
      <c r="AA74" s="410"/>
      <c r="AB74" s="410"/>
      <c r="AC74" s="410"/>
      <c r="AD74" s="412"/>
      <c r="AE74" s="410">
        <f>'DT trinh GD'!AE160</f>
        <v>0</v>
      </c>
    </row>
    <row r="75" spans="1:31" s="223" customFormat="1" ht="18.75" customHeight="1">
      <c r="A75" s="400">
        <v>35</v>
      </c>
      <c r="B75" s="411" t="str">
        <f>'DT trinh GD'!B161</f>
        <v>Quà tết đối tượng chính sách</v>
      </c>
      <c r="C75" s="410">
        <f t="shared" si="1"/>
        <v>5000</v>
      </c>
      <c r="D75" s="410">
        <f>'DT trinh GD'!E161</f>
        <v>0</v>
      </c>
      <c r="E75" s="410"/>
      <c r="F75" s="410">
        <f>'DT trinh GD'!F161</f>
        <v>0</v>
      </c>
      <c r="G75" s="410">
        <f>'DT trinh GD'!H161</f>
        <v>5000</v>
      </c>
      <c r="H75" s="410">
        <f>'DT trinh GD'!I161</f>
        <v>0</v>
      </c>
      <c r="I75" s="410">
        <f>'DT trinh GD'!J161</f>
        <v>0</v>
      </c>
      <c r="J75" s="410">
        <f>'DT trinh GD'!K161</f>
        <v>0</v>
      </c>
      <c r="K75" s="410">
        <f>'DT trinh GD'!L161</f>
        <v>0</v>
      </c>
      <c r="L75" s="410">
        <f>'DT trinh GD'!M161</f>
        <v>0</v>
      </c>
      <c r="M75" s="410">
        <f>'DT trinh GD'!N161</f>
        <v>0</v>
      </c>
      <c r="N75" s="410">
        <f>'DT trinh GD'!O161</f>
        <v>0</v>
      </c>
      <c r="O75" s="410">
        <f>'DT trinh GD'!P161</f>
        <v>0</v>
      </c>
      <c r="P75" s="410">
        <f>'DT trinh GD'!Q161</f>
        <v>0</v>
      </c>
      <c r="Q75" s="410">
        <f>'DT trinh GD'!R161</f>
        <v>0</v>
      </c>
      <c r="R75" s="410">
        <f>'DT trinh GD'!S161</f>
        <v>0</v>
      </c>
      <c r="S75" s="410">
        <f>'DT trinh GD'!T161</f>
        <v>5000</v>
      </c>
      <c r="T75" s="410">
        <f>'DT trinh GD'!U161</f>
        <v>0</v>
      </c>
      <c r="U75" s="410">
        <f>'DT trinh GD'!V161</f>
        <v>0</v>
      </c>
      <c r="V75" s="410">
        <f>'DT trinh GD'!W161</f>
        <v>0</v>
      </c>
      <c r="W75" s="410">
        <f>'DT trinh GD'!X161</f>
        <v>0</v>
      </c>
      <c r="X75" s="410">
        <f>'DT trinh GD'!Y161</f>
        <v>0</v>
      </c>
      <c r="Y75" s="410"/>
      <c r="Z75" s="410"/>
      <c r="AA75" s="410"/>
      <c r="AB75" s="410"/>
      <c r="AC75" s="410"/>
      <c r="AD75" s="410"/>
      <c r="AE75" s="410">
        <f>'DT trinh GD'!AE161</f>
        <v>0</v>
      </c>
    </row>
    <row r="76" spans="1:31" s="223" customFormat="1" ht="28.5" customHeight="1">
      <c r="A76" s="400">
        <v>36</v>
      </c>
      <c r="B76" s="401" t="str">
        <f>'DT trinh GD'!B162</f>
        <v>Các nhiệm vụ về QL tài nguyên, đất, môi trường</v>
      </c>
      <c r="C76" s="410">
        <f t="shared" si="1"/>
        <v>12000</v>
      </c>
      <c r="D76" s="410">
        <f>'DT trinh GD'!E162</f>
        <v>0</v>
      </c>
      <c r="E76" s="410"/>
      <c r="F76" s="410">
        <f>'DT trinh GD'!F162</f>
        <v>0</v>
      </c>
      <c r="G76" s="410">
        <f>'DT trinh GD'!H162</f>
        <v>12000</v>
      </c>
      <c r="H76" s="410">
        <f>'DT trinh GD'!I162</f>
        <v>0</v>
      </c>
      <c r="I76" s="410">
        <f>'DT trinh GD'!J162</f>
        <v>0</v>
      </c>
      <c r="J76" s="410">
        <f>'DT trinh GD'!K162</f>
        <v>0</v>
      </c>
      <c r="K76" s="410">
        <f>'DT trinh GD'!L162</f>
        <v>0</v>
      </c>
      <c r="L76" s="410">
        <f>'DT trinh GD'!M162</f>
        <v>0</v>
      </c>
      <c r="M76" s="410">
        <f>'DT trinh GD'!N162</f>
        <v>0</v>
      </c>
      <c r="N76" s="410">
        <f>'DT trinh GD'!O162</f>
        <v>0</v>
      </c>
      <c r="O76" s="410">
        <f>'DT trinh GD'!P162</f>
        <v>0</v>
      </c>
      <c r="P76" s="410">
        <f>'DT trinh GD'!Q162</f>
        <v>0</v>
      </c>
      <c r="Q76" s="410">
        <f>'DT trinh GD'!R162</f>
        <v>0</v>
      </c>
      <c r="R76" s="410">
        <f>'DT trinh GD'!S162</f>
        <v>0</v>
      </c>
      <c r="S76" s="410">
        <f>'DT trinh GD'!T162</f>
        <v>0</v>
      </c>
      <c r="T76" s="410">
        <f>'DT trinh GD'!U162</f>
        <v>0</v>
      </c>
      <c r="U76" s="410">
        <f>'DT trinh GD'!V162</f>
        <v>0</v>
      </c>
      <c r="V76" s="410">
        <f>'DT trinh GD'!W162</f>
        <v>0</v>
      </c>
      <c r="W76" s="410">
        <f>'DT trinh GD'!X162</f>
        <v>0</v>
      </c>
      <c r="X76" s="410">
        <f>'DT trinh GD'!Y162</f>
        <v>0</v>
      </c>
      <c r="Y76" s="410"/>
      <c r="Z76" s="410"/>
      <c r="AA76" s="410"/>
      <c r="AB76" s="410"/>
      <c r="AC76" s="410"/>
      <c r="AD76" s="410"/>
      <c r="AE76" s="410">
        <f>'DT trinh GD'!AG162</f>
        <v>12000</v>
      </c>
    </row>
    <row r="77" spans="1:31" s="223" customFormat="1" ht="31.5" customHeight="1">
      <c r="A77" s="400">
        <f>'DT trinh GD'!A163</f>
        <v>37</v>
      </c>
      <c r="B77" s="401" t="str">
        <f>'DT trinh GD'!B163</f>
        <v>Ctác quan hệ đối ngoại, lực lượng Bộ đội thường trực của tỉnh tại An Giang</v>
      </c>
      <c r="C77" s="410">
        <f t="shared" si="1"/>
        <v>5000</v>
      </c>
      <c r="D77" s="410">
        <f>'DT trinh GD'!E163</f>
        <v>0</v>
      </c>
      <c r="E77" s="410"/>
      <c r="F77" s="410">
        <f>'DT trinh GD'!F163</f>
        <v>0</v>
      </c>
      <c r="G77" s="410">
        <f>'DT trinh GD'!H163</f>
        <v>5000</v>
      </c>
      <c r="H77" s="410">
        <f>'DT trinh GD'!I163</f>
        <v>0</v>
      </c>
      <c r="I77" s="410">
        <f>'DT trinh GD'!J163</f>
        <v>0</v>
      </c>
      <c r="J77" s="410">
        <f>'DT trinh GD'!K163</f>
        <v>0</v>
      </c>
      <c r="K77" s="410">
        <f>'DT trinh GD'!L163</f>
        <v>0</v>
      </c>
      <c r="L77" s="410">
        <f>'DT trinh GD'!M163</f>
        <v>0</v>
      </c>
      <c r="M77" s="410">
        <f>'DT trinh GD'!N163</f>
        <v>0</v>
      </c>
      <c r="N77" s="410">
        <f>'DT trinh GD'!O163</f>
        <v>0</v>
      </c>
      <c r="O77" s="410">
        <f>'DT trinh GD'!P163</f>
        <v>0</v>
      </c>
      <c r="P77" s="410">
        <f>'DT trinh GD'!Q163</f>
        <v>0</v>
      </c>
      <c r="Q77" s="410">
        <f>'DT trinh GD'!R163</f>
        <v>0</v>
      </c>
      <c r="R77" s="410">
        <f>'DT trinh GD'!S163</f>
        <v>0</v>
      </c>
      <c r="S77" s="410">
        <f>'DT trinh GD'!T163</f>
        <v>0</v>
      </c>
      <c r="T77" s="410">
        <f>'DT trinh GD'!U163</f>
        <v>0</v>
      </c>
      <c r="U77" s="410">
        <f>'DT trinh GD'!V163</f>
        <v>0</v>
      </c>
      <c r="V77" s="410">
        <f>'DT trinh GD'!W163</f>
        <v>5000</v>
      </c>
      <c r="W77" s="410">
        <f>'DT trinh GD'!X163</f>
        <v>0</v>
      </c>
      <c r="X77" s="410">
        <f>'DT trinh GD'!Y163</f>
        <v>0</v>
      </c>
      <c r="Y77" s="410"/>
      <c r="Z77" s="410"/>
      <c r="AA77" s="410"/>
      <c r="AB77" s="410"/>
      <c r="AC77" s="410"/>
      <c r="AD77" s="410"/>
      <c r="AE77" s="410">
        <f>'DT trinh GD'!AE163</f>
        <v>0</v>
      </c>
    </row>
    <row r="78" spans="1:31" s="223" customFormat="1" ht="18.75" customHeight="1">
      <c r="A78" s="400">
        <f>'DT trinh GD'!A164</f>
        <v>38</v>
      </c>
      <c r="B78" s="411" t="str">
        <f>'DT trinh GD'!B164</f>
        <v>Chính sách thu hút đầu tư</v>
      </c>
      <c r="C78" s="410">
        <f t="shared" si="1"/>
        <v>3000</v>
      </c>
      <c r="D78" s="410">
        <f>'DT trinh GD'!E164</f>
        <v>0</v>
      </c>
      <c r="E78" s="410"/>
      <c r="F78" s="410">
        <f>'DT trinh GD'!F164</f>
        <v>0</v>
      </c>
      <c r="G78" s="410">
        <f>'DT trinh GD'!H164</f>
        <v>3000</v>
      </c>
      <c r="H78" s="410">
        <f>'DT trinh GD'!I164</f>
        <v>0</v>
      </c>
      <c r="I78" s="410">
        <f>'DT trinh GD'!J164</f>
        <v>0</v>
      </c>
      <c r="J78" s="410">
        <f>'DT trinh GD'!K164</f>
        <v>0</v>
      </c>
      <c r="K78" s="410">
        <f>'DT trinh GD'!L164</f>
        <v>0</v>
      </c>
      <c r="L78" s="410">
        <f>'DT trinh GD'!M164</f>
        <v>3000</v>
      </c>
      <c r="M78" s="410">
        <f>'DT trinh GD'!N164</f>
        <v>0</v>
      </c>
      <c r="N78" s="410">
        <f>'DT trinh GD'!O164</f>
        <v>0</v>
      </c>
      <c r="O78" s="410">
        <f>'DT trinh GD'!P164</f>
        <v>0</v>
      </c>
      <c r="P78" s="410">
        <f>'DT trinh GD'!Q164</f>
        <v>0</v>
      </c>
      <c r="Q78" s="410">
        <f>'DT trinh GD'!R164</f>
        <v>0</v>
      </c>
      <c r="R78" s="410">
        <f>'DT trinh GD'!S164</f>
        <v>0</v>
      </c>
      <c r="S78" s="410">
        <f>'DT trinh GD'!T164</f>
        <v>0</v>
      </c>
      <c r="T78" s="410">
        <f>'DT trinh GD'!U164</f>
        <v>0</v>
      </c>
      <c r="U78" s="410">
        <f>'DT trinh GD'!V164</f>
        <v>0</v>
      </c>
      <c r="V78" s="410">
        <f>'DT trinh GD'!W164</f>
        <v>0</v>
      </c>
      <c r="W78" s="410">
        <f>'DT trinh GD'!X164</f>
        <v>0</v>
      </c>
      <c r="X78" s="410">
        <f>'DT trinh GD'!Y164</f>
        <v>0</v>
      </c>
      <c r="Y78" s="410"/>
      <c r="Z78" s="410"/>
      <c r="AA78" s="410"/>
      <c r="AB78" s="410"/>
      <c r="AC78" s="410"/>
      <c r="AD78" s="410"/>
      <c r="AE78" s="410">
        <f>'DT trinh GD'!AE164</f>
        <v>0</v>
      </c>
    </row>
    <row r="79" spans="1:31" s="223" customFormat="1" ht="18.75" customHeight="1">
      <c r="A79" s="400">
        <f>'DT trinh GD'!A165</f>
        <v>39</v>
      </c>
      <c r="B79" s="411" t="str">
        <f>'DT trinh GD'!B165</f>
        <v>Hỗ trợ các đơn vị ngành dọc</v>
      </c>
      <c r="C79" s="410">
        <f t="shared" si="1"/>
        <v>500</v>
      </c>
      <c r="D79" s="410">
        <f>'DT trinh GD'!E165</f>
        <v>0</v>
      </c>
      <c r="E79" s="410"/>
      <c r="F79" s="410">
        <f>'DT trinh GD'!F165</f>
        <v>0</v>
      </c>
      <c r="G79" s="410">
        <f>'DT trinh GD'!H165</f>
        <v>500</v>
      </c>
      <c r="H79" s="410">
        <f>'DT trinh GD'!I165</f>
        <v>0</v>
      </c>
      <c r="I79" s="410">
        <f>'DT trinh GD'!J165</f>
        <v>0</v>
      </c>
      <c r="J79" s="410">
        <f>'DT trinh GD'!K165</f>
        <v>0</v>
      </c>
      <c r="K79" s="410">
        <f>'DT trinh GD'!L165</f>
        <v>0</v>
      </c>
      <c r="L79" s="410">
        <f>'DT trinh GD'!M165</f>
        <v>0</v>
      </c>
      <c r="M79" s="410">
        <f>'DT trinh GD'!N165</f>
        <v>0</v>
      </c>
      <c r="N79" s="410">
        <f>'DT trinh GD'!O165</f>
        <v>0</v>
      </c>
      <c r="O79" s="410">
        <f>'DT trinh GD'!P165</f>
        <v>0</v>
      </c>
      <c r="P79" s="410">
        <f>'DT trinh GD'!Q165</f>
        <v>0</v>
      </c>
      <c r="Q79" s="410">
        <f>'DT trinh GD'!R165</f>
        <v>0</v>
      </c>
      <c r="R79" s="410">
        <f>'DT trinh GD'!S165</f>
        <v>0</v>
      </c>
      <c r="S79" s="410">
        <f>'DT trinh GD'!T165</f>
        <v>0</v>
      </c>
      <c r="T79" s="410">
        <f>'DT trinh GD'!U165</f>
        <v>0</v>
      </c>
      <c r="U79" s="410">
        <f>'DT trinh GD'!V165</f>
        <v>0</v>
      </c>
      <c r="V79" s="410">
        <f>'DT trinh GD'!W165</f>
        <v>0</v>
      </c>
      <c r="W79" s="410">
        <f>'DT trinh GD'!X165</f>
        <v>500</v>
      </c>
      <c r="X79" s="410">
        <f>'DT trinh GD'!Y165</f>
        <v>0</v>
      </c>
      <c r="Y79" s="410"/>
      <c r="Z79" s="410"/>
      <c r="AA79" s="410"/>
      <c r="AB79" s="410"/>
      <c r="AC79" s="410"/>
      <c r="AD79" s="410"/>
      <c r="AE79" s="410">
        <f>'DT trinh GD'!AE165</f>
        <v>0</v>
      </c>
    </row>
    <row r="80" spans="1:31" s="223" customFormat="1" ht="18.75" customHeight="1">
      <c r="A80" s="400">
        <f>'DT trinh GD'!A166</f>
        <v>40</v>
      </c>
      <c r="B80" s="411" t="str">
        <f>'DT trinh GD'!B166</f>
        <v>Các DA quyết toán nhưng thiếu vốn</v>
      </c>
      <c r="C80" s="410">
        <f t="shared" si="1"/>
        <v>3000</v>
      </c>
      <c r="D80" s="410">
        <f>'DT trinh GD'!E166</f>
        <v>0</v>
      </c>
      <c r="E80" s="410"/>
      <c r="F80" s="410">
        <f>'DT trinh GD'!F166</f>
        <v>0</v>
      </c>
      <c r="G80" s="410">
        <f>'DT trinh GD'!H166</f>
        <v>3000</v>
      </c>
      <c r="H80" s="410">
        <f>'DT trinh GD'!I166</f>
        <v>0</v>
      </c>
      <c r="I80" s="410">
        <f>'DT trinh GD'!J166</f>
        <v>0</v>
      </c>
      <c r="J80" s="410">
        <f>'DT trinh GD'!K166</f>
        <v>0</v>
      </c>
      <c r="K80" s="410">
        <f>'DT trinh GD'!L166</f>
        <v>3000</v>
      </c>
      <c r="L80" s="410">
        <f>'DT trinh GD'!M166</f>
        <v>0</v>
      </c>
      <c r="M80" s="410">
        <f>'DT trinh GD'!N166</f>
        <v>0</v>
      </c>
      <c r="N80" s="410">
        <f>'DT trinh GD'!O166</f>
        <v>0</v>
      </c>
      <c r="O80" s="410">
        <f>'DT trinh GD'!P166</f>
        <v>0</v>
      </c>
      <c r="P80" s="410">
        <f>'DT trinh GD'!Q166</f>
        <v>0</v>
      </c>
      <c r="Q80" s="410">
        <f>'DT trinh GD'!R166</f>
        <v>0</v>
      </c>
      <c r="R80" s="410">
        <f>'DT trinh GD'!S166</f>
        <v>0</v>
      </c>
      <c r="S80" s="410">
        <f>'DT trinh GD'!T166</f>
        <v>0</v>
      </c>
      <c r="T80" s="410">
        <f>'DT trinh GD'!U166</f>
        <v>0</v>
      </c>
      <c r="U80" s="410">
        <f>'DT trinh GD'!V166</f>
        <v>0</v>
      </c>
      <c r="V80" s="410">
        <f>'DT trinh GD'!W166</f>
        <v>0</v>
      </c>
      <c r="W80" s="410">
        <f>'DT trinh GD'!X166</f>
        <v>0</v>
      </c>
      <c r="X80" s="410">
        <f>'DT trinh GD'!Y166</f>
        <v>0</v>
      </c>
      <c r="Y80" s="410"/>
      <c r="Z80" s="410"/>
      <c r="AA80" s="410"/>
      <c r="AB80" s="410"/>
      <c r="AC80" s="410"/>
      <c r="AD80" s="410"/>
      <c r="AE80" s="410">
        <f>'DT trinh GD'!AE166</f>
        <v>0</v>
      </c>
    </row>
    <row r="81" spans="1:31" s="223" customFormat="1" ht="18.75" customHeight="1">
      <c r="A81" s="400">
        <f>'DT trinh GD'!A166</f>
        <v>40</v>
      </c>
      <c r="B81" s="411" t="str">
        <f>'DT trinh GD'!B166</f>
        <v>Các DA quyết toán nhưng thiếu vốn</v>
      </c>
      <c r="C81" s="410">
        <f t="shared" si="1"/>
        <v>3000</v>
      </c>
      <c r="D81" s="410">
        <f>'DT trinh GD'!E166</f>
        <v>0</v>
      </c>
      <c r="E81" s="410"/>
      <c r="F81" s="410">
        <f>'DT trinh GD'!F166</f>
        <v>0</v>
      </c>
      <c r="G81" s="410">
        <f>'DT trinh GD'!H166</f>
        <v>3000</v>
      </c>
      <c r="H81" s="410">
        <f>'DT trinh GD'!I166</f>
        <v>0</v>
      </c>
      <c r="I81" s="410">
        <f>'DT trinh GD'!J166</f>
        <v>0</v>
      </c>
      <c r="J81" s="410">
        <f>'DT trinh GD'!K166</f>
        <v>0</v>
      </c>
      <c r="K81" s="410">
        <f>'DT trinh GD'!L166</f>
        <v>3000</v>
      </c>
      <c r="L81" s="410">
        <f>'DT trinh GD'!M166</f>
        <v>0</v>
      </c>
      <c r="M81" s="410">
        <f>'DT trinh GD'!N166</f>
        <v>0</v>
      </c>
      <c r="N81" s="410">
        <f>'DT trinh GD'!O166</f>
        <v>0</v>
      </c>
      <c r="O81" s="410">
        <f>'DT trinh GD'!P166</f>
        <v>0</v>
      </c>
      <c r="P81" s="410">
        <f>'DT trinh GD'!Q166</f>
        <v>0</v>
      </c>
      <c r="Q81" s="410">
        <f>'DT trinh GD'!R166</f>
        <v>0</v>
      </c>
      <c r="R81" s="410">
        <f>'DT trinh GD'!S166</f>
        <v>0</v>
      </c>
      <c r="S81" s="410">
        <f>'DT trinh GD'!T166</f>
        <v>0</v>
      </c>
      <c r="T81" s="410">
        <f>'DT trinh GD'!U166</f>
        <v>0</v>
      </c>
      <c r="U81" s="410">
        <f>'DT trinh GD'!V166</f>
        <v>0</v>
      </c>
      <c r="V81" s="410">
        <f>'DT trinh GD'!W166</f>
        <v>0</v>
      </c>
      <c r="W81" s="410">
        <f>'DT trinh GD'!X166</f>
        <v>0</v>
      </c>
      <c r="X81" s="410">
        <f>'DT trinh GD'!Y166</f>
        <v>0</v>
      </c>
      <c r="Y81" s="410"/>
      <c r="Z81" s="410"/>
      <c r="AA81" s="410"/>
      <c r="AB81" s="410"/>
      <c r="AC81" s="410"/>
      <c r="AD81" s="410"/>
      <c r="AE81" s="410">
        <f>'DT trinh GD'!AE166</f>
        <v>0</v>
      </c>
    </row>
    <row r="82" spans="1:31" s="223" customFormat="1" ht="24" customHeight="1">
      <c r="A82" s="400">
        <f>'DT trinh GD'!A167</f>
        <v>41</v>
      </c>
      <c r="B82" s="411" t="str">
        <f>'DT trinh GD'!B167</f>
        <v>KP phục vụ đại hội đảng các cấp nhiệm kỳ 2025-2030</v>
      </c>
      <c r="C82" s="410">
        <f t="shared" si="1"/>
        <v>100000</v>
      </c>
      <c r="D82" s="410">
        <f>'DT trinh GD'!E167</f>
        <v>0</v>
      </c>
      <c r="E82" s="410"/>
      <c r="F82" s="410">
        <f>'DT trinh GD'!F167</f>
        <v>0</v>
      </c>
      <c r="G82" s="410">
        <f>'DT trinh GD'!H167</f>
        <v>100000</v>
      </c>
      <c r="H82" s="410">
        <f>'DT trinh GD'!I167</f>
        <v>0</v>
      </c>
      <c r="I82" s="410">
        <f>'DT trinh GD'!J167</f>
        <v>0</v>
      </c>
      <c r="J82" s="410">
        <f>'DT trinh GD'!K167</f>
        <v>0</v>
      </c>
      <c r="K82" s="410">
        <f>'DT trinh GD'!L167</f>
        <v>0</v>
      </c>
      <c r="L82" s="410">
        <f>'DT trinh GD'!M167</f>
        <v>0</v>
      </c>
      <c r="M82" s="410">
        <f>'DT trinh GD'!N167</f>
        <v>0</v>
      </c>
      <c r="N82" s="410">
        <f>'DT trinh GD'!O167</f>
        <v>0</v>
      </c>
      <c r="O82" s="410">
        <f>'DT trinh GD'!P167</f>
        <v>0</v>
      </c>
      <c r="P82" s="410">
        <f>'DT trinh GD'!Q167</f>
        <v>0</v>
      </c>
      <c r="Q82" s="410">
        <f>'DT trinh GD'!R167</f>
        <v>0</v>
      </c>
      <c r="R82" s="410">
        <f>'DT trinh GD'!S167</f>
        <v>0</v>
      </c>
      <c r="S82" s="410">
        <f>'DT trinh GD'!T167</f>
        <v>0</v>
      </c>
      <c r="T82" s="410">
        <f>'DT trinh GD'!U167</f>
        <v>0</v>
      </c>
      <c r="U82" s="410">
        <f>'DT trinh GD'!V167</f>
        <v>0</v>
      </c>
      <c r="V82" s="410">
        <f>'DT trinh GD'!W167</f>
        <v>0</v>
      </c>
      <c r="W82" s="410">
        <f>'DT trinh GD'!X167</f>
        <v>0</v>
      </c>
      <c r="X82" s="410">
        <f>'DT trinh GD'!Y167</f>
        <v>0</v>
      </c>
      <c r="Y82" s="410"/>
      <c r="Z82" s="410"/>
      <c r="AA82" s="410">
        <f>'DT trinh GD'!AC167</f>
        <v>100000</v>
      </c>
      <c r="AB82" s="410"/>
      <c r="AC82" s="410"/>
      <c r="AD82" s="410"/>
      <c r="AE82" s="410">
        <f>'DT trinh GD'!AE167</f>
        <v>0</v>
      </c>
    </row>
    <row r="83" spans="1:31" s="223" customFormat="1" ht="18" customHeight="1">
      <c r="A83" s="400">
        <f>'DT trinh GD'!A168</f>
        <v>42</v>
      </c>
      <c r="B83" s="411" t="str">
        <f>'DT trinh GD'!B168</f>
        <v xml:space="preserve">Các nhiệm vụ và chính sách </v>
      </c>
      <c r="C83" s="410">
        <f t="shared" si="1"/>
        <v>22878</v>
      </c>
      <c r="D83" s="410">
        <f>'DT trinh GD'!E168</f>
        <v>0</v>
      </c>
      <c r="E83" s="410"/>
      <c r="F83" s="410">
        <f>'DT trinh GD'!F168</f>
        <v>0</v>
      </c>
      <c r="G83" s="410">
        <f>'DT trinh GD'!H168</f>
        <v>22878</v>
      </c>
      <c r="H83" s="410">
        <f>'DT trinh GD'!I168</f>
        <v>0</v>
      </c>
      <c r="I83" s="410">
        <f>'DT trinh GD'!J168</f>
        <v>0</v>
      </c>
      <c r="J83" s="410">
        <f>'DT trinh GD'!K168</f>
        <v>0</v>
      </c>
      <c r="K83" s="410">
        <f>'DT trinh GD'!L168</f>
        <v>0</v>
      </c>
      <c r="L83" s="410">
        <f>'DT trinh GD'!M168</f>
        <v>22878</v>
      </c>
      <c r="M83" s="410">
        <f>'DT trinh GD'!N168</f>
        <v>0</v>
      </c>
      <c r="N83" s="410">
        <f>'DT trinh GD'!O168</f>
        <v>0</v>
      </c>
      <c r="O83" s="410">
        <f>'DT trinh GD'!P168</f>
        <v>0</v>
      </c>
      <c r="P83" s="410">
        <f>'DT trinh GD'!Q168</f>
        <v>0</v>
      </c>
      <c r="Q83" s="410">
        <f>'DT trinh GD'!R168</f>
        <v>0</v>
      </c>
      <c r="R83" s="410">
        <f>'DT trinh GD'!S168</f>
        <v>0</v>
      </c>
      <c r="S83" s="410">
        <f>'DT trinh GD'!T168</f>
        <v>0</v>
      </c>
      <c r="T83" s="410">
        <f>'DT trinh GD'!U168</f>
        <v>0</v>
      </c>
      <c r="U83" s="410">
        <f>'DT trinh GD'!V168</f>
        <v>0</v>
      </c>
      <c r="V83" s="410">
        <f>'DT trinh GD'!W168</f>
        <v>0</v>
      </c>
      <c r="W83" s="410">
        <f>'DT trinh GD'!X168</f>
        <v>0</v>
      </c>
      <c r="X83" s="410">
        <f>'DT trinh GD'!Y168</f>
        <v>0</v>
      </c>
      <c r="Y83" s="410"/>
      <c r="Z83" s="410"/>
      <c r="AA83" s="410"/>
      <c r="AB83" s="410"/>
      <c r="AC83" s="410"/>
      <c r="AD83" s="410"/>
      <c r="AE83" s="410">
        <f>'DT trinh GD'!AE168</f>
        <v>0</v>
      </c>
    </row>
    <row r="84" spans="1:31" s="223" customFormat="1" ht="46.5" customHeight="1">
      <c r="A84" s="400">
        <f>'DT trinh GD'!A169</f>
        <v>43</v>
      </c>
      <c r="B84" s="401" t="str">
        <f>'DT trinh GD'!B169</f>
        <v>KP thực hiện khen thưởng theo Nghị định số 73/2024/NĐ-CP của Chính phủ từ nguồn cải cách tiền lương</v>
      </c>
      <c r="C84" s="410">
        <f t="shared" si="1"/>
        <v>224624</v>
      </c>
      <c r="D84" s="410">
        <f>'DT trinh GD'!E169</f>
        <v>0</v>
      </c>
      <c r="E84" s="410"/>
      <c r="F84" s="410"/>
      <c r="G84" s="410">
        <f>'DT trinh GD'!H169</f>
        <v>224624</v>
      </c>
      <c r="H84" s="410"/>
      <c r="I84" s="410"/>
      <c r="J84" s="410"/>
      <c r="K84" s="410"/>
      <c r="L84" s="410"/>
      <c r="M84" s="410"/>
      <c r="N84" s="410">
        <f>'DT trinh GD'!O169</f>
        <v>54867</v>
      </c>
      <c r="O84" s="410"/>
      <c r="P84" s="410"/>
      <c r="Q84" s="410"/>
      <c r="R84" s="410"/>
      <c r="S84" s="410"/>
      <c r="T84" s="410"/>
      <c r="U84" s="410"/>
      <c r="V84" s="410"/>
      <c r="W84" s="410"/>
      <c r="X84" s="410"/>
      <c r="Y84" s="410"/>
      <c r="Z84" s="410"/>
      <c r="AA84" s="410"/>
      <c r="AB84" s="410">
        <f>'DT trinh GD'!AD169</f>
        <v>169757</v>
      </c>
      <c r="AC84" s="410"/>
      <c r="AD84" s="410"/>
      <c r="AE84" s="410"/>
    </row>
    <row r="85" spans="1:31" s="223" customFormat="1" ht="58.5" customHeight="1">
      <c r="A85" s="400">
        <f>'DT trinh GD'!A170</f>
        <v>44</v>
      </c>
      <c r="B85" s="401" t="str">
        <f>'DT trinh GD'!B170</f>
        <v>KP thực hiện ghi thu, ghi chi tiền thuê đất được nhà đầu tư ứng trước để bồi thường, giải phóng mặt bằng theo phương án được cấp có thẩm quyền phê duyệt</v>
      </c>
      <c r="C85" s="401">
        <f t="shared" si="1"/>
        <v>29000</v>
      </c>
      <c r="D85" s="401">
        <f>'DT trinh GD'!E170</f>
        <v>29000</v>
      </c>
      <c r="E85" s="401">
        <f>'DT trinh GD'!F170</f>
        <v>29000</v>
      </c>
      <c r="F85" s="401">
        <f>'DT trinh GD'!G170</f>
        <v>0</v>
      </c>
      <c r="G85" s="401">
        <f>'DT trinh GD'!H170</f>
        <v>0</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row>
    <row r="86" spans="1:31" s="223" customFormat="1" ht="23.25" customHeight="1">
      <c r="A86" s="400">
        <f>'DT trinh GD'!A171</f>
        <v>45</v>
      </c>
      <c r="B86" s="401" t="str">
        <f>'DT trinh GD'!B171</f>
        <v>KP hỗ trợ doanh nghiệp nhỏ và vừa</v>
      </c>
      <c r="C86" s="401">
        <f t="shared" si="1"/>
        <v>420</v>
      </c>
      <c r="D86" s="401"/>
      <c r="E86" s="401"/>
      <c r="F86" s="401"/>
      <c r="G86" s="401">
        <f>'DT trinh GD'!H171</f>
        <v>420</v>
      </c>
      <c r="H86" s="401"/>
      <c r="I86" s="401"/>
      <c r="J86" s="401"/>
      <c r="K86" s="401"/>
      <c r="L86" s="401"/>
      <c r="M86" s="401"/>
      <c r="N86" s="401"/>
      <c r="O86" s="401"/>
      <c r="P86" s="401"/>
      <c r="Q86" s="401"/>
      <c r="R86" s="401"/>
      <c r="S86" s="401"/>
      <c r="T86" s="401"/>
      <c r="U86" s="401"/>
      <c r="V86" s="401"/>
      <c r="W86" s="401"/>
      <c r="X86" s="401">
        <f>'DT trinh GD'!Y171</f>
        <v>420</v>
      </c>
      <c r="Y86" s="401"/>
      <c r="Z86" s="401"/>
      <c r="AA86" s="401"/>
      <c r="AB86" s="401"/>
      <c r="AC86" s="401"/>
      <c r="AD86" s="401"/>
      <c r="AE86" s="401"/>
    </row>
    <row r="87" spans="1:31" s="223" customFormat="1" ht="47.25" customHeight="1">
      <c r="A87" s="413">
        <v>46</v>
      </c>
      <c r="B87" s="414" t="s">
        <v>298</v>
      </c>
      <c r="C87" s="414">
        <f>D87+G87</f>
        <v>10900</v>
      </c>
      <c r="D87" s="414">
        <f>F87</f>
        <v>0</v>
      </c>
      <c r="E87" s="414"/>
      <c r="F87" s="414"/>
      <c r="G87" s="414">
        <f>'DT trinh GD'!H172</f>
        <v>10900</v>
      </c>
      <c r="H87" s="414"/>
      <c r="I87" s="414"/>
      <c r="J87" s="414"/>
      <c r="K87" s="414"/>
      <c r="L87" s="414"/>
      <c r="M87" s="414"/>
      <c r="N87" s="414"/>
      <c r="O87" s="414"/>
      <c r="P87" s="414"/>
      <c r="Q87" s="414"/>
      <c r="R87" s="414"/>
      <c r="S87" s="414"/>
      <c r="T87" s="414"/>
      <c r="U87" s="414"/>
      <c r="V87" s="414"/>
      <c r="W87" s="414"/>
      <c r="X87" s="414"/>
      <c r="Y87" s="414">
        <f>'DT trinh GD'!AA172</f>
        <v>10900</v>
      </c>
      <c r="Z87" s="414"/>
      <c r="AA87" s="414"/>
      <c r="AB87" s="414"/>
      <c r="AC87" s="414"/>
      <c r="AD87" s="414"/>
      <c r="AE87" s="414"/>
    </row>
    <row r="88" spans="1:31" s="223" customFormat="1" ht="22.5" customHeight="1">
      <c r="A88" s="19">
        <f>'DT trinh GD'!A173</f>
        <v>0</v>
      </c>
      <c r="B88" s="224" t="str">
        <f>'DT trinh GD'!B173</f>
        <v xml:space="preserve">Tổng cộng </v>
      </c>
      <c r="C88" s="225">
        <f>D88+G88</f>
        <v>3033312</v>
      </c>
      <c r="D88" s="225">
        <f>'DT trinh GD'!E173</f>
        <v>29000</v>
      </c>
      <c r="E88" s="225">
        <f>E84+E85</f>
        <v>29000</v>
      </c>
      <c r="F88" s="225">
        <f>'DT trinh GD'!G173</f>
        <v>0</v>
      </c>
      <c r="G88" s="225">
        <f>'DT trinh GD'!H173</f>
        <v>3004312</v>
      </c>
      <c r="H88" s="19">
        <f>'DT trinh GD'!I173</f>
        <v>55997</v>
      </c>
      <c r="I88" s="19">
        <f>'DT trinh GD'!J173</f>
        <v>97283</v>
      </c>
      <c r="J88" s="19">
        <f>'DT trinh GD'!K173</f>
        <v>19728</v>
      </c>
      <c r="K88" s="19">
        <f>'DT trinh GD'!L173</f>
        <v>28497</v>
      </c>
      <c r="L88" s="19">
        <f>'DT trinh GD'!M173</f>
        <v>113896</v>
      </c>
      <c r="M88" s="19">
        <f>'DT trinh GD'!N173</f>
        <v>9026</v>
      </c>
      <c r="N88" s="225">
        <f>'DT trinh GD'!O173</f>
        <v>875054</v>
      </c>
      <c r="O88" s="19">
        <f>'DT trinh GD'!P173</f>
        <v>590834</v>
      </c>
      <c r="P88" s="19">
        <f>'DT trinh GD'!Q173</f>
        <v>59441</v>
      </c>
      <c r="Q88" s="225">
        <f>'DT trinh GD'!R173</f>
        <v>36365</v>
      </c>
      <c r="R88" s="19">
        <f>'DT trinh GD'!S173</f>
        <v>44253</v>
      </c>
      <c r="S88" s="19">
        <f>'DT trinh GD'!T173</f>
        <v>86982</v>
      </c>
      <c r="T88" s="19">
        <f>'DT trinh GD'!U173</f>
        <v>33911</v>
      </c>
      <c r="U88" s="19">
        <f>'DT trinh GD'!V173</f>
        <v>396102</v>
      </c>
      <c r="V88" s="19">
        <f>'DT trinh GD'!W173</f>
        <v>54716</v>
      </c>
      <c r="W88" s="19">
        <f>'DT trinh GD'!X173</f>
        <v>37968</v>
      </c>
      <c r="X88" s="19">
        <f>'DT trinh GD'!Y173</f>
        <v>86009</v>
      </c>
      <c r="Y88" s="19">
        <f>'DT trinh GD'!AA173</f>
        <v>10900</v>
      </c>
      <c r="Z88" s="19">
        <f>'DT trinh GD'!AB173</f>
        <v>20000</v>
      </c>
      <c r="AA88" s="19">
        <f>'DT trinh GD'!AC173</f>
        <v>100000</v>
      </c>
      <c r="AB88" s="19">
        <f>'DT trinh GD'!AD173</f>
        <v>169757</v>
      </c>
      <c r="AC88" s="19">
        <f>'DT trinh GD'!AE173</f>
        <v>59295</v>
      </c>
      <c r="AD88" s="19">
        <f>'DT trinh GD'!AF173</f>
        <v>0</v>
      </c>
      <c r="AE88" s="19">
        <f>'DT trinh GD'!AG173</f>
        <v>18298</v>
      </c>
    </row>
    <row r="89" spans="1:31" ht="18.75" hidden="1" customHeight="1"/>
    <row r="90" spans="1:31" s="27" customFormat="1" ht="18" hidden="1" customHeight="1">
      <c r="A90" s="226"/>
      <c r="B90" s="91" t="s">
        <v>291</v>
      </c>
      <c r="C90" s="227"/>
    </row>
    <row r="91" spans="1:31" s="27" customFormat="1" ht="18" hidden="1" customHeight="1">
      <c r="A91" s="226"/>
      <c r="C91" s="227"/>
    </row>
    <row r="92" spans="1:31" s="27" customFormat="1" ht="18" customHeight="1">
      <c r="A92" s="226"/>
      <c r="C92" s="227"/>
    </row>
    <row r="93" spans="1:31" ht="18" customHeight="1"/>
    <row r="98" spans="1:3">
      <c r="A98" s="20"/>
      <c r="C98" s="20"/>
    </row>
    <row r="99" spans="1:3">
      <c r="A99" s="20"/>
      <c r="C99" s="20"/>
    </row>
    <row r="100" spans="1:3">
      <c r="A100" s="20"/>
      <c r="C100" s="20"/>
    </row>
    <row r="101" spans="1:3">
      <c r="A101" s="20"/>
      <c r="C101" s="20"/>
    </row>
    <row r="102" spans="1:3">
      <c r="A102" s="20"/>
      <c r="C102" s="20"/>
    </row>
    <row r="103" spans="1:3">
      <c r="A103" s="20"/>
      <c r="C103" s="20"/>
    </row>
    <row r="104" spans="1:3">
      <c r="A104" s="20"/>
      <c r="C104" s="20"/>
    </row>
    <row r="105" spans="1:3">
      <c r="A105" s="20"/>
      <c r="C105" s="20"/>
    </row>
    <row r="106" spans="1:3">
      <c r="A106" s="20"/>
      <c r="C106" s="20"/>
    </row>
    <row r="107" spans="1:3">
      <c r="A107" s="20"/>
      <c r="C107" s="20"/>
    </row>
    <row r="108" spans="1:3">
      <c r="A108" s="20"/>
      <c r="C108" s="20"/>
    </row>
    <row r="109" spans="1:3">
      <c r="A109" s="20"/>
      <c r="C109" s="20"/>
    </row>
    <row r="110" spans="1:3">
      <c r="A110" s="20"/>
      <c r="C110" s="20"/>
    </row>
    <row r="111" spans="1:3">
      <c r="A111" s="20"/>
      <c r="C111" s="20"/>
    </row>
    <row r="112" spans="1:3">
      <c r="A112" s="20"/>
      <c r="C112" s="20"/>
    </row>
    <row r="113" spans="1:3">
      <c r="A113" s="20"/>
      <c r="C113" s="20"/>
    </row>
    <row r="114" spans="1:3">
      <c r="A114" s="20"/>
      <c r="C114" s="20"/>
    </row>
    <row r="115" spans="1:3">
      <c r="A115" s="20"/>
      <c r="C115" s="20"/>
    </row>
    <row r="116" spans="1:3">
      <c r="A116" s="20"/>
      <c r="C116" s="20"/>
    </row>
    <row r="117" spans="1:3">
      <c r="A117" s="20"/>
      <c r="C117" s="20"/>
    </row>
    <row r="118" spans="1:3">
      <c r="A118" s="20"/>
      <c r="C118" s="20"/>
    </row>
    <row r="119" spans="1:3">
      <c r="A119" s="20"/>
      <c r="C119" s="20"/>
    </row>
    <row r="120" spans="1:3">
      <c r="A120" s="20"/>
      <c r="C120" s="20"/>
    </row>
    <row r="121" spans="1:3">
      <c r="A121" s="20"/>
      <c r="C121" s="20"/>
    </row>
    <row r="122" spans="1:3">
      <c r="A122" s="20"/>
      <c r="C122" s="20"/>
    </row>
    <row r="123" spans="1:3">
      <c r="A123" s="20"/>
      <c r="C123" s="20"/>
    </row>
    <row r="124" spans="1:3">
      <c r="A124" s="20"/>
      <c r="C124" s="20"/>
    </row>
    <row r="125" spans="1:3">
      <c r="A125" s="20"/>
      <c r="C125" s="20"/>
    </row>
    <row r="126" spans="1:3">
      <c r="A126" s="20"/>
      <c r="C126" s="20"/>
    </row>
    <row r="127" spans="1:3">
      <c r="A127" s="20"/>
      <c r="C127" s="20"/>
    </row>
    <row r="128" spans="1:3">
      <c r="A128" s="20"/>
      <c r="C128" s="20"/>
    </row>
    <row r="129" spans="1:3">
      <c r="A129" s="20"/>
      <c r="C129" s="20"/>
    </row>
    <row r="130" spans="1:3">
      <c r="A130" s="20"/>
      <c r="C130" s="20"/>
    </row>
    <row r="131" spans="1:3">
      <c r="A131" s="20"/>
      <c r="C131" s="20"/>
    </row>
    <row r="132" spans="1:3">
      <c r="A132" s="20"/>
      <c r="C132" s="20"/>
    </row>
    <row r="133" spans="1:3">
      <c r="A133" s="20"/>
      <c r="C133" s="20"/>
    </row>
    <row r="134" spans="1:3">
      <c r="A134" s="20"/>
      <c r="C134" s="20"/>
    </row>
    <row r="135" spans="1:3">
      <c r="A135" s="20"/>
      <c r="C135" s="20"/>
    </row>
    <row r="136" spans="1:3">
      <c r="A136" s="20"/>
      <c r="C136" s="20"/>
    </row>
    <row r="137" spans="1:3">
      <c r="A137" s="20"/>
      <c r="C137" s="20"/>
    </row>
    <row r="138" spans="1:3">
      <c r="A138" s="20"/>
      <c r="C138" s="20"/>
    </row>
    <row r="139" spans="1:3">
      <c r="A139" s="20"/>
      <c r="C139" s="20"/>
    </row>
    <row r="140" spans="1:3">
      <c r="A140" s="20"/>
      <c r="C140" s="20"/>
    </row>
    <row r="141" spans="1:3">
      <c r="A141" s="20"/>
      <c r="C141" s="20"/>
    </row>
    <row r="142" spans="1:3">
      <c r="A142" s="20"/>
      <c r="C142" s="20"/>
    </row>
    <row r="143" spans="1:3">
      <c r="A143" s="20"/>
      <c r="C143" s="20"/>
    </row>
    <row r="144" spans="1:3">
      <c r="A144" s="20"/>
      <c r="C144" s="20"/>
    </row>
    <row r="145" spans="1:3">
      <c r="A145" s="20"/>
      <c r="C145" s="20"/>
    </row>
    <row r="146" spans="1:3">
      <c r="A146" s="20"/>
      <c r="C146" s="20"/>
    </row>
    <row r="147" spans="1:3">
      <c r="A147" s="20"/>
      <c r="C147" s="20"/>
    </row>
    <row r="148" spans="1:3">
      <c r="A148" s="20"/>
      <c r="C148" s="20"/>
    </row>
    <row r="149" spans="1:3">
      <c r="A149" s="20"/>
      <c r="C149" s="20"/>
    </row>
    <row r="150" spans="1:3">
      <c r="A150" s="20"/>
      <c r="C150" s="20"/>
    </row>
    <row r="151" spans="1:3">
      <c r="A151" s="20"/>
      <c r="C151" s="20"/>
    </row>
    <row r="152" spans="1:3">
      <c r="A152" s="20"/>
      <c r="C152" s="20"/>
    </row>
    <row r="153" spans="1:3">
      <c r="A153" s="20"/>
      <c r="C153" s="20"/>
    </row>
    <row r="154" spans="1:3">
      <c r="A154" s="20"/>
      <c r="C154" s="20"/>
    </row>
    <row r="155" spans="1:3">
      <c r="A155" s="20"/>
      <c r="C155" s="20"/>
    </row>
    <row r="156" spans="1:3">
      <c r="A156" s="20"/>
      <c r="C156" s="20"/>
    </row>
    <row r="157" spans="1:3">
      <c r="A157" s="20"/>
      <c r="C157" s="20"/>
    </row>
    <row r="158" spans="1:3">
      <c r="A158" s="20"/>
      <c r="C158" s="20"/>
    </row>
    <row r="159" spans="1:3">
      <c r="A159" s="20"/>
      <c r="C159" s="20"/>
    </row>
    <row r="160" spans="1:3">
      <c r="A160" s="20"/>
      <c r="C160" s="20"/>
    </row>
    <row r="161" spans="1:3">
      <c r="A161" s="20"/>
      <c r="C161" s="20"/>
    </row>
    <row r="162" spans="1:3">
      <c r="A162" s="20"/>
      <c r="C162" s="20"/>
    </row>
    <row r="163" spans="1:3">
      <c r="A163" s="20"/>
      <c r="C163" s="20"/>
    </row>
    <row r="164" spans="1:3">
      <c r="A164" s="20"/>
      <c r="C164" s="20"/>
    </row>
    <row r="165" spans="1:3">
      <c r="A165" s="20"/>
      <c r="C165" s="20"/>
    </row>
    <row r="166" spans="1:3">
      <c r="A166" s="20"/>
      <c r="C166" s="20"/>
    </row>
    <row r="167" spans="1:3">
      <c r="A167" s="20"/>
      <c r="C167" s="20"/>
    </row>
    <row r="168" spans="1:3">
      <c r="A168" s="20"/>
      <c r="C168" s="20"/>
    </row>
    <row r="169" spans="1:3">
      <c r="A169" s="20"/>
      <c r="C169" s="20"/>
    </row>
    <row r="170" spans="1:3">
      <c r="A170" s="20"/>
      <c r="C170" s="20"/>
    </row>
    <row r="171" spans="1:3">
      <c r="A171" s="20"/>
      <c r="C171" s="20"/>
    </row>
    <row r="172" spans="1:3">
      <c r="A172" s="20"/>
      <c r="C172" s="20"/>
    </row>
    <row r="173" spans="1:3">
      <c r="A173" s="20"/>
      <c r="C173" s="20"/>
    </row>
    <row r="174" spans="1:3">
      <c r="A174" s="20"/>
      <c r="C174" s="20"/>
    </row>
    <row r="175" spans="1:3">
      <c r="A175" s="20"/>
      <c r="C175" s="20"/>
    </row>
    <row r="176" spans="1:3">
      <c r="A176" s="20"/>
      <c r="C176" s="20"/>
    </row>
    <row r="177" spans="1:3">
      <c r="A177" s="20"/>
      <c r="C177" s="20"/>
    </row>
    <row r="178" spans="1:3">
      <c r="A178" s="20"/>
      <c r="C178" s="20"/>
    </row>
    <row r="179" spans="1:3">
      <c r="A179" s="20"/>
      <c r="C179" s="20"/>
    </row>
    <row r="180" spans="1:3">
      <c r="A180" s="20"/>
      <c r="C180" s="20"/>
    </row>
    <row r="181" spans="1:3">
      <c r="A181" s="20"/>
      <c r="C181" s="20"/>
    </row>
    <row r="182" spans="1:3">
      <c r="A182" s="20"/>
      <c r="C182" s="20"/>
    </row>
    <row r="183" spans="1:3">
      <c r="A183" s="20"/>
      <c r="C183" s="20"/>
    </row>
    <row r="184" spans="1:3">
      <c r="A184" s="20"/>
      <c r="C184" s="20"/>
    </row>
    <row r="185" spans="1:3">
      <c r="A185" s="20"/>
      <c r="C185" s="20"/>
    </row>
    <row r="186" spans="1:3">
      <c r="A186" s="20"/>
      <c r="C186" s="20"/>
    </row>
    <row r="187" spans="1:3">
      <c r="A187" s="20"/>
      <c r="C187" s="20"/>
    </row>
    <row r="188" spans="1:3">
      <c r="A188" s="20"/>
      <c r="C188" s="20"/>
    </row>
    <row r="189" spans="1:3">
      <c r="A189" s="20"/>
      <c r="C189" s="20"/>
    </row>
    <row r="190" spans="1:3">
      <c r="A190" s="20"/>
      <c r="C190" s="20"/>
    </row>
    <row r="191" spans="1:3">
      <c r="A191" s="20"/>
      <c r="C191" s="20"/>
    </row>
    <row r="192" spans="1:3">
      <c r="A192" s="20"/>
      <c r="C192" s="20"/>
    </row>
    <row r="193" spans="1:3">
      <c r="A193" s="20"/>
      <c r="C193" s="20"/>
    </row>
    <row r="194" spans="1:3">
      <c r="A194" s="20"/>
      <c r="C194" s="20"/>
    </row>
    <row r="195" spans="1:3">
      <c r="A195" s="20"/>
      <c r="C195" s="20"/>
    </row>
    <row r="196" spans="1:3">
      <c r="A196" s="20"/>
      <c r="C196" s="20"/>
    </row>
    <row r="197" spans="1:3">
      <c r="A197" s="20"/>
      <c r="C197" s="20"/>
    </row>
    <row r="198" spans="1:3">
      <c r="A198" s="20"/>
      <c r="C198" s="20"/>
    </row>
    <row r="199" spans="1:3">
      <c r="A199" s="20"/>
      <c r="C199" s="20"/>
    </row>
    <row r="200" spans="1:3">
      <c r="A200" s="20"/>
      <c r="C200" s="20"/>
    </row>
    <row r="201" spans="1:3">
      <c r="A201" s="20"/>
      <c r="C201" s="20"/>
    </row>
    <row r="202" spans="1:3">
      <c r="A202" s="20"/>
      <c r="C202" s="20"/>
    </row>
    <row r="203" spans="1:3">
      <c r="A203" s="20"/>
      <c r="C203" s="20"/>
    </row>
    <row r="204" spans="1:3">
      <c r="A204" s="20"/>
      <c r="C204" s="20"/>
    </row>
    <row r="205" spans="1:3">
      <c r="A205" s="20"/>
      <c r="C205" s="20"/>
    </row>
    <row r="206" spans="1:3">
      <c r="A206" s="20"/>
      <c r="C206" s="20"/>
    </row>
    <row r="207" spans="1:3">
      <c r="A207" s="20"/>
      <c r="C207" s="20"/>
    </row>
    <row r="208" spans="1:3">
      <c r="A208" s="20"/>
      <c r="C208" s="20"/>
    </row>
    <row r="209" spans="1:3">
      <c r="A209" s="20"/>
      <c r="C209" s="20"/>
    </row>
    <row r="210" spans="1:3">
      <c r="A210" s="20"/>
      <c r="C210" s="20"/>
    </row>
    <row r="211" spans="1:3">
      <c r="A211" s="20"/>
      <c r="C211" s="20"/>
    </row>
    <row r="212" spans="1:3">
      <c r="A212" s="20"/>
      <c r="C212" s="20"/>
    </row>
    <row r="213" spans="1:3">
      <c r="A213" s="20"/>
      <c r="C213" s="20"/>
    </row>
    <row r="214" spans="1:3">
      <c r="A214" s="20"/>
      <c r="C214" s="20"/>
    </row>
    <row r="215" spans="1:3">
      <c r="A215" s="20"/>
      <c r="C215" s="20"/>
    </row>
    <row r="216" spans="1:3">
      <c r="A216" s="20"/>
      <c r="C216" s="20"/>
    </row>
    <row r="217" spans="1:3">
      <c r="A217" s="20"/>
      <c r="C217" s="20"/>
    </row>
    <row r="218" spans="1:3">
      <c r="A218" s="20"/>
      <c r="C218" s="20"/>
    </row>
    <row r="219" spans="1:3">
      <c r="A219" s="20"/>
      <c r="C219" s="20"/>
    </row>
    <row r="220" spans="1:3">
      <c r="A220" s="20"/>
      <c r="C220" s="20"/>
    </row>
    <row r="221" spans="1:3">
      <c r="A221" s="20"/>
      <c r="C221" s="20"/>
    </row>
    <row r="222" spans="1:3">
      <c r="A222" s="20"/>
      <c r="C222" s="20"/>
    </row>
    <row r="223" spans="1:3">
      <c r="A223" s="20"/>
      <c r="C223" s="20"/>
    </row>
    <row r="224" spans="1:3">
      <c r="A224" s="20"/>
      <c r="C224" s="20"/>
    </row>
    <row r="225" spans="1:3">
      <c r="A225" s="20"/>
      <c r="C225" s="20"/>
    </row>
    <row r="226" spans="1:3">
      <c r="A226" s="20"/>
      <c r="C226" s="20"/>
    </row>
    <row r="227" spans="1:3">
      <c r="A227" s="20"/>
      <c r="C227" s="20"/>
    </row>
    <row r="228" spans="1:3">
      <c r="A228" s="20"/>
      <c r="C228" s="20"/>
    </row>
    <row r="229" spans="1:3">
      <c r="A229" s="20"/>
      <c r="C229" s="20"/>
    </row>
    <row r="230" spans="1:3">
      <c r="A230" s="20"/>
      <c r="C230" s="20"/>
    </row>
    <row r="231" spans="1:3">
      <c r="A231" s="20"/>
      <c r="C231" s="20"/>
    </row>
    <row r="232" spans="1:3">
      <c r="A232" s="20"/>
      <c r="C232" s="20"/>
    </row>
    <row r="233" spans="1:3">
      <c r="A233" s="20"/>
      <c r="C233" s="20"/>
    </row>
    <row r="234" spans="1:3">
      <c r="A234" s="20"/>
      <c r="C234" s="20"/>
    </row>
    <row r="239" spans="1:3">
      <c r="A239" s="20"/>
      <c r="C239" s="20"/>
    </row>
    <row r="240" spans="1:3">
      <c r="A240" s="20"/>
      <c r="C240" s="20"/>
    </row>
  </sheetData>
  <mergeCells count="39">
    <mergeCell ref="A3:AE3"/>
    <mergeCell ref="AE5:AE8"/>
    <mergeCell ref="L6:L8"/>
    <mergeCell ref="N6:N8"/>
    <mergeCell ref="O6:O8"/>
    <mergeCell ref="P6:P8"/>
    <mergeCell ref="Z5:Z8"/>
    <mergeCell ref="AA5:AA8"/>
    <mergeCell ref="X5:X8"/>
    <mergeCell ref="Q6:Q8"/>
    <mergeCell ref="R6:R8"/>
    <mergeCell ref="S6:S8"/>
    <mergeCell ref="U5:U8"/>
    <mergeCell ref="T6:T8"/>
    <mergeCell ref="AD5:AD8"/>
    <mergeCell ref="Y5:Y8"/>
    <mergeCell ref="B4:O4"/>
    <mergeCell ref="D6:D8"/>
    <mergeCell ref="E6:E8"/>
    <mergeCell ref="F6:F8"/>
    <mergeCell ref="H6:H8"/>
    <mergeCell ref="K6:K8"/>
    <mergeCell ref="C5:C8"/>
    <mergeCell ref="X1:AE1"/>
    <mergeCell ref="A2:AE2"/>
    <mergeCell ref="T4:AE4"/>
    <mergeCell ref="A5:A8"/>
    <mergeCell ref="B5:B8"/>
    <mergeCell ref="D5:F5"/>
    <mergeCell ref="G5:G8"/>
    <mergeCell ref="H5:L5"/>
    <mergeCell ref="M5:M8"/>
    <mergeCell ref="N5:T5"/>
    <mergeCell ref="I6:I8"/>
    <mergeCell ref="J6:J8"/>
    <mergeCell ref="V5:V8"/>
    <mergeCell ref="W5:W8"/>
    <mergeCell ref="AB5:AB8"/>
    <mergeCell ref="AC5:AC8"/>
  </mergeCells>
  <printOptions horizontalCentered="1"/>
  <pageMargins left="0" right="0" top="0.59055118110236227" bottom="0.59055118110236227" header="0" footer="0"/>
  <pageSetup paperSize="9" scale="90" fitToHeight="0" orientation="landscape" r:id="rId1"/>
  <headerFooter differentFirst="1">
    <oddHeader>&amp;C&amp;"Times New Roman,Regular"&amp;P</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8:D9"/>
  <sheetViews>
    <sheetView workbookViewId="0">
      <selection activeCell="A217" sqref="A217:B217"/>
    </sheetView>
  </sheetViews>
  <sheetFormatPr defaultRowHeight="15"/>
  <cols>
    <col min="4" max="4" width="19.90625" customWidth="1"/>
  </cols>
  <sheetData>
    <row r="8" spans="4:4">
      <c r="D8" s="14"/>
    </row>
    <row r="9" spans="4:4">
      <c r="D9" s="14"/>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E240"/>
  <sheetViews>
    <sheetView showZeros="0" zoomScaleNormal="100" zoomScaleSheetLayoutView="100" workbookViewId="0">
      <selection activeCell="A3" sqref="A3:AE3"/>
    </sheetView>
  </sheetViews>
  <sheetFormatPr defaultColWidth="8.90625" defaultRowHeight="8.4"/>
  <cols>
    <col min="1" max="1" width="1.81640625" style="220" customWidth="1"/>
    <col min="2" max="2" width="15.1796875" style="20" customWidth="1"/>
    <col min="3" max="3" width="5.1796875" style="221" customWidth="1"/>
    <col min="4" max="4" width="5.1796875" style="20" bestFit="1" customWidth="1"/>
    <col min="5" max="5" width="5.6328125" style="20" customWidth="1"/>
    <col min="6" max="6" width="6.90625" style="20" hidden="1" customWidth="1"/>
    <col min="7" max="7" width="8.36328125" style="20" bestFit="1" customWidth="1"/>
    <col min="8" max="8" width="4.90625" style="20" customWidth="1"/>
    <col min="9" max="9" width="4.36328125" style="20" customWidth="1"/>
    <col min="10" max="10" width="3.81640625" style="20" customWidth="1"/>
    <col min="11" max="11" width="3.6328125" style="20" customWidth="1"/>
    <col min="12" max="12" width="4.1796875" style="20" customWidth="1"/>
    <col min="13" max="13" width="3.54296875" style="20" customWidth="1"/>
    <col min="14" max="14" width="5.36328125" style="20" customWidth="1"/>
    <col min="15" max="15" width="5.1796875" style="20" customWidth="1"/>
    <col min="16" max="16" width="3.90625" style="20" customWidth="1"/>
    <col min="17" max="17" width="4.81640625" style="20" customWidth="1"/>
    <col min="18" max="18" width="4" style="20" customWidth="1"/>
    <col min="19" max="19" width="4.453125" style="20" customWidth="1"/>
    <col min="20" max="20" width="3.6328125" style="20" customWidth="1"/>
    <col min="21" max="21" width="4.1796875" style="20" customWidth="1"/>
    <col min="22" max="22" width="5" style="20" bestFit="1" customWidth="1"/>
    <col min="23" max="23" width="3.90625" style="20" customWidth="1"/>
    <col min="24" max="24" width="3.81640625" style="20" customWidth="1"/>
    <col min="25" max="25" width="4.90625" style="20" customWidth="1"/>
    <col min="26" max="26" width="4.08984375" style="20" customWidth="1"/>
    <col min="27" max="27" width="4.36328125" style="20" customWidth="1"/>
    <col min="28" max="28" width="5.1796875" style="20" customWidth="1"/>
    <col min="29" max="29" width="4.81640625" style="20" customWidth="1"/>
    <col min="30" max="30" width="4.453125" style="20" hidden="1" customWidth="1"/>
    <col min="31" max="31" width="5" style="20" bestFit="1" customWidth="1"/>
    <col min="32" max="16384" width="8.90625" style="20"/>
  </cols>
  <sheetData>
    <row r="1" spans="1:31" s="452" customFormat="1" ht="16.8">
      <c r="A1" s="451"/>
      <c r="C1" s="453"/>
      <c r="X1" s="630" t="s">
        <v>304</v>
      </c>
      <c r="Y1" s="630"/>
      <c r="Z1" s="630"/>
      <c r="AA1" s="630"/>
      <c r="AB1" s="630"/>
      <c r="AC1" s="630"/>
      <c r="AD1" s="630"/>
      <c r="AE1" s="630"/>
    </row>
    <row r="2" spans="1:31" s="452" customFormat="1" ht="16.8">
      <c r="A2" s="631" t="s">
        <v>297</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row>
    <row r="3" spans="1:31" s="452" customFormat="1" ht="21" customHeight="1">
      <c r="A3" s="632" t="str">
        <f>'Bieu so 01'!A3:C3</f>
        <v>(Kèm theo Quyết định số 2603/QĐ-UBND ngày 16/12/2024 của Ủy ban nhân dân tỉnh)</v>
      </c>
      <c r="B3" s="632"/>
      <c r="C3" s="632"/>
      <c r="D3" s="632"/>
      <c r="E3" s="632"/>
      <c r="F3" s="632"/>
      <c r="G3" s="632"/>
      <c r="H3" s="632"/>
      <c r="I3" s="632"/>
      <c r="J3" s="632"/>
      <c r="K3" s="632"/>
      <c r="L3" s="632"/>
      <c r="M3" s="632"/>
      <c r="N3" s="632"/>
      <c r="O3" s="632"/>
      <c r="P3" s="632"/>
      <c r="Q3" s="632"/>
      <c r="R3" s="632"/>
      <c r="S3" s="632"/>
      <c r="T3" s="632"/>
      <c r="U3" s="632"/>
      <c r="V3" s="632"/>
      <c r="W3" s="632"/>
      <c r="X3" s="632"/>
      <c r="Y3" s="632"/>
      <c r="Z3" s="632"/>
      <c r="AA3" s="632"/>
      <c r="AB3" s="632"/>
      <c r="AC3" s="632"/>
      <c r="AD3" s="632"/>
      <c r="AE3" s="632"/>
    </row>
    <row r="4" spans="1:31" s="452" customFormat="1" ht="31.5" customHeight="1">
      <c r="A4" s="454"/>
      <c r="B4" s="633"/>
      <c r="C4" s="633"/>
      <c r="D4" s="633"/>
      <c r="E4" s="633"/>
      <c r="F4" s="633"/>
      <c r="G4" s="633"/>
      <c r="H4" s="633"/>
      <c r="I4" s="633"/>
      <c r="J4" s="633"/>
      <c r="K4" s="633"/>
      <c r="L4" s="633"/>
      <c r="M4" s="633"/>
      <c r="N4" s="633"/>
      <c r="O4" s="633"/>
      <c r="P4" s="454"/>
      <c r="Q4" s="454"/>
      <c r="R4" s="454"/>
      <c r="S4" s="454"/>
      <c r="T4" s="634" t="s">
        <v>306</v>
      </c>
      <c r="U4" s="634"/>
      <c r="V4" s="634"/>
      <c r="W4" s="634"/>
      <c r="X4" s="634"/>
      <c r="Y4" s="634"/>
      <c r="Z4" s="634"/>
      <c r="AA4" s="634"/>
      <c r="AB4" s="634"/>
      <c r="AC4" s="634"/>
      <c r="AD4" s="634"/>
      <c r="AE4" s="634"/>
    </row>
    <row r="5" spans="1:31" ht="36" customHeight="1">
      <c r="A5" s="604" t="s">
        <v>89</v>
      </c>
      <c r="B5" s="604" t="s">
        <v>28</v>
      </c>
      <c r="C5" s="604" t="s">
        <v>29</v>
      </c>
      <c r="D5" s="627" t="s">
        <v>36</v>
      </c>
      <c r="E5" s="628"/>
      <c r="F5" s="628"/>
      <c r="G5" s="604" t="s">
        <v>160</v>
      </c>
      <c r="H5" s="635" t="s">
        <v>30</v>
      </c>
      <c r="I5" s="636"/>
      <c r="J5" s="636"/>
      <c r="K5" s="636"/>
      <c r="L5" s="637"/>
      <c r="M5" s="604" t="s">
        <v>27</v>
      </c>
      <c r="N5" s="635" t="s">
        <v>31</v>
      </c>
      <c r="O5" s="636"/>
      <c r="P5" s="636"/>
      <c r="Q5" s="636"/>
      <c r="R5" s="636"/>
      <c r="S5" s="636"/>
      <c r="T5" s="637"/>
      <c r="U5" s="604" t="s">
        <v>0</v>
      </c>
      <c r="V5" s="604" t="s">
        <v>32</v>
      </c>
      <c r="W5" s="604" t="s">
        <v>33</v>
      </c>
      <c r="X5" s="604" t="s">
        <v>26</v>
      </c>
      <c r="Y5" s="617" t="s">
        <v>298</v>
      </c>
      <c r="Z5" s="604" t="s">
        <v>282</v>
      </c>
      <c r="AA5" s="604" t="str">
        <f>'[3]DT trinh GD'!B167</f>
        <v>KP phục vụ đại hội đảng các cấp nhiệm kỳ 2025-2030</v>
      </c>
      <c r="AB5" s="617" t="s">
        <v>284</v>
      </c>
      <c r="AC5" s="604" t="s">
        <v>303</v>
      </c>
      <c r="AD5" s="604"/>
      <c r="AE5" s="604" t="s">
        <v>85</v>
      </c>
    </row>
    <row r="6" spans="1:31" ht="12.75" customHeight="1">
      <c r="A6" s="625"/>
      <c r="B6" s="625"/>
      <c r="C6" s="625"/>
      <c r="D6" s="625" t="s">
        <v>37</v>
      </c>
      <c r="E6" s="629" t="s">
        <v>96</v>
      </c>
      <c r="F6" s="629" t="s">
        <v>161</v>
      </c>
      <c r="G6" s="625"/>
      <c r="H6" s="604" t="s">
        <v>1</v>
      </c>
      <c r="I6" s="604" t="s">
        <v>2</v>
      </c>
      <c r="J6" s="604" t="s">
        <v>3</v>
      </c>
      <c r="K6" s="604" t="s">
        <v>4</v>
      </c>
      <c r="L6" s="604" t="s">
        <v>86</v>
      </c>
      <c r="M6" s="615"/>
      <c r="N6" s="604" t="s">
        <v>88</v>
      </c>
      <c r="O6" s="604" t="s">
        <v>34</v>
      </c>
      <c r="P6" s="604" t="s">
        <v>5</v>
      </c>
      <c r="Q6" s="604" t="s">
        <v>23</v>
      </c>
      <c r="R6" s="604" t="s">
        <v>6</v>
      </c>
      <c r="S6" s="604" t="s">
        <v>7</v>
      </c>
      <c r="T6" s="604" t="s">
        <v>8</v>
      </c>
      <c r="U6" s="625"/>
      <c r="V6" s="625"/>
      <c r="W6" s="625"/>
      <c r="X6" s="625"/>
      <c r="Y6" s="618"/>
      <c r="Z6" s="625"/>
      <c r="AA6" s="625"/>
      <c r="AB6" s="618"/>
      <c r="AC6" s="625"/>
      <c r="AD6" s="625"/>
      <c r="AE6" s="625"/>
    </row>
    <row r="7" spans="1:31" ht="32.25" customHeight="1">
      <c r="A7" s="625"/>
      <c r="B7" s="625"/>
      <c r="C7" s="625"/>
      <c r="D7" s="625"/>
      <c r="E7" s="625"/>
      <c r="F7" s="625"/>
      <c r="G7" s="625"/>
      <c r="H7" s="625"/>
      <c r="I7" s="625"/>
      <c r="J7" s="625"/>
      <c r="K7" s="625"/>
      <c r="L7" s="615"/>
      <c r="M7" s="615"/>
      <c r="N7" s="625"/>
      <c r="O7" s="625"/>
      <c r="P7" s="625"/>
      <c r="Q7" s="625"/>
      <c r="R7" s="625"/>
      <c r="S7" s="625"/>
      <c r="T7" s="625"/>
      <c r="U7" s="625"/>
      <c r="V7" s="625"/>
      <c r="W7" s="625"/>
      <c r="X7" s="625"/>
      <c r="Y7" s="618"/>
      <c r="Z7" s="625"/>
      <c r="AA7" s="625"/>
      <c r="AB7" s="618"/>
      <c r="AC7" s="625"/>
      <c r="AD7" s="625"/>
      <c r="AE7" s="625"/>
    </row>
    <row r="8" spans="1:31" ht="84.75" customHeight="1">
      <c r="A8" s="626"/>
      <c r="B8" s="626"/>
      <c r="C8" s="626"/>
      <c r="D8" s="626"/>
      <c r="E8" s="626"/>
      <c r="F8" s="626"/>
      <c r="G8" s="626"/>
      <c r="H8" s="626"/>
      <c r="I8" s="626"/>
      <c r="J8" s="626"/>
      <c r="K8" s="626"/>
      <c r="L8" s="626"/>
      <c r="M8" s="616"/>
      <c r="N8" s="626"/>
      <c r="O8" s="626"/>
      <c r="P8" s="626"/>
      <c r="Q8" s="626"/>
      <c r="R8" s="626"/>
      <c r="S8" s="626"/>
      <c r="T8" s="626"/>
      <c r="U8" s="626"/>
      <c r="V8" s="626"/>
      <c r="W8" s="626"/>
      <c r="X8" s="626"/>
      <c r="Y8" s="619"/>
      <c r="Z8" s="626"/>
      <c r="AA8" s="626"/>
      <c r="AB8" s="619"/>
      <c r="AC8" s="626"/>
      <c r="AD8" s="626"/>
      <c r="AE8" s="626"/>
    </row>
    <row r="9" spans="1:31" s="223" customFormat="1" ht="12" customHeight="1">
      <c r="A9" s="439">
        <v>1</v>
      </c>
      <c r="B9" s="449" t="s">
        <v>35</v>
      </c>
      <c r="C9" s="440">
        <f>D9+G9</f>
        <v>196133</v>
      </c>
      <c r="D9" s="440">
        <f>'[3]DT trinh GD'!K10</f>
        <v>0</v>
      </c>
      <c r="E9" s="440"/>
      <c r="F9" s="440">
        <f>'[3]DT trinh GD'!L10</f>
        <v>0</v>
      </c>
      <c r="G9" s="440">
        <f>'[3]DT trinh GD'!N10</f>
        <v>196133</v>
      </c>
      <c r="H9" s="440">
        <f>'[3]DT trinh GD'!O10</f>
        <v>55717</v>
      </c>
      <c r="I9" s="440">
        <f>'[3]DT trinh GD'!P10</f>
        <v>97283</v>
      </c>
      <c r="J9" s="440">
        <f>'[3]DT trinh GD'!Q10</f>
        <v>0</v>
      </c>
      <c r="K9" s="440">
        <f>'[3]DT trinh GD'!R10</f>
        <v>0</v>
      </c>
      <c r="L9" s="440">
        <f>'[3]DT trinh GD'!S10</f>
        <v>0</v>
      </c>
      <c r="M9" s="440">
        <f>'[3]DT trinh GD'!T10</f>
        <v>880</v>
      </c>
      <c r="N9" s="440">
        <f>'[3]DT trinh GD'!U10</f>
        <v>300</v>
      </c>
      <c r="O9" s="440">
        <f>'[3]DT trinh GD'!V10</f>
        <v>0</v>
      </c>
      <c r="P9" s="440">
        <f>'[3]DT trinh GD'!W10</f>
        <v>0</v>
      </c>
      <c r="Q9" s="440">
        <f>'[3]DT trinh GD'!X10</f>
        <v>0</v>
      </c>
      <c r="R9" s="440">
        <f>'[3]DT trinh GD'!Y10</f>
        <v>0</v>
      </c>
      <c r="S9" s="440">
        <f>'[3]DT trinh GD'!Z10</f>
        <v>0</v>
      </c>
      <c r="T9" s="440">
        <f>'[3]DT trinh GD'!AA10</f>
        <v>385</v>
      </c>
      <c r="U9" s="440">
        <f>'[3]DT trinh GD'!AB10</f>
        <v>41568</v>
      </c>
      <c r="V9" s="440">
        <f>'[3]DT trinh GD'!AC10</f>
        <v>0</v>
      </c>
      <c r="W9" s="440">
        <f>'[3]DT trinh GD'!AD10</f>
        <v>0</v>
      </c>
      <c r="X9" s="440">
        <f>'[3]DT trinh GD'!AE10</f>
        <v>0</v>
      </c>
      <c r="Y9" s="440"/>
      <c r="Z9" s="440"/>
      <c r="AA9" s="440"/>
      <c r="AB9" s="440"/>
      <c r="AC9" s="440">
        <f>'[3]DT trinh GD'!AK10</f>
        <v>0</v>
      </c>
      <c r="AD9" s="440"/>
      <c r="AE9" s="440">
        <f>'[3]DT trinh GD'!AM10</f>
        <v>0</v>
      </c>
    </row>
    <row r="10" spans="1:31" s="223" customFormat="1" ht="12" customHeight="1">
      <c r="A10" s="439">
        <v>2</v>
      </c>
      <c r="B10" s="449" t="s">
        <v>40</v>
      </c>
      <c r="C10" s="440">
        <f t="shared" ref="C10:C73" si="0">D10+G10</f>
        <v>89734</v>
      </c>
      <c r="D10" s="440">
        <f>'[3]DT trinh GD'!K18</f>
        <v>0</v>
      </c>
      <c r="E10" s="440"/>
      <c r="F10" s="440">
        <f>'[3]DT trinh GD'!L18</f>
        <v>0</v>
      </c>
      <c r="G10" s="440">
        <f>'[3]DT trinh GD'!N18</f>
        <v>89734</v>
      </c>
      <c r="H10" s="440">
        <f>'[3]DT trinh GD'!O18</f>
        <v>0</v>
      </c>
      <c r="I10" s="440">
        <f>'[3]DT trinh GD'!P18</f>
        <v>0</v>
      </c>
      <c r="J10" s="440">
        <f>'[3]DT trinh GD'!Q18</f>
        <v>19673</v>
      </c>
      <c r="K10" s="440">
        <f>'[3]DT trinh GD'!R18</f>
        <v>0</v>
      </c>
      <c r="L10" s="440">
        <f>'[3]DT trinh GD'!S18</f>
        <v>0</v>
      </c>
      <c r="M10" s="440">
        <f>'[3]DT trinh GD'!T18</f>
        <v>0</v>
      </c>
      <c r="N10" s="440">
        <f>'[3]DT trinh GD'!U18</f>
        <v>222</v>
      </c>
      <c r="O10" s="440">
        <f>'[3]DT trinh GD'!V18</f>
        <v>0</v>
      </c>
      <c r="P10" s="440">
        <f>'[3]DT trinh GD'!W18</f>
        <v>0</v>
      </c>
      <c r="Q10" s="440">
        <f>'[3]DT trinh GD'!X18</f>
        <v>0</v>
      </c>
      <c r="R10" s="440">
        <f>'[3]DT trinh GD'!Y18</f>
        <v>0</v>
      </c>
      <c r="S10" s="440">
        <f>'[3]DT trinh GD'!Z18</f>
        <v>0</v>
      </c>
      <c r="T10" s="440">
        <f>'[3]DT trinh GD'!AA18</f>
        <v>51</v>
      </c>
      <c r="U10" s="440">
        <f>'[3]DT trinh GD'!AB18</f>
        <v>16033</v>
      </c>
      <c r="V10" s="440">
        <f>'[3]DT trinh GD'!AC18</f>
        <v>0</v>
      </c>
      <c r="W10" s="440">
        <f>'[3]DT trinh GD'!AD18</f>
        <v>3700</v>
      </c>
      <c r="X10" s="440">
        <f>'[3]DT trinh GD'!AE18</f>
        <v>50055</v>
      </c>
      <c r="Y10" s="440"/>
      <c r="Z10" s="440"/>
      <c r="AA10" s="440"/>
      <c r="AB10" s="440"/>
      <c r="AC10" s="440">
        <f>'[3]DT trinh GD'!AK18</f>
        <v>0</v>
      </c>
      <c r="AD10" s="440"/>
      <c r="AE10" s="440">
        <f>'[3]DT trinh GD'!AM18</f>
        <v>0</v>
      </c>
    </row>
    <row r="11" spans="1:31" s="223" customFormat="1" ht="12" customHeight="1">
      <c r="A11" s="439">
        <v>3</v>
      </c>
      <c r="B11" s="449" t="s">
        <v>41</v>
      </c>
      <c r="C11" s="440">
        <f t="shared" si="0"/>
        <v>31464</v>
      </c>
      <c r="D11" s="440">
        <f>'[3]DT trinh GD'!K23</f>
        <v>0</v>
      </c>
      <c r="E11" s="440"/>
      <c r="F11" s="440">
        <f>'[3]DT trinh GD'!L23</f>
        <v>0</v>
      </c>
      <c r="G11" s="440">
        <f>'[3]DT trinh GD'!N23</f>
        <v>31464</v>
      </c>
      <c r="H11" s="440">
        <f>'[3]DT trinh GD'!O23</f>
        <v>0</v>
      </c>
      <c r="I11" s="440">
        <f>'[3]DT trinh GD'!P23</f>
        <v>0</v>
      </c>
      <c r="J11" s="440">
        <f>'[3]DT trinh GD'!Q23</f>
        <v>0</v>
      </c>
      <c r="K11" s="440">
        <f>'[3]DT trinh GD'!R23</f>
        <v>0</v>
      </c>
      <c r="L11" s="440">
        <f>'[3]DT trinh GD'!S23</f>
        <v>13500</v>
      </c>
      <c r="M11" s="440">
        <f>'[3]DT trinh GD'!T23</f>
        <v>0</v>
      </c>
      <c r="N11" s="440">
        <f>'[3]DT trinh GD'!U23</f>
        <v>50</v>
      </c>
      <c r="O11" s="440">
        <f>'[3]DT trinh GD'!V23</f>
        <v>0</v>
      </c>
      <c r="P11" s="440">
        <f>'[3]DT trinh GD'!W23</f>
        <v>0</v>
      </c>
      <c r="Q11" s="440">
        <f>'[3]DT trinh GD'!X23</f>
        <v>1500</v>
      </c>
      <c r="R11" s="440">
        <f>'[3]DT trinh GD'!Y23</f>
        <v>0</v>
      </c>
      <c r="S11" s="440">
        <f>'[3]DT trinh GD'!Z23</f>
        <v>0</v>
      </c>
      <c r="T11" s="440">
        <f>'[3]DT trinh GD'!AA23</f>
        <v>40</v>
      </c>
      <c r="U11" s="440">
        <f>'[3]DT trinh GD'!AB23</f>
        <v>10874</v>
      </c>
      <c r="V11" s="440">
        <f>'[3]DT trinh GD'!AC23</f>
        <v>0</v>
      </c>
      <c r="W11" s="440">
        <f>'[3]DT trinh GD'!AD23</f>
        <v>0</v>
      </c>
      <c r="X11" s="440">
        <f>'[3]DT trinh GD'!AE23</f>
        <v>0</v>
      </c>
      <c r="Y11" s="440"/>
      <c r="Z11" s="440"/>
      <c r="AA11" s="440"/>
      <c r="AB11" s="440"/>
      <c r="AC11" s="440">
        <f>'[3]DT trinh GD'!AK23</f>
        <v>0</v>
      </c>
      <c r="AD11" s="440"/>
      <c r="AE11" s="440">
        <f>'[3]DT trinh GD'!AM23</f>
        <v>5500</v>
      </c>
    </row>
    <row r="12" spans="1:31" s="223" customFormat="1" ht="12" customHeight="1">
      <c r="A12" s="439">
        <v>4</v>
      </c>
      <c r="B12" s="449" t="s">
        <v>42</v>
      </c>
      <c r="C12" s="440">
        <f t="shared" si="0"/>
        <v>13958</v>
      </c>
      <c r="D12" s="440">
        <f>'[3]DT trinh GD'!K28</f>
        <v>0</v>
      </c>
      <c r="E12" s="440"/>
      <c r="F12" s="440">
        <f>'[3]DT trinh GD'!L28</f>
        <v>0</v>
      </c>
      <c r="G12" s="440">
        <f>'[3]DT trinh GD'!N28</f>
        <v>13958</v>
      </c>
      <c r="H12" s="440">
        <f>'[3]DT trinh GD'!O28</f>
        <v>0</v>
      </c>
      <c r="I12" s="440">
        <f>'[3]DT trinh GD'!P28</f>
        <v>0</v>
      </c>
      <c r="J12" s="440">
        <f>'[3]DT trinh GD'!Q28</f>
        <v>0</v>
      </c>
      <c r="K12" s="440">
        <f>'[3]DT trinh GD'!R28</f>
        <v>0</v>
      </c>
      <c r="L12" s="440">
        <f>'[3]DT trinh GD'!S28</f>
        <v>300</v>
      </c>
      <c r="M12" s="440">
        <f>'[3]DT trinh GD'!T28</f>
        <v>0</v>
      </c>
      <c r="N12" s="440">
        <f>'[3]DT trinh GD'!U28</f>
        <v>500</v>
      </c>
      <c r="O12" s="440">
        <f>'[3]DT trinh GD'!V28</f>
        <v>0</v>
      </c>
      <c r="P12" s="440">
        <f>'[3]DT trinh GD'!W28</f>
        <v>0</v>
      </c>
      <c r="Q12" s="440">
        <f>'[3]DT trinh GD'!X28</f>
        <v>0</v>
      </c>
      <c r="R12" s="440">
        <f>'[3]DT trinh GD'!Y28</f>
        <v>0</v>
      </c>
      <c r="S12" s="440">
        <f>'[3]DT trinh GD'!Z28</f>
        <v>0</v>
      </c>
      <c r="T12" s="440">
        <f>'[3]DT trinh GD'!AA28</f>
        <v>40</v>
      </c>
      <c r="U12" s="440">
        <f>'[3]DT trinh GD'!AB28</f>
        <v>12992</v>
      </c>
      <c r="V12" s="440">
        <f>'[3]DT trinh GD'!AC28</f>
        <v>0</v>
      </c>
      <c r="W12" s="440">
        <f>'[3]DT trinh GD'!AD28</f>
        <v>126</v>
      </c>
      <c r="X12" s="440">
        <f>'[3]DT trinh GD'!AE28</f>
        <v>0</v>
      </c>
      <c r="Y12" s="440"/>
      <c r="Z12" s="440"/>
      <c r="AA12" s="440"/>
      <c r="AB12" s="440"/>
      <c r="AC12" s="440">
        <f>'[3]DT trinh GD'!AK28</f>
        <v>0</v>
      </c>
      <c r="AD12" s="440"/>
      <c r="AE12" s="440">
        <f>'[3]DT trinh GD'!AM28</f>
        <v>0</v>
      </c>
    </row>
    <row r="13" spans="1:31" s="223" customFormat="1" ht="12" customHeight="1">
      <c r="A13" s="439">
        <v>5</v>
      </c>
      <c r="B13" s="449" t="s">
        <v>43</v>
      </c>
      <c r="C13" s="440">
        <f t="shared" si="0"/>
        <v>27399</v>
      </c>
      <c r="D13" s="440">
        <f>'[3]DT trinh GD'!K33</f>
        <v>0</v>
      </c>
      <c r="E13" s="440"/>
      <c r="F13" s="440">
        <f>'[3]DT trinh GD'!L33</f>
        <v>0</v>
      </c>
      <c r="G13" s="440">
        <f>'[3]DT trinh GD'!N33</f>
        <v>27399</v>
      </c>
      <c r="H13" s="440">
        <f>'[3]DT trinh GD'!O33</f>
        <v>0</v>
      </c>
      <c r="I13" s="440">
        <f>'[3]DT trinh GD'!P33</f>
        <v>0</v>
      </c>
      <c r="J13" s="440">
        <f>'[3]DT trinh GD'!Q33</f>
        <v>0</v>
      </c>
      <c r="K13" s="440">
        <f>'[3]DT trinh GD'!R33</f>
        <v>0</v>
      </c>
      <c r="L13" s="440">
        <f>'[3]DT trinh GD'!S33</f>
        <v>12757</v>
      </c>
      <c r="M13" s="440">
        <f>'[3]DT trinh GD'!T33</f>
        <v>2030</v>
      </c>
      <c r="N13" s="440">
        <f>'[3]DT trinh GD'!U33</f>
        <v>160</v>
      </c>
      <c r="O13" s="440">
        <f>'[3]DT trinh GD'!V33</f>
        <v>0</v>
      </c>
      <c r="P13" s="440">
        <f>'[3]DT trinh GD'!W33</f>
        <v>0</v>
      </c>
      <c r="Q13" s="440">
        <f>'[3]DT trinh GD'!X33</f>
        <v>1222</v>
      </c>
      <c r="R13" s="440">
        <f>'[3]DT trinh GD'!Y33</f>
        <v>0</v>
      </c>
      <c r="S13" s="440">
        <f>'[3]DT trinh GD'!Z33</f>
        <v>0</v>
      </c>
      <c r="T13" s="440">
        <f>'[3]DT trinh GD'!AA33</f>
        <v>110</v>
      </c>
      <c r="U13" s="440">
        <f>'[3]DT trinh GD'!AB33</f>
        <v>10858</v>
      </c>
      <c r="V13" s="440">
        <f>'[3]DT trinh GD'!AC33</f>
        <v>0</v>
      </c>
      <c r="W13" s="440">
        <f>'[3]DT trinh GD'!AD33</f>
        <v>192</v>
      </c>
      <c r="X13" s="440">
        <f>'[3]DT trinh GD'!AE33</f>
        <v>0</v>
      </c>
      <c r="Y13" s="440"/>
      <c r="Z13" s="440"/>
      <c r="AA13" s="440"/>
      <c r="AB13" s="440"/>
      <c r="AC13" s="440">
        <f>'[3]DT trinh GD'!AK33</f>
        <v>0</v>
      </c>
      <c r="AD13" s="440"/>
      <c r="AE13" s="440">
        <f>'[3]DT trinh GD'!AM33</f>
        <v>70</v>
      </c>
    </row>
    <row r="14" spans="1:31" s="223" customFormat="1" ht="12" customHeight="1">
      <c r="A14" s="439">
        <v>6</v>
      </c>
      <c r="B14" s="449" t="s">
        <v>44</v>
      </c>
      <c r="C14" s="440">
        <f t="shared" si="0"/>
        <v>19434</v>
      </c>
      <c r="D14" s="440">
        <f>'[3]DT trinh GD'!K39</f>
        <v>0</v>
      </c>
      <c r="E14" s="440"/>
      <c r="F14" s="440">
        <f>'[3]DT trinh GD'!L39</f>
        <v>0</v>
      </c>
      <c r="G14" s="440">
        <f>'[3]DT trinh GD'!N39</f>
        <v>19434</v>
      </c>
      <c r="H14" s="440">
        <f>'[3]DT trinh GD'!O39</f>
        <v>0</v>
      </c>
      <c r="I14" s="440">
        <f>'[3]DT trinh GD'!P39</f>
        <v>0</v>
      </c>
      <c r="J14" s="440">
        <f>'[3]DT trinh GD'!Q39</f>
        <v>0</v>
      </c>
      <c r="K14" s="440">
        <f>'[3]DT trinh GD'!R39</f>
        <v>0</v>
      </c>
      <c r="L14" s="440">
        <f>'[3]DT trinh GD'!S39</f>
        <v>7467</v>
      </c>
      <c r="M14" s="440">
        <f>'[3]DT trinh GD'!T39</f>
        <v>0</v>
      </c>
      <c r="N14" s="440">
        <f>'[3]DT trinh GD'!U39</f>
        <v>440</v>
      </c>
      <c r="O14" s="440">
        <f>'[3]DT trinh GD'!V39</f>
        <v>0</v>
      </c>
      <c r="P14" s="440">
        <f>'[3]DT trinh GD'!W39</f>
        <v>0</v>
      </c>
      <c r="Q14" s="440">
        <f>'[3]DT trinh GD'!X39</f>
        <v>0</v>
      </c>
      <c r="R14" s="440">
        <f>'[3]DT trinh GD'!Y39</f>
        <v>0</v>
      </c>
      <c r="S14" s="440">
        <f>'[3]DT trinh GD'!Z39</f>
        <v>0</v>
      </c>
      <c r="T14" s="440">
        <f>'[3]DT trinh GD'!AA39</f>
        <v>55</v>
      </c>
      <c r="U14" s="440">
        <f>'[3]DT trinh GD'!AB39</f>
        <v>11302</v>
      </c>
      <c r="V14" s="440">
        <f>'[3]DT trinh GD'!AC39</f>
        <v>0</v>
      </c>
      <c r="W14" s="440">
        <f>'[3]DT trinh GD'!AD39</f>
        <v>170</v>
      </c>
      <c r="X14" s="440">
        <f>'[3]DT trinh GD'!AE39</f>
        <v>0</v>
      </c>
      <c r="Y14" s="440"/>
      <c r="Z14" s="440"/>
      <c r="AA14" s="440"/>
      <c r="AB14" s="440"/>
      <c r="AC14" s="440">
        <f>'[3]DT trinh GD'!AK39</f>
        <v>0</v>
      </c>
      <c r="AD14" s="440"/>
      <c r="AE14" s="440">
        <f>'[3]DT trinh GD'!AM39</f>
        <v>0</v>
      </c>
    </row>
    <row r="15" spans="1:31" s="223" customFormat="1" ht="12" customHeight="1">
      <c r="A15" s="439">
        <v>7</v>
      </c>
      <c r="B15" s="449" t="s">
        <v>45</v>
      </c>
      <c r="C15" s="440">
        <f t="shared" si="0"/>
        <v>22633</v>
      </c>
      <c r="D15" s="440">
        <f>'[3]DT trinh GD'!K44</f>
        <v>0</v>
      </c>
      <c r="E15" s="440"/>
      <c r="F15" s="440">
        <f>'[3]DT trinh GD'!L44</f>
        <v>0</v>
      </c>
      <c r="G15" s="440">
        <f>'[3]DT trinh GD'!N44</f>
        <v>22633</v>
      </c>
      <c r="H15" s="440">
        <f>'[3]DT trinh GD'!O44</f>
        <v>0</v>
      </c>
      <c r="I15" s="440">
        <f>'[3]DT trinh GD'!P44</f>
        <v>0</v>
      </c>
      <c r="J15" s="440">
        <f>'[3]DT trinh GD'!Q44</f>
        <v>0</v>
      </c>
      <c r="K15" s="440">
        <f>'[3]DT trinh GD'!R44</f>
        <v>0</v>
      </c>
      <c r="L15" s="440">
        <f>'[3]DT trinh GD'!S44</f>
        <v>14152</v>
      </c>
      <c r="M15" s="440">
        <f>'[3]DT trinh GD'!T44</f>
        <v>0</v>
      </c>
      <c r="N15" s="440">
        <f>'[3]DT trinh GD'!U44</f>
        <v>200</v>
      </c>
      <c r="O15" s="440">
        <f>'[3]DT trinh GD'!V44</f>
        <v>0</v>
      </c>
      <c r="P15" s="440">
        <f>'[3]DT trinh GD'!W44</f>
        <v>0</v>
      </c>
      <c r="Q15" s="440">
        <f>'[3]DT trinh GD'!X44</f>
        <v>0</v>
      </c>
      <c r="R15" s="440">
        <f>'[3]DT trinh GD'!Y44</f>
        <v>0</v>
      </c>
      <c r="S15" s="440">
        <f>'[3]DT trinh GD'!Z44</f>
        <v>0</v>
      </c>
      <c r="T15" s="440">
        <f>'[3]DT trinh GD'!AA44</f>
        <v>20</v>
      </c>
      <c r="U15" s="440">
        <f>'[3]DT trinh GD'!AB44</f>
        <v>8261</v>
      </c>
      <c r="V15" s="440">
        <f>'[3]DT trinh GD'!AC44</f>
        <v>0</v>
      </c>
      <c r="W15" s="440">
        <f>'[3]DT trinh GD'!AD44</f>
        <v>0</v>
      </c>
      <c r="X15" s="440">
        <f>'[3]DT trinh GD'!AE44</f>
        <v>0</v>
      </c>
      <c r="Y15" s="440"/>
      <c r="Z15" s="440"/>
      <c r="AA15" s="440"/>
      <c r="AB15" s="440"/>
      <c r="AC15" s="440">
        <f>'[3]DT trinh GD'!AK44</f>
        <v>0</v>
      </c>
      <c r="AD15" s="440"/>
      <c r="AE15" s="440">
        <f>'[3]DT trinh GD'!AM44</f>
        <v>0</v>
      </c>
    </row>
    <row r="16" spans="1:31" s="223" customFormat="1" ht="12" customHeight="1">
      <c r="A16" s="439">
        <v>8</v>
      </c>
      <c r="B16" s="449" t="s">
        <v>46</v>
      </c>
      <c r="C16" s="440">
        <f t="shared" si="0"/>
        <v>16303</v>
      </c>
      <c r="D16" s="440">
        <f>'[3]DT trinh GD'!K49</f>
        <v>0</v>
      </c>
      <c r="E16" s="440"/>
      <c r="F16" s="440">
        <f>'[3]DT trinh GD'!L49</f>
        <v>0</v>
      </c>
      <c r="G16" s="440">
        <f>'[3]DT trinh GD'!N49</f>
        <v>16303</v>
      </c>
      <c r="H16" s="440">
        <f>'[3]DT trinh GD'!O49</f>
        <v>0</v>
      </c>
      <c r="I16" s="440">
        <f>'[3]DT trinh GD'!P49</f>
        <v>0</v>
      </c>
      <c r="J16" s="440">
        <f>'[3]DT trinh GD'!Q49</f>
        <v>0</v>
      </c>
      <c r="K16" s="440">
        <f>'[3]DT trinh GD'!R49</f>
        <v>0</v>
      </c>
      <c r="L16" s="440">
        <f>'[3]DT trinh GD'!S49</f>
        <v>3445</v>
      </c>
      <c r="M16" s="440">
        <f>'[3]DT trinh GD'!T49</f>
        <v>3465</v>
      </c>
      <c r="N16" s="440">
        <f>'[3]DT trinh GD'!U49</f>
        <v>260</v>
      </c>
      <c r="O16" s="440">
        <f>'[3]DT trinh GD'!V49</f>
        <v>0</v>
      </c>
      <c r="P16" s="440">
        <f>'[3]DT trinh GD'!W49</f>
        <v>0</v>
      </c>
      <c r="Q16" s="440">
        <f>'[3]DT trinh GD'!X49</f>
        <v>0</v>
      </c>
      <c r="R16" s="440">
        <f>'[3]DT trinh GD'!Y49</f>
        <v>0</v>
      </c>
      <c r="S16" s="440">
        <f>'[3]DT trinh GD'!Z49</f>
        <v>0</v>
      </c>
      <c r="T16" s="440">
        <f>'[3]DT trinh GD'!AA49</f>
        <v>180</v>
      </c>
      <c r="U16" s="440">
        <f>'[3]DT trinh GD'!AB49</f>
        <v>8953</v>
      </c>
      <c r="V16" s="440">
        <f>'[3]DT trinh GD'!AC49</f>
        <v>0</v>
      </c>
      <c r="W16" s="440">
        <f>'[3]DT trinh GD'!AD49</f>
        <v>0</v>
      </c>
      <c r="X16" s="440">
        <f>'[3]DT trinh GD'!AE49</f>
        <v>0</v>
      </c>
      <c r="Y16" s="440"/>
      <c r="Z16" s="440"/>
      <c r="AA16" s="440"/>
      <c r="AB16" s="440"/>
      <c r="AC16" s="440">
        <f>'[3]DT trinh GD'!AK49</f>
        <v>0</v>
      </c>
      <c r="AD16" s="440"/>
      <c r="AE16" s="440">
        <f>'[3]DT trinh GD'!AM49</f>
        <v>0</v>
      </c>
    </row>
    <row r="17" spans="1:31" s="223" customFormat="1" ht="12" customHeight="1">
      <c r="A17" s="439">
        <v>9</v>
      </c>
      <c r="B17" s="449" t="s">
        <v>47</v>
      </c>
      <c r="C17" s="440">
        <f t="shared" si="0"/>
        <v>148144</v>
      </c>
      <c r="D17" s="440">
        <f>'[3]DT trinh GD'!K54</f>
        <v>0</v>
      </c>
      <c r="E17" s="440"/>
      <c r="F17" s="440">
        <f>'[3]DT trinh GD'!L54</f>
        <v>0</v>
      </c>
      <c r="G17" s="440">
        <f>'[3]DT trinh GD'!N54</f>
        <v>148144</v>
      </c>
      <c r="H17" s="440">
        <f>'[3]DT trinh GD'!O54</f>
        <v>0</v>
      </c>
      <c r="I17" s="440">
        <f>'[3]DT trinh GD'!P54</f>
        <v>0</v>
      </c>
      <c r="J17" s="440">
        <f>'[3]DT trinh GD'!Q54</f>
        <v>0</v>
      </c>
      <c r="K17" s="440">
        <f>'[3]DT trinh GD'!R54</f>
        <v>0</v>
      </c>
      <c r="L17" s="440">
        <f>'[3]DT trinh GD'!S54</f>
        <v>5510</v>
      </c>
      <c r="M17" s="440">
        <f>'[3]DT trinh GD'!T54</f>
        <v>2170</v>
      </c>
      <c r="N17" s="440">
        <f>'[3]DT trinh GD'!U54</f>
        <v>44006</v>
      </c>
      <c r="O17" s="440">
        <f>'[3]DT trinh GD'!V54</f>
        <v>0</v>
      </c>
      <c r="P17" s="440">
        <f>'[3]DT trinh GD'!W54</f>
        <v>42233</v>
      </c>
      <c r="Q17" s="440">
        <f>'[3]DT trinh GD'!X54</f>
        <v>0</v>
      </c>
      <c r="R17" s="440">
        <f>'[3]DT trinh GD'!Y54</f>
        <v>44113</v>
      </c>
      <c r="S17" s="440">
        <f>'[3]DT trinh GD'!Z54</f>
        <v>0</v>
      </c>
      <c r="T17" s="440">
        <f>'[3]DT trinh GD'!AA54</f>
        <v>551</v>
      </c>
      <c r="U17" s="440">
        <f>'[3]DT trinh GD'!AB54</f>
        <v>9531</v>
      </c>
      <c r="V17" s="440">
        <f>'[3]DT trinh GD'!AC54</f>
        <v>0</v>
      </c>
      <c r="W17" s="440">
        <f>'[3]DT trinh GD'!AD54</f>
        <v>30</v>
      </c>
      <c r="X17" s="440">
        <f>'[3]DT trinh GD'!AE54</f>
        <v>0</v>
      </c>
      <c r="Y17" s="440"/>
      <c r="Z17" s="440"/>
      <c r="AA17" s="440"/>
      <c r="AB17" s="440"/>
      <c r="AC17" s="440">
        <f>'[3]DT trinh GD'!AK54</f>
        <v>0</v>
      </c>
      <c r="AD17" s="440"/>
      <c r="AE17" s="440">
        <f>'[3]DT trinh GD'!AM54</f>
        <v>0</v>
      </c>
    </row>
    <row r="18" spans="1:31" s="223" customFormat="1" ht="12" customHeight="1">
      <c r="A18" s="439">
        <v>10</v>
      </c>
      <c r="B18" s="449" t="s">
        <v>116</v>
      </c>
      <c r="C18" s="440">
        <f t="shared" si="0"/>
        <v>16817</v>
      </c>
      <c r="D18" s="440">
        <f>'[3]DT trinh GD'!K60</f>
        <v>0</v>
      </c>
      <c r="E18" s="440"/>
      <c r="F18" s="440">
        <f>'[3]DT trinh GD'!L60</f>
        <v>0</v>
      </c>
      <c r="G18" s="440">
        <f>'[3]DT trinh GD'!N60</f>
        <v>16817</v>
      </c>
      <c r="H18" s="440">
        <f>'[3]DT trinh GD'!O60</f>
        <v>0</v>
      </c>
      <c r="I18" s="440">
        <f>'[3]DT trinh GD'!P60</f>
        <v>0</v>
      </c>
      <c r="J18" s="440">
        <f>'[3]DT trinh GD'!Q60</f>
        <v>0</v>
      </c>
      <c r="K18" s="440">
        <f>'[3]DT trinh GD'!R60</f>
        <v>0</v>
      </c>
      <c r="L18" s="440">
        <f>'[3]DT trinh GD'!S60</f>
        <v>0</v>
      </c>
      <c r="M18" s="440">
        <f>'[3]DT trinh GD'!T60</f>
        <v>0</v>
      </c>
      <c r="N18" s="440">
        <f>'[3]DT trinh GD'!U60</f>
        <v>300</v>
      </c>
      <c r="O18" s="440">
        <f>'[3]DT trinh GD'!V60</f>
        <v>0</v>
      </c>
      <c r="P18" s="440">
        <f>'[3]DT trinh GD'!W60</f>
        <v>0</v>
      </c>
      <c r="Q18" s="440">
        <f>'[3]DT trinh GD'!X60</f>
        <v>0</v>
      </c>
      <c r="R18" s="440">
        <f>'[3]DT trinh GD'!Y60</f>
        <v>0</v>
      </c>
      <c r="S18" s="440">
        <f>'[3]DT trinh GD'!Z60</f>
        <v>590</v>
      </c>
      <c r="T18" s="440">
        <f>'[3]DT trinh GD'!AA60</f>
        <v>180</v>
      </c>
      <c r="U18" s="440">
        <f>'[3]DT trinh GD'!AB60</f>
        <v>15747</v>
      </c>
      <c r="V18" s="440">
        <f>'[3]DT trinh GD'!AC60</f>
        <v>0</v>
      </c>
      <c r="W18" s="440">
        <f>'[3]DT trinh GD'!AD60</f>
        <v>0</v>
      </c>
      <c r="X18" s="440">
        <f>'[3]DT trinh GD'!AE60</f>
        <v>0</v>
      </c>
      <c r="Y18" s="440"/>
      <c r="Z18" s="440"/>
      <c r="AA18" s="440"/>
      <c r="AB18" s="440"/>
      <c r="AC18" s="440">
        <f>'[3]DT trinh GD'!AK60</f>
        <v>0</v>
      </c>
      <c r="AD18" s="440"/>
      <c r="AE18" s="440">
        <f>'[3]DT trinh GD'!AM60</f>
        <v>0</v>
      </c>
    </row>
    <row r="19" spans="1:31" s="223" customFormat="1" ht="12" customHeight="1">
      <c r="A19" s="439">
        <v>11</v>
      </c>
      <c r="B19" s="449" t="s">
        <v>48</v>
      </c>
      <c r="C19" s="440">
        <f t="shared" si="0"/>
        <v>18215</v>
      </c>
      <c r="D19" s="440">
        <f>'[3]DT trinh GD'!K61</f>
        <v>0</v>
      </c>
      <c r="E19" s="440"/>
      <c r="F19" s="440">
        <f>'[3]DT trinh GD'!L61</f>
        <v>0</v>
      </c>
      <c r="G19" s="440">
        <f>'[3]DT trinh GD'!N61</f>
        <v>18215</v>
      </c>
      <c r="H19" s="440">
        <f>'[3]DT trinh GD'!O61</f>
        <v>0</v>
      </c>
      <c r="I19" s="440">
        <f>'[3]DT trinh GD'!P61</f>
        <v>0</v>
      </c>
      <c r="J19" s="440">
        <f>'[3]DT trinh GD'!Q61</f>
        <v>0</v>
      </c>
      <c r="K19" s="440">
        <f>'[3]DT trinh GD'!R61</f>
        <v>0</v>
      </c>
      <c r="L19" s="440">
        <f>'[3]DT trinh GD'!S61</f>
        <v>260</v>
      </c>
      <c r="M19" s="440">
        <f>'[3]DT trinh GD'!T61</f>
        <v>0</v>
      </c>
      <c r="N19" s="440">
        <f>'[3]DT trinh GD'!U61</f>
        <v>230</v>
      </c>
      <c r="O19" s="440">
        <f>'[3]DT trinh GD'!V61</f>
        <v>0</v>
      </c>
      <c r="P19" s="440">
        <f>'[3]DT trinh GD'!W61</f>
        <v>0</v>
      </c>
      <c r="Q19" s="440">
        <f>'[3]DT trinh GD'!X61</f>
        <v>6800</v>
      </c>
      <c r="R19" s="440">
        <f>'[3]DT trinh GD'!Y61</f>
        <v>0</v>
      </c>
      <c r="S19" s="440">
        <f>'[3]DT trinh GD'!Z61</f>
        <v>0</v>
      </c>
      <c r="T19" s="440">
        <f>'[3]DT trinh GD'!AA61</f>
        <v>1285</v>
      </c>
      <c r="U19" s="440">
        <f>'[3]DT trinh GD'!AB61</f>
        <v>9440</v>
      </c>
      <c r="V19" s="440">
        <f>'[3]DT trinh GD'!AC61</f>
        <v>0</v>
      </c>
      <c r="W19" s="440">
        <f>'[3]DT trinh GD'!AD61</f>
        <v>200</v>
      </c>
      <c r="X19" s="440">
        <f>'[3]DT trinh GD'!AE61</f>
        <v>0</v>
      </c>
      <c r="Y19" s="440"/>
      <c r="Z19" s="440"/>
      <c r="AA19" s="440"/>
      <c r="AB19" s="440"/>
      <c r="AC19" s="440">
        <f>'[3]DT trinh GD'!AK61</f>
        <v>0</v>
      </c>
      <c r="AD19" s="440"/>
      <c r="AE19" s="440">
        <f>'[3]DT trinh GD'!AM61</f>
        <v>0</v>
      </c>
    </row>
    <row r="20" spans="1:31" s="223" customFormat="1" ht="12" customHeight="1">
      <c r="A20" s="439">
        <v>12</v>
      </c>
      <c r="B20" s="449" t="s">
        <v>49</v>
      </c>
      <c r="C20" s="440">
        <f t="shared" si="0"/>
        <v>47967</v>
      </c>
      <c r="D20" s="440">
        <f>'[3]DT trinh GD'!K66</f>
        <v>0</v>
      </c>
      <c r="E20" s="440"/>
      <c r="F20" s="440">
        <f>'[3]DT trinh GD'!L66</f>
        <v>0</v>
      </c>
      <c r="G20" s="440">
        <f>'[3]DT trinh GD'!N66</f>
        <v>47967</v>
      </c>
      <c r="H20" s="440">
        <f>'[3]DT trinh GD'!O66</f>
        <v>0</v>
      </c>
      <c r="I20" s="440">
        <f>'[3]DT trinh GD'!P66</f>
        <v>0</v>
      </c>
      <c r="J20" s="440">
        <f>'[3]DT trinh GD'!Q66</f>
        <v>0</v>
      </c>
      <c r="K20" s="440">
        <f>'[3]DT trinh GD'!R66</f>
        <v>0</v>
      </c>
      <c r="L20" s="440">
        <f>'[3]DT trinh GD'!S66</f>
        <v>5490</v>
      </c>
      <c r="M20" s="440">
        <f>'[3]DT trinh GD'!T66</f>
        <v>0</v>
      </c>
      <c r="N20" s="440">
        <f>'[3]DT trinh GD'!U66</f>
        <v>1320</v>
      </c>
      <c r="O20" s="440">
        <f>'[3]DT trinh GD'!V66</f>
        <v>0</v>
      </c>
      <c r="P20" s="440">
        <f>'[3]DT trinh GD'!W66</f>
        <v>0</v>
      </c>
      <c r="Q20" s="440">
        <f>'[3]DT trinh GD'!X66</f>
        <v>1800</v>
      </c>
      <c r="R20" s="440">
        <f>'[3]DT trinh GD'!Y66</f>
        <v>0</v>
      </c>
      <c r="S20" s="440">
        <f>'[3]DT trinh GD'!Z66</f>
        <v>1533</v>
      </c>
      <c r="T20" s="440">
        <f>'[3]DT trinh GD'!AA66</f>
        <v>25</v>
      </c>
      <c r="U20" s="440">
        <f>'[3]DT trinh GD'!AB66</f>
        <v>13399</v>
      </c>
      <c r="V20" s="440">
        <f>'[3]DT trinh GD'!AC66</f>
        <v>100</v>
      </c>
      <c r="W20" s="440">
        <f>'[3]DT trinh GD'!AD66</f>
        <v>24300</v>
      </c>
      <c r="X20" s="440">
        <f>'[3]DT trinh GD'!AE66</f>
        <v>0</v>
      </c>
      <c r="Y20" s="440"/>
      <c r="Z20" s="440"/>
      <c r="AA20" s="440"/>
      <c r="AB20" s="440"/>
      <c r="AC20" s="440">
        <f>'[3]DT trinh GD'!AK66</f>
        <v>0</v>
      </c>
      <c r="AD20" s="440"/>
      <c r="AE20" s="440">
        <f>'[3]DT trinh GD'!AM66</f>
        <v>0</v>
      </c>
    </row>
    <row r="21" spans="1:31" s="223" customFormat="1" ht="12" customHeight="1">
      <c r="A21" s="439">
        <v>13</v>
      </c>
      <c r="B21" s="449" t="s">
        <v>50</v>
      </c>
      <c r="C21" s="440">
        <f t="shared" si="0"/>
        <v>33326</v>
      </c>
      <c r="D21" s="440">
        <f>'[3]DT trinh GD'!K72</f>
        <v>0</v>
      </c>
      <c r="E21" s="440"/>
      <c r="F21" s="440">
        <f>'[3]DT trinh GD'!L72</f>
        <v>0</v>
      </c>
      <c r="G21" s="440">
        <f>'[3]DT trinh GD'!N72</f>
        <v>33326</v>
      </c>
      <c r="H21" s="440">
        <f>'[3]DT trinh GD'!O72</f>
        <v>0</v>
      </c>
      <c r="I21" s="440">
        <f>'[3]DT trinh GD'!P72</f>
        <v>0</v>
      </c>
      <c r="J21" s="440">
        <f>'[3]DT trinh GD'!Q72</f>
        <v>0</v>
      </c>
      <c r="K21" s="440">
        <f>'[3]DT trinh GD'!R72</f>
        <v>0</v>
      </c>
      <c r="L21" s="440">
        <f>'[3]DT trinh GD'!S72</f>
        <v>0</v>
      </c>
      <c r="M21" s="440">
        <f>'[3]DT trinh GD'!T72</f>
        <v>0</v>
      </c>
      <c r="N21" s="440">
        <f>'[3]DT trinh GD'!U72</f>
        <v>330</v>
      </c>
      <c r="O21" s="440">
        <f>'[3]DT trinh GD'!V72</f>
        <v>0</v>
      </c>
      <c r="P21" s="440">
        <f>'[3]DT trinh GD'!W72</f>
        <v>0</v>
      </c>
      <c r="Q21" s="440">
        <f>'[3]DT trinh GD'!X72</f>
        <v>16719</v>
      </c>
      <c r="R21" s="440">
        <f>'[3]DT trinh GD'!Y72</f>
        <v>0</v>
      </c>
      <c r="S21" s="440">
        <f>'[3]DT trinh GD'!Z72</f>
        <v>0</v>
      </c>
      <c r="T21" s="440">
        <f>'[3]DT trinh GD'!AA72</f>
        <v>7850</v>
      </c>
      <c r="U21" s="440">
        <f>'[3]DT trinh GD'!AB72</f>
        <v>8327</v>
      </c>
      <c r="V21" s="440">
        <f>'[3]DT trinh GD'!AC72</f>
        <v>0</v>
      </c>
      <c r="W21" s="440">
        <f>'[3]DT trinh GD'!AD72</f>
        <v>100</v>
      </c>
      <c r="X21" s="440">
        <f>'[3]DT trinh GD'!AE72</f>
        <v>0</v>
      </c>
      <c r="Y21" s="440"/>
      <c r="Z21" s="440"/>
      <c r="AA21" s="440"/>
      <c r="AB21" s="440"/>
      <c r="AC21" s="440">
        <f>'[3]DT trinh GD'!AK72</f>
        <v>0</v>
      </c>
      <c r="AD21" s="440"/>
      <c r="AE21" s="440">
        <f>'[3]DT trinh GD'!AM72</f>
        <v>0</v>
      </c>
    </row>
    <row r="22" spans="1:31" s="223" customFormat="1" ht="12" customHeight="1">
      <c r="A22" s="439">
        <v>14</v>
      </c>
      <c r="B22" s="449" t="s">
        <v>51</v>
      </c>
      <c r="C22" s="440">
        <f t="shared" si="0"/>
        <v>97156</v>
      </c>
      <c r="D22" s="440">
        <f>'[3]DT trinh GD'!K77</f>
        <v>0</v>
      </c>
      <c r="E22" s="440"/>
      <c r="F22" s="440">
        <f>'[3]DT trinh GD'!L77</f>
        <v>0</v>
      </c>
      <c r="G22" s="440">
        <f>'[3]DT trinh GD'!N77</f>
        <v>97156</v>
      </c>
      <c r="H22" s="440">
        <f>'[3]DT trinh GD'!O77</f>
        <v>0</v>
      </c>
      <c r="I22" s="440">
        <f>'[3]DT trinh GD'!P77</f>
        <v>0</v>
      </c>
      <c r="J22" s="440">
        <f>'[3]DT trinh GD'!Q77</f>
        <v>0</v>
      </c>
      <c r="K22" s="440">
        <f>'[3]DT trinh GD'!R77</f>
        <v>0</v>
      </c>
      <c r="L22" s="440">
        <f>'[3]DT trinh GD'!S77</f>
        <v>2608</v>
      </c>
      <c r="M22" s="440">
        <f>'[3]DT trinh GD'!T77</f>
        <v>0</v>
      </c>
      <c r="N22" s="440">
        <f>'[3]DT trinh GD'!U77</f>
        <v>14800</v>
      </c>
      <c r="O22" s="440">
        <f>'[3]DT trinh GD'!V77</f>
        <v>0</v>
      </c>
      <c r="P22" s="440">
        <f>'[3]DT trinh GD'!W77</f>
        <v>0</v>
      </c>
      <c r="Q22" s="440">
        <f>'[3]DT trinh GD'!X77</f>
        <v>0</v>
      </c>
      <c r="R22" s="440">
        <f>'[3]DT trinh GD'!Y77</f>
        <v>0</v>
      </c>
      <c r="S22" s="440">
        <f>'[3]DT trinh GD'!Z77</f>
        <v>68546</v>
      </c>
      <c r="T22" s="440">
        <f>'[3]DT trinh GD'!AA77</f>
        <v>300</v>
      </c>
      <c r="U22" s="440">
        <f>'[3]DT trinh GD'!AB77</f>
        <v>10902</v>
      </c>
      <c r="V22" s="440">
        <f>'[3]DT trinh GD'!AC77</f>
        <v>0</v>
      </c>
      <c r="W22" s="440">
        <f>'[3]DT trinh GD'!AD77</f>
        <v>0</v>
      </c>
      <c r="X22" s="440">
        <f>'[3]DT trinh GD'!AE77</f>
        <v>0</v>
      </c>
      <c r="Y22" s="440"/>
      <c r="Z22" s="440"/>
      <c r="AA22" s="440"/>
      <c r="AB22" s="440"/>
      <c r="AC22" s="440">
        <f>'[3]DT trinh GD'!AK77</f>
        <v>0</v>
      </c>
      <c r="AD22" s="440"/>
      <c r="AE22" s="440">
        <f>'[3]DT trinh GD'!AM77</f>
        <v>0</v>
      </c>
    </row>
    <row r="23" spans="1:31" s="223" customFormat="1" ht="12" customHeight="1">
      <c r="A23" s="439">
        <v>15</v>
      </c>
      <c r="B23" s="449" t="s">
        <v>52</v>
      </c>
      <c r="C23" s="440">
        <f t="shared" si="0"/>
        <v>25308</v>
      </c>
      <c r="D23" s="440">
        <f>'[3]DT trinh GD'!K82</f>
        <v>0</v>
      </c>
      <c r="E23" s="440"/>
      <c r="F23" s="440">
        <f>'[3]DT trinh GD'!L82</f>
        <v>0</v>
      </c>
      <c r="G23" s="440">
        <f>'[3]DT trinh GD'!N82</f>
        <v>25308</v>
      </c>
      <c r="H23" s="440">
        <f>'[3]DT trinh GD'!O82</f>
        <v>0</v>
      </c>
      <c r="I23" s="440">
        <f>'[3]DT trinh GD'!P82</f>
        <v>0</v>
      </c>
      <c r="J23" s="440">
        <f>'[3]DT trinh GD'!Q82</f>
        <v>0</v>
      </c>
      <c r="K23" s="440">
        <f>'[3]DT trinh GD'!R82</f>
        <v>0</v>
      </c>
      <c r="L23" s="440">
        <f>'[3]DT trinh GD'!S82</f>
        <v>0</v>
      </c>
      <c r="M23" s="440">
        <f>'[3]DT trinh GD'!T82</f>
        <v>0</v>
      </c>
      <c r="N23" s="440">
        <f>'[3]DT trinh GD'!U82</f>
        <v>40</v>
      </c>
      <c r="O23" s="440">
        <f>'[3]DT trinh GD'!V82</f>
        <v>0</v>
      </c>
      <c r="P23" s="440">
        <f>'[3]DT trinh GD'!W82</f>
        <v>0</v>
      </c>
      <c r="Q23" s="440">
        <f>'[3]DT trinh GD'!X82</f>
        <v>0</v>
      </c>
      <c r="R23" s="440">
        <f>'[3]DT trinh GD'!Y82</f>
        <v>0</v>
      </c>
      <c r="S23" s="440">
        <f>'[3]DT trinh GD'!Z82</f>
        <v>0</v>
      </c>
      <c r="T23" s="440">
        <f>'[3]DT trinh GD'!AA82</f>
        <v>17281</v>
      </c>
      <c r="U23" s="440">
        <f>'[3]DT trinh GD'!AB82</f>
        <v>7837</v>
      </c>
      <c r="V23" s="440">
        <f>'[3]DT trinh GD'!AC82</f>
        <v>0</v>
      </c>
      <c r="W23" s="440">
        <f>'[3]DT trinh GD'!AD82</f>
        <v>150</v>
      </c>
      <c r="X23" s="440">
        <f>'[3]DT trinh GD'!AE82</f>
        <v>0</v>
      </c>
      <c r="Y23" s="440"/>
      <c r="Z23" s="440"/>
      <c r="AA23" s="440"/>
      <c r="AB23" s="440"/>
      <c r="AC23" s="440">
        <f>'[3]DT trinh GD'!AK82</f>
        <v>0</v>
      </c>
      <c r="AD23" s="440"/>
      <c r="AE23" s="440">
        <f>'[3]DT trinh GD'!AM82</f>
        <v>0</v>
      </c>
    </row>
    <row r="24" spans="1:31" s="223" customFormat="1" ht="12" customHeight="1">
      <c r="A24" s="439">
        <v>16</v>
      </c>
      <c r="B24" s="449" t="s">
        <v>53</v>
      </c>
      <c r="C24" s="440">
        <f t="shared" si="0"/>
        <v>672527</v>
      </c>
      <c r="D24" s="440">
        <f>'[3]DT trinh GD'!K88</f>
        <v>0</v>
      </c>
      <c r="E24" s="440"/>
      <c r="F24" s="440">
        <f>'[3]DT trinh GD'!L88</f>
        <v>0</v>
      </c>
      <c r="G24" s="440">
        <f>'[3]DT trinh GD'!N88</f>
        <v>672527</v>
      </c>
      <c r="H24" s="440">
        <f>'[3]DT trinh GD'!O88</f>
        <v>0</v>
      </c>
      <c r="I24" s="440">
        <f>'[3]DT trinh GD'!P88</f>
        <v>0</v>
      </c>
      <c r="J24" s="440">
        <f>'[3]DT trinh GD'!Q88</f>
        <v>0</v>
      </c>
      <c r="K24" s="440">
        <f>'[3]DT trinh GD'!R88</f>
        <v>0</v>
      </c>
      <c r="L24" s="440">
        <f>'[3]DT trinh GD'!S88</f>
        <v>0</v>
      </c>
      <c r="M24" s="440">
        <f>'[3]DT trinh GD'!T88</f>
        <v>0</v>
      </c>
      <c r="N24" s="440">
        <f>'[3]DT trinh GD'!U88</f>
        <v>660585</v>
      </c>
      <c r="O24" s="440">
        <f>'[3]DT trinh GD'!V88</f>
        <v>0</v>
      </c>
      <c r="P24" s="440">
        <f>'[3]DT trinh GD'!W88</f>
        <v>0</v>
      </c>
      <c r="Q24" s="440">
        <f>'[3]DT trinh GD'!X88</f>
        <v>0</v>
      </c>
      <c r="R24" s="440">
        <f>'[3]DT trinh GD'!Y88</f>
        <v>0</v>
      </c>
      <c r="S24" s="440">
        <f>'[3]DT trinh GD'!Z88</f>
        <v>0</v>
      </c>
      <c r="T24" s="440">
        <f>'[3]DT trinh GD'!AA88</f>
        <v>80</v>
      </c>
      <c r="U24" s="440">
        <f>'[3]DT trinh GD'!AB88</f>
        <v>11862</v>
      </c>
      <c r="V24" s="440">
        <f>'[3]DT trinh GD'!AC88</f>
        <v>0</v>
      </c>
      <c r="W24" s="440">
        <f>'[3]DT trinh GD'!AD88</f>
        <v>0</v>
      </c>
      <c r="X24" s="440">
        <f>'[3]DT trinh GD'!AE88</f>
        <v>0</v>
      </c>
      <c r="Y24" s="440"/>
      <c r="Z24" s="440"/>
      <c r="AA24" s="440"/>
      <c r="AB24" s="440"/>
      <c r="AC24" s="440">
        <f>'[3]DT trinh GD'!AK88</f>
        <v>0</v>
      </c>
      <c r="AD24" s="440"/>
      <c r="AE24" s="440">
        <f>'[3]DT trinh GD'!AM88</f>
        <v>0</v>
      </c>
    </row>
    <row r="25" spans="1:31" s="223" customFormat="1" ht="12" customHeight="1">
      <c r="A25" s="439">
        <v>17</v>
      </c>
      <c r="B25" s="449" t="s">
        <v>55</v>
      </c>
      <c r="C25" s="440">
        <f t="shared" si="0"/>
        <v>401292</v>
      </c>
      <c r="D25" s="440">
        <f>'[3]DT trinh GD'!K94</f>
        <v>0</v>
      </c>
      <c r="E25" s="440"/>
      <c r="F25" s="440">
        <f>'[3]DT trinh GD'!L94</f>
        <v>0</v>
      </c>
      <c r="G25" s="440">
        <f>'[3]DT trinh GD'!N94</f>
        <v>401292</v>
      </c>
      <c r="H25" s="440">
        <f>'[3]DT trinh GD'!O94</f>
        <v>0</v>
      </c>
      <c r="I25" s="440">
        <f>'[3]DT trinh GD'!P94</f>
        <v>0</v>
      </c>
      <c r="J25" s="440">
        <f>'[3]DT trinh GD'!Q94</f>
        <v>0</v>
      </c>
      <c r="K25" s="440">
        <f>'[3]DT trinh GD'!R94</f>
        <v>0</v>
      </c>
      <c r="L25" s="440">
        <f>'[3]DT trinh GD'!S94</f>
        <v>0</v>
      </c>
      <c r="M25" s="440">
        <f>'[3]DT trinh GD'!T94</f>
        <v>0</v>
      </c>
      <c r="N25" s="440">
        <f>'[3]DT trinh GD'!U94</f>
        <v>8700</v>
      </c>
      <c r="O25" s="440">
        <f>'[3]DT trinh GD'!V94</f>
        <v>372888</v>
      </c>
      <c r="P25" s="440">
        <f>'[3]DT trinh GD'!W94</f>
        <v>0</v>
      </c>
      <c r="Q25" s="440">
        <f>'[3]DT trinh GD'!X94</f>
        <v>8094</v>
      </c>
      <c r="R25" s="440">
        <f>'[3]DT trinh GD'!Y94</f>
        <v>0</v>
      </c>
      <c r="S25" s="440">
        <f>'[3]DT trinh GD'!Z94</f>
        <v>0</v>
      </c>
      <c r="T25" s="440">
        <f>'[3]DT trinh GD'!AA94</f>
        <v>20</v>
      </c>
      <c r="U25" s="440">
        <f>'[3]DT trinh GD'!AB94</f>
        <v>11590</v>
      </c>
      <c r="V25" s="440">
        <f>'[3]DT trinh GD'!AC94</f>
        <v>0</v>
      </c>
      <c r="W25" s="440">
        <f>'[3]DT trinh GD'!AD94</f>
        <v>0</v>
      </c>
      <c r="X25" s="440">
        <f>'[3]DT trinh GD'!AE94</f>
        <v>0</v>
      </c>
      <c r="Y25" s="440"/>
      <c r="Z25" s="440"/>
      <c r="AA25" s="440"/>
      <c r="AB25" s="440"/>
      <c r="AC25" s="440">
        <f>'[3]DT trinh GD'!AK94</f>
        <v>0</v>
      </c>
      <c r="AD25" s="440"/>
      <c r="AE25" s="440">
        <f>'[3]DT trinh GD'!AM94</f>
        <v>0</v>
      </c>
    </row>
    <row r="26" spans="1:31" s="223" customFormat="1" ht="12" customHeight="1">
      <c r="A26" s="439">
        <v>18</v>
      </c>
      <c r="B26" s="449" t="s">
        <v>57</v>
      </c>
      <c r="C26" s="440">
        <f t="shared" si="0"/>
        <v>49810</v>
      </c>
      <c r="D26" s="440">
        <f>'[3]DT trinh GD'!K101</f>
        <v>0</v>
      </c>
      <c r="E26" s="440"/>
      <c r="F26" s="440">
        <f>'[3]DT trinh GD'!L101</f>
        <v>0</v>
      </c>
      <c r="G26" s="440">
        <f>'[3]DT trinh GD'!N101</f>
        <v>49810</v>
      </c>
      <c r="H26" s="440">
        <f>'[3]DT trinh GD'!O101</f>
        <v>0</v>
      </c>
      <c r="I26" s="440">
        <f>'[3]DT trinh GD'!P101</f>
        <v>0</v>
      </c>
      <c r="J26" s="440">
        <f>'[3]DT trinh GD'!Q101</f>
        <v>0</v>
      </c>
      <c r="K26" s="440">
        <f>'[3]DT trinh GD'!R101</f>
        <v>0</v>
      </c>
      <c r="L26" s="440">
        <f>'[3]DT trinh GD'!S101</f>
        <v>16614</v>
      </c>
      <c r="M26" s="440">
        <f>'[3]DT trinh GD'!T101</f>
        <v>0</v>
      </c>
      <c r="N26" s="440">
        <f>'[3]DT trinh GD'!U101</f>
        <v>250</v>
      </c>
      <c r="O26" s="440">
        <f>'[3]DT trinh GD'!V101</f>
        <v>0</v>
      </c>
      <c r="P26" s="440">
        <f>'[3]DT trinh GD'!W101</f>
        <v>0</v>
      </c>
      <c r="Q26" s="440">
        <f>'[3]DT trinh GD'!X101</f>
        <v>200</v>
      </c>
      <c r="R26" s="440">
        <f>'[3]DT trinh GD'!Y101</f>
        <v>0</v>
      </c>
      <c r="S26" s="440">
        <f>'[3]DT trinh GD'!Z101</f>
        <v>1000</v>
      </c>
      <c r="T26" s="440">
        <f>'[3]DT trinh GD'!AA101</f>
        <v>1816</v>
      </c>
      <c r="U26" s="440">
        <f>'[3]DT trinh GD'!AB101</f>
        <v>29930</v>
      </c>
      <c r="V26" s="440">
        <f>'[3]DT trinh GD'!AC101</f>
        <v>0</v>
      </c>
      <c r="W26" s="440">
        <f>'[3]DT trinh GD'!AD101</f>
        <v>0</v>
      </c>
      <c r="X26" s="440">
        <f>'[3]DT trinh GD'!AE101</f>
        <v>0</v>
      </c>
      <c r="Y26" s="440"/>
      <c r="Z26" s="440"/>
      <c r="AA26" s="440"/>
      <c r="AB26" s="440"/>
      <c r="AC26" s="440">
        <f>'[3]DT trinh GD'!AK101</f>
        <v>0</v>
      </c>
      <c r="AD26" s="440"/>
      <c r="AE26" s="440">
        <f>'[3]DT trinh GD'!AM101</f>
        <v>0</v>
      </c>
    </row>
    <row r="27" spans="1:31" s="223" customFormat="1" ht="12" customHeight="1">
      <c r="A27" s="439">
        <v>19</v>
      </c>
      <c r="B27" s="449" t="s">
        <v>59</v>
      </c>
      <c r="C27" s="440">
        <f t="shared" si="0"/>
        <v>3715</v>
      </c>
      <c r="D27" s="440">
        <f>'[3]DT trinh GD'!K106</f>
        <v>0</v>
      </c>
      <c r="E27" s="440"/>
      <c r="F27" s="440">
        <f>'[3]DT trinh GD'!L106</f>
        <v>0</v>
      </c>
      <c r="G27" s="440">
        <f>'[3]DT trinh GD'!N106</f>
        <v>3715</v>
      </c>
      <c r="H27" s="440">
        <f>'[3]DT trinh GD'!O106</f>
        <v>0</v>
      </c>
      <c r="I27" s="440">
        <f>'[3]DT trinh GD'!P106</f>
        <v>0</v>
      </c>
      <c r="J27" s="440">
        <f>'[3]DT trinh GD'!Q106</f>
        <v>0</v>
      </c>
      <c r="K27" s="440">
        <f>'[3]DT trinh GD'!R106</f>
        <v>0</v>
      </c>
      <c r="L27" s="440">
        <f>'[3]DT trinh GD'!S106</f>
        <v>0</v>
      </c>
      <c r="M27" s="440">
        <f>'[3]DT trinh GD'!T106</f>
        <v>0</v>
      </c>
      <c r="N27" s="440">
        <f>'[3]DT trinh GD'!U106</f>
        <v>130</v>
      </c>
      <c r="O27" s="440">
        <f>'[3]DT trinh GD'!V106</f>
        <v>0</v>
      </c>
      <c r="P27" s="440">
        <f>'[3]DT trinh GD'!W106</f>
        <v>0</v>
      </c>
      <c r="Q27" s="440">
        <f>'[3]DT trinh GD'!X106</f>
        <v>0</v>
      </c>
      <c r="R27" s="440">
        <f>'[3]DT trinh GD'!Y106</f>
        <v>0</v>
      </c>
      <c r="S27" s="440">
        <f>'[3]DT trinh GD'!Z106</f>
        <v>135</v>
      </c>
      <c r="T27" s="440">
        <f>'[3]DT trinh GD'!AA106</f>
        <v>20</v>
      </c>
      <c r="U27" s="440">
        <f>'[3]DT trinh GD'!AB106</f>
        <v>2930</v>
      </c>
      <c r="V27" s="440">
        <f>'[3]DT trinh GD'!AC106</f>
        <v>0</v>
      </c>
      <c r="W27" s="440">
        <f>'[3]DT trinh GD'!AD106</f>
        <v>0</v>
      </c>
      <c r="X27" s="440">
        <f>'[3]DT trinh GD'!AE106</f>
        <v>0</v>
      </c>
      <c r="Y27" s="440"/>
      <c r="Z27" s="440"/>
      <c r="AA27" s="440"/>
      <c r="AB27" s="440"/>
      <c r="AC27" s="440">
        <f>'[3]DT trinh GD'!AK106</f>
        <v>0</v>
      </c>
      <c r="AD27" s="440"/>
      <c r="AE27" s="440">
        <f>'[3]DT trinh GD'!AM106</f>
        <v>500</v>
      </c>
    </row>
    <row r="28" spans="1:31" s="223" customFormat="1" ht="12" customHeight="1">
      <c r="A28" s="439">
        <v>20</v>
      </c>
      <c r="B28" s="449" t="s">
        <v>60</v>
      </c>
      <c r="C28" s="440">
        <f t="shared" si="0"/>
        <v>4851</v>
      </c>
      <c r="D28" s="440">
        <f>'[3]DT trinh GD'!K107</f>
        <v>0</v>
      </c>
      <c r="E28" s="440"/>
      <c r="F28" s="440">
        <f>'[3]DT trinh GD'!L107</f>
        <v>0</v>
      </c>
      <c r="G28" s="440">
        <f>'[3]DT trinh GD'!N107</f>
        <v>4851</v>
      </c>
      <c r="H28" s="440">
        <f>'[3]DT trinh GD'!O107</f>
        <v>0</v>
      </c>
      <c r="I28" s="440">
        <f>'[3]DT trinh GD'!P107</f>
        <v>0</v>
      </c>
      <c r="J28" s="440">
        <f>'[3]DT trinh GD'!Q107</f>
        <v>0</v>
      </c>
      <c r="K28" s="440">
        <f>'[3]DT trinh GD'!R107</f>
        <v>0</v>
      </c>
      <c r="L28" s="440">
        <f>'[3]DT trinh GD'!S107</f>
        <v>0</v>
      </c>
      <c r="M28" s="440">
        <f>'[3]DT trinh GD'!T107</f>
        <v>100</v>
      </c>
      <c r="N28" s="440">
        <f>'[3]DT trinh GD'!U107</f>
        <v>100</v>
      </c>
      <c r="O28" s="440">
        <f>'[3]DT trinh GD'!V107</f>
        <v>0</v>
      </c>
      <c r="P28" s="440">
        <f>'[3]DT trinh GD'!W107</f>
        <v>0</v>
      </c>
      <c r="Q28" s="440">
        <f>'[3]DT trinh GD'!X107</f>
        <v>0</v>
      </c>
      <c r="R28" s="440">
        <f>'[3]DT trinh GD'!Y107</f>
        <v>0</v>
      </c>
      <c r="S28" s="440">
        <f>'[3]DT trinh GD'!Z107</f>
        <v>0</v>
      </c>
      <c r="T28" s="440">
        <f>'[3]DT trinh GD'!AA107</f>
        <v>47</v>
      </c>
      <c r="U28" s="440">
        <f>'[3]DT trinh GD'!AB107</f>
        <v>4559</v>
      </c>
      <c r="V28" s="440">
        <f>'[3]DT trinh GD'!AC107</f>
        <v>0</v>
      </c>
      <c r="W28" s="440">
        <f>'[3]DT trinh GD'!AD107</f>
        <v>0</v>
      </c>
      <c r="X28" s="440">
        <f>'[3]DT trinh GD'!AE107</f>
        <v>0</v>
      </c>
      <c r="Y28" s="440"/>
      <c r="Z28" s="440"/>
      <c r="AA28" s="440"/>
      <c r="AB28" s="440"/>
      <c r="AC28" s="440">
        <f>'[3]DT trinh GD'!AK107</f>
        <v>0</v>
      </c>
      <c r="AD28" s="440"/>
      <c r="AE28" s="440">
        <f>'[3]DT trinh GD'!AM107</f>
        <v>45</v>
      </c>
    </row>
    <row r="29" spans="1:31" s="223" customFormat="1" ht="12" customHeight="1">
      <c r="A29" s="439">
        <v>21</v>
      </c>
      <c r="B29" s="449" t="s">
        <v>61</v>
      </c>
      <c r="C29" s="440">
        <f t="shared" si="0"/>
        <v>3338</v>
      </c>
      <c r="D29" s="440">
        <f>'[3]DT trinh GD'!K112</f>
        <v>0</v>
      </c>
      <c r="E29" s="440"/>
      <c r="F29" s="440">
        <f>'[3]DT trinh GD'!L112</f>
        <v>0</v>
      </c>
      <c r="G29" s="440">
        <f>'[3]DT trinh GD'!N112</f>
        <v>3338</v>
      </c>
      <c r="H29" s="440">
        <f>'[3]DT trinh GD'!O112</f>
        <v>0</v>
      </c>
      <c r="I29" s="440">
        <f>'[3]DT trinh GD'!P112</f>
        <v>0</v>
      </c>
      <c r="J29" s="440">
        <f>'[3]DT trinh GD'!Q112</f>
        <v>0</v>
      </c>
      <c r="K29" s="440">
        <f>'[3]DT trinh GD'!R112</f>
        <v>0</v>
      </c>
      <c r="L29" s="440">
        <f>'[3]DT trinh GD'!S112</f>
        <v>2828</v>
      </c>
      <c r="M29" s="440">
        <f>'[3]DT trinh GD'!T112</f>
        <v>300</v>
      </c>
      <c r="N29" s="440">
        <f>'[3]DT trinh GD'!U112</f>
        <v>160</v>
      </c>
      <c r="O29" s="440">
        <f>'[3]DT trinh GD'!V112</f>
        <v>0</v>
      </c>
      <c r="P29" s="440">
        <f>'[3]DT trinh GD'!W112</f>
        <v>0</v>
      </c>
      <c r="Q29" s="440">
        <f>'[3]DT trinh GD'!X112</f>
        <v>0</v>
      </c>
      <c r="R29" s="440">
        <f>'[3]DT trinh GD'!Y112</f>
        <v>0</v>
      </c>
      <c r="S29" s="440">
        <f>'[3]DT trinh GD'!Z112</f>
        <v>0</v>
      </c>
      <c r="T29" s="440">
        <f>'[3]DT trinh GD'!AA112</f>
        <v>50</v>
      </c>
      <c r="U29" s="440">
        <f>'[3]DT trinh GD'!AB112</f>
        <v>0</v>
      </c>
      <c r="V29" s="440">
        <f>'[3]DT trinh GD'!AC112</f>
        <v>0</v>
      </c>
      <c r="W29" s="440">
        <f>'[3]DT trinh GD'!AD112</f>
        <v>0</v>
      </c>
      <c r="X29" s="440">
        <f>'[3]DT trinh GD'!AE112</f>
        <v>0</v>
      </c>
      <c r="Y29" s="440"/>
      <c r="Z29" s="440"/>
      <c r="AA29" s="440"/>
      <c r="AB29" s="440"/>
      <c r="AC29" s="440">
        <f>'[3]DT trinh GD'!AK112</f>
        <v>0</v>
      </c>
      <c r="AD29" s="440"/>
      <c r="AE29" s="440">
        <f>'[3]DT trinh GD'!AM112</f>
        <v>0</v>
      </c>
    </row>
    <row r="30" spans="1:31" s="223" customFormat="1" ht="12" customHeight="1">
      <c r="A30" s="439">
        <v>22</v>
      </c>
      <c r="B30" s="449" t="s">
        <v>62</v>
      </c>
      <c r="C30" s="440">
        <f t="shared" si="0"/>
        <v>2303</v>
      </c>
      <c r="D30" s="440">
        <f>'[3]DT trinh GD'!K117</f>
        <v>0</v>
      </c>
      <c r="E30" s="440"/>
      <c r="F30" s="440">
        <f>'[3]DT trinh GD'!L117</f>
        <v>0</v>
      </c>
      <c r="G30" s="440">
        <f>'[3]DT trinh GD'!N117</f>
        <v>2303</v>
      </c>
      <c r="H30" s="440">
        <f>'[3]DT trinh GD'!O117</f>
        <v>0</v>
      </c>
      <c r="I30" s="440">
        <f>'[3]DT trinh GD'!P117</f>
        <v>0</v>
      </c>
      <c r="J30" s="440">
        <f>'[3]DT trinh GD'!Q117</f>
        <v>0</v>
      </c>
      <c r="K30" s="440">
        <f>'[3]DT trinh GD'!R117</f>
        <v>0</v>
      </c>
      <c r="L30" s="440">
        <f>'[3]DT trinh GD'!S117</f>
        <v>0</v>
      </c>
      <c r="M30" s="440">
        <f>'[3]DT trinh GD'!T117</f>
        <v>0</v>
      </c>
      <c r="N30" s="440">
        <f>'[3]DT trinh GD'!U117</f>
        <v>0</v>
      </c>
      <c r="O30" s="440">
        <f>'[3]DT trinh GD'!V117</f>
        <v>0</v>
      </c>
      <c r="P30" s="440">
        <f>'[3]DT trinh GD'!W117</f>
        <v>0</v>
      </c>
      <c r="Q30" s="440">
        <f>'[3]DT trinh GD'!X117</f>
        <v>0</v>
      </c>
      <c r="R30" s="440">
        <f>'[3]DT trinh GD'!Y117</f>
        <v>0</v>
      </c>
      <c r="S30" s="440">
        <f>'[3]DT trinh GD'!Z117</f>
        <v>0</v>
      </c>
      <c r="T30" s="440">
        <f>'[3]DT trinh GD'!AA117</f>
        <v>1170</v>
      </c>
      <c r="U30" s="440">
        <f>'[3]DT trinh GD'!AB117</f>
        <v>1113</v>
      </c>
      <c r="V30" s="440">
        <f>'[3]DT trinh GD'!AC117</f>
        <v>0</v>
      </c>
      <c r="W30" s="440">
        <f>'[3]DT trinh GD'!AD117</f>
        <v>0</v>
      </c>
      <c r="X30" s="440">
        <f>'[3]DT trinh GD'!AE117</f>
        <v>0</v>
      </c>
      <c r="Y30" s="440"/>
      <c r="Z30" s="440"/>
      <c r="AA30" s="440"/>
      <c r="AB30" s="440"/>
      <c r="AC30" s="440">
        <f>'[3]DT trinh GD'!AK117</f>
        <v>0</v>
      </c>
      <c r="AD30" s="440"/>
      <c r="AE30" s="440">
        <f>'[3]DT trinh GD'!AM117</f>
        <v>20</v>
      </c>
    </row>
    <row r="31" spans="1:31" s="223" customFormat="1" ht="12.75" customHeight="1">
      <c r="A31" s="439">
        <v>23</v>
      </c>
      <c r="B31" s="449" t="s">
        <v>63</v>
      </c>
      <c r="C31" s="440">
        <f t="shared" si="0"/>
        <v>42075</v>
      </c>
      <c r="D31" s="440">
        <f>'[3]DT trinh GD'!K118</f>
        <v>0</v>
      </c>
      <c r="E31" s="440"/>
      <c r="F31" s="440">
        <f>'[3]DT trinh GD'!L118</f>
        <v>0</v>
      </c>
      <c r="G31" s="440">
        <f>'[3]DT trinh GD'!N118</f>
        <v>42075</v>
      </c>
      <c r="H31" s="440">
        <f>'[3]DT trinh GD'!O118</f>
        <v>115</v>
      </c>
      <c r="I31" s="440">
        <f>'[3]DT trinh GD'!P118</f>
        <v>0</v>
      </c>
      <c r="J31" s="440">
        <f>'[3]DT trinh GD'!Q118</f>
        <v>0</v>
      </c>
      <c r="K31" s="440">
        <f>'[3]DT trinh GD'!R118</f>
        <v>0</v>
      </c>
      <c r="L31" s="440">
        <f>'[3]DT trinh GD'!S118</f>
        <v>599</v>
      </c>
      <c r="M31" s="440">
        <f>'[3]DT trinh GD'!T118</f>
        <v>81</v>
      </c>
      <c r="N31" s="440">
        <f>'[3]DT trinh GD'!U118</f>
        <v>1247</v>
      </c>
      <c r="O31" s="440">
        <f>'[3]DT trinh GD'!V118</f>
        <v>1356</v>
      </c>
      <c r="P31" s="440">
        <f>'[3]DT trinh GD'!W118</f>
        <v>3059</v>
      </c>
      <c r="Q31" s="440">
        <f>'[3]DT trinh GD'!X118</f>
        <v>0</v>
      </c>
      <c r="R31" s="440">
        <f>'[3]DT trinh GD'!Y118</f>
        <v>0</v>
      </c>
      <c r="S31" s="440">
        <f>'[3]DT trinh GD'!Z118</f>
        <v>2693</v>
      </c>
      <c r="T31" s="440">
        <f>'[3]DT trinh GD'!AA118</f>
        <v>240</v>
      </c>
      <c r="U31" s="440">
        <f>'[3]DT trinh GD'!AB118</f>
        <v>31839</v>
      </c>
      <c r="V31" s="440">
        <f>'[3]DT trinh GD'!AC118</f>
        <v>0</v>
      </c>
      <c r="W31" s="440">
        <f>'[3]DT trinh GD'!AD118</f>
        <v>0</v>
      </c>
      <c r="X31" s="440">
        <f>'[3]DT trinh GD'!AE118</f>
        <v>683</v>
      </c>
      <c r="Y31" s="440"/>
      <c r="Z31" s="440"/>
      <c r="AA31" s="440"/>
      <c r="AB31" s="440"/>
      <c r="AC31" s="440">
        <f>'[3]DT trinh GD'!AK118</f>
        <v>0</v>
      </c>
      <c r="AD31" s="440"/>
      <c r="AE31" s="440">
        <f>'[3]DT trinh GD'!AM118</f>
        <v>163</v>
      </c>
    </row>
    <row r="32" spans="1:31" s="222" customFormat="1" ht="11.25" customHeight="1">
      <c r="A32" s="441"/>
      <c r="B32" s="443" t="s">
        <v>64</v>
      </c>
      <c r="C32" s="442">
        <f t="shared" si="0"/>
        <v>5561</v>
      </c>
      <c r="D32" s="442">
        <f>'[3]DT trinh GD'!K119</f>
        <v>0</v>
      </c>
      <c r="E32" s="442"/>
      <c r="F32" s="442">
        <f>'[3]DT trinh GD'!L119</f>
        <v>0</v>
      </c>
      <c r="G32" s="442">
        <f>'[3]DT trinh GD'!N119</f>
        <v>5561</v>
      </c>
      <c r="H32" s="442">
        <f>'[3]DT trinh GD'!O119</f>
        <v>0</v>
      </c>
      <c r="I32" s="442">
        <f>'[3]DT trinh GD'!P119</f>
        <v>0</v>
      </c>
      <c r="J32" s="442">
        <f>'[3]DT trinh GD'!Q119</f>
        <v>0</v>
      </c>
      <c r="K32" s="442">
        <f>'[3]DT trinh GD'!R119</f>
        <v>0</v>
      </c>
      <c r="L32" s="442">
        <f>'[3]DT trinh GD'!S119</f>
        <v>0</v>
      </c>
      <c r="M32" s="442">
        <f>'[3]DT trinh GD'!T119</f>
        <v>0</v>
      </c>
      <c r="N32" s="442">
        <f>'[3]DT trinh GD'!U119</f>
        <v>347</v>
      </c>
      <c r="O32" s="442">
        <f>'[3]DT trinh GD'!V119</f>
        <v>0</v>
      </c>
      <c r="P32" s="442">
        <f>'[3]DT trinh GD'!W119</f>
        <v>0</v>
      </c>
      <c r="Q32" s="442">
        <f>'[3]DT trinh GD'!X119</f>
        <v>0</v>
      </c>
      <c r="R32" s="442">
        <f>'[3]DT trinh GD'!Y119</f>
        <v>0</v>
      </c>
      <c r="S32" s="442">
        <f>'[3]DT trinh GD'!Z119</f>
        <v>0</v>
      </c>
      <c r="T32" s="442">
        <f>'[3]DT trinh GD'!AA119</f>
        <v>30</v>
      </c>
      <c r="U32" s="442">
        <f>'[3]DT trinh GD'!AB119</f>
        <v>5134</v>
      </c>
      <c r="V32" s="442">
        <f>'[3]DT trinh GD'!AC119</f>
        <v>0</v>
      </c>
      <c r="W32" s="442">
        <f>'[3]DT trinh GD'!AD119</f>
        <v>0</v>
      </c>
      <c r="X32" s="442">
        <f>'[3]DT trinh GD'!AE119</f>
        <v>0</v>
      </c>
      <c r="Y32" s="442"/>
      <c r="Z32" s="442"/>
      <c r="AA32" s="442"/>
      <c r="AB32" s="442"/>
      <c r="AC32" s="442">
        <f>'[3]DT trinh GD'!AK119</f>
        <v>0</v>
      </c>
      <c r="AD32" s="442"/>
      <c r="AE32" s="442">
        <f>'[3]DT trinh GD'!AM119</f>
        <v>50</v>
      </c>
    </row>
    <row r="33" spans="1:31" s="222" customFormat="1" ht="11.25" customHeight="1">
      <c r="A33" s="441"/>
      <c r="B33" s="443" t="s">
        <v>65</v>
      </c>
      <c r="C33" s="442">
        <f t="shared" si="0"/>
        <v>8859</v>
      </c>
      <c r="D33" s="442">
        <f>'[3]DT trinh GD'!K120</f>
        <v>0</v>
      </c>
      <c r="E33" s="442"/>
      <c r="F33" s="442">
        <f>'[3]DT trinh GD'!L120</f>
        <v>0</v>
      </c>
      <c r="G33" s="442">
        <f>'[3]DT trinh GD'!N120</f>
        <v>8859</v>
      </c>
      <c r="H33" s="442">
        <f>'[3]DT trinh GD'!O120</f>
        <v>0</v>
      </c>
      <c r="I33" s="442">
        <f>'[3]DT trinh GD'!P120</f>
        <v>0</v>
      </c>
      <c r="J33" s="442">
        <f>'[3]DT trinh GD'!Q120</f>
        <v>0</v>
      </c>
      <c r="K33" s="442">
        <f>'[3]DT trinh GD'!R120</f>
        <v>0</v>
      </c>
      <c r="L33" s="442">
        <f>'[3]DT trinh GD'!S120</f>
        <v>0</v>
      </c>
      <c r="M33" s="442">
        <f>'[3]DT trinh GD'!T120</f>
        <v>0</v>
      </c>
      <c r="N33" s="442">
        <f>'[3]DT trinh GD'!U120</f>
        <v>525</v>
      </c>
      <c r="O33" s="442">
        <f>'[3]DT trinh GD'!V120</f>
        <v>0</v>
      </c>
      <c r="P33" s="442">
        <f>'[3]DT trinh GD'!W120</f>
        <v>1753</v>
      </c>
      <c r="Q33" s="442">
        <f>'[3]DT trinh GD'!X120</f>
        <v>0</v>
      </c>
      <c r="R33" s="442">
        <f>'[3]DT trinh GD'!Y120</f>
        <v>0</v>
      </c>
      <c r="S33" s="442">
        <f>'[3]DT trinh GD'!Z120</f>
        <v>1800</v>
      </c>
      <c r="T33" s="442">
        <f>'[3]DT trinh GD'!AA120</f>
        <v>40</v>
      </c>
      <c r="U33" s="442">
        <f>'[3]DT trinh GD'!AB120</f>
        <v>4703</v>
      </c>
      <c r="V33" s="442">
        <f>'[3]DT trinh GD'!AC120</f>
        <v>0</v>
      </c>
      <c r="W33" s="442">
        <f>'[3]DT trinh GD'!AD120</f>
        <v>0</v>
      </c>
      <c r="X33" s="442">
        <f>'[3]DT trinh GD'!AE120</f>
        <v>0</v>
      </c>
      <c r="Y33" s="442"/>
      <c r="Z33" s="442"/>
      <c r="AA33" s="442"/>
      <c r="AB33" s="442"/>
      <c r="AC33" s="442">
        <f>'[3]DT trinh GD'!AK120</f>
        <v>0</v>
      </c>
      <c r="AD33" s="442"/>
      <c r="AE33" s="442">
        <f>'[3]DT trinh GD'!AM120</f>
        <v>38</v>
      </c>
    </row>
    <row r="34" spans="1:31" s="222" customFormat="1" ht="11.25" customHeight="1">
      <c r="A34" s="441"/>
      <c r="B34" s="443" t="s">
        <v>66</v>
      </c>
      <c r="C34" s="442">
        <f t="shared" si="0"/>
        <v>7901</v>
      </c>
      <c r="D34" s="442">
        <f>'[3]DT trinh GD'!K121</f>
        <v>0</v>
      </c>
      <c r="E34" s="442"/>
      <c r="F34" s="442">
        <f>'[3]DT trinh GD'!L121</f>
        <v>0</v>
      </c>
      <c r="G34" s="442">
        <f>'[3]DT trinh GD'!N121</f>
        <v>7901</v>
      </c>
      <c r="H34" s="442">
        <f>'[3]DT trinh GD'!O121</f>
        <v>0</v>
      </c>
      <c r="I34" s="442">
        <f>'[3]DT trinh GD'!P121</f>
        <v>0</v>
      </c>
      <c r="J34" s="442">
        <f>'[3]DT trinh GD'!Q121</f>
        <v>0</v>
      </c>
      <c r="K34" s="442">
        <f>'[3]DT trinh GD'!R121</f>
        <v>0</v>
      </c>
      <c r="L34" s="442">
        <f>'[3]DT trinh GD'!S121</f>
        <v>0</v>
      </c>
      <c r="M34" s="442">
        <f>'[3]DT trinh GD'!T121</f>
        <v>0</v>
      </c>
      <c r="N34" s="442">
        <f>'[3]DT trinh GD'!U121</f>
        <v>150</v>
      </c>
      <c r="O34" s="442">
        <f>'[3]DT trinh GD'!V121</f>
        <v>0</v>
      </c>
      <c r="P34" s="442">
        <f>'[3]DT trinh GD'!W121</f>
        <v>376</v>
      </c>
      <c r="Q34" s="442">
        <f>'[3]DT trinh GD'!X121</f>
        <v>0</v>
      </c>
      <c r="R34" s="442">
        <f>'[3]DT trinh GD'!Y121</f>
        <v>0</v>
      </c>
      <c r="S34" s="442">
        <f>'[3]DT trinh GD'!Z121</f>
        <v>893</v>
      </c>
      <c r="T34" s="442">
        <f>'[3]DT trinh GD'!AA121</f>
        <v>25</v>
      </c>
      <c r="U34" s="442">
        <f>'[3]DT trinh GD'!AB121</f>
        <v>6435</v>
      </c>
      <c r="V34" s="442">
        <f>'[3]DT trinh GD'!AC121</f>
        <v>0</v>
      </c>
      <c r="W34" s="442">
        <f>'[3]DT trinh GD'!AD121</f>
        <v>0</v>
      </c>
      <c r="X34" s="442">
        <f>'[3]DT trinh GD'!AE121</f>
        <v>0</v>
      </c>
      <c r="Y34" s="442"/>
      <c r="Z34" s="442"/>
      <c r="AA34" s="442"/>
      <c r="AB34" s="442"/>
      <c r="AC34" s="442">
        <f>'[3]DT trinh GD'!AK121</f>
        <v>0</v>
      </c>
      <c r="AD34" s="442"/>
      <c r="AE34" s="442">
        <f>'[3]DT trinh GD'!AM121</f>
        <v>22</v>
      </c>
    </row>
    <row r="35" spans="1:31" s="222" customFormat="1" ht="11.25" customHeight="1">
      <c r="A35" s="441"/>
      <c r="B35" s="443" t="s">
        <v>67</v>
      </c>
      <c r="C35" s="442">
        <f t="shared" si="0"/>
        <v>5242</v>
      </c>
      <c r="D35" s="442">
        <f>'[3]DT trinh GD'!K122</f>
        <v>0</v>
      </c>
      <c r="E35" s="442"/>
      <c r="F35" s="442">
        <f>'[3]DT trinh GD'!L122</f>
        <v>0</v>
      </c>
      <c r="G35" s="442">
        <f>'[3]DT trinh GD'!N122</f>
        <v>5242</v>
      </c>
      <c r="H35" s="442">
        <f>'[3]DT trinh GD'!O122</f>
        <v>115</v>
      </c>
      <c r="I35" s="442">
        <f>'[3]DT trinh GD'!P122</f>
        <v>0</v>
      </c>
      <c r="J35" s="442">
        <f>'[3]DT trinh GD'!Q122</f>
        <v>0</v>
      </c>
      <c r="K35" s="442">
        <f>'[3]DT trinh GD'!R122</f>
        <v>0</v>
      </c>
      <c r="L35" s="442">
        <f>'[3]DT trinh GD'!S122</f>
        <v>0</v>
      </c>
      <c r="M35" s="442">
        <f>'[3]DT trinh GD'!T122</f>
        <v>81</v>
      </c>
      <c r="N35" s="442">
        <f>'[3]DT trinh GD'!U122</f>
        <v>90</v>
      </c>
      <c r="O35" s="442">
        <f>'[3]DT trinh GD'!V122</f>
        <v>0</v>
      </c>
      <c r="P35" s="442">
        <f>'[3]DT trinh GD'!W122</f>
        <v>0</v>
      </c>
      <c r="Q35" s="442">
        <f>'[3]DT trinh GD'!X122</f>
        <v>0</v>
      </c>
      <c r="R35" s="442">
        <f>'[3]DT trinh GD'!Y122</f>
        <v>0</v>
      </c>
      <c r="S35" s="442">
        <f>'[3]DT trinh GD'!Z122</f>
        <v>0</v>
      </c>
      <c r="T35" s="442">
        <f>'[3]DT trinh GD'!AA122</f>
        <v>80</v>
      </c>
      <c r="U35" s="442">
        <f>'[3]DT trinh GD'!AB122</f>
        <v>4837</v>
      </c>
      <c r="V35" s="442">
        <f>'[3]DT trinh GD'!AC122</f>
        <v>0</v>
      </c>
      <c r="W35" s="442">
        <f>'[3]DT trinh GD'!AD122</f>
        <v>0</v>
      </c>
      <c r="X35" s="442">
        <f>'[3]DT trinh GD'!AE122</f>
        <v>0</v>
      </c>
      <c r="Y35" s="442"/>
      <c r="Z35" s="442"/>
      <c r="AA35" s="442"/>
      <c r="AB35" s="442"/>
      <c r="AC35" s="442">
        <f>'[3]DT trinh GD'!AK122</f>
        <v>0</v>
      </c>
      <c r="AD35" s="442"/>
      <c r="AE35" s="442">
        <f>'[3]DT trinh GD'!AM122</f>
        <v>39</v>
      </c>
    </row>
    <row r="36" spans="1:31" s="222" customFormat="1" ht="11.25" customHeight="1">
      <c r="A36" s="441"/>
      <c r="B36" s="443" t="s">
        <v>68</v>
      </c>
      <c r="C36" s="442">
        <f t="shared" si="0"/>
        <v>991</v>
      </c>
      <c r="D36" s="442">
        <f>'[3]DT trinh GD'!K123</f>
        <v>0</v>
      </c>
      <c r="E36" s="442"/>
      <c r="F36" s="442">
        <f>'[3]DT trinh GD'!L123</f>
        <v>0</v>
      </c>
      <c r="G36" s="442">
        <f>'[3]DT trinh GD'!N123</f>
        <v>991</v>
      </c>
      <c r="H36" s="442">
        <f>'[3]DT trinh GD'!O123</f>
        <v>0</v>
      </c>
      <c r="I36" s="442">
        <f>'[3]DT trinh GD'!P123</f>
        <v>0</v>
      </c>
      <c r="J36" s="442">
        <f>'[3]DT trinh GD'!Q123</f>
        <v>0</v>
      </c>
      <c r="K36" s="442">
        <f>'[3]DT trinh GD'!R123</f>
        <v>0</v>
      </c>
      <c r="L36" s="442">
        <f>'[3]DT trinh GD'!S123</f>
        <v>0</v>
      </c>
      <c r="M36" s="442">
        <f>'[3]DT trinh GD'!T123</f>
        <v>0</v>
      </c>
      <c r="N36" s="442">
        <f>'[3]DT trinh GD'!U123</f>
        <v>0</v>
      </c>
      <c r="O36" s="442">
        <f>'[3]DT trinh GD'!V123</f>
        <v>0</v>
      </c>
      <c r="P36" s="442">
        <f>'[3]DT trinh GD'!W123</f>
        <v>130</v>
      </c>
      <c r="Q36" s="442">
        <f>'[3]DT trinh GD'!X123</f>
        <v>0</v>
      </c>
      <c r="R36" s="442">
        <f>'[3]DT trinh GD'!Y123</f>
        <v>0</v>
      </c>
      <c r="S36" s="442">
        <f>'[3]DT trinh GD'!Z123</f>
        <v>0</v>
      </c>
      <c r="T36" s="442">
        <f>'[3]DT trinh GD'!AA123</f>
        <v>0</v>
      </c>
      <c r="U36" s="442">
        <f>'[3]DT trinh GD'!AB123</f>
        <v>661</v>
      </c>
      <c r="V36" s="442">
        <f>'[3]DT trinh GD'!AC123</f>
        <v>0</v>
      </c>
      <c r="W36" s="442">
        <f>'[3]DT trinh GD'!AD123</f>
        <v>0</v>
      </c>
      <c r="X36" s="442">
        <f>'[3]DT trinh GD'!AE123</f>
        <v>200</v>
      </c>
      <c r="Y36" s="442"/>
      <c r="Z36" s="442"/>
      <c r="AA36" s="442"/>
      <c r="AB36" s="442"/>
      <c r="AC36" s="442">
        <f>'[3]DT trinh GD'!AK123</f>
        <v>0</v>
      </c>
      <c r="AD36" s="442"/>
      <c r="AE36" s="442">
        <f>'[3]DT trinh GD'!AM123</f>
        <v>0</v>
      </c>
    </row>
    <row r="37" spans="1:31" s="222" customFormat="1" ht="11.25" customHeight="1">
      <c r="A37" s="441"/>
      <c r="B37" s="443" t="s">
        <v>69</v>
      </c>
      <c r="C37" s="442">
        <f t="shared" si="0"/>
        <v>2962</v>
      </c>
      <c r="D37" s="442">
        <f>'[3]DT trinh GD'!K124</f>
        <v>0</v>
      </c>
      <c r="E37" s="442"/>
      <c r="F37" s="442">
        <f>'[3]DT trinh GD'!L124</f>
        <v>0</v>
      </c>
      <c r="G37" s="442">
        <f>'[3]DT trinh GD'!N124</f>
        <v>2962</v>
      </c>
      <c r="H37" s="442">
        <f>'[3]DT trinh GD'!O124</f>
        <v>0</v>
      </c>
      <c r="I37" s="442">
        <f>'[3]DT trinh GD'!P124</f>
        <v>0</v>
      </c>
      <c r="J37" s="442">
        <f>'[3]DT trinh GD'!Q124</f>
        <v>0</v>
      </c>
      <c r="K37" s="442">
        <f>'[3]DT trinh GD'!R124</f>
        <v>0</v>
      </c>
      <c r="L37" s="442">
        <f>'[3]DT trinh GD'!S124</f>
        <v>0</v>
      </c>
      <c r="M37" s="442">
        <f>'[3]DT trinh GD'!T124</f>
        <v>0</v>
      </c>
      <c r="N37" s="442">
        <f>'[3]DT trinh GD'!U124</f>
        <v>100</v>
      </c>
      <c r="O37" s="442">
        <f>'[3]DT trinh GD'!V124</f>
        <v>0</v>
      </c>
      <c r="P37" s="442">
        <f>'[3]DT trinh GD'!W124</f>
        <v>0</v>
      </c>
      <c r="Q37" s="442">
        <f>'[3]DT trinh GD'!X124</f>
        <v>0</v>
      </c>
      <c r="R37" s="442">
        <f>'[3]DT trinh GD'!Y124</f>
        <v>0</v>
      </c>
      <c r="S37" s="442">
        <f>'[3]DT trinh GD'!Z124</f>
        <v>0</v>
      </c>
      <c r="T37" s="442">
        <f>'[3]DT trinh GD'!AA124</f>
        <v>0</v>
      </c>
      <c r="U37" s="442">
        <f>'[3]DT trinh GD'!AB124</f>
        <v>2848</v>
      </c>
      <c r="V37" s="442">
        <f>'[3]DT trinh GD'!AC124</f>
        <v>0</v>
      </c>
      <c r="W37" s="442">
        <f>'[3]DT trinh GD'!AD124</f>
        <v>0</v>
      </c>
      <c r="X37" s="442">
        <f>'[3]DT trinh GD'!AE124</f>
        <v>0</v>
      </c>
      <c r="Y37" s="442"/>
      <c r="Z37" s="442"/>
      <c r="AA37" s="442"/>
      <c r="AB37" s="442"/>
      <c r="AC37" s="442">
        <f>'[3]DT trinh GD'!AK124</f>
        <v>0</v>
      </c>
      <c r="AD37" s="442"/>
      <c r="AE37" s="442">
        <f>'[3]DT trinh GD'!AM124</f>
        <v>14</v>
      </c>
    </row>
    <row r="38" spans="1:31" s="222" customFormat="1" ht="11.25" customHeight="1">
      <c r="A38" s="441"/>
      <c r="B38" s="443" t="s">
        <v>70</v>
      </c>
      <c r="C38" s="442">
        <f t="shared" si="0"/>
        <v>2588</v>
      </c>
      <c r="D38" s="442">
        <f>'[3]DT trinh GD'!K125</f>
        <v>0</v>
      </c>
      <c r="E38" s="442"/>
      <c r="F38" s="442">
        <f>'[3]DT trinh GD'!L125</f>
        <v>0</v>
      </c>
      <c r="G38" s="442">
        <f>'[3]DT trinh GD'!N125</f>
        <v>2588</v>
      </c>
      <c r="H38" s="442">
        <f>'[3]DT trinh GD'!O125</f>
        <v>0</v>
      </c>
      <c r="I38" s="442">
        <f>'[3]DT trinh GD'!P125</f>
        <v>0</v>
      </c>
      <c r="J38" s="442">
        <f>'[3]DT trinh GD'!Q125</f>
        <v>0</v>
      </c>
      <c r="K38" s="442">
        <f>'[3]DT trinh GD'!R125</f>
        <v>0</v>
      </c>
      <c r="L38" s="442">
        <f>'[3]DT trinh GD'!S125</f>
        <v>0</v>
      </c>
      <c r="M38" s="442">
        <f>'[3]DT trinh GD'!T125</f>
        <v>0</v>
      </c>
      <c r="N38" s="442">
        <f>'[3]DT trinh GD'!U125</f>
        <v>0</v>
      </c>
      <c r="O38" s="442">
        <f>'[3]DT trinh GD'!V125</f>
        <v>0</v>
      </c>
      <c r="P38" s="442">
        <f>'[3]DT trinh GD'!W125</f>
        <v>800</v>
      </c>
      <c r="Q38" s="442">
        <f>'[3]DT trinh GD'!X125</f>
        <v>0</v>
      </c>
      <c r="R38" s="442">
        <f>'[3]DT trinh GD'!Y125</f>
        <v>0</v>
      </c>
      <c r="S38" s="442">
        <f>'[3]DT trinh GD'!Z125</f>
        <v>0</v>
      </c>
      <c r="T38" s="442">
        <f>'[3]DT trinh GD'!AA125</f>
        <v>25</v>
      </c>
      <c r="U38" s="442">
        <f>'[3]DT trinh GD'!AB125</f>
        <v>1280</v>
      </c>
      <c r="V38" s="442">
        <f>'[3]DT trinh GD'!AC125</f>
        <v>0</v>
      </c>
      <c r="W38" s="442">
        <f>'[3]DT trinh GD'!AD125</f>
        <v>0</v>
      </c>
      <c r="X38" s="442">
        <f>'[3]DT trinh GD'!AE125</f>
        <v>483</v>
      </c>
      <c r="Y38" s="442"/>
      <c r="Z38" s="442"/>
      <c r="AA38" s="442"/>
      <c r="AB38" s="442"/>
      <c r="AC38" s="442">
        <f>'[3]DT trinh GD'!AK125</f>
        <v>0</v>
      </c>
      <c r="AD38" s="442"/>
      <c r="AE38" s="442">
        <f>'[3]DT trinh GD'!AM125</f>
        <v>0</v>
      </c>
    </row>
    <row r="39" spans="1:31" s="222" customFormat="1" ht="11.25" customHeight="1">
      <c r="A39" s="441"/>
      <c r="B39" s="443" t="s">
        <v>71</v>
      </c>
      <c r="C39" s="442">
        <f t="shared" si="0"/>
        <v>2855</v>
      </c>
      <c r="D39" s="442">
        <f>'[3]DT trinh GD'!K126</f>
        <v>0</v>
      </c>
      <c r="E39" s="442"/>
      <c r="F39" s="442">
        <f>'[3]DT trinh GD'!L126</f>
        <v>0</v>
      </c>
      <c r="G39" s="442">
        <f>'[3]DT trinh GD'!N126</f>
        <v>2855</v>
      </c>
      <c r="H39" s="442">
        <f>'[3]DT trinh GD'!O126</f>
        <v>0</v>
      </c>
      <c r="I39" s="442">
        <f>'[3]DT trinh GD'!P126</f>
        <v>0</v>
      </c>
      <c r="J39" s="442">
        <f>'[3]DT trinh GD'!Q126</f>
        <v>0</v>
      </c>
      <c r="K39" s="442">
        <f>'[3]DT trinh GD'!R126</f>
        <v>0</v>
      </c>
      <c r="L39" s="442">
        <f>'[3]DT trinh GD'!S126</f>
        <v>0</v>
      </c>
      <c r="M39" s="442">
        <f>'[3]DT trinh GD'!T126</f>
        <v>0</v>
      </c>
      <c r="N39" s="442">
        <f>'[3]DT trinh GD'!U126</f>
        <v>25</v>
      </c>
      <c r="O39" s="442">
        <f>'[3]DT trinh GD'!V126</f>
        <v>100</v>
      </c>
      <c r="P39" s="442">
        <f>'[3]DT trinh GD'!W126</f>
        <v>0</v>
      </c>
      <c r="Q39" s="442">
        <f>'[3]DT trinh GD'!X126</f>
        <v>0</v>
      </c>
      <c r="R39" s="442">
        <f>'[3]DT trinh GD'!Y126</f>
        <v>0</v>
      </c>
      <c r="S39" s="442">
        <f>'[3]DT trinh GD'!Z126</f>
        <v>0</v>
      </c>
      <c r="T39" s="442">
        <f>'[3]DT trinh GD'!AA126</f>
        <v>40</v>
      </c>
      <c r="U39" s="442">
        <f>'[3]DT trinh GD'!AB126</f>
        <v>2690</v>
      </c>
      <c r="V39" s="442">
        <f>'[3]DT trinh GD'!AC126</f>
        <v>0</v>
      </c>
      <c r="W39" s="442">
        <f>'[3]DT trinh GD'!AD126</f>
        <v>0</v>
      </c>
      <c r="X39" s="442">
        <f>'[3]DT trinh GD'!AE126</f>
        <v>0</v>
      </c>
      <c r="Y39" s="442"/>
      <c r="Z39" s="442"/>
      <c r="AA39" s="442"/>
      <c r="AB39" s="442"/>
      <c r="AC39" s="442">
        <f>'[3]DT trinh GD'!AK126</f>
        <v>0</v>
      </c>
      <c r="AD39" s="442"/>
      <c r="AE39" s="442">
        <f>'[3]DT trinh GD'!AM126</f>
        <v>0</v>
      </c>
    </row>
    <row r="40" spans="1:31" s="222" customFormat="1" ht="11.25" customHeight="1">
      <c r="A40" s="441"/>
      <c r="B40" s="443" t="s">
        <v>72</v>
      </c>
      <c r="C40" s="442">
        <f t="shared" si="0"/>
        <v>1256</v>
      </c>
      <c r="D40" s="442">
        <f>'[3]DT trinh GD'!K127</f>
        <v>0</v>
      </c>
      <c r="E40" s="442"/>
      <c r="F40" s="442">
        <f>'[3]DT trinh GD'!L127</f>
        <v>0</v>
      </c>
      <c r="G40" s="442">
        <f>'[3]DT trinh GD'!N127</f>
        <v>1256</v>
      </c>
      <c r="H40" s="442">
        <f>'[3]DT trinh GD'!O127</f>
        <v>0</v>
      </c>
      <c r="I40" s="442">
        <f>'[3]DT trinh GD'!P127</f>
        <v>0</v>
      </c>
      <c r="J40" s="442">
        <f>'[3]DT trinh GD'!Q127</f>
        <v>0</v>
      </c>
      <c r="K40" s="442">
        <f>'[3]DT trinh GD'!R127</f>
        <v>0</v>
      </c>
      <c r="L40" s="442">
        <f>'[3]DT trinh GD'!S127</f>
        <v>0</v>
      </c>
      <c r="M40" s="442">
        <f>'[3]DT trinh GD'!T127</f>
        <v>0</v>
      </c>
      <c r="N40" s="442">
        <f>'[3]DT trinh GD'!U127</f>
        <v>0</v>
      </c>
      <c r="O40" s="442">
        <f>'[3]DT trinh GD'!V127</f>
        <v>1256</v>
      </c>
      <c r="P40" s="442">
        <f>'[3]DT trinh GD'!W127</f>
        <v>0</v>
      </c>
      <c r="Q40" s="442">
        <f>'[3]DT trinh GD'!X127</f>
        <v>0</v>
      </c>
      <c r="R40" s="442">
        <f>'[3]DT trinh GD'!Y127</f>
        <v>0</v>
      </c>
      <c r="S40" s="442">
        <f>'[3]DT trinh GD'!Z127</f>
        <v>0</v>
      </c>
      <c r="T40" s="442">
        <f>'[3]DT trinh GD'!AA127</f>
        <v>0</v>
      </c>
      <c r="U40" s="442">
        <f>'[3]DT trinh GD'!AB127</f>
        <v>0</v>
      </c>
      <c r="V40" s="442">
        <f>'[3]DT trinh GD'!AC127</f>
        <v>0</v>
      </c>
      <c r="W40" s="442">
        <f>'[3]DT trinh GD'!AD127</f>
        <v>0</v>
      </c>
      <c r="X40" s="442">
        <f>'[3]DT trinh GD'!AE127</f>
        <v>0</v>
      </c>
      <c r="Y40" s="442"/>
      <c r="Z40" s="442"/>
      <c r="AA40" s="442"/>
      <c r="AB40" s="442"/>
      <c r="AC40" s="442">
        <f>'[3]DT trinh GD'!AK127</f>
        <v>0</v>
      </c>
      <c r="AD40" s="442"/>
      <c r="AE40" s="442">
        <f>'[3]DT trinh GD'!AM127</f>
        <v>0</v>
      </c>
    </row>
    <row r="41" spans="1:31" s="222" customFormat="1" ht="11.25" customHeight="1">
      <c r="A41" s="441"/>
      <c r="B41" s="443" t="s">
        <v>73</v>
      </c>
      <c r="C41" s="442">
        <f t="shared" si="0"/>
        <v>2630</v>
      </c>
      <c r="D41" s="442">
        <f>'[3]DT trinh GD'!K128</f>
        <v>0</v>
      </c>
      <c r="E41" s="442"/>
      <c r="F41" s="442">
        <f>'[3]DT trinh GD'!L128</f>
        <v>0</v>
      </c>
      <c r="G41" s="442">
        <f>'[3]DT trinh GD'!N128</f>
        <v>2630</v>
      </c>
      <c r="H41" s="442">
        <f>'[3]DT trinh GD'!O128</f>
        <v>0</v>
      </c>
      <c r="I41" s="442">
        <f>'[3]DT trinh GD'!P128</f>
        <v>0</v>
      </c>
      <c r="J41" s="442">
        <f>'[3]DT trinh GD'!Q128</f>
        <v>0</v>
      </c>
      <c r="K41" s="442">
        <f>'[3]DT trinh GD'!R128</f>
        <v>0</v>
      </c>
      <c r="L41" s="442">
        <f>'[3]DT trinh GD'!S128</f>
        <v>599</v>
      </c>
      <c r="M41" s="442">
        <f>'[3]DT trinh GD'!T128</f>
        <v>0</v>
      </c>
      <c r="N41" s="442">
        <f>'[3]DT trinh GD'!U128</f>
        <v>10</v>
      </c>
      <c r="O41" s="442">
        <f>'[3]DT trinh GD'!V128</f>
        <v>0</v>
      </c>
      <c r="P41" s="442">
        <f>'[3]DT trinh GD'!W128</f>
        <v>0</v>
      </c>
      <c r="Q41" s="442">
        <f>'[3]DT trinh GD'!X128</f>
        <v>0</v>
      </c>
      <c r="R41" s="442">
        <f>'[3]DT trinh GD'!Y128</f>
        <v>0</v>
      </c>
      <c r="S41" s="442">
        <f>'[3]DT trinh GD'!Z128</f>
        <v>0</v>
      </c>
      <c r="T41" s="442">
        <f>'[3]DT trinh GD'!AA128</f>
        <v>0</v>
      </c>
      <c r="U41" s="442">
        <f>'[3]DT trinh GD'!AB128</f>
        <v>2021</v>
      </c>
      <c r="V41" s="442">
        <f>'[3]DT trinh GD'!AC128</f>
        <v>0</v>
      </c>
      <c r="W41" s="442">
        <f>'[3]DT trinh GD'!AD128</f>
        <v>0</v>
      </c>
      <c r="X41" s="442">
        <f>'[3]DT trinh GD'!AE128</f>
        <v>0</v>
      </c>
      <c r="Y41" s="442"/>
      <c r="Z41" s="442"/>
      <c r="AA41" s="442"/>
      <c r="AB41" s="442"/>
      <c r="AC41" s="442">
        <f>'[3]DT trinh GD'!AK128</f>
        <v>0</v>
      </c>
      <c r="AD41" s="442"/>
      <c r="AE41" s="442">
        <f>'[3]DT trinh GD'!AM128</f>
        <v>0</v>
      </c>
    </row>
    <row r="42" spans="1:31" s="222" customFormat="1" ht="19.5" customHeight="1">
      <c r="A42" s="441"/>
      <c r="B42" s="443" t="s">
        <v>113</v>
      </c>
      <c r="C42" s="442">
        <f t="shared" si="0"/>
        <v>1230</v>
      </c>
      <c r="D42" s="442">
        <f>'[3]DT trinh GD'!K129</f>
        <v>0</v>
      </c>
      <c r="E42" s="442"/>
      <c r="F42" s="442">
        <f>'[3]DT trinh GD'!L129</f>
        <v>0</v>
      </c>
      <c r="G42" s="442">
        <f>'[3]DT trinh GD'!N129</f>
        <v>1230</v>
      </c>
      <c r="H42" s="442">
        <f>'[3]DT trinh GD'!O129</f>
        <v>0</v>
      </c>
      <c r="I42" s="442">
        <f>'[3]DT trinh GD'!P129</f>
        <v>0</v>
      </c>
      <c r="J42" s="442">
        <f>'[3]DT trinh GD'!Q129</f>
        <v>0</v>
      </c>
      <c r="K42" s="442">
        <f>'[3]DT trinh GD'!R129</f>
        <v>0</v>
      </c>
      <c r="L42" s="442">
        <f>'[3]DT trinh GD'!S129</f>
        <v>0</v>
      </c>
      <c r="M42" s="442">
        <f>'[3]DT trinh GD'!T129</f>
        <v>0</v>
      </c>
      <c r="N42" s="442">
        <f>'[3]DT trinh GD'!U129</f>
        <v>0</v>
      </c>
      <c r="O42" s="442">
        <f>'[3]DT trinh GD'!V129</f>
        <v>0</v>
      </c>
      <c r="P42" s="442">
        <f>'[3]DT trinh GD'!W129</f>
        <v>0</v>
      </c>
      <c r="Q42" s="442">
        <f>'[3]DT trinh GD'!X129</f>
        <v>0</v>
      </c>
      <c r="R42" s="442">
        <f>'[3]DT trinh GD'!Y129</f>
        <v>0</v>
      </c>
      <c r="S42" s="442">
        <f>'[3]DT trinh GD'!Z129</f>
        <v>0</v>
      </c>
      <c r="T42" s="442">
        <f>'[3]DT trinh GD'!AA129</f>
        <v>0</v>
      </c>
      <c r="U42" s="442">
        <f>'[3]DT trinh GD'!AB129</f>
        <v>1230</v>
      </c>
      <c r="V42" s="442">
        <f>'[3]DT trinh GD'!AC129</f>
        <v>0</v>
      </c>
      <c r="W42" s="442">
        <f>'[3]DT trinh GD'!AD129</f>
        <v>0</v>
      </c>
      <c r="X42" s="442">
        <f>'[3]DT trinh GD'!AE129</f>
        <v>0</v>
      </c>
      <c r="Y42" s="442"/>
      <c r="Z42" s="442"/>
      <c r="AA42" s="442"/>
      <c r="AB42" s="442"/>
      <c r="AC42" s="442">
        <f>'[3]DT trinh GD'!AK129</f>
        <v>0</v>
      </c>
      <c r="AD42" s="442"/>
      <c r="AE42" s="442">
        <f>'[3]DT trinh GD'!AM129</f>
        <v>0</v>
      </c>
    </row>
    <row r="43" spans="1:31" s="223" customFormat="1" ht="12.75" customHeight="1">
      <c r="A43" s="439">
        <v>24</v>
      </c>
      <c r="B43" s="449" t="s">
        <v>74</v>
      </c>
      <c r="C43" s="440">
        <f t="shared" si="0"/>
        <v>79423</v>
      </c>
      <c r="D43" s="440">
        <f>'[3]DT trinh GD'!K130</f>
        <v>0</v>
      </c>
      <c r="E43" s="440"/>
      <c r="F43" s="440">
        <f>'[3]DT trinh GD'!L130</f>
        <v>0</v>
      </c>
      <c r="G43" s="440">
        <f>'[3]DT trinh GD'!N130</f>
        <v>79423</v>
      </c>
      <c r="H43" s="440">
        <f>'[3]DT trinh GD'!O130</f>
        <v>0</v>
      </c>
      <c r="I43" s="440">
        <f>'[3]DT trinh GD'!P130</f>
        <v>0</v>
      </c>
      <c r="J43" s="440">
        <f>'[3]DT trinh GD'!Q130</f>
        <v>0</v>
      </c>
      <c r="K43" s="440">
        <f>'[3]DT trinh GD'!R130</f>
        <v>0</v>
      </c>
      <c r="L43" s="440">
        <f>'[3]DT trinh GD'!S130</f>
        <v>0</v>
      </c>
      <c r="M43" s="440">
        <f>'[3]DT trinh GD'!T130</f>
        <v>0</v>
      </c>
      <c r="N43" s="440">
        <f>'[3]DT trinh GD'!U130</f>
        <v>79383</v>
      </c>
      <c r="O43" s="440">
        <f>'[3]DT trinh GD'!V130</f>
        <v>0</v>
      </c>
      <c r="P43" s="440">
        <f>'[3]DT trinh GD'!W130</f>
        <v>0</v>
      </c>
      <c r="Q43" s="440">
        <f>'[3]DT trinh GD'!X130</f>
        <v>0</v>
      </c>
      <c r="R43" s="440">
        <f>'[3]DT trinh GD'!Y130</f>
        <v>0</v>
      </c>
      <c r="S43" s="440">
        <f>'[3]DT trinh GD'!Z130</f>
        <v>0</v>
      </c>
      <c r="T43" s="440">
        <f>'[3]DT trinh GD'!AA130</f>
        <v>40</v>
      </c>
      <c r="U43" s="440">
        <f>'[3]DT trinh GD'!AB130</f>
        <v>0</v>
      </c>
      <c r="V43" s="440">
        <f>'[3]DT trinh GD'!AC130</f>
        <v>0</v>
      </c>
      <c r="W43" s="440">
        <f>'[3]DT trinh GD'!AD130</f>
        <v>0</v>
      </c>
      <c r="X43" s="440">
        <f>'[3]DT trinh GD'!AE130</f>
        <v>0</v>
      </c>
      <c r="Y43" s="440"/>
      <c r="Z43" s="440"/>
      <c r="AA43" s="440"/>
      <c r="AB43" s="440"/>
      <c r="AC43" s="440">
        <f>'[3]DT trinh GD'!AK130</f>
        <v>0</v>
      </c>
      <c r="AD43" s="440"/>
      <c r="AE43" s="440">
        <f>'[3]DT trinh GD'!AM130</f>
        <v>0</v>
      </c>
    </row>
    <row r="44" spans="1:31" s="222" customFormat="1" ht="12" customHeight="1">
      <c r="A44" s="441"/>
      <c r="B44" s="443" t="s">
        <v>75</v>
      </c>
      <c r="C44" s="442">
        <f t="shared" si="0"/>
        <v>14886</v>
      </c>
      <c r="D44" s="442">
        <f>'[3]DT trinh GD'!K131</f>
        <v>0</v>
      </c>
      <c r="E44" s="442"/>
      <c r="F44" s="442">
        <f>'[3]DT trinh GD'!L131</f>
        <v>0</v>
      </c>
      <c r="G44" s="442">
        <f>'[3]DT trinh GD'!N131</f>
        <v>14886</v>
      </c>
      <c r="H44" s="442">
        <f>'[3]DT trinh GD'!O131</f>
        <v>0</v>
      </c>
      <c r="I44" s="442">
        <f>'[3]DT trinh GD'!P131</f>
        <v>0</v>
      </c>
      <c r="J44" s="442">
        <f>'[3]DT trinh GD'!Q131</f>
        <v>0</v>
      </c>
      <c r="K44" s="442">
        <f>'[3]DT trinh GD'!R131</f>
        <v>0</v>
      </c>
      <c r="L44" s="442">
        <f>'[3]DT trinh GD'!S131</f>
        <v>0</v>
      </c>
      <c r="M44" s="442">
        <f>'[3]DT trinh GD'!T131</f>
        <v>0</v>
      </c>
      <c r="N44" s="442">
        <f>'[3]DT trinh GD'!U131</f>
        <v>14846</v>
      </c>
      <c r="O44" s="442">
        <f>'[3]DT trinh GD'!V131</f>
        <v>0</v>
      </c>
      <c r="P44" s="442">
        <f>'[3]DT trinh GD'!W131</f>
        <v>0</v>
      </c>
      <c r="Q44" s="442">
        <f>'[3]DT trinh GD'!X131</f>
        <v>0</v>
      </c>
      <c r="R44" s="442">
        <f>'[3]DT trinh GD'!Y131</f>
        <v>0</v>
      </c>
      <c r="S44" s="442">
        <f>'[3]DT trinh GD'!Z131</f>
        <v>0</v>
      </c>
      <c r="T44" s="442">
        <f>'[3]DT trinh GD'!AA131</f>
        <v>40</v>
      </c>
      <c r="U44" s="442">
        <f>'[3]DT trinh GD'!AB131</f>
        <v>0</v>
      </c>
      <c r="V44" s="442">
        <f>'[3]DT trinh GD'!AC131</f>
        <v>0</v>
      </c>
      <c r="W44" s="442">
        <f>'[3]DT trinh GD'!AD131</f>
        <v>0</v>
      </c>
      <c r="X44" s="442">
        <f>'[3]DT trinh GD'!AE131</f>
        <v>0</v>
      </c>
      <c r="Y44" s="442"/>
      <c r="Z44" s="442"/>
      <c r="AA44" s="442"/>
      <c r="AB44" s="442"/>
      <c r="AC44" s="442">
        <f>'[3]DT trinh GD'!AK131</f>
        <v>0</v>
      </c>
      <c r="AD44" s="442"/>
      <c r="AE44" s="442">
        <f>'[3]DT trinh GD'!AM131</f>
        <v>0</v>
      </c>
    </row>
    <row r="45" spans="1:31" s="222" customFormat="1" ht="12" customHeight="1">
      <c r="A45" s="441"/>
      <c r="B45" s="443" t="s">
        <v>110</v>
      </c>
      <c r="C45" s="442">
        <f t="shared" si="0"/>
        <v>33934</v>
      </c>
      <c r="D45" s="442">
        <f>'[3]DT trinh GD'!K133</f>
        <v>0</v>
      </c>
      <c r="E45" s="442"/>
      <c r="F45" s="442">
        <f>'[3]DT trinh GD'!L133</f>
        <v>0</v>
      </c>
      <c r="G45" s="442">
        <f>'[3]DT trinh GD'!N133</f>
        <v>33934</v>
      </c>
      <c r="H45" s="442">
        <f>'[3]DT trinh GD'!O133</f>
        <v>0</v>
      </c>
      <c r="I45" s="442">
        <f>'[3]DT trinh GD'!P133</f>
        <v>0</v>
      </c>
      <c r="J45" s="442">
        <f>'[3]DT trinh GD'!Q133</f>
        <v>0</v>
      </c>
      <c r="K45" s="442">
        <f>'[3]DT trinh GD'!R133</f>
        <v>0</v>
      </c>
      <c r="L45" s="442">
        <f>'[3]DT trinh GD'!S133</f>
        <v>0</v>
      </c>
      <c r="M45" s="442">
        <f>'[3]DT trinh GD'!T133</f>
        <v>0</v>
      </c>
      <c r="N45" s="442">
        <f>'[3]DT trinh GD'!U133</f>
        <v>33934</v>
      </c>
      <c r="O45" s="442">
        <f>'[3]DT trinh GD'!V133</f>
        <v>0</v>
      </c>
      <c r="P45" s="442">
        <f>'[3]DT trinh GD'!W133</f>
        <v>0</v>
      </c>
      <c r="Q45" s="442">
        <f>'[3]DT trinh GD'!X133</f>
        <v>0</v>
      </c>
      <c r="R45" s="442">
        <f>'[3]DT trinh GD'!Y133</f>
        <v>0</v>
      </c>
      <c r="S45" s="442">
        <f>'[3]DT trinh GD'!Z133</f>
        <v>0</v>
      </c>
      <c r="T45" s="442">
        <f>'[3]DT trinh GD'!AA133</f>
        <v>0</v>
      </c>
      <c r="U45" s="442">
        <f>'[3]DT trinh GD'!AB133</f>
        <v>0</v>
      </c>
      <c r="V45" s="442">
        <f>'[3]DT trinh GD'!AC133</f>
        <v>0</v>
      </c>
      <c r="W45" s="442">
        <f>'[3]DT trinh GD'!AD133</f>
        <v>0</v>
      </c>
      <c r="X45" s="442">
        <f>'[3]DT trinh GD'!AE133</f>
        <v>0</v>
      </c>
      <c r="Y45" s="442"/>
      <c r="Z45" s="442"/>
      <c r="AA45" s="442"/>
      <c r="AB45" s="442"/>
      <c r="AC45" s="442">
        <f>'[3]DT trinh GD'!AK133</f>
        <v>0</v>
      </c>
      <c r="AD45" s="442"/>
      <c r="AE45" s="442">
        <f>'[3]DT trinh GD'!AM133</f>
        <v>0</v>
      </c>
    </row>
    <row r="46" spans="1:31" s="222" customFormat="1" ht="12" customHeight="1">
      <c r="A46" s="441"/>
      <c r="B46" s="443" t="s">
        <v>114</v>
      </c>
      <c r="C46" s="442">
        <f t="shared" si="0"/>
        <v>30603</v>
      </c>
      <c r="D46" s="442">
        <f>'[3]DT trinh GD'!K134</f>
        <v>0</v>
      </c>
      <c r="E46" s="442"/>
      <c r="F46" s="442">
        <f>'[3]DT trinh GD'!L134</f>
        <v>0</v>
      </c>
      <c r="G46" s="442">
        <f>'[3]DT trinh GD'!N134</f>
        <v>30603</v>
      </c>
      <c r="H46" s="442">
        <f>'[3]DT trinh GD'!O134</f>
        <v>0</v>
      </c>
      <c r="I46" s="442">
        <f>'[3]DT trinh GD'!P134</f>
        <v>0</v>
      </c>
      <c r="J46" s="442">
        <f>'[3]DT trinh GD'!Q134</f>
        <v>0</v>
      </c>
      <c r="K46" s="442">
        <f>'[3]DT trinh GD'!R134</f>
        <v>0</v>
      </c>
      <c r="L46" s="442">
        <f>'[3]DT trinh GD'!S134</f>
        <v>0</v>
      </c>
      <c r="M46" s="442">
        <f>'[3]DT trinh GD'!T134</f>
        <v>0</v>
      </c>
      <c r="N46" s="442">
        <f>'[3]DT trinh GD'!U134</f>
        <v>30603</v>
      </c>
      <c r="O46" s="442">
        <f>'[3]DT trinh GD'!V134</f>
        <v>0</v>
      </c>
      <c r="P46" s="442">
        <f>'[3]DT trinh GD'!W134</f>
        <v>0</v>
      </c>
      <c r="Q46" s="442">
        <f>'[3]DT trinh GD'!X134</f>
        <v>0</v>
      </c>
      <c r="R46" s="442">
        <f>'[3]DT trinh GD'!Y134</f>
        <v>0</v>
      </c>
      <c r="S46" s="442">
        <f>'[3]DT trinh GD'!Z134</f>
        <v>0</v>
      </c>
      <c r="T46" s="442">
        <f>'[3]DT trinh GD'!AA134</f>
        <v>0</v>
      </c>
      <c r="U46" s="442">
        <f>'[3]DT trinh GD'!AB134</f>
        <v>0</v>
      </c>
      <c r="V46" s="442">
        <f>'[3]DT trinh GD'!AC134</f>
        <v>0</v>
      </c>
      <c r="W46" s="442">
        <f>'[3]DT trinh GD'!AD134</f>
        <v>0</v>
      </c>
      <c r="X46" s="442">
        <f>'[3]DT trinh GD'!AE134</f>
        <v>0</v>
      </c>
      <c r="Y46" s="442"/>
      <c r="Z46" s="442"/>
      <c r="AA46" s="442"/>
      <c r="AB46" s="442"/>
      <c r="AC46" s="442">
        <f>'[3]DT trinh GD'!AK134</f>
        <v>0</v>
      </c>
      <c r="AD46" s="442"/>
      <c r="AE46" s="442">
        <f>'[3]DT trinh GD'!AM134</f>
        <v>0</v>
      </c>
    </row>
    <row r="47" spans="1:31" s="223" customFormat="1" ht="12.75" customHeight="1">
      <c r="A47" s="439">
        <v>25</v>
      </c>
      <c r="B47" s="449" t="str">
        <f>'[3]DT trinh GD'!B135</f>
        <v>Các nhiệm vụ KHCN cấp cơ sở</v>
      </c>
      <c r="C47" s="440">
        <f t="shared" si="0"/>
        <v>2000</v>
      </c>
      <c r="D47" s="440">
        <f>'[3]DT trinh GD'!K135</f>
        <v>0</v>
      </c>
      <c r="E47" s="440"/>
      <c r="F47" s="440">
        <f>'[3]DT trinh GD'!L135</f>
        <v>0</v>
      </c>
      <c r="G47" s="440">
        <f>'[3]DT trinh GD'!N135</f>
        <v>2000</v>
      </c>
      <c r="H47" s="440">
        <f>'[3]DT trinh GD'!O135</f>
        <v>0</v>
      </c>
      <c r="I47" s="440">
        <f>'[3]DT trinh GD'!P135</f>
        <v>0</v>
      </c>
      <c r="J47" s="440">
        <f>'[3]DT trinh GD'!Q135</f>
        <v>0</v>
      </c>
      <c r="K47" s="440">
        <f>'[3]DT trinh GD'!R135</f>
        <v>0</v>
      </c>
      <c r="L47" s="440">
        <f>'[3]DT trinh GD'!S135</f>
        <v>0</v>
      </c>
      <c r="M47" s="440">
        <f>'[3]DT trinh GD'!T135</f>
        <v>0</v>
      </c>
      <c r="N47" s="440">
        <f>'[3]DT trinh GD'!U135</f>
        <v>0</v>
      </c>
      <c r="O47" s="440">
        <f>'[3]DT trinh GD'!V135</f>
        <v>0</v>
      </c>
      <c r="P47" s="440">
        <f>'[3]DT trinh GD'!W135</f>
        <v>0</v>
      </c>
      <c r="Q47" s="440">
        <f>'[3]DT trinh GD'!X135</f>
        <v>0</v>
      </c>
      <c r="R47" s="440">
        <f>'[3]DT trinh GD'!Y135</f>
        <v>0</v>
      </c>
      <c r="S47" s="440">
        <f>'[3]DT trinh GD'!Z135</f>
        <v>0</v>
      </c>
      <c r="T47" s="440">
        <f>'[3]DT trinh GD'!AA135</f>
        <v>2000</v>
      </c>
      <c r="U47" s="440">
        <f>'[3]DT trinh GD'!AB135</f>
        <v>0</v>
      </c>
      <c r="V47" s="440">
        <f>'[3]DT trinh GD'!AC135</f>
        <v>0</v>
      </c>
      <c r="W47" s="440">
        <f>'[3]DT trinh GD'!AD135</f>
        <v>0</v>
      </c>
      <c r="X47" s="440">
        <f>'[3]DT trinh GD'!AE135</f>
        <v>0</v>
      </c>
      <c r="Y47" s="440"/>
      <c r="Z47" s="440"/>
      <c r="AA47" s="440"/>
      <c r="AB47" s="440"/>
      <c r="AC47" s="440">
        <f>'[3]DT trinh GD'!AK135</f>
        <v>0</v>
      </c>
      <c r="AD47" s="440"/>
      <c r="AE47" s="440">
        <f>'[3]DT trinh GD'!AM135</f>
        <v>0</v>
      </c>
    </row>
    <row r="48" spans="1:31" s="223" customFormat="1" ht="12.75" customHeight="1">
      <c r="A48" s="439">
        <v>26</v>
      </c>
      <c r="B48" s="449" t="s">
        <v>94</v>
      </c>
      <c r="C48" s="440">
        <f t="shared" si="0"/>
        <v>4517</v>
      </c>
      <c r="D48" s="440">
        <f>'[3]DT trinh GD'!K136</f>
        <v>0</v>
      </c>
      <c r="E48" s="440"/>
      <c r="F48" s="440">
        <f>'[3]DT trinh GD'!L136</f>
        <v>0</v>
      </c>
      <c r="G48" s="440">
        <f>'[3]DT trinh GD'!N136</f>
        <v>4517</v>
      </c>
      <c r="H48" s="440">
        <f>'[3]DT trinh GD'!O136</f>
        <v>0</v>
      </c>
      <c r="I48" s="440">
        <f>'[3]DT trinh GD'!P136</f>
        <v>0</v>
      </c>
      <c r="J48" s="440">
        <f>'[3]DT trinh GD'!Q136</f>
        <v>0</v>
      </c>
      <c r="K48" s="440">
        <f>'[3]DT trinh GD'!R136</f>
        <v>0</v>
      </c>
      <c r="L48" s="440">
        <f>'[3]DT trinh GD'!S136</f>
        <v>0</v>
      </c>
      <c r="M48" s="440">
        <f>'[3]DT trinh GD'!T136</f>
        <v>0</v>
      </c>
      <c r="N48" s="440">
        <f>'[3]DT trinh GD'!U136</f>
        <v>10</v>
      </c>
      <c r="O48" s="440">
        <f>'[3]DT trinh GD'!V136</f>
        <v>173</v>
      </c>
      <c r="P48" s="440">
        <f>'[3]DT trinh GD'!W136</f>
        <v>0</v>
      </c>
      <c r="Q48" s="440">
        <f>'[3]DT trinh GD'!X136</f>
        <v>0</v>
      </c>
      <c r="R48" s="440">
        <f>'[3]DT trinh GD'!Y136</f>
        <v>0</v>
      </c>
      <c r="S48" s="440">
        <f>'[3]DT trinh GD'!Z136</f>
        <v>0</v>
      </c>
      <c r="T48" s="440">
        <f>'[3]DT trinh GD'!AA136</f>
        <v>0</v>
      </c>
      <c r="U48" s="440">
        <f>'[3]DT trinh GD'!AB136</f>
        <v>4334</v>
      </c>
      <c r="V48" s="440">
        <f>'[3]DT trinh GD'!AC136</f>
        <v>0</v>
      </c>
      <c r="W48" s="440">
        <f>'[3]DT trinh GD'!AD136</f>
        <v>0</v>
      </c>
      <c r="X48" s="440">
        <f>'[3]DT trinh GD'!AE136</f>
        <v>0</v>
      </c>
      <c r="Y48" s="440"/>
      <c r="Z48" s="440"/>
      <c r="AA48" s="440"/>
      <c r="AB48" s="440"/>
      <c r="AC48" s="440">
        <f>'[3]DT trinh GD'!AK136</f>
        <v>0</v>
      </c>
      <c r="AD48" s="440"/>
      <c r="AE48" s="440">
        <f>'[3]DT trinh GD'!AM136</f>
        <v>0</v>
      </c>
    </row>
    <row r="49" spans="1:31" s="222" customFormat="1" ht="12.75" customHeight="1">
      <c r="A49" s="441"/>
      <c r="B49" s="443" t="s">
        <v>101</v>
      </c>
      <c r="C49" s="442">
        <f t="shared" si="0"/>
        <v>188</v>
      </c>
      <c r="D49" s="442">
        <f>'[3]DT trinh GD'!K137</f>
        <v>0</v>
      </c>
      <c r="E49" s="442"/>
      <c r="F49" s="442">
        <f>'[3]DT trinh GD'!L137</f>
        <v>0</v>
      </c>
      <c r="G49" s="442">
        <f>'[3]DT trinh GD'!N137</f>
        <v>188</v>
      </c>
      <c r="H49" s="442">
        <f>'[3]DT trinh GD'!O137</f>
        <v>0</v>
      </c>
      <c r="I49" s="442">
        <f>'[3]DT trinh GD'!P137</f>
        <v>0</v>
      </c>
      <c r="J49" s="442">
        <f>'[3]DT trinh GD'!Q137</f>
        <v>0</v>
      </c>
      <c r="K49" s="442">
        <f>'[3]DT trinh GD'!R137</f>
        <v>0</v>
      </c>
      <c r="L49" s="442">
        <f>'[3]DT trinh GD'!S137</f>
        <v>0</v>
      </c>
      <c r="M49" s="442">
        <f>'[3]DT trinh GD'!T137</f>
        <v>0</v>
      </c>
      <c r="N49" s="442">
        <f>'[3]DT trinh GD'!U137</f>
        <v>0</v>
      </c>
      <c r="O49" s="442">
        <f>'[3]DT trinh GD'!V137</f>
        <v>0</v>
      </c>
      <c r="P49" s="442">
        <f>'[3]DT trinh GD'!W137</f>
        <v>0</v>
      </c>
      <c r="Q49" s="442">
        <f>'[3]DT trinh GD'!X137</f>
        <v>0</v>
      </c>
      <c r="R49" s="442">
        <f>'[3]DT trinh GD'!Y137</f>
        <v>0</v>
      </c>
      <c r="S49" s="442">
        <f>'[3]DT trinh GD'!Z137</f>
        <v>0</v>
      </c>
      <c r="T49" s="442">
        <f>'[3]DT trinh GD'!AA137</f>
        <v>0</v>
      </c>
      <c r="U49" s="442">
        <f>'[3]DT trinh GD'!AB137</f>
        <v>188</v>
      </c>
      <c r="V49" s="442">
        <f>'[3]DT trinh GD'!AC137</f>
        <v>0</v>
      </c>
      <c r="W49" s="442">
        <f>'[3]DT trinh GD'!AD137</f>
        <v>0</v>
      </c>
      <c r="X49" s="442">
        <f>'[3]DT trinh GD'!AE137</f>
        <v>0</v>
      </c>
      <c r="Y49" s="442"/>
      <c r="Z49" s="442"/>
      <c r="AA49" s="442"/>
      <c r="AB49" s="442"/>
      <c r="AC49" s="442">
        <f>'[3]DT trinh GD'!AK137</f>
        <v>0</v>
      </c>
      <c r="AD49" s="442"/>
      <c r="AE49" s="442">
        <f>'[3]DT trinh GD'!AM137</f>
        <v>0</v>
      </c>
    </row>
    <row r="50" spans="1:31" s="222" customFormat="1" ht="12.75" customHeight="1">
      <c r="A50" s="441"/>
      <c r="B50" s="443" t="str">
        <f>'[3]DT trinh GD'!B138</f>
        <v>Hội cựu giáo chức</v>
      </c>
      <c r="C50" s="442">
        <f t="shared" si="0"/>
        <v>174</v>
      </c>
      <c r="D50" s="442"/>
      <c r="E50" s="442"/>
      <c r="F50" s="442"/>
      <c r="G50" s="442">
        <f>'[3]DT trinh GD'!N138</f>
        <v>174</v>
      </c>
      <c r="H50" s="442"/>
      <c r="I50" s="442"/>
      <c r="J50" s="442"/>
      <c r="K50" s="442"/>
      <c r="L50" s="442"/>
      <c r="M50" s="442"/>
      <c r="N50" s="442"/>
      <c r="O50" s="442"/>
      <c r="P50" s="442"/>
      <c r="Q50" s="442"/>
      <c r="R50" s="442"/>
      <c r="S50" s="442"/>
      <c r="T50" s="442"/>
      <c r="U50" s="442">
        <f>'[3]DT trinh GD'!AB138</f>
        <v>174</v>
      </c>
      <c r="V50" s="442"/>
      <c r="W50" s="442"/>
      <c r="X50" s="442"/>
      <c r="Y50" s="442"/>
      <c r="Z50" s="442"/>
      <c r="AA50" s="442"/>
      <c r="AB50" s="442"/>
      <c r="AC50" s="442"/>
      <c r="AD50" s="442"/>
      <c r="AE50" s="442"/>
    </row>
    <row r="51" spans="1:31" s="222" customFormat="1" ht="12.75" customHeight="1">
      <c r="A51" s="441"/>
      <c r="B51" s="443" t="s">
        <v>77</v>
      </c>
      <c r="C51" s="442">
        <f t="shared" si="0"/>
        <v>521</v>
      </c>
      <c r="D51" s="442">
        <f>'[3]DT trinh GD'!K139</f>
        <v>0</v>
      </c>
      <c r="E51" s="442"/>
      <c r="F51" s="442">
        <f>'[3]DT trinh GD'!L139</f>
        <v>0</v>
      </c>
      <c r="G51" s="442">
        <f>'[3]DT trinh GD'!N139</f>
        <v>521</v>
      </c>
      <c r="H51" s="442">
        <f>'[3]DT trinh GD'!O139</f>
        <v>0</v>
      </c>
      <c r="I51" s="442">
        <f>'[3]DT trinh GD'!P139</f>
        <v>0</v>
      </c>
      <c r="J51" s="442">
        <f>'[3]DT trinh GD'!Q139</f>
        <v>0</v>
      </c>
      <c r="K51" s="442">
        <f>'[3]DT trinh GD'!R139</f>
        <v>0</v>
      </c>
      <c r="L51" s="442">
        <f>'[3]DT trinh GD'!S139</f>
        <v>0</v>
      </c>
      <c r="M51" s="442">
        <f>'[3]DT trinh GD'!T139</f>
        <v>0</v>
      </c>
      <c r="N51" s="442">
        <f>'[3]DT trinh GD'!U139</f>
        <v>0</v>
      </c>
      <c r="O51" s="442">
        <f>'[3]DT trinh GD'!V139</f>
        <v>0</v>
      </c>
      <c r="P51" s="442">
        <f>'[3]DT trinh GD'!W139</f>
        <v>0</v>
      </c>
      <c r="Q51" s="442">
        <f>'[3]DT trinh GD'!X139</f>
        <v>0</v>
      </c>
      <c r="R51" s="442">
        <f>'[3]DT trinh GD'!Y139</f>
        <v>0</v>
      </c>
      <c r="S51" s="442">
        <f>'[3]DT trinh GD'!Z139</f>
        <v>0</v>
      </c>
      <c r="T51" s="442">
        <f>'[3]DT trinh GD'!AA139</f>
        <v>0</v>
      </c>
      <c r="U51" s="442">
        <f>'[3]DT trinh GD'!AB139</f>
        <v>521</v>
      </c>
      <c r="V51" s="442">
        <f>'[3]DT trinh GD'!AC139</f>
        <v>0</v>
      </c>
      <c r="W51" s="442">
        <f>'[3]DT trinh GD'!AD139</f>
        <v>0</v>
      </c>
      <c r="X51" s="442">
        <f>'[3]DT trinh GD'!AE139</f>
        <v>0</v>
      </c>
      <c r="Y51" s="442"/>
      <c r="Z51" s="442"/>
      <c r="AA51" s="442"/>
      <c r="AB51" s="442"/>
      <c r="AC51" s="442">
        <f>'[3]DT trinh GD'!AK139</f>
        <v>0</v>
      </c>
      <c r="AD51" s="442"/>
      <c r="AE51" s="442">
        <f>'[3]DT trinh GD'!AM139</f>
        <v>0</v>
      </c>
    </row>
    <row r="52" spans="1:31" s="222" customFormat="1" ht="12.75" customHeight="1">
      <c r="A52" s="441"/>
      <c r="B52" s="443" t="s">
        <v>118</v>
      </c>
      <c r="C52" s="442">
        <f t="shared" si="0"/>
        <v>56</v>
      </c>
      <c r="D52" s="442">
        <f>'[3]DT trinh GD'!K140</f>
        <v>0</v>
      </c>
      <c r="E52" s="442"/>
      <c r="F52" s="442">
        <f>'[3]DT trinh GD'!L140</f>
        <v>0</v>
      </c>
      <c r="G52" s="442">
        <f>'[3]DT trinh GD'!N140</f>
        <v>56</v>
      </c>
      <c r="H52" s="442">
        <f>'[3]DT trinh GD'!O140</f>
        <v>0</v>
      </c>
      <c r="I52" s="442">
        <f>'[3]DT trinh GD'!P140</f>
        <v>0</v>
      </c>
      <c r="J52" s="442">
        <f>'[3]DT trinh GD'!Q140</f>
        <v>0</v>
      </c>
      <c r="K52" s="442">
        <f>'[3]DT trinh GD'!R140</f>
        <v>0</v>
      </c>
      <c r="L52" s="442">
        <f>'[3]DT trinh GD'!S140</f>
        <v>0</v>
      </c>
      <c r="M52" s="442">
        <f>'[3]DT trinh GD'!T140</f>
        <v>0</v>
      </c>
      <c r="N52" s="442">
        <f>'[3]DT trinh GD'!U140</f>
        <v>0</v>
      </c>
      <c r="O52" s="442">
        <f>'[3]DT trinh GD'!V140</f>
        <v>0</v>
      </c>
      <c r="P52" s="442">
        <f>'[3]DT trinh GD'!W140</f>
        <v>0</v>
      </c>
      <c r="Q52" s="442">
        <f>'[3]DT trinh GD'!X140</f>
        <v>0</v>
      </c>
      <c r="R52" s="442">
        <f>'[3]DT trinh GD'!Y140</f>
        <v>0</v>
      </c>
      <c r="S52" s="442">
        <f>'[3]DT trinh GD'!Z140</f>
        <v>0</v>
      </c>
      <c r="T52" s="442">
        <f>'[3]DT trinh GD'!AA140</f>
        <v>0</v>
      </c>
      <c r="U52" s="442">
        <f>'[3]DT trinh GD'!AB140</f>
        <v>56</v>
      </c>
      <c r="V52" s="442">
        <f>'[3]DT trinh GD'!AC140</f>
        <v>0</v>
      </c>
      <c r="W52" s="442">
        <f>'[3]DT trinh GD'!AD140</f>
        <v>0</v>
      </c>
      <c r="X52" s="442">
        <f>'[3]DT trinh GD'!AE140</f>
        <v>0</v>
      </c>
      <c r="Y52" s="442"/>
      <c r="Z52" s="442"/>
      <c r="AA52" s="442"/>
      <c r="AB52" s="442"/>
      <c r="AC52" s="442">
        <f>'[3]DT trinh GD'!AK140</f>
        <v>0</v>
      </c>
      <c r="AD52" s="442"/>
      <c r="AE52" s="442">
        <f>'[3]DT trinh GD'!AM140</f>
        <v>0</v>
      </c>
    </row>
    <row r="53" spans="1:31" s="222" customFormat="1" ht="12.75" customHeight="1">
      <c r="A53" s="441"/>
      <c r="B53" s="443" t="s">
        <v>80</v>
      </c>
      <c r="C53" s="442">
        <f t="shared" si="0"/>
        <v>417</v>
      </c>
      <c r="D53" s="442">
        <f>'[3]DT trinh GD'!K141</f>
        <v>0</v>
      </c>
      <c r="E53" s="442"/>
      <c r="F53" s="442">
        <f>'[3]DT trinh GD'!L141</f>
        <v>0</v>
      </c>
      <c r="G53" s="442">
        <f>'[3]DT trinh GD'!N141</f>
        <v>417</v>
      </c>
      <c r="H53" s="442">
        <f>'[3]DT trinh GD'!O141</f>
        <v>0</v>
      </c>
      <c r="I53" s="442">
        <f>'[3]DT trinh GD'!P141</f>
        <v>0</v>
      </c>
      <c r="J53" s="442">
        <f>'[3]DT trinh GD'!Q141</f>
        <v>0</v>
      </c>
      <c r="K53" s="442">
        <f>'[3]DT trinh GD'!R141</f>
        <v>0</v>
      </c>
      <c r="L53" s="442">
        <f>'[3]DT trinh GD'!S141</f>
        <v>0</v>
      </c>
      <c r="M53" s="442">
        <f>'[3]DT trinh GD'!T141</f>
        <v>0</v>
      </c>
      <c r="N53" s="442">
        <f>'[3]DT trinh GD'!U141</f>
        <v>0</v>
      </c>
      <c r="O53" s="442">
        <f>'[3]DT trinh GD'!V141</f>
        <v>0</v>
      </c>
      <c r="P53" s="442">
        <f>'[3]DT trinh GD'!W141</f>
        <v>0</v>
      </c>
      <c r="Q53" s="442">
        <f>'[3]DT trinh GD'!X141</f>
        <v>0</v>
      </c>
      <c r="R53" s="442">
        <f>'[3]DT trinh GD'!Y141</f>
        <v>0</v>
      </c>
      <c r="S53" s="442">
        <f>'[3]DT trinh GD'!Z141</f>
        <v>0</v>
      </c>
      <c r="T53" s="442">
        <f>'[3]DT trinh GD'!AA141</f>
        <v>0</v>
      </c>
      <c r="U53" s="442">
        <f>'[3]DT trinh GD'!AB141</f>
        <v>417</v>
      </c>
      <c r="V53" s="442">
        <f>'[3]DT trinh GD'!AC141</f>
        <v>0</v>
      </c>
      <c r="W53" s="442">
        <f>'[3]DT trinh GD'!AD141</f>
        <v>0</v>
      </c>
      <c r="X53" s="442">
        <f>'[3]DT trinh GD'!AE141</f>
        <v>0</v>
      </c>
      <c r="Y53" s="442"/>
      <c r="Z53" s="442"/>
      <c r="AA53" s="442"/>
      <c r="AB53" s="442"/>
      <c r="AC53" s="442">
        <f>'[3]DT trinh GD'!AK141</f>
        <v>0</v>
      </c>
      <c r="AD53" s="442"/>
      <c r="AE53" s="442">
        <f>'[3]DT trinh GD'!AM141</f>
        <v>0</v>
      </c>
    </row>
    <row r="54" spans="1:31" s="222" customFormat="1" ht="12.75" customHeight="1">
      <c r="A54" s="441"/>
      <c r="B54" s="443" t="s">
        <v>100</v>
      </c>
      <c r="C54" s="442">
        <f t="shared" si="0"/>
        <v>50</v>
      </c>
      <c r="D54" s="442">
        <f>'[3]DT trinh GD'!K142</f>
        <v>0</v>
      </c>
      <c r="E54" s="442"/>
      <c r="F54" s="442">
        <f>'[3]DT trinh GD'!L142</f>
        <v>0</v>
      </c>
      <c r="G54" s="442">
        <f>'[3]DT trinh GD'!N142</f>
        <v>50</v>
      </c>
      <c r="H54" s="442">
        <f>'[3]DT trinh GD'!O142</f>
        <v>0</v>
      </c>
      <c r="I54" s="442">
        <f>'[3]DT trinh GD'!P142</f>
        <v>0</v>
      </c>
      <c r="J54" s="442">
        <f>'[3]DT trinh GD'!Q142</f>
        <v>0</v>
      </c>
      <c r="K54" s="442">
        <f>'[3]DT trinh GD'!R142</f>
        <v>0</v>
      </c>
      <c r="L54" s="442">
        <f>'[3]DT trinh GD'!S142</f>
        <v>0</v>
      </c>
      <c r="M54" s="442">
        <f>'[3]DT trinh GD'!T142</f>
        <v>0</v>
      </c>
      <c r="N54" s="442">
        <f>'[3]DT trinh GD'!U142</f>
        <v>0</v>
      </c>
      <c r="O54" s="442">
        <f>'[3]DT trinh GD'!V142</f>
        <v>0</v>
      </c>
      <c r="P54" s="442">
        <f>'[3]DT trinh GD'!W142</f>
        <v>0</v>
      </c>
      <c r="Q54" s="442">
        <f>'[3]DT trinh GD'!X142</f>
        <v>0</v>
      </c>
      <c r="R54" s="442">
        <f>'[3]DT trinh GD'!Y142</f>
        <v>0</v>
      </c>
      <c r="S54" s="442">
        <f>'[3]DT trinh GD'!Z142</f>
        <v>0</v>
      </c>
      <c r="T54" s="442">
        <f>'[3]DT trinh GD'!AA142</f>
        <v>0</v>
      </c>
      <c r="U54" s="442">
        <f>'[3]DT trinh GD'!AB142</f>
        <v>50</v>
      </c>
      <c r="V54" s="442">
        <f>'[3]DT trinh GD'!AC142</f>
        <v>0</v>
      </c>
      <c r="W54" s="442">
        <f>'[3]DT trinh GD'!AD142</f>
        <v>0</v>
      </c>
      <c r="X54" s="442">
        <f>'[3]DT trinh GD'!AE142</f>
        <v>0</v>
      </c>
      <c r="Y54" s="442"/>
      <c r="Z54" s="442"/>
      <c r="AA54" s="442"/>
      <c r="AB54" s="442"/>
      <c r="AC54" s="442">
        <f>'[3]DT trinh GD'!AK142</f>
        <v>0</v>
      </c>
      <c r="AD54" s="442"/>
      <c r="AE54" s="442">
        <f>'[3]DT trinh GD'!AM142</f>
        <v>0</v>
      </c>
    </row>
    <row r="55" spans="1:31" s="222" customFormat="1" ht="12.75" customHeight="1">
      <c r="A55" s="441"/>
      <c r="B55" s="443" t="s">
        <v>111</v>
      </c>
      <c r="C55" s="442">
        <f t="shared" si="0"/>
        <v>59</v>
      </c>
      <c r="D55" s="442">
        <f>'[3]DT trinh GD'!K143</f>
        <v>0</v>
      </c>
      <c r="E55" s="442"/>
      <c r="F55" s="442">
        <f>'[3]DT trinh GD'!L143</f>
        <v>0</v>
      </c>
      <c r="G55" s="442">
        <f>'[3]DT trinh GD'!N143</f>
        <v>59</v>
      </c>
      <c r="H55" s="442">
        <f>'[3]DT trinh GD'!O143</f>
        <v>0</v>
      </c>
      <c r="I55" s="442">
        <f>'[3]DT trinh GD'!P143</f>
        <v>0</v>
      </c>
      <c r="J55" s="442">
        <f>'[3]DT trinh GD'!Q143</f>
        <v>0</v>
      </c>
      <c r="K55" s="442">
        <f>'[3]DT trinh GD'!R143</f>
        <v>0</v>
      </c>
      <c r="L55" s="442">
        <f>'[3]DT trinh GD'!S143</f>
        <v>0</v>
      </c>
      <c r="M55" s="442">
        <f>'[3]DT trinh GD'!T143</f>
        <v>0</v>
      </c>
      <c r="N55" s="442">
        <f>'[3]DT trinh GD'!U143</f>
        <v>0</v>
      </c>
      <c r="O55" s="442">
        <f>'[3]DT trinh GD'!V143</f>
        <v>0</v>
      </c>
      <c r="P55" s="442">
        <f>'[3]DT trinh GD'!W143</f>
        <v>0</v>
      </c>
      <c r="Q55" s="442">
        <f>'[3]DT trinh GD'!X143</f>
        <v>0</v>
      </c>
      <c r="R55" s="442">
        <f>'[3]DT trinh GD'!Y143</f>
        <v>0</v>
      </c>
      <c r="S55" s="442">
        <f>'[3]DT trinh GD'!Z143</f>
        <v>0</v>
      </c>
      <c r="T55" s="442">
        <f>'[3]DT trinh GD'!AA143</f>
        <v>0</v>
      </c>
      <c r="U55" s="442">
        <f>'[3]DT trinh GD'!AB143</f>
        <v>59</v>
      </c>
      <c r="V55" s="442">
        <f>'[3]DT trinh GD'!AC143</f>
        <v>0</v>
      </c>
      <c r="W55" s="442">
        <f>'[3]DT trinh GD'!AD143</f>
        <v>0</v>
      </c>
      <c r="X55" s="442">
        <f>'[3]DT trinh GD'!AE143</f>
        <v>0</v>
      </c>
      <c r="Y55" s="442"/>
      <c r="Z55" s="442"/>
      <c r="AA55" s="442"/>
      <c r="AB55" s="442"/>
      <c r="AC55" s="442">
        <f>'[3]DT trinh GD'!AK143</f>
        <v>0</v>
      </c>
      <c r="AD55" s="442"/>
      <c r="AE55" s="442">
        <f>'[3]DT trinh GD'!AM143</f>
        <v>0</v>
      </c>
    </row>
    <row r="56" spans="1:31" s="222" customFormat="1" ht="12.75" customHeight="1">
      <c r="A56" s="441"/>
      <c r="B56" s="443" t="s">
        <v>112</v>
      </c>
      <c r="C56" s="442">
        <f t="shared" si="0"/>
        <v>60</v>
      </c>
      <c r="D56" s="442">
        <f>'[3]DT trinh GD'!K144</f>
        <v>0</v>
      </c>
      <c r="E56" s="442"/>
      <c r="F56" s="442">
        <f>'[3]DT trinh GD'!L144</f>
        <v>0</v>
      </c>
      <c r="G56" s="442">
        <f>'[3]DT trinh GD'!N144</f>
        <v>60</v>
      </c>
      <c r="H56" s="442">
        <f>'[3]DT trinh GD'!O144</f>
        <v>0</v>
      </c>
      <c r="I56" s="442">
        <f>'[3]DT trinh GD'!P144</f>
        <v>0</v>
      </c>
      <c r="J56" s="442">
        <f>'[3]DT trinh GD'!Q144</f>
        <v>0</v>
      </c>
      <c r="K56" s="442">
        <f>'[3]DT trinh GD'!R144</f>
        <v>0</v>
      </c>
      <c r="L56" s="442">
        <f>'[3]DT trinh GD'!S144</f>
        <v>0</v>
      </c>
      <c r="M56" s="442">
        <f>'[3]DT trinh GD'!T144</f>
        <v>0</v>
      </c>
      <c r="N56" s="442">
        <f>'[3]DT trinh GD'!U144</f>
        <v>0</v>
      </c>
      <c r="O56" s="442">
        <f>'[3]DT trinh GD'!V144</f>
        <v>0</v>
      </c>
      <c r="P56" s="442">
        <f>'[3]DT trinh GD'!W144</f>
        <v>0</v>
      </c>
      <c r="Q56" s="442">
        <f>'[3]DT trinh GD'!X144</f>
        <v>0</v>
      </c>
      <c r="R56" s="442">
        <f>'[3]DT trinh GD'!Y144</f>
        <v>0</v>
      </c>
      <c r="S56" s="442">
        <f>'[3]DT trinh GD'!Z144</f>
        <v>0</v>
      </c>
      <c r="T56" s="442">
        <f>'[3]DT trinh GD'!AA144</f>
        <v>0</v>
      </c>
      <c r="U56" s="442">
        <f>'[3]DT trinh GD'!AB144</f>
        <v>60</v>
      </c>
      <c r="V56" s="442">
        <f>'[3]DT trinh GD'!AC144</f>
        <v>0</v>
      </c>
      <c r="W56" s="442">
        <f>'[3]DT trinh GD'!AD144</f>
        <v>0</v>
      </c>
      <c r="X56" s="442">
        <f>'[3]DT trinh GD'!AE144</f>
        <v>0</v>
      </c>
      <c r="Y56" s="442"/>
      <c r="Z56" s="442"/>
      <c r="AA56" s="442"/>
      <c r="AB56" s="442"/>
      <c r="AC56" s="442">
        <f>'[3]DT trinh GD'!AK144</f>
        <v>0</v>
      </c>
      <c r="AD56" s="442"/>
      <c r="AE56" s="442">
        <f>'[3]DT trinh GD'!AM144</f>
        <v>0</v>
      </c>
    </row>
    <row r="57" spans="1:31" s="222" customFormat="1" ht="12.75" customHeight="1">
      <c r="A57" s="441"/>
      <c r="B57" s="443" t="s">
        <v>79</v>
      </c>
      <c r="C57" s="442">
        <f t="shared" si="0"/>
        <v>580</v>
      </c>
      <c r="D57" s="442">
        <f>'[3]DT trinh GD'!K145</f>
        <v>0</v>
      </c>
      <c r="E57" s="442"/>
      <c r="F57" s="442">
        <f>'[3]DT trinh GD'!L145</f>
        <v>0</v>
      </c>
      <c r="G57" s="442">
        <f>'[3]DT trinh GD'!N145</f>
        <v>580</v>
      </c>
      <c r="H57" s="442">
        <f>'[3]DT trinh GD'!O145</f>
        <v>0</v>
      </c>
      <c r="I57" s="442">
        <f>'[3]DT trinh GD'!P145</f>
        <v>0</v>
      </c>
      <c r="J57" s="442">
        <f>'[3]DT trinh GD'!Q145</f>
        <v>0</v>
      </c>
      <c r="K57" s="442">
        <f>'[3]DT trinh GD'!R145</f>
        <v>0</v>
      </c>
      <c r="L57" s="442">
        <f>'[3]DT trinh GD'!S145</f>
        <v>0</v>
      </c>
      <c r="M57" s="442">
        <f>'[3]DT trinh GD'!T145</f>
        <v>0</v>
      </c>
      <c r="N57" s="442">
        <f>'[3]DT trinh GD'!U145</f>
        <v>0</v>
      </c>
      <c r="O57" s="442">
        <f>'[3]DT trinh GD'!V145</f>
        <v>0</v>
      </c>
      <c r="P57" s="442">
        <f>'[3]DT trinh GD'!W145</f>
        <v>0</v>
      </c>
      <c r="Q57" s="442">
        <f>'[3]DT trinh GD'!X145</f>
        <v>0</v>
      </c>
      <c r="R57" s="442">
        <f>'[3]DT trinh GD'!Y145</f>
        <v>0</v>
      </c>
      <c r="S57" s="442">
        <f>'[3]DT trinh GD'!Z145</f>
        <v>0</v>
      </c>
      <c r="T57" s="442">
        <f>'[3]DT trinh GD'!AA145</f>
        <v>0</v>
      </c>
      <c r="U57" s="442">
        <f>'[3]DT trinh GD'!AB145</f>
        <v>580</v>
      </c>
      <c r="V57" s="442">
        <f>'[3]DT trinh GD'!AC145</f>
        <v>0</v>
      </c>
      <c r="W57" s="442">
        <f>'[3]DT trinh GD'!AD145</f>
        <v>0</v>
      </c>
      <c r="X57" s="442">
        <f>'[3]DT trinh GD'!AE145</f>
        <v>0</v>
      </c>
      <c r="Y57" s="442"/>
      <c r="Z57" s="442"/>
      <c r="AA57" s="442"/>
      <c r="AB57" s="442"/>
      <c r="AC57" s="442">
        <f>'[3]DT trinh GD'!AK145</f>
        <v>0</v>
      </c>
      <c r="AD57" s="442"/>
      <c r="AE57" s="442">
        <f>'[3]DT trinh GD'!AM145</f>
        <v>0</v>
      </c>
    </row>
    <row r="58" spans="1:31" s="222" customFormat="1" ht="12.75" customHeight="1">
      <c r="A58" s="441"/>
      <c r="B58" s="443" t="s">
        <v>78</v>
      </c>
      <c r="C58" s="442">
        <f t="shared" si="0"/>
        <v>325</v>
      </c>
      <c r="D58" s="442">
        <f>'[3]DT trinh GD'!K146</f>
        <v>0</v>
      </c>
      <c r="E58" s="442"/>
      <c r="F58" s="442">
        <f>'[3]DT trinh GD'!L146</f>
        <v>0</v>
      </c>
      <c r="G58" s="442">
        <f>'[3]DT trinh GD'!N146</f>
        <v>325</v>
      </c>
      <c r="H58" s="442">
        <f>'[3]DT trinh GD'!O146</f>
        <v>0</v>
      </c>
      <c r="I58" s="442">
        <f>'[3]DT trinh GD'!P146</f>
        <v>0</v>
      </c>
      <c r="J58" s="442">
        <f>'[3]DT trinh GD'!Q146</f>
        <v>0</v>
      </c>
      <c r="K58" s="442">
        <f>'[3]DT trinh GD'!R146</f>
        <v>0</v>
      </c>
      <c r="L58" s="442">
        <f>'[3]DT trinh GD'!S146</f>
        <v>0</v>
      </c>
      <c r="M58" s="442">
        <f>'[3]DT trinh GD'!T146</f>
        <v>0</v>
      </c>
      <c r="N58" s="442">
        <f>'[3]DT trinh GD'!U146</f>
        <v>0</v>
      </c>
      <c r="O58" s="442">
        <f>'[3]DT trinh GD'!V146</f>
        <v>0</v>
      </c>
      <c r="P58" s="442">
        <f>'[3]DT trinh GD'!W146</f>
        <v>0</v>
      </c>
      <c r="Q58" s="442">
        <f>'[3]DT trinh GD'!X146</f>
        <v>0</v>
      </c>
      <c r="R58" s="442">
        <f>'[3]DT trinh GD'!Y146</f>
        <v>0</v>
      </c>
      <c r="S58" s="442">
        <f>'[3]DT trinh GD'!Z146</f>
        <v>0</v>
      </c>
      <c r="T58" s="442">
        <f>'[3]DT trinh GD'!AA146</f>
        <v>0</v>
      </c>
      <c r="U58" s="442">
        <f>'[3]DT trinh GD'!AB146</f>
        <v>325</v>
      </c>
      <c r="V58" s="442">
        <f>'[3]DT trinh GD'!AC146</f>
        <v>0</v>
      </c>
      <c r="W58" s="442">
        <f>'[3]DT trinh GD'!AD146</f>
        <v>0</v>
      </c>
      <c r="X58" s="442">
        <f>'[3]DT trinh GD'!AE146</f>
        <v>0</v>
      </c>
      <c r="Y58" s="442"/>
      <c r="Z58" s="442"/>
      <c r="AA58" s="442"/>
      <c r="AB58" s="442"/>
      <c r="AC58" s="442">
        <f>'[3]DT trinh GD'!AK146</f>
        <v>0</v>
      </c>
      <c r="AD58" s="442"/>
      <c r="AE58" s="442">
        <f>'[3]DT trinh GD'!AM146</f>
        <v>0</v>
      </c>
    </row>
    <row r="59" spans="1:31" s="222" customFormat="1" ht="12.75" customHeight="1">
      <c r="A59" s="441"/>
      <c r="B59" s="443" t="s">
        <v>95</v>
      </c>
      <c r="C59" s="442">
        <f t="shared" si="0"/>
        <v>600</v>
      </c>
      <c r="D59" s="442">
        <f>'[3]DT trinh GD'!K147</f>
        <v>0</v>
      </c>
      <c r="E59" s="442"/>
      <c r="F59" s="442">
        <f>'[3]DT trinh GD'!L147</f>
        <v>0</v>
      </c>
      <c r="G59" s="442">
        <f>'[3]DT trinh GD'!N147</f>
        <v>600</v>
      </c>
      <c r="H59" s="442">
        <f>'[3]DT trinh GD'!O147</f>
        <v>0</v>
      </c>
      <c r="I59" s="442">
        <f>'[3]DT trinh GD'!P147</f>
        <v>0</v>
      </c>
      <c r="J59" s="442">
        <f>'[3]DT trinh GD'!Q147</f>
        <v>0</v>
      </c>
      <c r="K59" s="442">
        <f>'[3]DT trinh GD'!R147</f>
        <v>0</v>
      </c>
      <c r="L59" s="442">
        <f>'[3]DT trinh GD'!S147</f>
        <v>0</v>
      </c>
      <c r="M59" s="442">
        <f>'[3]DT trinh GD'!T147</f>
        <v>0</v>
      </c>
      <c r="N59" s="442">
        <f>'[3]DT trinh GD'!U147</f>
        <v>0</v>
      </c>
      <c r="O59" s="442">
        <f>'[3]DT trinh GD'!V147</f>
        <v>0</v>
      </c>
      <c r="P59" s="442">
        <f>'[3]DT trinh GD'!W147</f>
        <v>0</v>
      </c>
      <c r="Q59" s="442">
        <f>'[3]DT trinh GD'!X147</f>
        <v>0</v>
      </c>
      <c r="R59" s="442">
        <f>'[3]DT trinh GD'!Y147</f>
        <v>0</v>
      </c>
      <c r="S59" s="442">
        <f>'[3]DT trinh GD'!Z147</f>
        <v>0</v>
      </c>
      <c r="T59" s="442">
        <f>'[3]DT trinh GD'!AA147</f>
        <v>0</v>
      </c>
      <c r="U59" s="442">
        <f>'[3]DT trinh GD'!AB147</f>
        <v>600</v>
      </c>
      <c r="V59" s="442">
        <f>'[3]DT trinh GD'!AC147</f>
        <v>0</v>
      </c>
      <c r="W59" s="442">
        <f>'[3]DT trinh GD'!AD147</f>
        <v>0</v>
      </c>
      <c r="X59" s="442">
        <f>'[3]DT trinh GD'!AE147</f>
        <v>0</v>
      </c>
      <c r="Y59" s="442"/>
      <c r="Z59" s="442"/>
      <c r="AA59" s="442"/>
      <c r="AB59" s="442"/>
      <c r="AC59" s="442">
        <f>'[3]DT trinh GD'!AK147</f>
        <v>0</v>
      </c>
      <c r="AD59" s="442"/>
      <c r="AE59" s="442">
        <f>'[3]DT trinh GD'!AM147</f>
        <v>0</v>
      </c>
    </row>
    <row r="60" spans="1:31" s="222" customFormat="1" ht="13.5" customHeight="1">
      <c r="A60" s="441"/>
      <c r="B60" s="443" t="s">
        <v>76</v>
      </c>
      <c r="C60" s="442">
        <f t="shared" si="0"/>
        <v>407</v>
      </c>
      <c r="D60" s="442">
        <f>'[3]DT trinh GD'!K148</f>
        <v>0</v>
      </c>
      <c r="E60" s="442"/>
      <c r="F60" s="442">
        <f>'[3]DT trinh GD'!L148</f>
        <v>0</v>
      </c>
      <c r="G60" s="442">
        <f>'[3]DT trinh GD'!N148</f>
        <v>407</v>
      </c>
      <c r="H60" s="442">
        <f>'[3]DT trinh GD'!O148</f>
        <v>0</v>
      </c>
      <c r="I60" s="442">
        <f>'[3]DT trinh GD'!P148</f>
        <v>0</v>
      </c>
      <c r="J60" s="442" t="str">
        <f>'[3]DT trinh GD'!Q148</f>
        <v xml:space="preserve">                                                           </v>
      </c>
      <c r="K60" s="442">
        <f>'[3]DT trinh GD'!R148</f>
        <v>0</v>
      </c>
      <c r="L60" s="442">
        <f>'[3]DT trinh GD'!S148</f>
        <v>0</v>
      </c>
      <c r="M60" s="442">
        <f>'[3]DT trinh GD'!T148</f>
        <v>0</v>
      </c>
      <c r="N60" s="442">
        <f>'[3]DT trinh GD'!U148</f>
        <v>0</v>
      </c>
      <c r="O60" s="442">
        <f>'[3]DT trinh GD'!V148</f>
        <v>0</v>
      </c>
      <c r="P60" s="442">
        <f>'[3]DT trinh GD'!W148</f>
        <v>0</v>
      </c>
      <c r="Q60" s="442">
        <f>'[3]DT trinh GD'!X148</f>
        <v>0</v>
      </c>
      <c r="R60" s="442">
        <f>'[3]DT trinh GD'!Y148</f>
        <v>0</v>
      </c>
      <c r="S60" s="442">
        <f>'[3]DT trinh GD'!Z148</f>
        <v>0</v>
      </c>
      <c r="T60" s="442">
        <f>'[3]DT trinh GD'!AA148</f>
        <v>0</v>
      </c>
      <c r="U60" s="442">
        <f>'[3]DT trinh GD'!AB148</f>
        <v>407</v>
      </c>
      <c r="V60" s="442">
        <f>'[3]DT trinh GD'!AC148</f>
        <v>0</v>
      </c>
      <c r="W60" s="442">
        <f>'[3]DT trinh GD'!AD148</f>
        <v>0</v>
      </c>
      <c r="X60" s="442">
        <f>'[3]DT trinh GD'!AE148</f>
        <v>0</v>
      </c>
      <c r="Y60" s="442"/>
      <c r="Z60" s="442"/>
      <c r="AA60" s="442"/>
      <c r="AB60" s="442"/>
      <c r="AC60" s="442">
        <f>'[3]DT trinh GD'!AK148</f>
        <v>0</v>
      </c>
      <c r="AD60" s="442"/>
      <c r="AE60" s="442">
        <f>'[3]DT trinh GD'!AM148</f>
        <v>0</v>
      </c>
    </row>
    <row r="61" spans="1:31" s="222" customFormat="1" ht="12.75" customHeight="1">
      <c r="A61" s="441"/>
      <c r="B61" s="443" t="str">
        <f>'[3]DT trinh GD'!B149</f>
        <v>Ban CĐVĐ hiến máu TN</v>
      </c>
      <c r="C61" s="442">
        <f t="shared" si="0"/>
        <v>550</v>
      </c>
      <c r="D61" s="442"/>
      <c r="E61" s="442"/>
      <c r="F61" s="442"/>
      <c r="G61" s="442">
        <f>'[3]DT trinh GD'!N149</f>
        <v>550</v>
      </c>
      <c r="H61" s="442"/>
      <c r="I61" s="442"/>
      <c r="J61" s="442"/>
      <c r="K61" s="442"/>
      <c r="L61" s="442"/>
      <c r="M61" s="442"/>
      <c r="N61" s="442">
        <f>'[3]DT trinh GD'!U149</f>
        <v>10</v>
      </c>
      <c r="O61" s="442">
        <f>'[3]DT trinh GD'!V149</f>
        <v>173</v>
      </c>
      <c r="P61" s="442">
        <f>'[3]DT trinh GD'!W149</f>
        <v>0</v>
      </c>
      <c r="Q61" s="442">
        <f>'[3]DT trinh GD'!X149</f>
        <v>0</v>
      </c>
      <c r="R61" s="442">
        <f>'[3]DT trinh GD'!Y149</f>
        <v>0</v>
      </c>
      <c r="S61" s="442">
        <f>'[3]DT trinh GD'!Z149</f>
        <v>0</v>
      </c>
      <c r="T61" s="442">
        <f>'[3]DT trinh GD'!AA149</f>
        <v>0</v>
      </c>
      <c r="U61" s="442">
        <f>'[3]DT trinh GD'!AB149</f>
        <v>367</v>
      </c>
      <c r="V61" s="442"/>
      <c r="W61" s="442"/>
      <c r="X61" s="442"/>
      <c r="Y61" s="442"/>
      <c r="Z61" s="442"/>
      <c r="AA61" s="442"/>
      <c r="AB61" s="442"/>
      <c r="AC61" s="442"/>
      <c r="AD61" s="442"/>
      <c r="AE61" s="442"/>
    </row>
    <row r="62" spans="1:31" s="222" customFormat="1" ht="12.75" customHeight="1">
      <c r="A62" s="441"/>
      <c r="B62" s="443" t="str">
        <f>'[3]DT trinh GD'!B150</f>
        <v>CLB hưu trí tỉnh</v>
      </c>
      <c r="C62" s="442">
        <f t="shared" si="0"/>
        <v>380</v>
      </c>
      <c r="D62" s="442"/>
      <c r="E62" s="442"/>
      <c r="F62" s="442"/>
      <c r="G62" s="442">
        <f>'[3]DT trinh GD'!N150</f>
        <v>380</v>
      </c>
      <c r="H62" s="442"/>
      <c r="I62" s="442"/>
      <c r="J62" s="442"/>
      <c r="K62" s="442"/>
      <c r="L62" s="442"/>
      <c r="M62" s="442"/>
      <c r="N62" s="442"/>
      <c r="O62" s="442"/>
      <c r="P62" s="442"/>
      <c r="Q62" s="442"/>
      <c r="R62" s="442"/>
      <c r="S62" s="442"/>
      <c r="T62" s="442"/>
      <c r="U62" s="442">
        <f>'[3]DT trinh GD'!AB150</f>
        <v>380</v>
      </c>
      <c r="V62" s="442"/>
      <c r="W62" s="442"/>
      <c r="X62" s="442"/>
      <c r="Y62" s="442"/>
      <c r="Z62" s="442"/>
      <c r="AA62" s="442"/>
      <c r="AB62" s="442"/>
      <c r="AC62" s="442"/>
      <c r="AD62" s="442"/>
      <c r="AE62" s="442"/>
    </row>
    <row r="63" spans="1:31" s="222" customFormat="1" ht="12.75" customHeight="1">
      <c r="A63" s="441"/>
      <c r="B63" s="443" t="str">
        <f>'[3]DT trinh GD'!B151</f>
        <v>Liên đoàn lao động</v>
      </c>
      <c r="C63" s="442">
        <f t="shared" si="0"/>
        <v>150</v>
      </c>
      <c r="D63" s="442"/>
      <c r="E63" s="442"/>
      <c r="F63" s="442"/>
      <c r="G63" s="442">
        <f>'[3]DT trinh GD'!N151</f>
        <v>150</v>
      </c>
      <c r="H63" s="442"/>
      <c r="I63" s="442"/>
      <c r="J63" s="442"/>
      <c r="K63" s="442"/>
      <c r="L63" s="442"/>
      <c r="M63" s="442"/>
      <c r="N63" s="442"/>
      <c r="O63" s="442"/>
      <c r="P63" s="442"/>
      <c r="Q63" s="442"/>
      <c r="R63" s="442"/>
      <c r="S63" s="442"/>
      <c r="T63" s="442"/>
      <c r="U63" s="442">
        <f>'[3]DT trinh GD'!AB151</f>
        <v>150</v>
      </c>
      <c r="V63" s="442"/>
      <c r="W63" s="442"/>
      <c r="X63" s="442"/>
      <c r="Y63" s="442"/>
      <c r="Z63" s="442"/>
      <c r="AA63" s="442"/>
      <c r="AB63" s="442"/>
      <c r="AC63" s="442"/>
      <c r="AD63" s="442"/>
      <c r="AE63" s="442"/>
    </row>
    <row r="64" spans="1:31" s="222" customFormat="1" ht="2.25" hidden="1" customHeight="1">
      <c r="A64" s="441"/>
      <c r="B64" s="443"/>
      <c r="C64" s="442">
        <f t="shared" si="0"/>
        <v>0</v>
      </c>
      <c r="D64" s="442"/>
      <c r="E64" s="442"/>
      <c r="F64" s="442"/>
      <c r="G64" s="442"/>
      <c r="H64" s="442"/>
      <c r="I64" s="442"/>
      <c r="J64" s="442"/>
      <c r="K64" s="442"/>
      <c r="L64" s="442"/>
      <c r="M64" s="442"/>
      <c r="N64" s="442"/>
      <c r="O64" s="442"/>
      <c r="P64" s="442"/>
      <c r="Q64" s="442"/>
      <c r="R64" s="442"/>
      <c r="S64" s="442"/>
      <c r="T64" s="442"/>
      <c r="U64" s="442"/>
      <c r="V64" s="442"/>
      <c r="W64" s="442"/>
      <c r="X64" s="442"/>
      <c r="Y64" s="442"/>
      <c r="Z64" s="442"/>
      <c r="AA64" s="442"/>
      <c r="AB64" s="442"/>
      <c r="AC64" s="442"/>
      <c r="AD64" s="442"/>
      <c r="AE64" s="442"/>
    </row>
    <row r="65" spans="1:31" s="222" customFormat="1" ht="12.75" hidden="1" customHeight="1">
      <c r="A65" s="441"/>
      <c r="B65" s="443" t="s">
        <v>115</v>
      </c>
      <c r="C65" s="442">
        <f t="shared" si="0"/>
        <v>0</v>
      </c>
      <c r="D65" s="442">
        <f>'[3]DT trinh GD'!K152</f>
        <v>0</v>
      </c>
      <c r="E65" s="442"/>
      <c r="F65" s="442">
        <f>'[3]DT trinh GD'!L152</f>
        <v>0</v>
      </c>
      <c r="G65" s="442">
        <f>'[3]DT trinh GD'!N152</f>
        <v>0</v>
      </c>
      <c r="H65" s="442">
        <f>'[3]DT trinh GD'!O152</f>
        <v>0</v>
      </c>
      <c r="I65" s="442">
        <f>'[3]DT trinh GD'!P152</f>
        <v>0</v>
      </c>
      <c r="J65" s="442">
        <f>'[3]DT trinh GD'!Q152</f>
        <v>0</v>
      </c>
      <c r="K65" s="442">
        <f>'[3]DT trinh GD'!R152</f>
        <v>0</v>
      </c>
      <c r="L65" s="442">
        <f>'[3]DT trinh GD'!S152</f>
        <v>0</v>
      </c>
      <c r="M65" s="442">
        <f>'[3]DT trinh GD'!T152</f>
        <v>0</v>
      </c>
      <c r="N65" s="442">
        <f>'[3]DT trinh GD'!U152</f>
        <v>0</v>
      </c>
      <c r="O65" s="442">
        <f>'[3]DT trinh GD'!V152</f>
        <v>0</v>
      </c>
      <c r="P65" s="442">
        <f>'[3]DT trinh GD'!W152</f>
        <v>0</v>
      </c>
      <c r="Q65" s="442">
        <f>'[3]DT trinh GD'!X152</f>
        <v>0</v>
      </c>
      <c r="R65" s="442">
        <f>'[3]DT trinh GD'!Y152</f>
        <v>0</v>
      </c>
      <c r="S65" s="442">
        <f>'[3]DT trinh GD'!Z152</f>
        <v>0</v>
      </c>
      <c r="T65" s="442">
        <f>'[3]DT trinh GD'!AA152</f>
        <v>0</v>
      </c>
      <c r="U65" s="442">
        <f>'[3]DT trinh GD'!AB152</f>
        <v>0</v>
      </c>
      <c r="V65" s="442">
        <f>'[3]DT trinh GD'!AC152</f>
        <v>0</v>
      </c>
      <c r="W65" s="442">
        <f>'[3]DT trinh GD'!AD152</f>
        <v>0</v>
      </c>
      <c r="X65" s="442">
        <f>'[3]DT trinh GD'!AE152</f>
        <v>0</v>
      </c>
      <c r="Y65" s="442"/>
      <c r="Z65" s="442"/>
      <c r="AA65" s="442"/>
      <c r="AB65" s="442"/>
      <c r="AC65" s="442">
        <f>'[3]DT trinh GD'!AK152</f>
        <v>0</v>
      </c>
      <c r="AD65" s="442"/>
      <c r="AE65" s="442">
        <f>'[3]DT trinh GD'!AM152</f>
        <v>0</v>
      </c>
    </row>
    <row r="66" spans="1:31" s="223" customFormat="1" ht="13.5" customHeight="1">
      <c r="A66" s="439">
        <v>27</v>
      </c>
      <c r="B66" s="449" t="s">
        <v>24</v>
      </c>
      <c r="C66" s="440">
        <f t="shared" si="0"/>
        <v>2045</v>
      </c>
      <c r="D66" s="440">
        <f>'[3]DT trinh GD'!K153</f>
        <v>0</v>
      </c>
      <c r="E66" s="440"/>
      <c r="F66" s="440">
        <f>'[3]DT trinh GD'!L153</f>
        <v>0</v>
      </c>
      <c r="G66" s="440">
        <f>'[3]DT trinh GD'!N153</f>
        <v>2045</v>
      </c>
      <c r="H66" s="440">
        <f>'[3]DT trinh GD'!O153</f>
        <v>0</v>
      </c>
      <c r="I66" s="440">
        <f>'[3]DT trinh GD'!P153</f>
        <v>0</v>
      </c>
      <c r="J66" s="440">
        <f>'[3]DT trinh GD'!Q153</f>
        <v>0</v>
      </c>
      <c r="K66" s="440">
        <f>'[3]DT trinh GD'!R153</f>
        <v>0</v>
      </c>
      <c r="L66" s="440">
        <f>'[3]DT trinh GD'!S153</f>
        <v>2045</v>
      </c>
      <c r="M66" s="440">
        <f>'[3]DT trinh GD'!T153</f>
        <v>0</v>
      </c>
      <c r="N66" s="440">
        <f>'[3]DT trinh GD'!U153</f>
        <v>0</v>
      </c>
      <c r="O66" s="440">
        <f>'[3]DT trinh GD'!V153</f>
        <v>0</v>
      </c>
      <c r="P66" s="440">
        <f>'[3]DT trinh GD'!W153</f>
        <v>0</v>
      </c>
      <c r="Q66" s="440">
        <f>'[3]DT trinh GD'!X153</f>
        <v>0</v>
      </c>
      <c r="R66" s="440">
        <f>'[3]DT trinh GD'!Y153</f>
        <v>0</v>
      </c>
      <c r="S66" s="440">
        <f>'[3]DT trinh GD'!Z153</f>
        <v>0</v>
      </c>
      <c r="T66" s="440">
        <f>'[3]DT trinh GD'!AA153</f>
        <v>0</v>
      </c>
      <c r="U66" s="440">
        <f>'[3]DT trinh GD'!AB153</f>
        <v>0</v>
      </c>
      <c r="V66" s="440">
        <f>'[3]DT trinh GD'!AC153</f>
        <v>0</v>
      </c>
      <c r="W66" s="440">
        <f>'[3]DT trinh GD'!AD153</f>
        <v>0</v>
      </c>
      <c r="X66" s="440">
        <f>'[3]DT trinh GD'!AE153</f>
        <v>0</v>
      </c>
      <c r="Y66" s="440"/>
      <c r="Z66" s="440"/>
      <c r="AA66" s="440"/>
      <c r="AB66" s="440"/>
      <c r="AC66" s="440">
        <f>'[3]DT trinh GD'!AK153</f>
        <v>0</v>
      </c>
      <c r="AD66" s="440"/>
      <c r="AE66" s="440">
        <f>'[3]DT trinh GD'!AM153</f>
        <v>0</v>
      </c>
    </row>
    <row r="67" spans="1:31" s="223" customFormat="1" ht="13.5" customHeight="1">
      <c r="A67" s="439">
        <v>28</v>
      </c>
      <c r="B67" s="449" t="s">
        <v>81</v>
      </c>
      <c r="C67" s="440">
        <f t="shared" si="0"/>
        <v>14525</v>
      </c>
      <c r="D67" s="440">
        <f>'[3]DT trinh GD'!K154</f>
        <v>0</v>
      </c>
      <c r="E67" s="440"/>
      <c r="F67" s="440">
        <f>'[3]DT trinh GD'!L154</f>
        <v>0</v>
      </c>
      <c r="G67" s="440">
        <f>'[3]DT trinh GD'!N154</f>
        <v>14525</v>
      </c>
      <c r="H67" s="440">
        <f>'[3]DT trinh GD'!O154</f>
        <v>0</v>
      </c>
      <c r="I67" s="440">
        <f>'[3]DT trinh GD'!P154</f>
        <v>0</v>
      </c>
      <c r="J67" s="440">
        <f>'[3]DT trinh GD'!Q154</f>
        <v>0</v>
      </c>
      <c r="K67" s="440">
        <f>'[3]DT trinh GD'!R154</f>
        <v>1500</v>
      </c>
      <c r="L67" s="440">
        <f>'[3]DT trinh GD'!S154</f>
        <v>0</v>
      </c>
      <c r="M67" s="440">
        <f>'[3]DT trinh GD'!T154</f>
        <v>0</v>
      </c>
      <c r="N67" s="440">
        <f>'[3]DT trinh GD'!U154</f>
        <v>0</v>
      </c>
      <c r="O67" s="440">
        <f>'[3]DT trinh GD'!V154</f>
        <v>0</v>
      </c>
      <c r="P67" s="440">
        <f>'[3]DT trinh GD'!W154</f>
        <v>0</v>
      </c>
      <c r="Q67" s="440">
        <f>'[3]DT trinh GD'!X154</f>
        <v>0</v>
      </c>
      <c r="R67" s="440">
        <f>'[3]DT trinh GD'!Y154</f>
        <v>0</v>
      </c>
      <c r="S67" s="440">
        <f>'[3]DT trinh GD'!Z154</f>
        <v>0</v>
      </c>
      <c r="T67" s="440">
        <f>'[3]DT trinh GD'!AA154</f>
        <v>0</v>
      </c>
      <c r="U67" s="440">
        <f>'[3]DT trinh GD'!AB154</f>
        <v>0</v>
      </c>
      <c r="V67" s="440">
        <f>'[3]DT trinh GD'!AC154</f>
        <v>13025</v>
      </c>
      <c r="W67" s="440">
        <f>'[3]DT trinh GD'!AD154</f>
        <v>0</v>
      </c>
      <c r="X67" s="440">
        <f>'[3]DT trinh GD'!AE154</f>
        <v>0</v>
      </c>
      <c r="Y67" s="440"/>
      <c r="Z67" s="440"/>
      <c r="AA67" s="440"/>
      <c r="AB67" s="440"/>
      <c r="AC67" s="440">
        <f>'[3]DT trinh GD'!AK154</f>
        <v>0</v>
      </c>
      <c r="AD67" s="440"/>
      <c r="AE67" s="440">
        <f>'[3]DT trinh GD'!AM154</f>
        <v>0</v>
      </c>
    </row>
    <row r="68" spans="1:31" s="223" customFormat="1" ht="13.5" customHeight="1">
      <c r="A68" s="439">
        <v>29</v>
      </c>
      <c r="B68" s="449" t="s">
        <v>82</v>
      </c>
      <c r="C68" s="440">
        <f t="shared" si="0"/>
        <v>68676</v>
      </c>
      <c r="D68" s="440">
        <f>'[3]DT trinh GD'!K155</f>
        <v>0</v>
      </c>
      <c r="E68" s="440"/>
      <c r="F68" s="440">
        <f>'[3]DT trinh GD'!L155</f>
        <v>0</v>
      </c>
      <c r="G68" s="440">
        <f>'[3]DT trinh GD'!N155</f>
        <v>68676</v>
      </c>
      <c r="H68" s="440">
        <f>'[3]DT trinh GD'!O155</f>
        <v>0</v>
      </c>
      <c r="I68" s="440">
        <f>'[3]DT trinh GD'!P155</f>
        <v>0</v>
      </c>
      <c r="J68" s="440">
        <f>'[3]DT trinh GD'!Q155</f>
        <v>0</v>
      </c>
      <c r="K68" s="440">
        <f>'[3]DT trinh GD'!R155</f>
        <v>0</v>
      </c>
      <c r="L68" s="440">
        <f>'[3]DT trinh GD'!S155</f>
        <v>0</v>
      </c>
      <c r="M68" s="440">
        <f>'[3]DT trinh GD'!T155</f>
        <v>0</v>
      </c>
      <c r="N68" s="440">
        <f>'[3]DT trinh GD'!U155</f>
        <v>3085</v>
      </c>
      <c r="O68" s="440">
        <f>'[3]DT trinh GD'!V155</f>
        <v>0</v>
      </c>
      <c r="P68" s="440">
        <f>'[3]DT trinh GD'!W155</f>
        <v>0</v>
      </c>
      <c r="Q68" s="440">
        <f>'[3]DT trinh GD'!X155</f>
        <v>0</v>
      </c>
      <c r="R68" s="440">
        <f>'[3]DT trinh GD'!Y155</f>
        <v>0</v>
      </c>
      <c r="S68" s="440">
        <f>'[3]DT trinh GD'!Z155</f>
        <v>0</v>
      </c>
      <c r="T68" s="440">
        <f>'[3]DT trinh GD'!AA155</f>
        <v>0</v>
      </c>
      <c r="U68" s="440">
        <f>'[3]DT trinh GD'!AB155</f>
        <v>0</v>
      </c>
      <c r="V68" s="440">
        <f>'[3]DT trinh GD'!AC155</f>
        <v>36591</v>
      </c>
      <c r="W68" s="440">
        <f>'[3]DT trinh GD'!AD155</f>
        <v>0</v>
      </c>
      <c r="X68" s="440">
        <f>'[3]DT trinh GD'!AE155</f>
        <v>29000</v>
      </c>
      <c r="Y68" s="440"/>
      <c r="Z68" s="440"/>
      <c r="AA68" s="440"/>
      <c r="AB68" s="440"/>
      <c r="AC68" s="440">
        <f>'[3]DT trinh GD'!AK155</f>
        <v>0</v>
      </c>
      <c r="AD68" s="440"/>
      <c r="AE68" s="440">
        <f>'[3]DT trinh GD'!AM155</f>
        <v>0</v>
      </c>
    </row>
    <row r="69" spans="1:31" s="223" customFormat="1" ht="13.5" customHeight="1">
      <c r="A69" s="439">
        <v>30</v>
      </c>
      <c r="B69" s="449" t="s">
        <v>83</v>
      </c>
      <c r="C69" s="440">
        <f t="shared" si="0"/>
        <v>113417</v>
      </c>
      <c r="D69" s="440">
        <f>'[3]DT trinh GD'!K156</f>
        <v>0</v>
      </c>
      <c r="E69" s="440"/>
      <c r="F69" s="440">
        <f>'[3]DT trinh GD'!L156</f>
        <v>0</v>
      </c>
      <c r="G69" s="440">
        <f>'[3]DT trinh GD'!N156</f>
        <v>113417</v>
      </c>
      <c r="H69" s="440">
        <f>'[3]DT trinh GD'!O156</f>
        <v>0</v>
      </c>
      <c r="I69" s="440">
        <f>'[3]DT trinh GD'!P156</f>
        <v>0</v>
      </c>
      <c r="J69" s="440">
        <f>'[3]DT trinh GD'!Q156</f>
        <v>0</v>
      </c>
      <c r="K69" s="440">
        <f>'[3]DT trinh GD'!R156</f>
        <v>0</v>
      </c>
      <c r="L69" s="440">
        <f>'[3]DT trinh GD'!S156</f>
        <v>0</v>
      </c>
      <c r="M69" s="440">
        <f>'[3]DT trinh GD'!T156</f>
        <v>0</v>
      </c>
      <c r="N69" s="440">
        <f>'[3]DT trinh GD'!U156</f>
        <v>3294</v>
      </c>
      <c r="O69" s="440">
        <f>'[3]DT trinh GD'!V156</f>
        <v>0</v>
      </c>
      <c r="P69" s="440">
        <f>'[3]DT trinh GD'!W156</f>
        <v>13479</v>
      </c>
      <c r="Q69" s="440">
        <f>'[3]DT trinh GD'!X156</f>
        <v>0</v>
      </c>
      <c r="R69" s="440">
        <f>'[3]DT trinh GD'!Y156</f>
        <v>0</v>
      </c>
      <c r="S69" s="440">
        <f>'[3]DT trinh GD'!Z156</f>
        <v>7260</v>
      </c>
      <c r="T69" s="440">
        <f>'[3]DT trinh GD'!AA156</f>
        <v>0</v>
      </c>
      <c r="U69" s="440">
        <f>'[3]DT trinh GD'!AB156</f>
        <v>80884</v>
      </c>
      <c r="V69" s="440">
        <f>'[3]DT trinh GD'!AC156</f>
        <v>0</v>
      </c>
      <c r="W69" s="440">
        <f>'[3]DT trinh GD'!AD156</f>
        <v>8500</v>
      </c>
      <c r="X69" s="440">
        <f>'[3]DT trinh GD'!AE156</f>
        <v>0</v>
      </c>
      <c r="Y69" s="440"/>
      <c r="Z69" s="440"/>
      <c r="AA69" s="440"/>
      <c r="AB69" s="440"/>
      <c r="AC69" s="440">
        <f>'[3]DT trinh GD'!AK156</f>
        <v>0</v>
      </c>
      <c r="AD69" s="440"/>
      <c r="AE69" s="440">
        <f>'[3]DT trinh GD'!AM156</f>
        <v>0</v>
      </c>
    </row>
    <row r="70" spans="1:31" s="223" customFormat="1" ht="26.25" customHeight="1">
      <c r="A70" s="439">
        <v>31</v>
      </c>
      <c r="B70" s="449" t="str">
        <f>'[3]DT trinh GD'!B157</f>
        <v xml:space="preserve">Kinh phí thực hiện CTMTQG nông thôn mới </v>
      </c>
      <c r="C70" s="444">
        <f t="shared" si="0"/>
        <v>59295</v>
      </c>
      <c r="D70" s="444"/>
      <c r="E70" s="444"/>
      <c r="F70" s="444"/>
      <c r="G70" s="444">
        <f>AC70</f>
        <v>59295</v>
      </c>
      <c r="H70" s="444"/>
      <c r="I70" s="444"/>
      <c r="J70" s="444"/>
      <c r="K70" s="444"/>
      <c r="L70" s="444"/>
      <c r="M70" s="444"/>
      <c r="N70" s="444"/>
      <c r="O70" s="444"/>
      <c r="P70" s="444"/>
      <c r="Q70" s="444"/>
      <c r="R70" s="444"/>
      <c r="S70" s="444"/>
      <c r="T70" s="444"/>
      <c r="U70" s="444"/>
      <c r="V70" s="444"/>
      <c r="W70" s="444"/>
      <c r="X70" s="444"/>
      <c r="Y70" s="444"/>
      <c r="Z70" s="444"/>
      <c r="AA70" s="444"/>
      <c r="AB70" s="444"/>
      <c r="AC70" s="444">
        <f>'[3]DT trinh GD'!AK157</f>
        <v>59295</v>
      </c>
      <c r="AD70" s="444"/>
      <c r="AE70" s="444"/>
    </row>
    <row r="71" spans="1:31" s="223" customFormat="1" ht="29.25" customHeight="1">
      <c r="A71" s="439">
        <v>32</v>
      </c>
      <c r="B71" s="449" t="str">
        <f>'[3]DT trinh GD'!B158</f>
        <v>BHXH (Kp mua BHYT cho các đối tượng người nghèo, trẻ em dưới 6 tuổi, HSSV...)</v>
      </c>
      <c r="C71" s="444">
        <f t="shared" si="0"/>
        <v>216417</v>
      </c>
      <c r="D71" s="444">
        <f>'[3]DT trinh GD'!K158</f>
        <v>0</v>
      </c>
      <c r="E71" s="444"/>
      <c r="F71" s="444">
        <f>'[3]DT trinh GD'!L158</f>
        <v>0</v>
      </c>
      <c r="G71" s="444">
        <f>'[3]DT trinh GD'!N158</f>
        <v>216417</v>
      </c>
      <c r="H71" s="444">
        <f>'[3]DT trinh GD'!O158</f>
        <v>0</v>
      </c>
      <c r="I71" s="444">
        <f>'[3]DT trinh GD'!P158</f>
        <v>0</v>
      </c>
      <c r="J71" s="444">
        <f>'[3]DT trinh GD'!Q158</f>
        <v>0</v>
      </c>
      <c r="K71" s="444">
        <f>'[3]DT trinh GD'!R158</f>
        <v>0</v>
      </c>
      <c r="L71" s="444">
        <f>'[3]DT trinh GD'!S158</f>
        <v>0</v>
      </c>
      <c r="M71" s="444">
        <f>'[3]DT trinh GD'!T158</f>
        <v>0</v>
      </c>
      <c r="N71" s="444">
        <f>'[3]DT trinh GD'!U158</f>
        <v>0</v>
      </c>
      <c r="O71" s="444">
        <f>'[3]DT trinh GD'!V158</f>
        <v>216417</v>
      </c>
      <c r="P71" s="444">
        <f>'[3]DT trinh GD'!W158</f>
        <v>0</v>
      </c>
      <c r="Q71" s="444">
        <f>'[3]DT trinh GD'!X158</f>
        <v>0</v>
      </c>
      <c r="R71" s="444">
        <f>'[3]DT trinh GD'!Y158</f>
        <v>0</v>
      </c>
      <c r="S71" s="444">
        <f>'[3]DT trinh GD'!Z158</f>
        <v>0</v>
      </c>
      <c r="T71" s="444">
        <f>'[3]DT trinh GD'!AA158</f>
        <v>0</v>
      </c>
      <c r="U71" s="444">
        <f>'[3]DT trinh GD'!AB158</f>
        <v>0</v>
      </c>
      <c r="V71" s="444">
        <f>'[3]DT trinh GD'!AC158</f>
        <v>0</v>
      </c>
      <c r="W71" s="444">
        <f>'[3]DT trinh GD'!AD158</f>
        <v>0</v>
      </c>
      <c r="X71" s="444">
        <f>'[3]DT trinh GD'!AE158</f>
        <v>0</v>
      </c>
      <c r="Y71" s="444"/>
      <c r="Z71" s="444"/>
      <c r="AA71" s="444"/>
      <c r="AB71" s="444"/>
      <c r="AC71" s="444"/>
      <c r="AD71" s="444"/>
      <c r="AE71" s="444">
        <f>'[3]DT trinh GD'!AK158</f>
        <v>0</v>
      </c>
    </row>
    <row r="72" spans="1:31" s="223" customFormat="1" ht="15" customHeight="1">
      <c r="A72" s="439">
        <v>33</v>
      </c>
      <c r="B72" s="449" t="str">
        <f>'[3]DT trinh GD'!B159</f>
        <v>KP đảm bảo trật tự ATGT</v>
      </c>
      <c r="C72" s="444">
        <f t="shared" si="0"/>
        <v>5851</v>
      </c>
      <c r="D72" s="444">
        <f>'[3]DT trinh GD'!K159</f>
        <v>0</v>
      </c>
      <c r="E72" s="444"/>
      <c r="F72" s="444">
        <f>'[3]DT trinh GD'!L159</f>
        <v>0</v>
      </c>
      <c r="G72" s="444">
        <f>'[3]DT trinh GD'!N159</f>
        <v>5851</v>
      </c>
      <c r="H72" s="444">
        <f>'[3]DT trinh GD'!O159</f>
        <v>0</v>
      </c>
      <c r="I72" s="444">
        <f>'[3]DT trinh GD'!P159</f>
        <v>0</v>
      </c>
      <c r="J72" s="444">
        <f>'[3]DT trinh GD'!Q159</f>
        <v>0</v>
      </c>
      <c r="K72" s="444">
        <f>'[3]DT trinh GD'!R159</f>
        <v>0</v>
      </c>
      <c r="L72" s="444">
        <f>'[3]DT trinh GD'!S159</f>
        <v>0</v>
      </c>
      <c r="M72" s="444">
        <f>'[3]DT trinh GD'!T159</f>
        <v>0</v>
      </c>
      <c r="N72" s="444">
        <f>'[3]DT trinh GD'!U159</f>
        <v>0</v>
      </c>
      <c r="O72" s="444">
        <f>'[3]DT trinh GD'!V159</f>
        <v>0</v>
      </c>
      <c r="P72" s="444">
        <f>'[3]DT trinh GD'!W159</f>
        <v>0</v>
      </c>
      <c r="Q72" s="444">
        <f>'[3]DT trinh GD'!X159</f>
        <v>0</v>
      </c>
      <c r="R72" s="444">
        <f>'[3]DT trinh GD'!Y159</f>
        <v>0</v>
      </c>
      <c r="S72" s="444">
        <f>'[3]DT trinh GD'!Z159</f>
        <v>0</v>
      </c>
      <c r="T72" s="444">
        <f>'[3]DT trinh GD'!AA159</f>
        <v>0</v>
      </c>
      <c r="U72" s="444">
        <f>'[3]DT trinh GD'!AB159</f>
        <v>0</v>
      </c>
      <c r="V72" s="444">
        <f>'[3]DT trinh GD'!AC159</f>
        <v>0</v>
      </c>
      <c r="W72" s="444">
        <f>'[3]DT trinh GD'!AD159</f>
        <v>0</v>
      </c>
      <c r="X72" s="444">
        <f>'[3]DT trinh GD'!AE159</f>
        <v>5851</v>
      </c>
      <c r="Y72" s="444"/>
      <c r="Z72" s="444"/>
      <c r="AA72" s="444"/>
      <c r="AB72" s="444"/>
      <c r="AC72" s="444"/>
      <c r="AD72" s="444"/>
      <c r="AE72" s="444">
        <f>'[3]DT trinh GD'!AK159</f>
        <v>0</v>
      </c>
    </row>
    <row r="73" spans="1:31" s="223" customFormat="1" ht="6" hidden="1" customHeight="1">
      <c r="A73" s="439" t="e">
        <f>'[3]DT trinh GD'!#REF!</f>
        <v>#REF!</v>
      </c>
      <c r="B73" s="449" t="e">
        <f>'[3]DT trinh GD'!#REF!</f>
        <v>#REF!</v>
      </c>
      <c r="C73" s="444" t="e">
        <f t="shared" si="0"/>
        <v>#REF!</v>
      </c>
      <c r="D73" s="444" t="e">
        <f>'[3]DT trinh GD'!#REF!</f>
        <v>#REF!</v>
      </c>
      <c r="E73" s="444"/>
      <c r="F73" s="444" t="e">
        <f>'[3]DT trinh GD'!#REF!</f>
        <v>#REF!</v>
      </c>
      <c r="G73" s="444" t="e">
        <f>'[3]DT trinh GD'!#REF!</f>
        <v>#REF!</v>
      </c>
      <c r="H73" s="444" t="e">
        <f>'[3]DT trinh GD'!#REF!</f>
        <v>#REF!</v>
      </c>
      <c r="I73" s="444" t="e">
        <f>'[3]DT trinh GD'!#REF!</f>
        <v>#REF!</v>
      </c>
      <c r="J73" s="444" t="e">
        <f>'[3]DT trinh GD'!#REF!</f>
        <v>#REF!</v>
      </c>
      <c r="K73" s="444" t="e">
        <f>'[3]DT trinh GD'!#REF!</f>
        <v>#REF!</v>
      </c>
      <c r="L73" s="444" t="e">
        <f>'[3]DT trinh GD'!#REF!</f>
        <v>#REF!</v>
      </c>
      <c r="M73" s="444" t="e">
        <f>'[3]DT trinh GD'!#REF!</f>
        <v>#REF!</v>
      </c>
      <c r="N73" s="444" t="e">
        <f>'[3]DT trinh GD'!#REF!</f>
        <v>#REF!</v>
      </c>
      <c r="O73" s="444" t="e">
        <f>'[3]DT trinh GD'!#REF!</f>
        <v>#REF!</v>
      </c>
      <c r="P73" s="444" t="e">
        <f>'[3]DT trinh GD'!#REF!</f>
        <v>#REF!</v>
      </c>
      <c r="Q73" s="444" t="e">
        <f>'[3]DT trinh GD'!#REF!</f>
        <v>#REF!</v>
      </c>
      <c r="R73" s="444" t="e">
        <f>'[3]DT trinh GD'!#REF!</f>
        <v>#REF!</v>
      </c>
      <c r="S73" s="444" t="e">
        <f>'[3]DT trinh GD'!#REF!</f>
        <v>#REF!</v>
      </c>
      <c r="T73" s="444" t="e">
        <f>'[3]DT trinh GD'!#REF!</f>
        <v>#REF!</v>
      </c>
      <c r="U73" s="444" t="e">
        <f>'[3]DT trinh GD'!#REF!</f>
        <v>#REF!</v>
      </c>
      <c r="V73" s="444" t="e">
        <f>'[3]DT trinh GD'!#REF!</f>
        <v>#REF!</v>
      </c>
      <c r="W73" s="444" t="e">
        <f>'[3]DT trinh GD'!#REF!</f>
        <v>#REF!</v>
      </c>
      <c r="X73" s="444" t="e">
        <f>'[3]DT trinh GD'!#REF!</f>
        <v>#REF!</v>
      </c>
      <c r="Y73" s="444"/>
      <c r="Z73" s="444"/>
      <c r="AA73" s="444"/>
      <c r="AB73" s="444"/>
      <c r="AC73" s="444"/>
      <c r="AD73" s="444"/>
      <c r="AE73" s="444" t="e">
        <f>'[3]DT trinh GD'!#REF!</f>
        <v>#REF!</v>
      </c>
    </row>
    <row r="74" spans="1:31" s="223" customFormat="1" ht="15.75" customHeight="1">
      <c r="A74" s="439">
        <v>34</v>
      </c>
      <c r="B74" s="449" t="str">
        <f>'[3]DT trinh GD'!B160</f>
        <v>KP thực hiện các ngày lễ lớn</v>
      </c>
      <c r="C74" s="444">
        <f t="shared" ref="C74:C86" si="1">D74+G74</f>
        <v>20000</v>
      </c>
      <c r="D74" s="444">
        <f>'[3]DT trinh GD'!K160</f>
        <v>0</v>
      </c>
      <c r="E74" s="444"/>
      <c r="F74" s="444">
        <f>'[3]DT trinh GD'!L160</f>
        <v>0</v>
      </c>
      <c r="G74" s="444">
        <f>'[3]DT trinh GD'!N160</f>
        <v>20000</v>
      </c>
      <c r="H74" s="444">
        <f>'[3]DT trinh GD'!O160</f>
        <v>0</v>
      </c>
      <c r="I74" s="444">
        <f>'[3]DT trinh GD'!P160</f>
        <v>0</v>
      </c>
      <c r="J74" s="444">
        <f>'[3]DT trinh GD'!Q160</f>
        <v>0</v>
      </c>
      <c r="K74" s="444">
        <f>'[3]DT trinh GD'!R160</f>
        <v>0</v>
      </c>
      <c r="L74" s="444">
        <f>'[3]DT trinh GD'!S160</f>
        <v>0</v>
      </c>
      <c r="M74" s="444">
        <f>'[3]DT trinh GD'!T160</f>
        <v>0</v>
      </c>
      <c r="N74" s="444">
        <f>'[3]DT trinh GD'!U160</f>
        <v>0</v>
      </c>
      <c r="O74" s="444">
        <f>'[3]DT trinh GD'!V160</f>
        <v>0</v>
      </c>
      <c r="P74" s="444">
        <f>'[3]DT trinh GD'!W160</f>
        <v>0</v>
      </c>
      <c r="Q74" s="444">
        <f>'[3]DT trinh GD'!X160</f>
        <v>0</v>
      </c>
      <c r="R74" s="444">
        <f>'[3]DT trinh GD'!Y160</f>
        <v>0</v>
      </c>
      <c r="S74" s="444">
        <f>'[3]DT trinh GD'!Z160</f>
        <v>0</v>
      </c>
      <c r="T74" s="444">
        <f>'[3]DT trinh GD'!AA160</f>
        <v>0</v>
      </c>
      <c r="U74" s="444">
        <f>'[3]DT trinh GD'!AB160</f>
        <v>0</v>
      </c>
      <c r="V74" s="444">
        <f>'[3]DT trinh GD'!AC160</f>
        <v>0</v>
      </c>
      <c r="W74" s="444">
        <f>'[3]DT trinh GD'!AD160</f>
        <v>0</v>
      </c>
      <c r="X74" s="444">
        <f>'[3]DT trinh GD'!AE160</f>
        <v>0</v>
      </c>
      <c r="Y74" s="444"/>
      <c r="Z74" s="444">
        <f>'[3]DT trinh GD'!AH160</f>
        <v>20000</v>
      </c>
      <c r="AA74" s="444"/>
      <c r="AB74" s="444"/>
      <c r="AC74" s="444"/>
      <c r="AD74" s="445"/>
      <c r="AE74" s="444">
        <f>'[3]DT trinh GD'!AK160</f>
        <v>0</v>
      </c>
    </row>
    <row r="75" spans="1:31" s="223" customFormat="1" ht="17.25" customHeight="1">
      <c r="A75" s="439">
        <v>35</v>
      </c>
      <c r="B75" s="449" t="str">
        <f>'[3]DT trinh GD'!B161</f>
        <v>Quà tết đối tượng chính sách</v>
      </c>
      <c r="C75" s="444">
        <f t="shared" si="1"/>
        <v>5000</v>
      </c>
      <c r="D75" s="444">
        <f>'[3]DT trinh GD'!K161</f>
        <v>0</v>
      </c>
      <c r="E75" s="444"/>
      <c r="F75" s="444">
        <f>'[3]DT trinh GD'!L161</f>
        <v>0</v>
      </c>
      <c r="G75" s="444">
        <f>'[3]DT trinh GD'!N161</f>
        <v>5000</v>
      </c>
      <c r="H75" s="444">
        <f>'[3]DT trinh GD'!O161</f>
        <v>0</v>
      </c>
      <c r="I75" s="444">
        <f>'[3]DT trinh GD'!P161</f>
        <v>0</v>
      </c>
      <c r="J75" s="444">
        <f>'[3]DT trinh GD'!Q161</f>
        <v>0</v>
      </c>
      <c r="K75" s="444">
        <f>'[3]DT trinh GD'!R161</f>
        <v>0</v>
      </c>
      <c r="L75" s="444">
        <f>'[3]DT trinh GD'!S161</f>
        <v>0</v>
      </c>
      <c r="M75" s="444">
        <f>'[3]DT trinh GD'!T161</f>
        <v>0</v>
      </c>
      <c r="N75" s="444">
        <f>'[3]DT trinh GD'!U161</f>
        <v>0</v>
      </c>
      <c r="O75" s="444">
        <f>'[3]DT trinh GD'!V161</f>
        <v>0</v>
      </c>
      <c r="P75" s="444">
        <f>'[3]DT trinh GD'!W161</f>
        <v>0</v>
      </c>
      <c r="Q75" s="444">
        <f>'[3]DT trinh GD'!X161</f>
        <v>0</v>
      </c>
      <c r="R75" s="444">
        <f>'[3]DT trinh GD'!Y161</f>
        <v>0</v>
      </c>
      <c r="S75" s="444">
        <f>'[3]DT trinh GD'!Z161</f>
        <v>5000</v>
      </c>
      <c r="T75" s="444">
        <f>'[3]DT trinh GD'!AA161</f>
        <v>0</v>
      </c>
      <c r="U75" s="444">
        <f>'[3]DT trinh GD'!AB161</f>
        <v>0</v>
      </c>
      <c r="V75" s="444">
        <f>'[3]DT trinh GD'!AC161</f>
        <v>0</v>
      </c>
      <c r="W75" s="444">
        <f>'[3]DT trinh GD'!AD161</f>
        <v>0</v>
      </c>
      <c r="X75" s="444">
        <f>'[3]DT trinh GD'!AE161</f>
        <v>0</v>
      </c>
      <c r="Y75" s="444"/>
      <c r="Z75" s="444"/>
      <c r="AA75" s="444"/>
      <c r="AB75" s="444"/>
      <c r="AC75" s="444"/>
      <c r="AD75" s="444"/>
      <c r="AE75" s="444">
        <f>'[3]DT trinh GD'!AK161</f>
        <v>0</v>
      </c>
    </row>
    <row r="76" spans="1:31" s="223" customFormat="1" ht="28.5" customHeight="1">
      <c r="A76" s="439">
        <v>36</v>
      </c>
      <c r="B76" s="449" t="str">
        <f>'[3]DT trinh GD'!B162</f>
        <v>Các nhiệm vụ về QL tài nguyên, đất, môi trường</v>
      </c>
      <c r="C76" s="444">
        <f t="shared" si="1"/>
        <v>12000</v>
      </c>
      <c r="D76" s="444">
        <f>'[3]DT trinh GD'!K162</f>
        <v>0</v>
      </c>
      <c r="E76" s="444"/>
      <c r="F76" s="444">
        <f>'[3]DT trinh GD'!L162</f>
        <v>0</v>
      </c>
      <c r="G76" s="444">
        <f>'[3]DT trinh GD'!N162</f>
        <v>12000</v>
      </c>
      <c r="H76" s="444">
        <f>'[3]DT trinh GD'!O162</f>
        <v>0</v>
      </c>
      <c r="I76" s="444">
        <f>'[3]DT trinh GD'!P162</f>
        <v>0</v>
      </c>
      <c r="J76" s="444">
        <f>'[3]DT trinh GD'!Q162</f>
        <v>0</v>
      </c>
      <c r="K76" s="444">
        <f>'[3]DT trinh GD'!R162</f>
        <v>0</v>
      </c>
      <c r="L76" s="444">
        <f>'[3]DT trinh GD'!S162</f>
        <v>0</v>
      </c>
      <c r="M76" s="444">
        <f>'[3]DT trinh GD'!T162</f>
        <v>0</v>
      </c>
      <c r="N76" s="444">
        <f>'[3]DT trinh GD'!U162</f>
        <v>0</v>
      </c>
      <c r="O76" s="444">
        <f>'[3]DT trinh GD'!V162</f>
        <v>0</v>
      </c>
      <c r="P76" s="444">
        <f>'[3]DT trinh GD'!W162</f>
        <v>0</v>
      </c>
      <c r="Q76" s="444">
        <f>'[3]DT trinh GD'!X162</f>
        <v>0</v>
      </c>
      <c r="R76" s="444">
        <f>'[3]DT trinh GD'!Y162</f>
        <v>0</v>
      </c>
      <c r="S76" s="444">
        <f>'[3]DT trinh GD'!Z162</f>
        <v>0</v>
      </c>
      <c r="T76" s="444">
        <f>'[3]DT trinh GD'!AA162</f>
        <v>0</v>
      </c>
      <c r="U76" s="444">
        <f>'[3]DT trinh GD'!AB162</f>
        <v>0</v>
      </c>
      <c r="V76" s="444">
        <f>'[3]DT trinh GD'!AC162</f>
        <v>0</v>
      </c>
      <c r="W76" s="444">
        <f>'[3]DT trinh GD'!AD162</f>
        <v>0</v>
      </c>
      <c r="X76" s="444">
        <f>'[3]DT trinh GD'!AE162</f>
        <v>0</v>
      </c>
      <c r="Y76" s="444"/>
      <c r="Z76" s="444"/>
      <c r="AA76" s="444"/>
      <c r="AB76" s="444"/>
      <c r="AC76" s="444"/>
      <c r="AD76" s="444"/>
      <c r="AE76" s="444">
        <f>'[3]DT trinh GD'!AM162</f>
        <v>12000</v>
      </c>
    </row>
    <row r="77" spans="1:31" s="223" customFormat="1" ht="31.5" customHeight="1">
      <c r="A77" s="439">
        <f>'[3]DT trinh GD'!A163</f>
        <v>37</v>
      </c>
      <c r="B77" s="449" t="str">
        <f>'[3]DT trinh GD'!B163</f>
        <v>Ctác quan hệ đối ngoại, lực lượng Bộ đội thường trực của tỉnh tại An Giang</v>
      </c>
      <c r="C77" s="444">
        <f t="shared" si="1"/>
        <v>5000</v>
      </c>
      <c r="D77" s="444">
        <f>'[3]DT trinh GD'!K163</f>
        <v>0</v>
      </c>
      <c r="E77" s="444"/>
      <c r="F77" s="444">
        <f>'[3]DT trinh GD'!L163</f>
        <v>0</v>
      </c>
      <c r="G77" s="444">
        <f>'[3]DT trinh GD'!N163</f>
        <v>5000</v>
      </c>
      <c r="H77" s="444">
        <f>'[3]DT trinh GD'!O163</f>
        <v>0</v>
      </c>
      <c r="I77" s="444">
        <f>'[3]DT trinh GD'!P163</f>
        <v>0</v>
      </c>
      <c r="J77" s="444">
        <f>'[3]DT trinh GD'!Q163</f>
        <v>0</v>
      </c>
      <c r="K77" s="444">
        <f>'[3]DT trinh GD'!R163</f>
        <v>0</v>
      </c>
      <c r="L77" s="444">
        <f>'[3]DT trinh GD'!S163</f>
        <v>0</v>
      </c>
      <c r="M77" s="444">
        <f>'[3]DT trinh GD'!T163</f>
        <v>0</v>
      </c>
      <c r="N77" s="444">
        <f>'[3]DT trinh GD'!U163</f>
        <v>0</v>
      </c>
      <c r="O77" s="444">
        <f>'[3]DT trinh GD'!V163</f>
        <v>0</v>
      </c>
      <c r="P77" s="444">
        <f>'[3]DT trinh GD'!W163</f>
        <v>0</v>
      </c>
      <c r="Q77" s="444">
        <f>'[3]DT trinh GD'!X163</f>
        <v>0</v>
      </c>
      <c r="R77" s="444">
        <f>'[3]DT trinh GD'!Y163</f>
        <v>0</v>
      </c>
      <c r="S77" s="444">
        <f>'[3]DT trinh GD'!Z163</f>
        <v>0</v>
      </c>
      <c r="T77" s="444">
        <f>'[3]DT trinh GD'!AA163</f>
        <v>0</v>
      </c>
      <c r="U77" s="444">
        <f>'[3]DT trinh GD'!AB163</f>
        <v>0</v>
      </c>
      <c r="V77" s="444">
        <f>'[3]DT trinh GD'!AC163</f>
        <v>5000</v>
      </c>
      <c r="W77" s="444">
        <f>'[3]DT trinh GD'!AD163</f>
        <v>0</v>
      </c>
      <c r="X77" s="444">
        <f>'[3]DT trinh GD'!AE163</f>
        <v>0</v>
      </c>
      <c r="Y77" s="444"/>
      <c r="Z77" s="444"/>
      <c r="AA77" s="444"/>
      <c r="AB77" s="444"/>
      <c r="AC77" s="444"/>
      <c r="AD77" s="444"/>
      <c r="AE77" s="444">
        <f>'[3]DT trinh GD'!AK163</f>
        <v>0</v>
      </c>
    </row>
    <row r="78" spans="1:31" s="223" customFormat="1" ht="15.75" customHeight="1">
      <c r="A78" s="439">
        <f>'[3]DT trinh GD'!A164</f>
        <v>38</v>
      </c>
      <c r="B78" s="449" t="str">
        <f>'[3]DT trinh GD'!B164</f>
        <v>Chính sách thu hút đầu tư</v>
      </c>
      <c r="C78" s="444">
        <f t="shared" si="1"/>
        <v>3000</v>
      </c>
      <c r="D78" s="444">
        <f>'[3]DT trinh GD'!K164</f>
        <v>0</v>
      </c>
      <c r="E78" s="444"/>
      <c r="F78" s="444">
        <f>'[3]DT trinh GD'!L164</f>
        <v>0</v>
      </c>
      <c r="G78" s="444">
        <f>'[3]DT trinh GD'!N164</f>
        <v>3000</v>
      </c>
      <c r="H78" s="444">
        <f>'[3]DT trinh GD'!O164</f>
        <v>0</v>
      </c>
      <c r="I78" s="444">
        <f>'[3]DT trinh GD'!P164</f>
        <v>0</v>
      </c>
      <c r="J78" s="444">
        <f>'[3]DT trinh GD'!Q164</f>
        <v>0</v>
      </c>
      <c r="K78" s="444">
        <f>'[3]DT trinh GD'!R164</f>
        <v>0</v>
      </c>
      <c r="L78" s="444">
        <f>'[3]DT trinh GD'!S164</f>
        <v>3000</v>
      </c>
      <c r="M78" s="444">
        <f>'[3]DT trinh GD'!T164</f>
        <v>0</v>
      </c>
      <c r="N78" s="444">
        <f>'[3]DT trinh GD'!U164</f>
        <v>0</v>
      </c>
      <c r="O78" s="444">
        <f>'[3]DT trinh GD'!V164</f>
        <v>0</v>
      </c>
      <c r="P78" s="444">
        <f>'[3]DT trinh GD'!W164</f>
        <v>0</v>
      </c>
      <c r="Q78" s="444">
        <f>'[3]DT trinh GD'!X164</f>
        <v>0</v>
      </c>
      <c r="R78" s="444">
        <f>'[3]DT trinh GD'!Y164</f>
        <v>0</v>
      </c>
      <c r="S78" s="444">
        <f>'[3]DT trinh GD'!Z164</f>
        <v>0</v>
      </c>
      <c r="T78" s="444">
        <f>'[3]DT trinh GD'!AA164</f>
        <v>0</v>
      </c>
      <c r="U78" s="444">
        <f>'[3]DT trinh GD'!AB164</f>
        <v>0</v>
      </c>
      <c r="V78" s="444">
        <f>'[3]DT trinh GD'!AC164</f>
        <v>0</v>
      </c>
      <c r="W78" s="444">
        <f>'[3]DT trinh GD'!AD164</f>
        <v>0</v>
      </c>
      <c r="X78" s="444">
        <f>'[3]DT trinh GD'!AE164</f>
        <v>0</v>
      </c>
      <c r="Y78" s="444"/>
      <c r="Z78" s="444"/>
      <c r="AA78" s="444"/>
      <c r="AB78" s="444"/>
      <c r="AC78" s="444"/>
      <c r="AD78" s="444"/>
      <c r="AE78" s="444">
        <f>'[3]DT trinh GD'!AK164</f>
        <v>0</v>
      </c>
    </row>
    <row r="79" spans="1:31" s="223" customFormat="1" ht="18" customHeight="1">
      <c r="A79" s="439">
        <f>'[3]DT trinh GD'!A165</f>
        <v>39</v>
      </c>
      <c r="B79" s="449" t="str">
        <f>'[3]DT trinh GD'!B165</f>
        <v>Hỗ trợ các đơn vị ngành dọc</v>
      </c>
      <c r="C79" s="444">
        <f t="shared" si="1"/>
        <v>500</v>
      </c>
      <c r="D79" s="444">
        <f>'[3]DT trinh GD'!K165</f>
        <v>0</v>
      </c>
      <c r="E79" s="444"/>
      <c r="F79" s="444">
        <f>'[3]DT trinh GD'!L165</f>
        <v>0</v>
      </c>
      <c r="G79" s="444">
        <f>'[3]DT trinh GD'!N165</f>
        <v>500</v>
      </c>
      <c r="H79" s="444">
        <f>'[3]DT trinh GD'!O165</f>
        <v>0</v>
      </c>
      <c r="I79" s="444">
        <f>'[3]DT trinh GD'!P165</f>
        <v>0</v>
      </c>
      <c r="J79" s="444">
        <f>'[3]DT trinh GD'!Q165</f>
        <v>0</v>
      </c>
      <c r="K79" s="444">
        <f>'[3]DT trinh GD'!R165</f>
        <v>0</v>
      </c>
      <c r="L79" s="444">
        <f>'[3]DT trinh GD'!S165</f>
        <v>0</v>
      </c>
      <c r="M79" s="444">
        <f>'[3]DT trinh GD'!T165</f>
        <v>0</v>
      </c>
      <c r="N79" s="444">
        <f>'[3]DT trinh GD'!U165</f>
        <v>0</v>
      </c>
      <c r="O79" s="444">
        <f>'[3]DT trinh GD'!V165</f>
        <v>0</v>
      </c>
      <c r="P79" s="444">
        <f>'[3]DT trinh GD'!W165</f>
        <v>0</v>
      </c>
      <c r="Q79" s="444">
        <f>'[3]DT trinh GD'!X165</f>
        <v>0</v>
      </c>
      <c r="R79" s="444">
        <f>'[3]DT trinh GD'!Y165</f>
        <v>0</v>
      </c>
      <c r="S79" s="444">
        <f>'[3]DT trinh GD'!Z165</f>
        <v>0</v>
      </c>
      <c r="T79" s="444">
        <f>'[3]DT trinh GD'!AA165</f>
        <v>0</v>
      </c>
      <c r="U79" s="444">
        <f>'[3]DT trinh GD'!AB165</f>
        <v>0</v>
      </c>
      <c r="V79" s="444">
        <f>'[3]DT trinh GD'!AC165</f>
        <v>0</v>
      </c>
      <c r="W79" s="444">
        <f>'[3]DT trinh GD'!AD165</f>
        <v>500</v>
      </c>
      <c r="X79" s="444">
        <f>'[3]DT trinh GD'!AE165</f>
        <v>0</v>
      </c>
      <c r="Y79" s="444"/>
      <c r="Z79" s="444"/>
      <c r="AA79" s="444"/>
      <c r="AB79" s="444"/>
      <c r="AC79" s="444"/>
      <c r="AD79" s="444"/>
      <c r="AE79" s="444">
        <f>'[3]DT trinh GD'!AK165</f>
        <v>0</v>
      </c>
    </row>
    <row r="80" spans="1:31" s="223" customFormat="1" ht="13.5" hidden="1" customHeight="1">
      <c r="A80" s="439">
        <f>'[3]DT trinh GD'!A166</f>
        <v>40</v>
      </c>
      <c r="B80" s="449" t="str">
        <f>'[3]DT trinh GD'!B166</f>
        <v>Các DA quyết toán nhưng thiếu vốn</v>
      </c>
      <c r="C80" s="444">
        <f t="shared" si="1"/>
        <v>3000</v>
      </c>
      <c r="D80" s="444">
        <f>'[3]DT trinh GD'!K166</f>
        <v>0</v>
      </c>
      <c r="E80" s="444"/>
      <c r="F80" s="444">
        <f>'[3]DT trinh GD'!L166</f>
        <v>0</v>
      </c>
      <c r="G80" s="444">
        <f>'[3]DT trinh GD'!N166</f>
        <v>3000</v>
      </c>
      <c r="H80" s="444">
        <f>'[3]DT trinh GD'!O166</f>
        <v>0</v>
      </c>
      <c r="I80" s="444">
        <f>'[3]DT trinh GD'!P166</f>
        <v>0</v>
      </c>
      <c r="J80" s="444">
        <f>'[3]DT trinh GD'!Q166</f>
        <v>0</v>
      </c>
      <c r="K80" s="444">
        <f>'[3]DT trinh GD'!R166</f>
        <v>3000</v>
      </c>
      <c r="L80" s="444">
        <f>'[3]DT trinh GD'!S166</f>
        <v>0</v>
      </c>
      <c r="M80" s="444">
        <f>'[3]DT trinh GD'!T166</f>
        <v>0</v>
      </c>
      <c r="N80" s="444">
        <f>'[3]DT trinh GD'!U166</f>
        <v>0</v>
      </c>
      <c r="O80" s="444">
        <f>'[3]DT trinh GD'!V166</f>
        <v>0</v>
      </c>
      <c r="P80" s="444">
        <f>'[3]DT trinh GD'!W166</f>
        <v>0</v>
      </c>
      <c r="Q80" s="444">
        <f>'[3]DT trinh GD'!X166</f>
        <v>0</v>
      </c>
      <c r="R80" s="444">
        <f>'[3]DT trinh GD'!Y166</f>
        <v>0</v>
      </c>
      <c r="S80" s="444">
        <f>'[3]DT trinh GD'!Z166</f>
        <v>0</v>
      </c>
      <c r="T80" s="444">
        <f>'[3]DT trinh GD'!AA166</f>
        <v>0</v>
      </c>
      <c r="U80" s="444">
        <f>'[3]DT trinh GD'!AB166</f>
        <v>0</v>
      </c>
      <c r="V80" s="444">
        <f>'[3]DT trinh GD'!AC166</f>
        <v>0</v>
      </c>
      <c r="W80" s="444">
        <f>'[3]DT trinh GD'!AD166</f>
        <v>0</v>
      </c>
      <c r="X80" s="444">
        <f>'[3]DT trinh GD'!AE166</f>
        <v>0</v>
      </c>
      <c r="Y80" s="444"/>
      <c r="Z80" s="444"/>
      <c r="AA80" s="444"/>
      <c r="AB80" s="444"/>
      <c r="AC80" s="444"/>
      <c r="AD80" s="444"/>
      <c r="AE80" s="444">
        <f>'[3]DT trinh GD'!AK166</f>
        <v>0</v>
      </c>
    </row>
    <row r="81" spans="1:31" s="223" customFormat="1" ht="17.25" customHeight="1">
      <c r="A81" s="439">
        <f>'[3]DT trinh GD'!A166</f>
        <v>40</v>
      </c>
      <c r="B81" s="449" t="str">
        <f>'[3]DT trinh GD'!B166</f>
        <v>Các DA quyết toán nhưng thiếu vốn</v>
      </c>
      <c r="C81" s="444">
        <f t="shared" si="1"/>
        <v>3000</v>
      </c>
      <c r="D81" s="444">
        <f>'[3]DT trinh GD'!K166</f>
        <v>0</v>
      </c>
      <c r="E81" s="444"/>
      <c r="F81" s="444">
        <f>'[3]DT trinh GD'!L166</f>
        <v>0</v>
      </c>
      <c r="G81" s="444">
        <f>'[3]DT trinh GD'!N166</f>
        <v>3000</v>
      </c>
      <c r="H81" s="444">
        <f>'[3]DT trinh GD'!O166</f>
        <v>0</v>
      </c>
      <c r="I81" s="444">
        <f>'[3]DT trinh GD'!P166</f>
        <v>0</v>
      </c>
      <c r="J81" s="444">
        <f>'[3]DT trinh GD'!Q166</f>
        <v>0</v>
      </c>
      <c r="K81" s="444">
        <f>'[3]DT trinh GD'!R166</f>
        <v>3000</v>
      </c>
      <c r="L81" s="444">
        <f>'[3]DT trinh GD'!S166</f>
        <v>0</v>
      </c>
      <c r="M81" s="444">
        <f>'[3]DT trinh GD'!T166</f>
        <v>0</v>
      </c>
      <c r="N81" s="444">
        <f>'[3]DT trinh GD'!U166</f>
        <v>0</v>
      </c>
      <c r="O81" s="444">
        <f>'[3]DT trinh GD'!V166</f>
        <v>0</v>
      </c>
      <c r="P81" s="444">
        <f>'[3]DT trinh GD'!W166</f>
        <v>0</v>
      </c>
      <c r="Q81" s="444">
        <f>'[3]DT trinh GD'!X166</f>
        <v>0</v>
      </c>
      <c r="R81" s="444">
        <f>'[3]DT trinh GD'!Y166</f>
        <v>0</v>
      </c>
      <c r="S81" s="444">
        <f>'[3]DT trinh GD'!Z166</f>
        <v>0</v>
      </c>
      <c r="T81" s="444">
        <f>'[3]DT trinh GD'!AA166</f>
        <v>0</v>
      </c>
      <c r="U81" s="444">
        <f>'[3]DT trinh GD'!AB166</f>
        <v>0</v>
      </c>
      <c r="V81" s="444">
        <f>'[3]DT trinh GD'!AC166</f>
        <v>0</v>
      </c>
      <c r="W81" s="444">
        <f>'[3]DT trinh GD'!AD166</f>
        <v>0</v>
      </c>
      <c r="X81" s="444">
        <f>'[3]DT trinh GD'!AE166</f>
        <v>0</v>
      </c>
      <c r="Y81" s="444"/>
      <c r="Z81" s="444"/>
      <c r="AA81" s="444"/>
      <c r="AB81" s="444"/>
      <c r="AC81" s="444"/>
      <c r="AD81" s="444"/>
      <c r="AE81" s="444">
        <f>'[3]DT trinh GD'!AK166</f>
        <v>0</v>
      </c>
    </row>
    <row r="82" spans="1:31" s="223" customFormat="1" ht="20.25" customHeight="1">
      <c r="A82" s="439">
        <f>'[3]DT trinh GD'!A167</f>
        <v>41</v>
      </c>
      <c r="B82" s="449" t="str">
        <f>'[3]DT trinh GD'!B167</f>
        <v>KP phục vụ đại hội đảng các cấp nhiệm kỳ 2025-2030</v>
      </c>
      <c r="C82" s="444">
        <f t="shared" si="1"/>
        <v>100000</v>
      </c>
      <c r="D82" s="444">
        <f>'[3]DT trinh GD'!K167</f>
        <v>0</v>
      </c>
      <c r="E82" s="444"/>
      <c r="F82" s="444">
        <f>'[3]DT trinh GD'!L167</f>
        <v>0</v>
      </c>
      <c r="G82" s="444">
        <f>'[3]DT trinh GD'!N167</f>
        <v>100000</v>
      </c>
      <c r="H82" s="444">
        <f>'[3]DT trinh GD'!O167</f>
        <v>0</v>
      </c>
      <c r="I82" s="444">
        <f>'[3]DT trinh GD'!P167</f>
        <v>0</v>
      </c>
      <c r="J82" s="444">
        <f>'[3]DT trinh GD'!Q167</f>
        <v>0</v>
      </c>
      <c r="K82" s="444">
        <f>'[3]DT trinh GD'!R167</f>
        <v>0</v>
      </c>
      <c r="L82" s="444">
        <f>'[3]DT trinh GD'!S167</f>
        <v>0</v>
      </c>
      <c r="M82" s="444">
        <f>'[3]DT trinh GD'!T167</f>
        <v>0</v>
      </c>
      <c r="N82" s="444">
        <f>'[3]DT trinh GD'!U167</f>
        <v>0</v>
      </c>
      <c r="O82" s="444">
        <f>'[3]DT trinh GD'!V167</f>
        <v>0</v>
      </c>
      <c r="P82" s="444">
        <f>'[3]DT trinh GD'!W167</f>
        <v>0</v>
      </c>
      <c r="Q82" s="444">
        <f>'[3]DT trinh GD'!X167</f>
        <v>0</v>
      </c>
      <c r="R82" s="444">
        <f>'[3]DT trinh GD'!Y167</f>
        <v>0</v>
      </c>
      <c r="S82" s="444">
        <f>'[3]DT trinh GD'!Z167</f>
        <v>0</v>
      </c>
      <c r="T82" s="444">
        <f>'[3]DT trinh GD'!AA167</f>
        <v>0</v>
      </c>
      <c r="U82" s="444">
        <f>'[3]DT trinh GD'!AB167</f>
        <v>0</v>
      </c>
      <c r="V82" s="444">
        <f>'[3]DT trinh GD'!AC167</f>
        <v>0</v>
      </c>
      <c r="W82" s="444">
        <f>'[3]DT trinh GD'!AD167</f>
        <v>0</v>
      </c>
      <c r="X82" s="444">
        <f>'[3]DT trinh GD'!AE167</f>
        <v>0</v>
      </c>
      <c r="Y82" s="444"/>
      <c r="Z82" s="444"/>
      <c r="AA82" s="444">
        <f>'[3]DT trinh GD'!AI167</f>
        <v>100000</v>
      </c>
      <c r="AB82" s="444"/>
      <c r="AC82" s="444"/>
      <c r="AD82" s="444"/>
      <c r="AE82" s="444">
        <f>'[3]DT trinh GD'!AK167</f>
        <v>0</v>
      </c>
    </row>
    <row r="83" spans="1:31" s="223" customFormat="1" ht="15.75" customHeight="1">
      <c r="A83" s="439">
        <f>'[3]DT trinh GD'!A168</f>
        <v>42</v>
      </c>
      <c r="B83" s="449" t="str">
        <f>'[3]DT trinh GD'!B168</f>
        <v xml:space="preserve">Các nhiệm vụ và chính sách </v>
      </c>
      <c r="C83" s="444">
        <f t="shared" si="1"/>
        <v>22878</v>
      </c>
      <c r="D83" s="444">
        <f>'[3]DT trinh GD'!K168</f>
        <v>0</v>
      </c>
      <c r="E83" s="444"/>
      <c r="F83" s="444">
        <f>'[3]DT trinh GD'!L168</f>
        <v>0</v>
      </c>
      <c r="G83" s="444">
        <f>'[3]DT trinh GD'!N168</f>
        <v>22878</v>
      </c>
      <c r="H83" s="444">
        <f>'[3]DT trinh GD'!O168</f>
        <v>0</v>
      </c>
      <c r="I83" s="444">
        <f>'[3]DT trinh GD'!P168</f>
        <v>0</v>
      </c>
      <c r="J83" s="444">
        <f>'[3]DT trinh GD'!Q168</f>
        <v>0</v>
      </c>
      <c r="K83" s="444">
        <f>'[3]DT trinh GD'!R168</f>
        <v>0</v>
      </c>
      <c r="L83" s="444">
        <f>'[3]DT trinh GD'!S168</f>
        <v>22878</v>
      </c>
      <c r="M83" s="444">
        <f>'[3]DT trinh GD'!T168</f>
        <v>0</v>
      </c>
      <c r="N83" s="444">
        <f>'[3]DT trinh GD'!U168</f>
        <v>0</v>
      </c>
      <c r="O83" s="444">
        <f>'[3]DT trinh GD'!V168</f>
        <v>0</v>
      </c>
      <c r="P83" s="444">
        <f>'[3]DT trinh GD'!W168</f>
        <v>0</v>
      </c>
      <c r="Q83" s="444">
        <f>'[3]DT trinh GD'!X168</f>
        <v>0</v>
      </c>
      <c r="R83" s="444">
        <f>'[3]DT trinh GD'!Y168</f>
        <v>0</v>
      </c>
      <c r="S83" s="444">
        <f>'[3]DT trinh GD'!Z168</f>
        <v>0</v>
      </c>
      <c r="T83" s="444">
        <f>'[3]DT trinh GD'!AA168</f>
        <v>0</v>
      </c>
      <c r="U83" s="444">
        <f>'[3]DT trinh GD'!AB168</f>
        <v>0</v>
      </c>
      <c r="V83" s="444">
        <f>'[3]DT trinh GD'!AC168</f>
        <v>0</v>
      </c>
      <c r="W83" s="444">
        <f>'[3]DT trinh GD'!AD168</f>
        <v>0</v>
      </c>
      <c r="X83" s="444">
        <f>'[3]DT trinh GD'!AE168</f>
        <v>0</v>
      </c>
      <c r="Y83" s="444"/>
      <c r="Z83" s="444"/>
      <c r="AA83" s="444"/>
      <c r="AB83" s="444"/>
      <c r="AC83" s="444"/>
      <c r="AD83" s="444"/>
      <c r="AE83" s="444">
        <f>'[3]DT trinh GD'!AK168</f>
        <v>0</v>
      </c>
    </row>
    <row r="84" spans="1:31" s="223" customFormat="1" ht="39" customHeight="1">
      <c r="A84" s="446">
        <f>'[3]DT trinh GD'!A169</f>
        <v>43</v>
      </c>
      <c r="B84" s="450" t="str">
        <f>'[3]DT trinh GD'!B169</f>
        <v>KP thực hiện khen thưởng theo Nghị định số 73/2024/NĐ-CP của Chính phủ từ nguồn cải cách tiền lương</v>
      </c>
      <c r="C84" s="448">
        <f t="shared" si="1"/>
        <v>224624</v>
      </c>
      <c r="D84" s="448">
        <f>'[3]DT trinh GD'!K169</f>
        <v>0</v>
      </c>
      <c r="E84" s="448"/>
      <c r="F84" s="448"/>
      <c r="G84" s="444">
        <f>'[3]DT trinh GD'!N169</f>
        <v>224624</v>
      </c>
      <c r="H84" s="448"/>
      <c r="I84" s="448"/>
      <c r="J84" s="448"/>
      <c r="K84" s="448"/>
      <c r="L84" s="448"/>
      <c r="M84" s="448"/>
      <c r="N84" s="448">
        <f>'[3]DT trinh GD'!U169</f>
        <v>54867</v>
      </c>
      <c r="O84" s="448"/>
      <c r="P84" s="448"/>
      <c r="Q84" s="448"/>
      <c r="R84" s="448"/>
      <c r="S84" s="448"/>
      <c r="T84" s="448"/>
      <c r="U84" s="448"/>
      <c r="V84" s="448"/>
      <c r="W84" s="448"/>
      <c r="X84" s="448"/>
      <c r="Y84" s="448"/>
      <c r="Z84" s="448"/>
      <c r="AA84" s="448"/>
      <c r="AB84" s="448">
        <f>'[3]DT trinh GD'!AJ169</f>
        <v>169757</v>
      </c>
      <c r="AC84" s="448"/>
      <c r="AD84" s="448"/>
      <c r="AE84" s="448"/>
    </row>
    <row r="85" spans="1:31" s="223" customFormat="1" ht="58.8">
      <c r="A85" s="446">
        <f>'[3]DT trinh GD'!A170</f>
        <v>44</v>
      </c>
      <c r="B85" s="450" t="str">
        <f>'[3]DT trinh GD'!B170</f>
        <v>KP thực hiện ghi thu, ghi chi tiền thuê đất được nhà đầu tư ứng trước để bồi thường, giải phóng mặt bằng theo phương án được cấp có thẩm quyền phê duyệt</v>
      </c>
      <c r="C85" s="447">
        <f t="shared" si="1"/>
        <v>29000</v>
      </c>
      <c r="D85" s="447">
        <f>'[3]DT trinh GD'!K170</f>
        <v>29000</v>
      </c>
      <c r="E85" s="447">
        <f>'[3]DT trinh GD'!L170</f>
        <v>29000</v>
      </c>
      <c r="F85" s="447">
        <f>'[3]DT trinh GD'!M170</f>
        <v>0</v>
      </c>
      <c r="G85" s="447">
        <f>'[3]DT trinh GD'!N170</f>
        <v>0</v>
      </c>
      <c r="H85" s="447"/>
      <c r="I85" s="447"/>
      <c r="J85" s="447"/>
      <c r="K85" s="447"/>
      <c r="L85" s="447"/>
      <c r="M85" s="447"/>
      <c r="N85" s="447"/>
      <c r="O85" s="447"/>
      <c r="P85" s="447"/>
      <c r="Q85" s="447"/>
      <c r="R85" s="447"/>
      <c r="S85" s="447"/>
      <c r="T85" s="447"/>
      <c r="U85" s="447"/>
      <c r="V85" s="447"/>
      <c r="W85" s="447"/>
      <c r="X85" s="447"/>
      <c r="Y85" s="447"/>
      <c r="Z85" s="447"/>
      <c r="AA85" s="447"/>
      <c r="AB85" s="447"/>
      <c r="AC85" s="447"/>
      <c r="AD85" s="447"/>
      <c r="AE85" s="447"/>
    </row>
    <row r="86" spans="1:31" s="223" customFormat="1" ht="23.25" customHeight="1">
      <c r="A86" s="446">
        <f>'[3]DT trinh GD'!A171</f>
        <v>45</v>
      </c>
      <c r="B86" s="450" t="str">
        <f>'[3]DT trinh GD'!B171</f>
        <v>KP hỗ trợ doanh nghiệp nhỏ và vừa</v>
      </c>
      <c r="C86" s="447">
        <f t="shared" si="1"/>
        <v>420</v>
      </c>
      <c r="D86" s="447"/>
      <c r="E86" s="447"/>
      <c r="F86" s="447"/>
      <c r="G86" s="447">
        <f>'[3]DT trinh GD'!N171</f>
        <v>420</v>
      </c>
      <c r="H86" s="447"/>
      <c r="I86" s="447"/>
      <c r="J86" s="447"/>
      <c r="K86" s="447"/>
      <c r="L86" s="447"/>
      <c r="M86" s="447"/>
      <c r="N86" s="447"/>
      <c r="O86" s="447"/>
      <c r="P86" s="447"/>
      <c r="Q86" s="447"/>
      <c r="R86" s="447"/>
      <c r="S86" s="447"/>
      <c r="T86" s="447"/>
      <c r="U86" s="447"/>
      <c r="V86" s="447"/>
      <c r="W86" s="447"/>
      <c r="X86" s="447">
        <f>'[3]DT trinh GD'!AE171</f>
        <v>420</v>
      </c>
      <c r="Y86" s="447"/>
      <c r="Z86" s="447"/>
      <c r="AA86" s="447"/>
      <c r="AB86" s="447"/>
      <c r="AC86" s="447"/>
      <c r="AD86" s="447"/>
      <c r="AE86" s="447"/>
    </row>
    <row r="87" spans="1:31" s="223" customFormat="1" ht="42">
      <c r="A87" s="446">
        <v>46</v>
      </c>
      <c r="B87" s="450" t="s">
        <v>298</v>
      </c>
      <c r="C87" s="447">
        <f>D87+G87</f>
        <v>10900</v>
      </c>
      <c r="D87" s="447">
        <f>F87</f>
        <v>0</v>
      </c>
      <c r="E87" s="447"/>
      <c r="F87" s="447"/>
      <c r="G87" s="447">
        <f>'[3]DT trinh GD'!N172</f>
        <v>10900</v>
      </c>
      <c r="H87" s="447"/>
      <c r="I87" s="447"/>
      <c r="J87" s="447"/>
      <c r="K87" s="447"/>
      <c r="L87" s="447"/>
      <c r="M87" s="447"/>
      <c r="N87" s="447"/>
      <c r="O87" s="447"/>
      <c r="P87" s="447"/>
      <c r="Q87" s="447"/>
      <c r="R87" s="447"/>
      <c r="S87" s="447"/>
      <c r="T87" s="447"/>
      <c r="U87" s="447"/>
      <c r="V87" s="447"/>
      <c r="W87" s="447"/>
      <c r="X87" s="447"/>
      <c r="Y87" s="447">
        <f>'[3]DT trinh GD'!AG172</f>
        <v>10900</v>
      </c>
      <c r="Z87" s="447"/>
      <c r="AA87" s="447"/>
      <c r="AB87" s="447"/>
      <c r="AC87" s="447"/>
      <c r="AD87" s="447"/>
      <c r="AE87" s="447"/>
    </row>
    <row r="88" spans="1:31" s="223" customFormat="1" ht="22.5" customHeight="1">
      <c r="A88" s="19">
        <f>'[3]DT trinh GD'!A173</f>
        <v>0</v>
      </c>
      <c r="B88" s="224" t="str">
        <f>'[3]DT trinh GD'!B173</f>
        <v xml:space="preserve">Tổng cộng </v>
      </c>
      <c r="C88" s="225">
        <f>D88+G88</f>
        <v>2986390</v>
      </c>
      <c r="D88" s="225">
        <f>'[3]DT trinh GD'!K173</f>
        <v>29000</v>
      </c>
      <c r="E88" s="225">
        <f>E84+E85</f>
        <v>29000</v>
      </c>
      <c r="F88" s="225">
        <f>'[3]DT trinh GD'!M173</f>
        <v>0</v>
      </c>
      <c r="G88" s="225">
        <f>'[3]DT trinh GD'!N173</f>
        <v>2957390</v>
      </c>
      <c r="H88" s="19">
        <f>'[3]DT trinh GD'!O173</f>
        <v>55832</v>
      </c>
      <c r="I88" s="19">
        <f>'[3]DT trinh GD'!P173</f>
        <v>97283</v>
      </c>
      <c r="J88" s="19">
        <f>'[3]DT trinh GD'!Q173</f>
        <v>19673</v>
      </c>
      <c r="K88" s="19">
        <f>'[3]DT trinh GD'!R173</f>
        <v>4500</v>
      </c>
      <c r="L88" s="19">
        <f>'[3]DT trinh GD'!S173</f>
        <v>113453</v>
      </c>
      <c r="M88" s="19">
        <f>'[3]DT trinh GD'!T173</f>
        <v>9026</v>
      </c>
      <c r="N88" s="225">
        <f>'[3]DT trinh GD'!U173</f>
        <v>874969</v>
      </c>
      <c r="O88" s="19">
        <f>'[3]DT trinh GD'!V173</f>
        <v>590834</v>
      </c>
      <c r="P88" s="19">
        <f>'[3]DT trinh GD'!W173</f>
        <v>58771</v>
      </c>
      <c r="Q88" s="225">
        <f>'[3]DT trinh GD'!X173</f>
        <v>36335</v>
      </c>
      <c r="R88" s="19">
        <f>'[3]DT trinh GD'!Y173</f>
        <v>44113</v>
      </c>
      <c r="S88" s="19">
        <f>'[3]DT trinh GD'!Z173</f>
        <v>86757</v>
      </c>
      <c r="T88" s="19">
        <f>'[3]DT trinh GD'!AA173</f>
        <v>33836</v>
      </c>
      <c r="U88" s="19">
        <f>'[3]DT trinh GD'!AB173</f>
        <v>375065</v>
      </c>
      <c r="V88" s="19">
        <f>'[3]DT trinh GD'!AC173</f>
        <v>54716</v>
      </c>
      <c r="W88" s="19">
        <f>'[3]DT trinh GD'!AD173</f>
        <v>37968</v>
      </c>
      <c r="X88" s="19">
        <f>'[3]DT trinh GD'!AE173</f>
        <v>86009</v>
      </c>
      <c r="Y88" s="19">
        <f>'[3]DT trinh GD'!AG173</f>
        <v>10900</v>
      </c>
      <c r="Z88" s="19">
        <f>'[3]DT trinh GD'!AH173</f>
        <v>20000</v>
      </c>
      <c r="AA88" s="19">
        <f>'[3]DT trinh GD'!AI173</f>
        <v>100000</v>
      </c>
      <c r="AB88" s="19">
        <f>'[3]DT trinh GD'!AJ173</f>
        <v>169757</v>
      </c>
      <c r="AC88" s="19">
        <f>'[3]DT trinh GD'!AK173</f>
        <v>59295</v>
      </c>
      <c r="AD88" s="19">
        <f>'[3]DT trinh GD'!AL173</f>
        <v>0</v>
      </c>
      <c r="AE88" s="19">
        <f>'[3]DT trinh GD'!AM173</f>
        <v>18298</v>
      </c>
    </row>
    <row r="89" spans="1:31" ht="18.75" hidden="1" customHeight="1"/>
    <row r="90" spans="1:31" s="27" customFormat="1" ht="18" hidden="1" customHeight="1">
      <c r="A90" s="226"/>
      <c r="B90" s="91" t="s">
        <v>291</v>
      </c>
      <c r="C90" s="227"/>
    </row>
    <row r="91" spans="1:31" s="27" customFormat="1" ht="18" hidden="1" customHeight="1">
      <c r="A91" s="226"/>
      <c r="C91" s="227"/>
    </row>
    <row r="92" spans="1:31" s="27" customFormat="1" ht="26.25" customHeight="1">
      <c r="A92" s="226"/>
      <c r="B92" s="27" t="s">
        <v>549</v>
      </c>
      <c r="C92" s="227"/>
    </row>
    <row r="93" spans="1:31" ht="18" customHeight="1"/>
    <row r="98" spans="1:3">
      <c r="A98" s="20"/>
      <c r="C98" s="20"/>
    </row>
    <row r="99" spans="1:3">
      <c r="A99" s="20"/>
      <c r="C99" s="20"/>
    </row>
    <row r="100" spans="1:3">
      <c r="A100" s="20"/>
      <c r="C100" s="20"/>
    </row>
    <row r="101" spans="1:3">
      <c r="A101" s="20"/>
      <c r="C101" s="20"/>
    </row>
    <row r="102" spans="1:3">
      <c r="A102" s="20"/>
      <c r="C102" s="20"/>
    </row>
    <row r="103" spans="1:3">
      <c r="A103" s="20"/>
      <c r="C103" s="20"/>
    </row>
    <row r="104" spans="1:3">
      <c r="A104" s="20"/>
      <c r="C104" s="20"/>
    </row>
    <row r="105" spans="1:3">
      <c r="A105" s="20"/>
      <c r="C105" s="20"/>
    </row>
    <row r="106" spans="1:3">
      <c r="A106" s="20"/>
      <c r="C106" s="20"/>
    </row>
    <row r="107" spans="1:3">
      <c r="A107" s="20"/>
      <c r="C107" s="20"/>
    </row>
    <row r="108" spans="1:3">
      <c r="A108" s="20"/>
      <c r="C108" s="20"/>
    </row>
    <row r="109" spans="1:3">
      <c r="A109" s="20"/>
      <c r="C109" s="20"/>
    </row>
    <row r="110" spans="1:3">
      <c r="A110" s="20"/>
      <c r="C110" s="20"/>
    </row>
    <row r="111" spans="1:3">
      <c r="A111" s="20"/>
      <c r="C111" s="20"/>
    </row>
    <row r="112" spans="1:3">
      <c r="A112" s="20"/>
      <c r="C112" s="20"/>
    </row>
    <row r="113" spans="1:3">
      <c r="A113" s="20"/>
      <c r="C113" s="20"/>
    </row>
    <row r="114" spans="1:3">
      <c r="A114" s="20"/>
      <c r="C114" s="20"/>
    </row>
    <row r="115" spans="1:3">
      <c r="A115" s="20"/>
      <c r="C115" s="20"/>
    </row>
    <row r="116" spans="1:3">
      <c r="A116" s="20"/>
      <c r="C116" s="20"/>
    </row>
    <row r="117" spans="1:3">
      <c r="A117" s="20"/>
      <c r="C117" s="20"/>
    </row>
    <row r="118" spans="1:3">
      <c r="A118" s="20"/>
      <c r="C118" s="20"/>
    </row>
    <row r="119" spans="1:3">
      <c r="A119" s="20"/>
      <c r="C119" s="20"/>
    </row>
    <row r="120" spans="1:3">
      <c r="A120" s="20"/>
      <c r="C120" s="20"/>
    </row>
    <row r="121" spans="1:3">
      <c r="A121" s="20"/>
      <c r="C121" s="20"/>
    </row>
    <row r="122" spans="1:3">
      <c r="A122" s="20"/>
      <c r="C122" s="20"/>
    </row>
    <row r="123" spans="1:3">
      <c r="A123" s="20"/>
      <c r="C123" s="20"/>
    </row>
    <row r="124" spans="1:3">
      <c r="A124" s="20"/>
      <c r="C124" s="20"/>
    </row>
    <row r="125" spans="1:3">
      <c r="A125" s="20"/>
      <c r="C125" s="20"/>
    </row>
    <row r="126" spans="1:3">
      <c r="A126" s="20"/>
      <c r="C126" s="20"/>
    </row>
    <row r="127" spans="1:3">
      <c r="A127" s="20"/>
      <c r="C127" s="20"/>
    </row>
    <row r="128" spans="1:3">
      <c r="A128" s="20"/>
      <c r="C128" s="20"/>
    </row>
    <row r="129" spans="1:3">
      <c r="A129" s="20"/>
      <c r="C129" s="20"/>
    </row>
    <row r="130" spans="1:3">
      <c r="A130" s="20"/>
      <c r="C130" s="20"/>
    </row>
    <row r="131" spans="1:3">
      <c r="A131" s="20"/>
      <c r="C131" s="20"/>
    </row>
    <row r="132" spans="1:3">
      <c r="A132" s="20"/>
      <c r="C132" s="20"/>
    </row>
    <row r="133" spans="1:3">
      <c r="A133" s="20"/>
      <c r="C133" s="20"/>
    </row>
    <row r="134" spans="1:3">
      <c r="A134" s="20"/>
      <c r="C134" s="20"/>
    </row>
    <row r="135" spans="1:3">
      <c r="A135" s="20"/>
      <c r="C135" s="20"/>
    </row>
    <row r="136" spans="1:3">
      <c r="A136" s="20"/>
      <c r="C136" s="20"/>
    </row>
    <row r="137" spans="1:3">
      <c r="A137" s="20"/>
      <c r="C137" s="20"/>
    </row>
    <row r="138" spans="1:3">
      <c r="A138" s="20"/>
      <c r="C138" s="20"/>
    </row>
    <row r="139" spans="1:3">
      <c r="A139" s="20"/>
      <c r="C139" s="20"/>
    </row>
    <row r="140" spans="1:3">
      <c r="A140" s="20"/>
      <c r="C140" s="20"/>
    </row>
    <row r="141" spans="1:3">
      <c r="A141" s="20"/>
      <c r="C141" s="20"/>
    </row>
    <row r="142" spans="1:3">
      <c r="A142" s="20"/>
      <c r="C142" s="20"/>
    </row>
    <row r="143" spans="1:3">
      <c r="A143" s="20"/>
      <c r="C143" s="20"/>
    </row>
    <row r="144" spans="1:3">
      <c r="A144" s="20"/>
      <c r="C144" s="20"/>
    </row>
    <row r="145" spans="1:3">
      <c r="A145" s="20"/>
      <c r="C145" s="20"/>
    </row>
    <row r="146" spans="1:3">
      <c r="A146" s="20"/>
      <c r="C146" s="20"/>
    </row>
    <row r="147" spans="1:3">
      <c r="A147" s="20"/>
      <c r="C147" s="20"/>
    </row>
    <row r="148" spans="1:3">
      <c r="A148" s="20"/>
      <c r="C148" s="20"/>
    </row>
    <row r="149" spans="1:3">
      <c r="A149" s="20"/>
      <c r="C149" s="20"/>
    </row>
    <row r="150" spans="1:3">
      <c r="A150" s="20"/>
      <c r="C150" s="20"/>
    </row>
    <row r="151" spans="1:3">
      <c r="A151" s="20"/>
      <c r="C151" s="20"/>
    </row>
    <row r="152" spans="1:3">
      <c r="A152" s="20"/>
      <c r="C152" s="20"/>
    </row>
    <row r="153" spans="1:3">
      <c r="A153" s="20"/>
      <c r="C153" s="20"/>
    </row>
    <row r="154" spans="1:3">
      <c r="A154" s="20"/>
      <c r="C154" s="20"/>
    </row>
    <row r="155" spans="1:3">
      <c r="A155" s="20"/>
      <c r="C155" s="20"/>
    </row>
    <row r="156" spans="1:3">
      <c r="A156" s="20"/>
      <c r="C156" s="20"/>
    </row>
    <row r="157" spans="1:3">
      <c r="A157" s="20"/>
      <c r="C157" s="20"/>
    </row>
    <row r="158" spans="1:3">
      <c r="A158" s="20"/>
      <c r="C158" s="20"/>
    </row>
    <row r="159" spans="1:3">
      <c r="A159" s="20"/>
      <c r="C159" s="20"/>
    </row>
    <row r="160" spans="1:3">
      <c r="A160" s="20"/>
      <c r="C160" s="20"/>
    </row>
    <row r="161" spans="1:3">
      <c r="A161" s="20"/>
      <c r="C161" s="20"/>
    </row>
    <row r="162" spans="1:3">
      <c r="A162" s="20"/>
      <c r="C162" s="20"/>
    </row>
    <row r="163" spans="1:3">
      <c r="A163" s="20"/>
      <c r="C163" s="20"/>
    </row>
    <row r="164" spans="1:3">
      <c r="A164" s="20"/>
      <c r="C164" s="20"/>
    </row>
    <row r="165" spans="1:3">
      <c r="A165" s="20"/>
      <c r="C165" s="20"/>
    </row>
    <row r="166" spans="1:3">
      <c r="A166" s="20"/>
      <c r="C166" s="20"/>
    </row>
    <row r="167" spans="1:3">
      <c r="A167" s="20"/>
      <c r="C167" s="20"/>
    </row>
    <row r="168" spans="1:3">
      <c r="A168" s="20"/>
      <c r="C168" s="20"/>
    </row>
    <row r="169" spans="1:3">
      <c r="A169" s="20"/>
      <c r="C169" s="20"/>
    </row>
    <row r="170" spans="1:3">
      <c r="A170" s="20"/>
      <c r="C170" s="20"/>
    </row>
    <row r="171" spans="1:3">
      <c r="A171" s="20"/>
      <c r="C171" s="20"/>
    </row>
    <row r="172" spans="1:3">
      <c r="A172" s="20"/>
      <c r="C172" s="20"/>
    </row>
    <row r="173" spans="1:3">
      <c r="A173" s="20"/>
      <c r="C173" s="20"/>
    </row>
    <row r="174" spans="1:3">
      <c r="A174" s="20"/>
      <c r="C174" s="20"/>
    </row>
    <row r="175" spans="1:3">
      <c r="A175" s="20"/>
      <c r="C175" s="20"/>
    </row>
    <row r="176" spans="1:3">
      <c r="A176" s="20"/>
      <c r="C176" s="20"/>
    </row>
    <row r="177" spans="1:3">
      <c r="A177" s="20"/>
      <c r="C177" s="20"/>
    </row>
    <row r="178" spans="1:3">
      <c r="A178" s="20"/>
      <c r="C178" s="20"/>
    </row>
    <row r="179" spans="1:3">
      <c r="A179" s="20"/>
      <c r="C179" s="20"/>
    </row>
    <row r="180" spans="1:3">
      <c r="A180" s="20"/>
      <c r="C180" s="20"/>
    </row>
    <row r="181" spans="1:3">
      <c r="A181" s="20"/>
      <c r="C181" s="20"/>
    </row>
    <row r="182" spans="1:3">
      <c r="A182" s="20"/>
      <c r="C182" s="20"/>
    </row>
    <row r="183" spans="1:3">
      <c r="A183" s="20"/>
      <c r="C183" s="20"/>
    </row>
    <row r="184" spans="1:3">
      <c r="A184" s="20"/>
      <c r="C184" s="20"/>
    </row>
    <row r="185" spans="1:3">
      <c r="A185" s="20"/>
      <c r="C185" s="20"/>
    </row>
    <row r="186" spans="1:3">
      <c r="A186" s="20"/>
      <c r="C186" s="20"/>
    </row>
    <row r="187" spans="1:3">
      <c r="A187" s="20"/>
      <c r="C187" s="20"/>
    </row>
    <row r="188" spans="1:3">
      <c r="A188" s="20"/>
      <c r="C188" s="20"/>
    </row>
    <row r="189" spans="1:3">
      <c r="A189" s="20"/>
      <c r="C189" s="20"/>
    </row>
    <row r="190" spans="1:3">
      <c r="A190" s="20"/>
      <c r="C190" s="20"/>
    </row>
    <row r="191" spans="1:3">
      <c r="A191" s="20"/>
      <c r="C191" s="20"/>
    </row>
    <row r="192" spans="1:3">
      <c r="A192" s="20"/>
      <c r="C192" s="20"/>
    </row>
    <row r="193" spans="1:3">
      <c r="A193" s="20"/>
      <c r="C193" s="20"/>
    </row>
    <row r="194" spans="1:3">
      <c r="A194" s="20"/>
      <c r="C194" s="20"/>
    </row>
    <row r="195" spans="1:3">
      <c r="A195" s="20"/>
      <c r="C195" s="20"/>
    </row>
    <row r="196" spans="1:3">
      <c r="A196" s="20"/>
      <c r="C196" s="20"/>
    </row>
    <row r="197" spans="1:3">
      <c r="A197" s="20"/>
      <c r="C197" s="20"/>
    </row>
    <row r="198" spans="1:3">
      <c r="A198" s="20"/>
      <c r="C198" s="20"/>
    </row>
    <row r="199" spans="1:3">
      <c r="A199" s="20"/>
      <c r="C199" s="20"/>
    </row>
    <row r="200" spans="1:3">
      <c r="A200" s="20"/>
      <c r="C200" s="20"/>
    </row>
    <row r="201" spans="1:3">
      <c r="A201" s="20"/>
      <c r="C201" s="20"/>
    </row>
    <row r="202" spans="1:3">
      <c r="A202" s="20"/>
      <c r="C202" s="20"/>
    </row>
    <row r="203" spans="1:3">
      <c r="A203" s="20"/>
      <c r="C203" s="20"/>
    </row>
    <row r="204" spans="1:3">
      <c r="A204" s="20"/>
      <c r="C204" s="20"/>
    </row>
    <row r="205" spans="1:3">
      <c r="A205" s="20"/>
      <c r="C205" s="20"/>
    </row>
    <row r="206" spans="1:3">
      <c r="A206" s="20"/>
      <c r="C206" s="20"/>
    </row>
    <row r="207" spans="1:3">
      <c r="A207" s="20"/>
      <c r="C207" s="20"/>
    </row>
    <row r="208" spans="1:3">
      <c r="A208" s="20"/>
      <c r="C208" s="20"/>
    </row>
    <row r="209" spans="1:3">
      <c r="A209" s="20"/>
      <c r="C209" s="20"/>
    </row>
    <row r="210" spans="1:3">
      <c r="A210" s="20"/>
      <c r="C210" s="20"/>
    </row>
    <row r="211" spans="1:3">
      <c r="A211" s="20"/>
      <c r="C211" s="20"/>
    </row>
    <row r="212" spans="1:3">
      <c r="A212" s="20"/>
      <c r="C212" s="20"/>
    </row>
    <row r="213" spans="1:3">
      <c r="A213" s="20"/>
      <c r="C213" s="20"/>
    </row>
    <row r="214" spans="1:3">
      <c r="A214" s="20"/>
      <c r="C214" s="20"/>
    </row>
    <row r="215" spans="1:3">
      <c r="A215" s="20"/>
      <c r="C215" s="20"/>
    </row>
    <row r="216" spans="1:3">
      <c r="A216" s="20"/>
      <c r="C216" s="20"/>
    </row>
    <row r="217" spans="1:3">
      <c r="A217" s="20"/>
      <c r="C217" s="20"/>
    </row>
    <row r="218" spans="1:3">
      <c r="A218" s="20"/>
      <c r="C218" s="20"/>
    </row>
    <row r="219" spans="1:3">
      <c r="A219" s="20"/>
      <c r="C219" s="20"/>
    </row>
    <row r="220" spans="1:3">
      <c r="A220" s="20"/>
      <c r="C220" s="20"/>
    </row>
    <row r="221" spans="1:3">
      <c r="A221" s="20"/>
      <c r="C221" s="20"/>
    </row>
    <row r="222" spans="1:3">
      <c r="A222" s="20"/>
      <c r="C222" s="20"/>
    </row>
    <row r="223" spans="1:3">
      <c r="A223" s="20"/>
      <c r="C223" s="20"/>
    </row>
    <row r="224" spans="1:3">
      <c r="A224" s="20"/>
      <c r="C224" s="20"/>
    </row>
    <row r="225" spans="1:3">
      <c r="A225" s="20"/>
      <c r="C225" s="20"/>
    </row>
    <row r="226" spans="1:3">
      <c r="A226" s="20"/>
      <c r="C226" s="20"/>
    </row>
    <row r="227" spans="1:3">
      <c r="A227" s="20"/>
      <c r="C227" s="20"/>
    </row>
    <row r="228" spans="1:3">
      <c r="A228" s="20"/>
      <c r="C228" s="20"/>
    </row>
    <row r="229" spans="1:3">
      <c r="A229" s="20"/>
      <c r="C229" s="20"/>
    </row>
    <row r="230" spans="1:3">
      <c r="A230" s="20"/>
      <c r="C230" s="20"/>
    </row>
    <row r="231" spans="1:3">
      <c r="A231" s="20"/>
      <c r="C231" s="20"/>
    </row>
    <row r="232" spans="1:3">
      <c r="A232" s="20"/>
      <c r="C232" s="20"/>
    </row>
    <row r="233" spans="1:3">
      <c r="A233" s="20"/>
      <c r="C233" s="20"/>
    </row>
    <row r="234" spans="1:3">
      <c r="A234" s="20"/>
      <c r="C234" s="20"/>
    </row>
    <row r="239" spans="1:3">
      <c r="A239" s="20"/>
      <c r="C239" s="20"/>
    </row>
    <row r="240" spans="1:3">
      <c r="A240" s="20"/>
      <c r="C240" s="20"/>
    </row>
  </sheetData>
  <mergeCells count="39">
    <mergeCell ref="AE5:AE8"/>
    <mergeCell ref="Z5:Z8"/>
    <mergeCell ref="AA5:AA8"/>
    <mergeCell ref="AB5:AB8"/>
    <mergeCell ref="AC5:AC8"/>
    <mergeCell ref="R6:R8"/>
    <mergeCell ref="S6:S8"/>
    <mergeCell ref="T6:T8"/>
    <mergeCell ref="AD5:AD8"/>
    <mergeCell ref="J6:J8"/>
    <mergeCell ref="K6:K8"/>
    <mergeCell ref="L6:L8"/>
    <mergeCell ref="X5:X8"/>
    <mergeCell ref="Y5:Y8"/>
    <mergeCell ref="H5:L5"/>
    <mergeCell ref="M5:M8"/>
    <mergeCell ref="N5:T5"/>
    <mergeCell ref="U5:U8"/>
    <mergeCell ref="V5:V8"/>
    <mergeCell ref="W5:W8"/>
    <mergeCell ref="N6:N8"/>
    <mergeCell ref="O6:O8"/>
    <mergeCell ref="P6:P8"/>
    <mergeCell ref="Q6:Q8"/>
    <mergeCell ref="H6:H8"/>
    <mergeCell ref="I6:I8"/>
    <mergeCell ref="X1:AE1"/>
    <mergeCell ref="A2:AE2"/>
    <mergeCell ref="A3:AE3"/>
    <mergeCell ref="B4:O4"/>
    <mergeCell ref="T4:AE4"/>
    <mergeCell ref="A5:A8"/>
    <mergeCell ref="B5:B8"/>
    <mergeCell ref="C5:C8"/>
    <mergeCell ref="D5:F5"/>
    <mergeCell ref="G5:G8"/>
    <mergeCell ref="D6:D8"/>
    <mergeCell ref="E6:E8"/>
    <mergeCell ref="F6:F8"/>
  </mergeCells>
  <printOptions horizontalCentered="1"/>
  <pageMargins left="0" right="0" top="0" bottom="0" header="0" footer="0"/>
  <pageSetup paperSize="9" scale="85" fitToHeight="0" orientation="landscape" r:id="rId1"/>
  <headerFooter differentFirst="1">
    <oddFooter>&amp;C&amp;"Times New Roman,Regular"&amp;7&amp;P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zoomScaleNormal="100" workbookViewId="0">
      <selection activeCell="B11" sqref="B11"/>
    </sheetView>
  </sheetViews>
  <sheetFormatPr defaultColWidth="8.90625" defaultRowHeight="16.8"/>
  <cols>
    <col min="1" max="1" width="6.453125" style="96" customWidth="1"/>
    <col min="2" max="2" width="62.453125" style="97" customWidth="1"/>
    <col min="3" max="3" width="12" style="98" customWidth="1"/>
    <col min="4" max="4" width="0" style="241" hidden="1" customWidth="1"/>
    <col min="5" max="5" width="0" style="92" hidden="1" customWidth="1"/>
    <col min="6" max="16384" width="8.90625" style="92"/>
  </cols>
  <sheetData>
    <row r="1" spans="1:5" s="362" customFormat="1" ht="41.25" customHeight="1">
      <c r="C1" s="394" t="s">
        <v>288</v>
      </c>
    </row>
    <row r="2" spans="1:5" s="362" customFormat="1" ht="50.25" customHeight="1">
      <c r="A2" s="639" t="s">
        <v>547</v>
      </c>
      <c r="B2" s="640"/>
      <c r="C2" s="640"/>
    </row>
    <row r="3" spans="1:5" s="362" customFormat="1" ht="27.75" customHeight="1">
      <c r="A3" s="642" t="str">
        <f>'Bieu so 01'!$A$3:$C$3</f>
        <v>(Kèm theo Quyết định số 2603/QĐ-UBND ngày 16/12/2024 của Ủy ban nhân dân tỉnh)</v>
      </c>
      <c r="B3" s="642"/>
      <c r="C3" s="642"/>
    </row>
    <row r="4" spans="1:5" s="362" customFormat="1" ht="43.5" customHeight="1">
      <c r="A4" s="93"/>
      <c r="B4" s="94"/>
      <c r="C4" s="331" t="s">
        <v>306</v>
      </c>
    </row>
    <row r="5" spans="1:5" s="362" customFormat="1">
      <c r="A5" s="641" t="s">
        <v>217</v>
      </c>
      <c r="B5" s="641" t="s">
        <v>275</v>
      </c>
      <c r="C5" s="641" t="s">
        <v>218</v>
      </c>
    </row>
    <row r="6" spans="1:5" s="362" customFormat="1" ht="19.5" customHeight="1">
      <c r="A6" s="641"/>
      <c r="B6" s="641"/>
      <c r="C6" s="641"/>
    </row>
    <row r="7" spans="1:5" s="362" customFormat="1" ht="28.5" customHeight="1">
      <c r="A7" s="230"/>
      <c r="B7" s="230" t="s">
        <v>219</v>
      </c>
      <c r="C7" s="231">
        <f>C8</f>
        <v>25256</v>
      </c>
      <c r="D7" s="362" t="s">
        <v>285</v>
      </c>
      <c r="E7" s="362" t="s">
        <v>286</v>
      </c>
    </row>
    <row r="8" spans="1:5" s="97" customFormat="1" ht="30" customHeight="1">
      <c r="A8" s="374"/>
      <c r="B8" s="232" t="s">
        <v>227</v>
      </c>
      <c r="C8" s="233">
        <v>25256</v>
      </c>
      <c r="D8" s="363">
        <v>10198</v>
      </c>
      <c r="E8" s="363">
        <v>15058</v>
      </c>
    </row>
    <row r="9" spans="1:5" s="362" customFormat="1" ht="36.75" customHeight="1">
      <c r="A9" s="234">
        <v>1</v>
      </c>
      <c r="B9" s="235" t="s">
        <v>228</v>
      </c>
      <c r="C9" s="236">
        <v>5726</v>
      </c>
      <c r="D9" s="364">
        <f>D8*1.5</f>
        <v>15297</v>
      </c>
      <c r="E9" s="364"/>
    </row>
    <row r="10" spans="1:5" s="362" customFormat="1" ht="69.75" customHeight="1">
      <c r="A10" s="237" t="s">
        <v>220</v>
      </c>
      <c r="B10" s="95" t="s">
        <v>229</v>
      </c>
      <c r="C10" s="364">
        <v>5726</v>
      </c>
    </row>
    <row r="11" spans="1:5" s="362" customFormat="1" ht="53.25" customHeight="1">
      <c r="A11" s="238">
        <v>2</v>
      </c>
      <c r="B11" s="235" t="s">
        <v>230</v>
      </c>
      <c r="C11" s="236">
        <v>430</v>
      </c>
    </row>
    <row r="12" spans="1:5" s="362" customFormat="1" ht="53.25" customHeight="1">
      <c r="A12" s="237" t="s">
        <v>221</v>
      </c>
      <c r="B12" s="95" t="s">
        <v>231</v>
      </c>
      <c r="C12" s="364">
        <v>230</v>
      </c>
    </row>
    <row r="13" spans="1:5" s="362" customFormat="1" ht="37.5" customHeight="1">
      <c r="A13" s="237" t="s">
        <v>222</v>
      </c>
      <c r="B13" s="95" t="s">
        <v>232</v>
      </c>
      <c r="C13" s="364">
        <v>200</v>
      </c>
    </row>
    <row r="14" spans="1:5" s="362" customFormat="1" ht="39.75" customHeight="1">
      <c r="A14" s="238">
        <v>3</v>
      </c>
      <c r="B14" s="235" t="s">
        <v>233</v>
      </c>
      <c r="C14" s="236">
        <v>9286</v>
      </c>
    </row>
    <row r="15" spans="1:5" s="362" customFormat="1" ht="105.75" customHeight="1">
      <c r="A15" s="237" t="s">
        <v>225</v>
      </c>
      <c r="B15" s="95" t="s">
        <v>234</v>
      </c>
      <c r="C15" s="364">
        <v>786</v>
      </c>
    </row>
    <row r="16" spans="1:5" s="362" customFormat="1" ht="71.25" customHeight="1">
      <c r="A16" s="237" t="s">
        <v>226</v>
      </c>
      <c r="B16" s="95" t="s">
        <v>235</v>
      </c>
      <c r="C16" s="364">
        <v>1030</v>
      </c>
    </row>
    <row r="17" spans="1:3" s="362" customFormat="1" ht="39" customHeight="1">
      <c r="A17" s="237" t="s">
        <v>236</v>
      </c>
      <c r="B17" s="95" t="s">
        <v>237</v>
      </c>
      <c r="C17" s="364">
        <v>3300</v>
      </c>
    </row>
    <row r="18" spans="1:3" s="362" customFormat="1" ht="69.75" customHeight="1">
      <c r="A18" s="237" t="s">
        <v>238</v>
      </c>
      <c r="B18" s="95" t="s">
        <v>239</v>
      </c>
      <c r="C18" s="364">
        <v>630</v>
      </c>
    </row>
    <row r="19" spans="1:3" s="362" customFormat="1" ht="58.5" customHeight="1">
      <c r="A19" s="237" t="s">
        <v>240</v>
      </c>
      <c r="B19" s="95" t="s">
        <v>241</v>
      </c>
      <c r="C19" s="364">
        <v>3540</v>
      </c>
    </row>
    <row r="20" spans="1:3" s="362" customFormat="1" ht="37.5" customHeight="1">
      <c r="A20" s="238">
        <v>4</v>
      </c>
      <c r="B20" s="235" t="s">
        <v>242</v>
      </c>
      <c r="C20" s="236">
        <v>112</v>
      </c>
    </row>
    <row r="21" spans="1:3" s="362" customFormat="1" ht="86.25" customHeight="1">
      <c r="A21" s="237" t="s">
        <v>223</v>
      </c>
      <c r="B21" s="95" t="s">
        <v>243</v>
      </c>
      <c r="C21" s="364">
        <v>112</v>
      </c>
    </row>
    <row r="22" spans="1:3" s="362" customFormat="1" ht="50.4">
      <c r="A22" s="238">
        <v>5</v>
      </c>
      <c r="B22" s="235" t="s">
        <v>244</v>
      </c>
      <c r="C22" s="236">
        <v>3404</v>
      </c>
    </row>
    <row r="23" spans="1:3" s="362" customFormat="1" ht="54" customHeight="1">
      <c r="A23" s="237" t="s">
        <v>224</v>
      </c>
      <c r="B23" s="95" t="s">
        <v>245</v>
      </c>
      <c r="C23" s="364">
        <v>3404</v>
      </c>
    </row>
    <row r="24" spans="1:3" s="362" customFormat="1" ht="54.75" customHeight="1">
      <c r="A24" s="238">
        <v>6</v>
      </c>
      <c r="B24" s="235" t="s">
        <v>246</v>
      </c>
      <c r="C24" s="236">
        <v>1370</v>
      </c>
    </row>
    <row r="25" spans="1:3" s="362" customFormat="1" ht="72.75" customHeight="1">
      <c r="A25" s="237" t="s">
        <v>247</v>
      </c>
      <c r="B25" s="95" t="s">
        <v>248</v>
      </c>
      <c r="C25" s="364">
        <v>534</v>
      </c>
    </row>
    <row r="26" spans="1:3" s="362" customFormat="1" ht="71.25" customHeight="1">
      <c r="A26" s="237" t="s">
        <v>249</v>
      </c>
      <c r="B26" s="95" t="s">
        <v>250</v>
      </c>
      <c r="C26" s="364">
        <v>100</v>
      </c>
    </row>
    <row r="27" spans="1:3" s="362" customFormat="1" ht="57" customHeight="1">
      <c r="A27" s="237" t="s">
        <v>251</v>
      </c>
      <c r="B27" s="95" t="s">
        <v>252</v>
      </c>
      <c r="C27" s="364">
        <v>676</v>
      </c>
    </row>
    <row r="28" spans="1:3" s="362" customFormat="1" ht="50.4">
      <c r="A28" s="237" t="s">
        <v>253</v>
      </c>
      <c r="B28" s="95" t="s">
        <v>254</v>
      </c>
      <c r="C28" s="364">
        <v>60</v>
      </c>
    </row>
    <row r="29" spans="1:3" s="362" customFormat="1" ht="90.75" customHeight="1">
      <c r="A29" s="238">
        <v>7</v>
      </c>
      <c r="B29" s="235" t="s">
        <v>255</v>
      </c>
      <c r="C29" s="236">
        <v>2444</v>
      </c>
    </row>
    <row r="30" spans="1:3" s="362" customFormat="1" ht="39.75" customHeight="1">
      <c r="A30" s="237" t="s">
        <v>256</v>
      </c>
      <c r="B30" s="95" t="s">
        <v>257</v>
      </c>
      <c r="C30" s="364">
        <v>668</v>
      </c>
    </row>
    <row r="31" spans="1:3" s="362" customFormat="1" ht="52.5" customHeight="1">
      <c r="A31" s="237" t="s">
        <v>258</v>
      </c>
      <c r="B31" s="95" t="s">
        <v>259</v>
      </c>
      <c r="C31" s="364">
        <v>1776</v>
      </c>
    </row>
    <row r="32" spans="1:3" s="362" customFormat="1" ht="57" customHeight="1">
      <c r="A32" s="238">
        <v>8</v>
      </c>
      <c r="B32" s="235" t="s">
        <v>260</v>
      </c>
      <c r="C32" s="365">
        <v>208</v>
      </c>
    </row>
    <row r="33" spans="1:3" s="362" customFormat="1" ht="72.75" customHeight="1">
      <c r="A33" s="239" t="s">
        <v>261</v>
      </c>
      <c r="B33" s="95" t="s">
        <v>262</v>
      </c>
      <c r="C33" s="364">
        <v>24</v>
      </c>
    </row>
    <row r="34" spans="1:3" s="362" customFormat="1" ht="39.75" customHeight="1">
      <c r="A34" s="239" t="s">
        <v>263</v>
      </c>
      <c r="B34" s="95" t="s">
        <v>264</v>
      </c>
      <c r="C34" s="364">
        <v>12</v>
      </c>
    </row>
    <row r="35" spans="1:3" s="362" customFormat="1" ht="58.5" customHeight="1">
      <c r="A35" s="237" t="s">
        <v>265</v>
      </c>
      <c r="B35" s="95" t="s">
        <v>266</v>
      </c>
      <c r="C35" s="364">
        <v>172</v>
      </c>
    </row>
    <row r="36" spans="1:3" s="362" customFormat="1" ht="39" customHeight="1">
      <c r="A36" s="238">
        <v>9</v>
      </c>
      <c r="B36" s="235" t="s">
        <v>267</v>
      </c>
      <c r="C36" s="366">
        <f>C37</f>
        <v>660</v>
      </c>
    </row>
    <row r="37" spans="1:3" s="362" customFormat="1" ht="69" customHeight="1">
      <c r="A37" s="237" t="s">
        <v>268</v>
      </c>
      <c r="B37" s="95" t="s">
        <v>269</v>
      </c>
      <c r="C37" s="364">
        <v>660</v>
      </c>
    </row>
    <row r="38" spans="1:3" s="362" customFormat="1" ht="71.25" customHeight="1">
      <c r="A38" s="238">
        <v>10</v>
      </c>
      <c r="B38" s="235" t="s">
        <v>270</v>
      </c>
      <c r="C38" s="236">
        <v>1616</v>
      </c>
    </row>
    <row r="39" spans="1:3" s="362" customFormat="1" ht="71.25" customHeight="1">
      <c r="A39" s="237" t="s">
        <v>271</v>
      </c>
      <c r="B39" s="95" t="s">
        <v>272</v>
      </c>
      <c r="C39" s="240">
        <v>1616</v>
      </c>
    </row>
    <row r="41" spans="1:3" ht="42" customHeight="1">
      <c r="A41" s="643" t="s">
        <v>544</v>
      </c>
      <c r="B41" s="643"/>
      <c r="C41" s="643"/>
    </row>
    <row r="42" spans="1:3" ht="34.5" hidden="1" customHeight="1">
      <c r="B42" s="638" t="s">
        <v>292</v>
      </c>
      <c r="C42" s="638"/>
    </row>
  </sheetData>
  <mergeCells count="7">
    <mergeCell ref="B42:C42"/>
    <mergeCell ref="A2:C2"/>
    <mergeCell ref="A5:A6"/>
    <mergeCell ref="B5:B6"/>
    <mergeCell ref="C5:C6"/>
    <mergeCell ref="A3:C3"/>
    <mergeCell ref="A41:C41"/>
  </mergeCells>
  <pageMargins left="0.39370078740157483" right="0" top="0.59055118110236227" bottom="0" header="0" footer="0"/>
  <pageSetup paperSize="9" fitToWidth="0" orientation="portrait" horizontalDpi="0" verticalDpi="0" r:id="rId1"/>
  <headerFooter differentFirst="1">
    <oddHeader>&amp;C&amp;"Times New Roman,Regular"&amp;P</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showGridLines="0" topLeftCell="A2" zoomScale="85" zoomScaleNormal="85" workbookViewId="0">
      <selection activeCell="A2" sqref="A2:I2"/>
    </sheetView>
  </sheetViews>
  <sheetFormatPr defaultRowHeight="14.4"/>
  <cols>
    <col min="1" max="1" width="6.6328125" style="455" customWidth="1"/>
    <col min="2" max="2" width="42.81640625" style="455" customWidth="1"/>
    <col min="3" max="3" width="25.90625" style="515" customWidth="1"/>
    <col min="4" max="4" width="16" style="455" customWidth="1"/>
    <col min="5" max="5" width="9.1796875" style="455" customWidth="1"/>
    <col min="6" max="6" width="9.6328125" style="455" customWidth="1"/>
    <col min="7" max="7" width="11.81640625" style="455" customWidth="1"/>
    <col min="8" max="8" width="9" style="455" customWidth="1"/>
    <col min="9" max="9" width="10.81640625" style="455" customWidth="1"/>
    <col min="10" max="246" width="8.90625" style="455"/>
    <col min="247" max="247" width="6.6328125" style="455" customWidth="1"/>
    <col min="248" max="248" width="42.81640625" style="455" customWidth="1"/>
    <col min="249" max="249" width="22.6328125" style="455" customWidth="1"/>
    <col min="250" max="250" width="11.90625" style="455" customWidth="1"/>
    <col min="251" max="251" width="11.81640625" style="455" customWidth="1"/>
    <col min="252" max="253" width="15.90625" style="455" customWidth="1"/>
    <col min="254" max="254" width="12.08984375" style="455" customWidth="1"/>
    <col min="255" max="255" width="17.08984375" style="455" customWidth="1"/>
    <col min="256" max="262" width="12.08984375" style="455" customWidth="1"/>
    <col min="263" max="263" width="23" style="455" bestFit="1" customWidth="1"/>
    <col min="264" max="264" width="17.81640625" style="455" customWidth="1"/>
    <col min="265" max="265" width="12" style="455" customWidth="1"/>
    <col min="266" max="502" width="8.90625" style="455"/>
    <col min="503" max="503" width="6.6328125" style="455" customWidth="1"/>
    <col min="504" max="504" width="42.81640625" style="455" customWidth="1"/>
    <col min="505" max="505" width="22.6328125" style="455" customWidth="1"/>
    <col min="506" max="506" width="11.90625" style="455" customWidth="1"/>
    <col min="507" max="507" width="11.81640625" style="455" customWidth="1"/>
    <col min="508" max="509" width="15.90625" style="455" customWidth="1"/>
    <col min="510" max="510" width="12.08984375" style="455" customWidth="1"/>
    <col min="511" max="511" width="17.08984375" style="455" customWidth="1"/>
    <col min="512" max="518" width="12.08984375" style="455" customWidth="1"/>
    <col min="519" max="519" width="23" style="455" bestFit="1" customWidth="1"/>
    <col min="520" max="520" width="17.81640625" style="455" customWidth="1"/>
    <col min="521" max="521" width="12" style="455" customWidth="1"/>
    <col min="522" max="758" width="8.90625" style="455"/>
    <col min="759" max="759" width="6.6328125" style="455" customWidth="1"/>
    <col min="760" max="760" width="42.81640625" style="455" customWidth="1"/>
    <col min="761" max="761" width="22.6328125" style="455" customWidth="1"/>
    <col min="762" max="762" width="11.90625" style="455" customWidth="1"/>
    <col min="763" max="763" width="11.81640625" style="455" customWidth="1"/>
    <col min="764" max="765" width="15.90625" style="455" customWidth="1"/>
    <col min="766" max="766" width="12.08984375" style="455" customWidth="1"/>
    <col min="767" max="767" width="17.08984375" style="455" customWidth="1"/>
    <col min="768" max="774" width="12.08984375" style="455" customWidth="1"/>
    <col min="775" max="775" width="23" style="455" bestFit="1" customWidth="1"/>
    <col min="776" max="776" width="17.81640625" style="455" customWidth="1"/>
    <col min="777" max="777" width="12" style="455" customWidth="1"/>
    <col min="778" max="1014" width="8.90625" style="455"/>
    <col min="1015" max="1015" width="6.6328125" style="455" customWidth="1"/>
    <col min="1016" max="1016" width="42.81640625" style="455" customWidth="1"/>
    <col min="1017" max="1017" width="22.6328125" style="455" customWidth="1"/>
    <col min="1018" max="1018" width="11.90625" style="455" customWidth="1"/>
    <col min="1019" max="1019" width="11.81640625" style="455" customWidth="1"/>
    <col min="1020" max="1021" width="15.90625" style="455" customWidth="1"/>
    <col min="1022" max="1022" width="12.08984375" style="455" customWidth="1"/>
    <col min="1023" max="1023" width="17.08984375" style="455" customWidth="1"/>
    <col min="1024" max="1030" width="12.08984375" style="455" customWidth="1"/>
    <col min="1031" max="1031" width="23" style="455" bestFit="1" customWidth="1"/>
    <col min="1032" max="1032" width="17.81640625" style="455" customWidth="1"/>
    <col min="1033" max="1033" width="12" style="455" customWidth="1"/>
    <col min="1034" max="1270" width="8.90625" style="455"/>
    <col min="1271" max="1271" width="6.6328125" style="455" customWidth="1"/>
    <col min="1272" max="1272" width="42.81640625" style="455" customWidth="1"/>
    <col min="1273" max="1273" width="22.6328125" style="455" customWidth="1"/>
    <col min="1274" max="1274" width="11.90625" style="455" customWidth="1"/>
    <col min="1275" max="1275" width="11.81640625" style="455" customWidth="1"/>
    <col min="1276" max="1277" width="15.90625" style="455" customWidth="1"/>
    <col min="1278" max="1278" width="12.08984375" style="455" customWidth="1"/>
    <col min="1279" max="1279" width="17.08984375" style="455" customWidth="1"/>
    <col min="1280" max="1286" width="12.08984375" style="455" customWidth="1"/>
    <col min="1287" max="1287" width="23" style="455" bestFit="1" customWidth="1"/>
    <col min="1288" max="1288" width="17.81640625" style="455" customWidth="1"/>
    <col min="1289" max="1289" width="12" style="455" customWidth="1"/>
    <col min="1290" max="1526" width="8.90625" style="455"/>
    <col min="1527" max="1527" width="6.6328125" style="455" customWidth="1"/>
    <col min="1528" max="1528" width="42.81640625" style="455" customWidth="1"/>
    <col min="1529" max="1529" width="22.6328125" style="455" customWidth="1"/>
    <col min="1530" max="1530" width="11.90625" style="455" customWidth="1"/>
    <col min="1531" max="1531" width="11.81640625" style="455" customWidth="1"/>
    <col min="1532" max="1533" width="15.90625" style="455" customWidth="1"/>
    <col min="1534" max="1534" width="12.08984375" style="455" customWidth="1"/>
    <col min="1535" max="1535" width="17.08984375" style="455" customWidth="1"/>
    <col min="1536" max="1542" width="12.08984375" style="455" customWidth="1"/>
    <col min="1543" max="1543" width="23" style="455" bestFit="1" customWidth="1"/>
    <col min="1544" max="1544" width="17.81640625" style="455" customWidth="1"/>
    <col min="1545" max="1545" width="12" style="455" customWidth="1"/>
    <col min="1546" max="1782" width="8.90625" style="455"/>
    <col min="1783" max="1783" width="6.6328125" style="455" customWidth="1"/>
    <col min="1784" max="1784" width="42.81640625" style="455" customWidth="1"/>
    <col min="1785" max="1785" width="22.6328125" style="455" customWidth="1"/>
    <col min="1786" max="1786" width="11.90625" style="455" customWidth="1"/>
    <col min="1787" max="1787" width="11.81640625" style="455" customWidth="1"/>
    <col min="1788" max="1789" width="15.90625" style="455" customWidth="1"/>
    <col min="1790" max="1790" width="12.08984375" style="455" customWidth="1"/>
    <col min="1791" max="1791" width="17.08984375" style="455" customWidth="1"/>
    <col min="1792" max="1798" width="12.08984375" style="455" customWidth="1"/>
    <col min="1799" max="1799" width="23" style="455" bestFit="1" customWidth="1"/>
    <col min="1800" max="1800" width="17.81640625" style="455" customWidth="1"/>
    <col min="1801" max="1801" width="12" style="455" customWidth="1"/>
    <col min="1802" max="2038" width="8.90625" style="455"/>
    <col min="2039" max="2039" width="6.6328125" style="455" customWidth="1"/>
    <col min="2040" max="2040" width="42.81640625" style="455" customWidth="1"/>
    <col min="2041" max="2041" width="22.6328125" style="455" customWidth="1"/>
    <col min="2042" max="2042" width="11.90625" style="455" customWidth="1"/>
    <col min="2043" max="2043" width="11.81640625" style="455" customWidth="1"/>
    <col min="2044" max="2045" width="15.90625" style="455" customWidth="1"/>
    <col min="2046" max="2046" width="12.08984375" style="455" customWidth="1"/>
    <col min="2047" max="2047" width="17.08984375" style="455" customWidth="1"/>
    <col min="2048" max="2054" width="12.08984375" style="455" customWidth="1"/>
    <col min="2055" max="2055" width="23" style="455" bestFit="1" customWidth="1"/>
    <col min="2056" max="2056" width="17.81640625" style="455" customWidth="1"/>
    <col min="2057" max="2057" width="12" style="455" customWidth="1"/>
    <col min="2058" max="2294" width="8.90625" style="455"/>
    <col min="2295" max="2295" width="6.6328125" style="455" customWidth="1"/>
    <col min="2296" max="2296" width="42.81640625" style="455" customWidth="1"/>
    <col min="2297" max="2297" width="22.6328125" style="455" customWidth="1"/>
    <col min="2298" max="2298" width="11.90625" style="455" customWidth="1"/>
    <col min="2299" max="2299" width="11.81640625" style="455" customWidth="1"/>
    <col min="2300" max="2301" width="15.90625" style="455" customWidth="1"/>
    <col min="2302" max="2302" width="12.08984375" style="455" customWidth="1"/>
    <col min="2303" max="2303" width="17.08984375" style="455" customWidth="1"/>
    <col min="2304" max="2310" width="12.08984375" style="455" customWidth="1"/>
    <col min="2311" max="2311" width="23" style="455" bestFit="1" customWidth="1"/>
    <col min="2312" max="2312" width="17.81640625" style="455" customWidth="1"/>
    <col min="2313" max="2313" width="12" style="455" customWidth="1"/>
    <col min="2314" max="2550" width="8.90625" style="455"/>
    <col min="2551" max="2551" width="6.6328125" style="455" customWidth="1"/>
    <col min="2552" max="2552" width="42.81640625" style="455" customWidth="1"/>
    <col min="2553" max="2553" width="22.6328125" style="455" customWidth="1"/>
    <col min="2554" max="2554" width="11.90625" style="455" customWidth="1"/>
    <col min="2555" max="2555" width="11.81640625" style="455" customWidth="1"/>
    <col min="2556" max="2557" width="15.90625" style="455" customWidth="1"/>
    <col min="2558" max="2558" width="12.08984375" style="455" customWidth="1"/>
    <col min="2559" max="2559" width="17.08984375" style="455" customWidth="1"/>
    <col min="2560" max="2566" width="12.08984375" style="455" customWidth="1"/>
    <col min="2567" max="2567" width="23" style="455" bestFit="1" customWidth="1"/>
    <col min="2568" max="2568" width="17.81640625" style="455" customWidth="1"/>
    <col min="2569" max="2569" width="12" style="455" customWidth="1"/>
    <col min="2570" max="2806" width="8.90625" style="455"/>
    <col min="2807" max="2807" width="6.6328125" style="455" customWidth="1"/>
    <col min="2808" max="2808" width="42.81640625" style="455" customWidth="1"/>
    <col min="2809" max="2809" width="22.6328125" style="455" customWidth="1"/>
    <col min="2810" max="2810" width="11.90625" style="455" customWidth="1"/>
    <col min="2811" max="2811" width="11.81640625" style="455" customWidth="1"/>
    <col min="2812" max="2813" width="15.90625" style="455" customWidth="1"/>
    <col min="2814" max="2814" width="12.08984375" style="455" customWidth="1"/>
    <col min="2815" max="2815" width="17.08984375" style="455" customWidth="1"/>
    <col min="2816" max="2822" width="12.08984375" style="455" customWidth="1"/>
    <col min="2823" max="2823" width="23" style="455" bestFit="1" customWidth="1"/>
    <col min="2824" max="2824" width="17.81640625" style="455" customWidth="1"/>
    <col min="2825" max="2825" width="12" style="455" customWidth="1"/>
    <col min="2826" max="3062" width="8.90625" style="455"/>
    <col min="3063" max="3063" width="6.6328125" style="455" customWidth="1"/>
    <col min="3064" max="3064" width="42.81640625" style="455" customWidth="1"/>
    <col min="3065" max="3065" width="22.6328125" style="455" customWidth="1"/>
    <col min="3066" max="3066" width="11.90625" style="455" customWidth="1"/>
    <col min="3067" max="3067" width="11.81640625" style="455" customWidth="1"/>
    <col min="3068" max="3069" width="15.90625" style="455" customWidth="1"/>
    <col min="3070" max="3070" width="12.08984375" style="455" customWidth="1"/>
    <col min="3071" max="3071" width="17.08984375" style="455" customWidth="1"/>
    <col min="3072" max="3078" width="12.08984375" style="455" customWidth="1"/>
    <col min="3079" max="3079" width="23" style="455" bestFit="1" customWidth="1"/>
    <col min="3080" max="3080" width="17.81640625" style="455" customWidth="1"/>
    <col min="3081" max="3081" width="12" style="455" customWidth="1"/>
    <col min="3082" max="3318" width="8.90625" style="455"/>
    <col min="3319" max="3319" width="6.6328125" style="455" customWidth="1"/>
    <col min="3320" max="3320" width="42.81640625" style="455" customWidth="1"/>
    <col min="3321" max="3321" width="22.6328125" style="455" customWidth="1"/>
    <col min="3322" max="3322" width="11.90625" style="455" customWidth="1"/>
    <col min="3323" max="3323" width="11.81640625" style="455" customWidth="1"/>
    <col min="3324" max="3325" width="15.90625" style="455" customWidth="1"/>
    <col min="3326" max="3326" width="12.08984375" style="455" customWidth="1"/>
    <col min="3327" max="3327" width="17.08984375" style="455" customWidth="1"/>
    <col min="3328" max="3334" width="12.08984375" style="455" customWidth="1"/>
    <col min="3335" max="3335" width="23" style="455" bestFit="1" customWidth="1"/>
    <col min="3336" max="3336" width="17.81640625" style="455" customWidth="1"/>
    <col min="3337" max="3337" width="12" style="455" customWidth="1"/>
    <col min="3338" max="3574" width="8.90625" style="455"/>
    <col min="3575" max="3575" width="6.6328125" style="455" customWidth="1"/>
    <col min="3576" max="3576" width="42.81640625" style="455" customWidth="1"/>
    <col min="3577" max="3577" width="22.6328125" style="455" customWidth="1"/>
    <col min="3578" max="3578" width="11.90625" style="455" customWidth="1"/>
    <col min="3579" max="3579" width="11.81640625" style="455" customWidth="1"/>
    <col min="3580" max="3581" width="15.90625" style="455" customWidth="1"/>
    <col min="3582" max="3582" width="12.08984375" style="455" customWidth="1"/>
    <col min="3583" max="3583" width="17.08984375" style="455" customWidth="1"/>
    <col min="3584" max="3590" width="12.08984375" style="455" customWidth="1"/>
    <col min="3591" max="3591" width="23" style="455" bestFit="1" customWidth="1"/>
    <col min="3592" max="3592" width="17.81640625" style="455" customWidth="1"/>
    <col min="3593" max="3593" width="12" style="455" customWidth="1"/>
    <col min="3594" max="3830" width="8.90625" style="455"/>
    <col min="3831" max="3831" width="6.6328125" style="455" customWidth="1"/>
    <col min="3832" max="3832" width="42.81640625" style="455" customWidth="1"/>
    <col min="3833" max="3833" width="22.6328125" style="455" customWidth="1"/>
    <col min="3834" max="3834" width="11.90625" style="455" customWidth="1"/>
    <col min="3835" max="3835" width="11.81640625" style="455" customWidth="1"/>
    <col min="3836" max="3837" width="15.90625" style="455" customWidth="1"/>
    <col min="3838" max="3838" width="12.08984375" style="455" customWidth="1"/>
    <col min="3839" max="3839" width="17.08984375" style="455" customWidth="1"/>
    <col min="3840" max="3846" width="12.08984375" style="455" customWidth="1"/>
    <col min="3847" max="3847" width="23" style="455" bestFit="1" customWidth="1"/>
    <col min="3848" max="3848" width="17.81640625" style="455" customWidth="1"/>
    <col min="3849" max="3849" width="12" style="455" customWidth="1"/>
    <col min="3850" max="4086" width="8.90625" style="455"/>
    <col min="4087" max="4087" width="6.6328125" style="455" customWidth="1"/>
    <col min="4088" max="4088" width="42.81640625" style="455" customWidth="1"/>
    <col min="4089" max="4089" width="22.6328125" style="455" customWidth="1"/>
    <col min="4090" max="4090" width="11.90625" style="455" customWidth="1"/>
    <col min="4091" max="4091" width="11.81640625" style="455" customWidth="1"/>
    <col min="4092" max="4093" width="15.90625" style="455" customWidth="1"/>
    <col min="4094" max="4094" width="12.08984375" style="455" customWidth="1"/>
    <col min="4095" max="4095" width="17.08984375" style="455" customWidth="1"/>
    <col min="4096" max="4102" width="12.08984375" style="455" customWidth="1"/>
    <col min="4103" max="4103" width="23" style="455" bestFit="1" customWidth="1"/>
    <col min="4104" max="4104" width="17.81640625" style="455" customWidth="1"/>
    <col min="4105" max="4105" width="12" style="455" customWidth="1"/>
    <col min="4106" max="4342" width="8.90625" style="455"/>
    <col min="4343" max="4343" width="6.6328125" style="455" customWidth="1"/>
    <col min="4344" max="4344" width="42.81640625" style="455" customWidth="1"/>
    <col min="4345" max="4345" width="22.6328125" style="455" customWidth="1"/>
    <col min="4346" max="4346" width="11.90625" style="455" customWidth="1"/>
    <col min="4347" max="4347" width="11.81640625" style="455" customWidth="1"/>
    <col min="4348" max="4349" width="15.90625" style="455" customWidth="1"/>
    <col min="4350" max="4350" width="12.08984375" style="455" customWidth="1"/>
    <col min="4351" max="4351" width="17.08984375" style="455" customWidth="1"/>
    <col min="4352" max="4358" width="12.08984375" style="455" customWidth="1"/>
    <col min="4359" max="4359" width="23" style="455" bestFit="1" customWidth="1"/>
    <col min="4360" max="4360" width="17.81640625" style="455" customWidth="1"/>
    <col min="4361" max="4361" width="12" style="455" customWidth="1"/>
    <col min="4362" max="4598" width="8.90625" style="455"/>
    <col min="4599" max="4599" width="6.6328125" style="455" customWidth="1"/>
    <col min="4600" max="4600" width="42.81640625" style="455" customWidth="1"/>
    <col min="4601" max="4601" width="22.6328125" style="455" customWidth="1"/>
    <col min="4602" max="4602" width="11.90625" style="455" customWidth="1"/>
    <col min="4603" max="4603" width="11.81640625" style="455" customWidth="1"/>
    <col min="4604" max="4605" width="15.90625" style="455" customWidth="1"/>
    <col min="4606" max="4606" width="12.08984375" style="455" customWidth="1"/>
    <col min="4607" max="4607" width="17.08984375" style="455" customWidth="1"/>
    <col min="4608" max="4614" width="12.08984375" style="455" customWidth="1"/>
    <col min="4615" max="4615" width="23" style="455" bestFit="1" customWidth="1"/>
    <col min="4616" max="4616" width="17.81640625" style="455" customWidth="1"/>
    <col min="4617" max="4617" width="12" style="455" customWidth="1"/>
    <col min="4618" max="4854" width="8.90625" style="455"/>
    <col min="4855" max="4855" width="6.6328125" style="455" customWidth="1"/>
    <col min="4856" max="4856" width="42.81640625" style="455" customWidth="1"/>
    <col min="4857" max="4857" width="22.6328125" style="455" customWidth="1"/>
    <col min="4858" max="4858" width="11.90625" style="455" customWidth="1"/>
    <col min="4859" max="4859" width="11.81640625" style="455" customWidth="1"/>
    <col min="4860" max="4861" width="15.90625" style="455" customWidth="1"/>
    <col min="4862" max="4862" width="12.08984375" style="455" customWidth="1"/>
    <col min="4863" max="4863" width="17.08984375" style="455" customWidth="1"/>
    <col min="4864" max="4870" width="12.08984375" style="455" customWidth="1"/>
    <col min="4871" max="4871" width="23" style="455" bestFit="1" customWidth="1"/>
    <col min="4872" max="4872" width="17.81640625" style="455" customWidth="1"/>
    <col min="4873" max="4873" width="12" style="455" customWidth="1"/>
    <col min="4874" max="5110" width="8.90625" style="455"/>
    <col min="5111" max="5111" width="6.6328125" style="455" customWidth="1"/>
    <col min="5112" max="5112" width="42.81640625" style="455" customWidth="1"/>
    <col min="5113" max="5113" width="22.6328125" style="455" customWidth="1"/>
    <col min="5114" max="5114" width="11.90625" style="455" customWidth="1"/>
    <col min="5115" max="5115" width="11.81640625" style="455" customWidth="1"/>
    <col min="5116" max="5117" width="15.90625" style="455" customWidth="1"/>
    <col min="5118" max="5118" width="12.08984375" style="455" customWidth="1"/>
    <col min="5119" max="5119" width="17.08984375" style="455" customWidth="1"/>
    <col min="5120" max="5126" width="12.08984375" style="455" customWidth="1"/>
    <col min="5127" max="5127" width="23" style="455" bestFit="1" customWidth="1"/>
    <col min="5128" max="5128" width="17.81640625" style="455" customWidth="1"/>
    <col min="5129" max="5129" width="12" style="455" customWidth="1"/>
    <col min="5130" max="5366" width="8.90625" style="455"/>
    <col min="5367" max="5367" width="6.6328125" style="455" customWidth="1"/>
    <col min="5368" max="5368" width="42.81640625" style="455" customWidth="1"/>
    <col min="5369" max="5369" width="22.6328125" style="455" customWidth="1"/>
    <col min="5370" max="5370" width="11.90625" style="455" customWidth="1"/>
    <col min="5371" max="5371" width="11.81640625" style="455" customWidth="1"/>
    <col min="5372" max="5373" width="15.90625" style="455" customWidth="1"/>
    <col min="5374" max="5374" width="12.08984375" style="455" customWidth="1"/>
    <col min="5375" max="5375" width="17.08984375" style="455" customWidth="1"/>
    <col min="5376" max="5382" width="12.08984375" style="455" customWidth="1"/>
    <col min="5383" max="5383" width="23" style="455" bestFit="1" customWidth="1"/>
    <col min="5384" max="5384" width="17.81640625" style="455" customWidth="1"/>
    <col min="5385" max="5385" width="12" style="455" customWidth="1"/>
    <col min="5386" max="5622" width="8.90625" style="455"/>
    <col min="5623" max="5623" width="6.6328125" style="455" customWidth="1"/>
    <col min="5624" max="5624" width="42.81640625" style="455" customWidth="1"/>
    <col min="5625" max="5625" width="22.6328125" style="455" customWidth="1"/>
    <col min="5626" max="5626" width="11.90625" style="455" customWidth="1"/>
    <col min="5627" max="5627" width="11.81640625" style="455" customWidth="1"/>
    <col min="5628" max="5629" width="15.90625" style="455" customWidth="1"/>
    <col min="5630" max="5630" width="12.08984375" style="455" customWidth="1"/>
    <col min="5631" max="5631" width="17.08984375" style="455" customWidth="1"/>
    <col min="5632" max="5638" width="12.08984375" style="455" customWidth="1"/>
    <col min="5639" max="5639" width="23" style="455" bestFit="1" customWidth="1"/>
    <col min="5640" max="5640" width="17.81640625" style="455" customWidth="1"/>
    <col min="5641" max="5641" width="12" style="455" customWidth="1"/>
    <col min="5642" max="5878" width="8.90625" style="455"/>
    <col min="5879" max="5879" width="6.6328125" style="455" customWidth="1"/>
    <col min="5880" max="5880" width="42.81640625" style="455" customWidth="1"/>
    <col min="5881" max="5881" width="22.6328125" style="455" customWidth="1"/>
    <col min="5882" max="5882" width="11.90625" style="455" customWidth="1"/>
    <col min="5883" max="5883" width="11.81640625" style="455" customWidth="1"/>
    <col min="5884" max="5885" width="15.90625" style="455" customWidth="1"/>
    <col min="5886" max="5886" width="12.08984375" style="455" customWidth="1"/>
    <col min="5887" max="5887" width="17.08984375" style="455" customWidth="1"/>
    <col min="5888" max="5894" width="12.08984375" style="455" customWidth="1"/>
    <col min="5895" max="5895" width="23" style="455" bestFit="1" customWidth="1"/>
    <col min="5896" max="5896" width="17.81640625" style="455" customWidth="1"/>
    <col min="5897" max="5897" width="12" style="455" customWidth="1"/>
    <col min="5898" max="6134" width="8.90625" style="455"/>
    <col min="6135" max="6135" width="6.6328125" style="455" customWidth="1"/>
    <col min="6136" max="6136" width="42.81640625" style="455" customWidth="1"/>
    <col min="6137" max="6137" width="22.6328125" style="455" customWidth="1"/>
    <col min="6138" max="6138" width="11.90625" style="455" customWidth="1"/>
    <col min="6139" max="6139" width="11.81640625" style="455" customWidth="1"/>
    <col min="6140" max="6141" width="15.90625" style="455" customWidth="1"/>
    <col min="6142" max="6142" width="12.08984375" style="455" customWidth="1"/>
    <col min="6143" max="6143" width="17.08984375" style="455" customWidth="1"/>
    <col min="6144" max="6150" width="12.08984375" style="455" customWidth="1"/>
    <col min="6151" max="6151" width="23" style="455" bestFit="1" customWidth="1"/>
    <col min="6152" max="6152" width="17.81640625" style="455" customWidth="1"/>
    <col min="6153" max="6153" width="12" style="455" customWidth="1"/>
    <col min="6154" max="6390" width="8.90625" style="455"/>
    <col min="6391" max="6391" width="6.6328125" style="455" customWidth="1"/>
    <col min="6392" max="6392" width="42.81640625" style="455" customWidth="1"/>
    <col min="6393" max="6393" width="22.6328125" style="455" customWidth="1"/>
    <col min="6394" max="6394" width="11.90625" style="455" customWidth="1"/>
    <col min="6395" max="6395" width="11.81640625" style="455" customWidth="1"/>
    <col min="6396" max="6397" width="15.90625" style="455" customWidth="1"/>
    <col min="6398" max="6398" width="12.08984375" style="455" customWidth="1"/>
    <col min="6399" max="6399" width="17.08984375" style="455" customWidth="1"/>
    <col min="6400" max="6406" width="12.08984375" style="455" customWidth="1"/>
    <col min="6407" max="6407" width="23" style="455" bestFit="1" customWidth="1"/>
    <col min="6408" max="6408" width="17.81640625" style="455" customWidth="1"/>
    <col min="6409" max="6409" width="12" style="455" customWidth="1"/>
    <col min="6410" max="6646" width="8.90625" style="455"/>
    <col min="6647" max="6647" width="6.6328125" style="455" customWidth="1"/>
    <col min="6648" max="6648" width="42.81640625" style="455" customWidth="1"/>
    <col min="6649" max="6649" width="22.6328125" style="455" customWidth="1"/>
    <col min="6650" max="6650" width="11.90625" style="455" customWidth="1"/>
    <col min="6651" max="6651" width="11.81640625" style="455" customWidth="1"/>
    <col min="6652" max="6653" width="15.90625" style="455" customWidth="1"/>
    <col min="6654" max="6654" width="12.08984375" style="455" customWidth="1"/>
    <col min="6655" max="6655" width="17.08984375" style="455" customWidth="1"/>
    <col min="6656" max="6662" width="12.08984375" style="455" customWidth="1"/>
    <col min="6663" max="6663" width="23" style="455" bestFit="1" customWidth="1"/>
    <col min="6664" max="6664" width="17.81640625" style="455" customWidth="1"/>
    <col min="6665" max="6665" width="12" style="455" customWidth="1"/>
    <col min="6666" max="6902" width="8.90625" style="455"/>
    <col min="6903" max="6903" width="6.6328125" style="455" customWidth="1"/>
    <col min="6904" max="6904" width="42.81640625" style="455" customWidth="1"/>
    <col min="6905" max="6905" width="22.6328125" style="455" customWidth="1"/>
    <col min="6906" max="6906" width="11.90625" style="455" customWidth="1"/>
    <col min="6907" max="6907" width="11.81640625" style="455" customWidth="1"/>
    <col min="6908" max="6909" width="15.90625" style="455" customWidth="1"/>
    <col min="6910" max="6910" width="12.08984375" style="455" customWidth="1"/>
    <col min="6911" max="6911" width="17.08984375" style="455" customWidth="1"/>
    <col min="6912" max="6918" width="12.08984375" style="455" customWidth="1"/>
    <col min="6919" max="6919" width="23" style="455" bestFit="1" customWidth="1"/>
    <col min="6920" max="6920" width="17.81640625" style="455" customWidth="1"/>
    <col min="6921" max="6921" width="12" style="455" customWidth="1"/>
    <col min="6922" max="7158" width="8.90625" style="455"/>
    <col min="7159" max="7159" width="6.6328125" style="455" customWidth="1"/>
    <col min="7160" max="7160" width="42.81640625" style="455" customWidth="1"/>
    <col min="7161" max="7161" width="22.6328125" style="455" customWidth="1"/>
    <col min="7162" max="7162" width="11.90625" style="455" customWidth="1"/>
    <col min="7163" max="7163" width="11.81640625" style="455" customWidth="1"/>
    <col min="7164" max="7165" width="15.90625" style="455" customWidth="1"/>
    <col min="7166" max="7166" width="12.08984375" style="455" customWidth="1"/>
    <col min="7167" max="7167" width="17.08984375" style="455" customWidth="1"/>
    <col min="7168" max="7174" width="12.08984375" style="455" customWidth="1"/>
    <col min="7175" max="7175" width="23" style="455" bestFit="1" customWidth="1"/>
    <col min="7176" max="7176" width="17.81640625" style="455" customWidth="1"/>
    <col min="7177" max="7177" width="12" style="455" customWidth="1"/>
    <col min="7178" max="7414" width="8.90625" style="455"/>
    <col min="7415" max="7415" width="6.6328125" style="455" customWidth="1"/>
    <col min="7416" max="7416" width="42.81640625" style="455" customWidth="1"/>
    <col min="7417" max="7417" width="22.6328125" style="455" customWidth="1"/>
    <col min="7418" max="7418" width="11.90625" style="455" customWidth="1"/>
    <col min="7419" max="7419" width="11.81640625" style="455" customWidth="1"/>
    <col min="7420" max="7421" width="15.90625" style="455" customWidth="1"/>
    <col min="7422" max="7422" width="12.08984375" style="455" customWidth="1"/>
    <col min="7423" max="7423" width="17.08984375" style="455" customWidth="1"/>
    <col min="7424" max="7430" width="12.08984375" style="455" customWidth="1"/>
    <col min="7431" max="7431" width="23" style="455" bestFit="1" customWidth="1"/>
    <col min="7432" max="7432" width="17.81640625" style="455" customWidth="1"/>
    <col min="7433" max="7433" width="12" style="455" customWidth="1"/>
    <col min="7434" max="7670" width="8.90625" style="455"/>
    <col min="7671" max="7671" width="6.6328125" style="455" customWidth="1"/>
    <col min="7672" max="7672" width="42.81640625" style="455" customWidth="1"/>
    <col min="7673" max="7673" width="22.6328125" style="455" customWidth="1"/>
    <col min="7674" max="7674" width="11.90625" style="455" customWidth="1"/>
    <col min="7675" max="7675" width="11.81640625" style="455" customWidth="1"/>
    <col min="7676" max="7677" width="15.90625" style="455" customWidth="1"/>
    <col min="7678" max="7678" width="12.08984375" style="455" customWidth="1"/>
    <col min="7679" max="7679" width="17.08984375" style="455" customWidth="1"/>
    <col min="7680" max="7686" width="12.08984375" style="455" customWidth="1"/>
    <col min="7687" max="7687" width="23" style="455" bestFit="1" customWidth="1"/>
    <col min="7688" max="7688" width="17.81640625" style="455" customWidth="1"/>
    <col min="7689" max="7689" width="12" style="455" customWidth="1"/>
    <col min="7690" max="7926" width="8.90625" style="455"/>
    <col min="7927" max="7927" width="6.6328125" style="455" customWidth="1"/>
    <col min="7928" max="7928" width="42.81640625" style="455" customWidth="1"/>
    <col min="7929" max="7929" width="22.6328125" style="455" customWidth="1"/>
    <col min="7930" max="7930" width="11.90625" style="455" customWidth="1"/>
    <col min="7931" max="7931" width="11.81640625" style="455" customWidth="1"/>
    <col min="7932" max="7933" width="15.90625" style="455" customWidth="1"/>
    <col min="7934" max="7934" width="12.08984375" style="455" customWidth="1"/>
    <col min="7935" max="7935" width="17.08984375" style="455" customWidth="1"/>
    <col min="7936" max="7942" width="12.08984375" style="455" customWidth="1"/>
    <col min="7943" max="7943" width="23" style="455" bestFit="1" customWidth="1"/>
    <col min="7944" max="7944" width="17.81640625" style="455" customWidth="1"/>
    <col min="7945" max="7945" width="12" style="455" customWidth="1"/>
    <col min="7946" max="8182" width="8.90625" style="455"/>
    <col min="8183" max="8183" width="6.6328125" style="455" customWidth="1"/>
    <col min="8184" max="8184" width="42.81640625" style="455" customWidth="1"/>
    <col min="8185" max="8185" width="22.6328125" style="455" customWidth="1"/>
    <col min="8186" max="8186" width="11.90625" style="455" customWidth="1"/>
    <col min="8187" max="8187" width="11.81640625" style="455" customWidth="1"/>
    <col min="8188" max="8189" width="15.90625" style="455" customWidth="1"/>
    <col min="8190" max="8190" width="12.08984375" style="455" customWidth="1"/>
    <col min="8191" max="8191" width="17.08984375" style="455" customWidth="1"/>
    <col min="8192" max="8198" width="12.08984375" style="455" customWidth="1"/>
    <col min="8199" max="8199" width="23" style="455" bestFit="1" customWidth="1"/>
    <col min="8200" max="8200" width="17.81640625" style="455" customWidth="1"/>
    <col min="8201" max="8201" width="12" style="455" customWidth="1"/>
    <col min="8202" max="8438" width="8.90625" style="455"/>
    <col min="8439" max="8439" width="6.6328125" style="455" customWidth="1"/>
    <col min="8440" max="8440" width="42.81640625" style="455" customWidth="1"/>
    <col min="8441" max="8441" width="22.6328125" style="455" customWidth="1"/>
    <col min="8442" max="8442" width="11.90625" style="455" customWidth="1"/>
    <col min="8443" max="8443" width="11.81640625" style="455" customWidth="1"/>
    <col min="8444" max="8445" width="15.90625" style="455" customWidth="1"/>
    <col min="8446" max="8446" width="12.08984375" style="455" customWidth="1"/>
    <col min="8447" max="8447" width="17.08984375" style="455" customWidth="1"/>
    <col min="8448" max="8454" width="12.08984375" style="455" customWidth="1"/>
    <col min="8455" max="8455" width="23" style="455" bestFit="1" customWidth="1"/>
    <col min="8456" max="8456" width="17.81640625" style="455" customWidth="1"/>
    <col min="8457" max="8457" width="12" style="455" customWidth="1"/>
    <col min="8458" max="8694" width="8.90625" style="455"/>
    <col min="8695" max="8695" width="6.6328125" style="455" customWidth="1"/>
    <col min="8696" max="8696" width="42.81640625" style="455" customWidth="1"/>
    <col min="8697" max="8697" width="22.6328125" style="455" customWidth="1"/>
    <col min="8698" max="8698" width="11.90625" style="455" customWidth="1"/>
    <col min="8699" max="8699" width="11.81640625" style="455" customWidth="1"/>
    <col min="8700" max="8701" width="15.90625" style="455" customWidth="1"/>
    <col min="8702" max="8702" width="12.08984375" style="455" customWidth="1"/>
    <col min="8703" max="8703" width="17.08984375" style="455" customWidth="1"/>
    <col min="8704" max="8710" width="12.08984375" style="455" customWidth="1"/>
    <col min="8711" max="8711" width="23" style="455" bestFit="1" customWidth="1"/>
    <col min="8712" max="8712" width="17.81640625" style="455" customWidth="1"/>
    <col min="8713" max="8713" width="12" style="455" customWidth="1"/>
    <col min="8714" max="8950" width="8.90625" style="455"/>
    <col min="8951" max="8951" width="6.6328125" style="455" customWidth="1"/>
    <col min="8952" max="8952" width="42.81640625" style="455" customWidth="1"/>
    <col min="8953" max="8953" width="22.6328125" style="455" customWidth="1"/>
    <col min="8954" max="8954" width="11.90625" style="455" customWidth="1"/>
    <col min="8955" max="8955" width="11.81640625" style="455" customWidth="1"/>
    <col min="8956" max="8957" width="15.90625" style="455" customWidth="1"/>
    <col min="8958" max="8958" width="12.08984375" style="455" customWidth="1"/>
    <col min="8959" max="8959" width="17.08984375" style="455" customWidth="1"/>
    <col min="8960" max="8966" width="12.08984375" style="455" customWidth="1"/>
    <col min="8967" max="8967" width="23" style="455" bestFit="1" customWidth="1"/>
    <col min="8968" max="8968" width="17.81640625" style="455" customWidth="1"/>
    <col min="8969" max="8969" width="12" style="455" customWidth="1"/>
    <col min="8970" max="9206" width="8.90625" style="455"/>
    <col min="9207" max="9207" width="6.6328125" style="455" customWidth="1"/>
    <col min="9208" max="9208" width="42.81640625" style="455" customWidth="1"/>
    <col min="9209" max="9209" width="22.6328125" style="455" customWidth="1"/>
    <col min="9210" max="9210" width="11.90625" style="455" customWidth="1"/>
    <col min="9211" max="9211" width="11.81640625" style="455" customWidth="1"/>
    <col min="9212" max="9213" width="15.90625" style="455" customWidth="1"/>
    <col min="9214" max="9214" width="12.08984375" style="455" customWidth="1"/>
    <col min="9215" max="9215" width="17.08984375" style="455" customWidth="1"/>
    <col min="9216" max="9222" width="12.08984375" style="455" customWidth="1"/>
    <col min="9223" max="9223" width="23" style="455" bestFit="1" customWidth="1"/>
    <col min="9224" max="9224" width="17.81640625" style="455" customWidth="1"/>
    <col min="9225" max="9225" width="12" style="455" customWidth="1"/>
    <col min="9226" max="9462" width="8.90625" style="455"/>
    <col min="9463" max="9463" width="6.6328125" style="455" customWidth="1"/>
    <col min="9464" max="9464" width="42.81640625" style="455" customWidth="1"/>
    <col min="9465" max="9465" width="22.6328125" style="455" customWidth="1"/>
    <col min="9466" max="9466" width="11.90625" style="455" customWidth="1"/>
    <col min="9467" max="9467" width="11.81640625" style="455" customWidth="1"/>
    <col min="9468" max="9469" width="15.90625" style="455" customWidth="1"/>
    <col min="9470" max="9470" width="12.08984375" style="455" customWidth="1"/>
    <col min="9471" max="9471" width="17.08984375" style="455" customWidth="1"/>
    <col min="9472" max="9478" width="12.08984375" style="455" customWidth="1"/>
    <col min="9479" max="9479" width="23" style="455" bestFit="1" customWidth="1"/>
    <col min="9480" max="9480" width="17.81640625" style="455" customWidth="1"/>
    <col min="9481" max="9481" width="12" style="455" customWidth="1"/>
    <col min="9482" max="9718" width="8.90625" style="455"/>
    <col min="9719" max="9719" width="6.6328125" style="455" customWidth="1"/>
    <col min="9720" max="9720" width="42.81640625" style="455" customWidth="1"/>
    <col min="9721" max="9721" width="22.6328125" style="455" customWidth="1"/>
    <col min="9722" max="9722" width="11.90625" style="455" customWidth="1"/>
    <col min="9723" max="9723" width="11.81640625" style="455" customWidth="1"/>
    <col min="9724" max="9725" width="15.90625" style="455" customWidth="1"/>
    <col min="9726" max="9726" width="12.08984375" style="455" customWidth="1"/>
    <col min="9727" max="9727" width="17.08984375" style="455" customWidth="1"/>
    <col min="9728" max="9734" width="12.08984375" style="455" customWidth="1"/>
    <col min="9735" max="9735" width="23" style="455" bestFit="1" customWidth="1"/>
    <col min="9736" max="9736" width="17.81640625" style="455" customWidth="1"/>
    <col min="9737" max="9737" width="12" style="455" customWidth="1"/>
    <col min="9738" max="9974" width="8.90625" style="455"/>
    <col min="9975" max="9975" width="6.6328125" style="455" customWidth="1"/>
    <col min="9976" max="9976" width="42.81640625" style="455" customWidth="1"/>
    <col min="9977" max="9977" width="22.6328125" style="455" customWidth="1"/>
    <col min="9978" max="9978" width="11.90625" style="455" customWidth="1"/>
    <col min="9979" max="9979" width="11.81640625" style="455" customWidth="1"/>
    <col min="9980" max="9981" width="15.90625" style="455" customWidth="1"/>
    <col min="9982" max="9982" width="12.08984375" style="455" customWidth="1"/>
    <col min="9983" max="9983" width="17.08984375" style="455" customWidth="1"/>
    <col min="9984" max="9990" width="12.08984375" style="455" customWidth="1"/>
    <col min="9991" max="9991" width="23" style="455" bestFit="1" customWidth="1"/>
    <col min="9992" max="9992" width="17.81640625" style="455" customWidth="1"/>
    <col min="9993" max="9993" width="12" style="455" customWidth="1"/>
    <col min="9994" max="10230" width="8.90625" style="455"/>
    <col min="10231" max="10231" width="6.6328125" style="455" customWidth="1"/>
    <col min="10232" max="10232" width="42.81640625" style="455" customWidth="1"/>
    <col min="10233" max="10233" width="22.6328125" style="455" customWidth="1"/>
    <col min="10234" max="10234" width="11.90625" style="455" customWidth="1"/>
    <col min="10235" max="10235" width="11.81640625" style="455" customWidth="1"/>
    <col min="10236" max="10237" width="15.90625" style="455" customWidth="1"/>
    <col min="10238" max="10238" width="12.08984375" style="455" customWidth="1"/>
    <col min="10239" max="10239" width="17.08984375" style="455" customWidth="1"/>
    <col min="10240" max="10246" width="12.08984375" style="455" customWidth="1"/>
    <col min="10247" max="10247" width="23" style="455" bestFit="1" customWidth="1"/>
    <col min="10248" max="10248" width="17.81640625" style="455" customWidth="1"/>
    <col min="10249" max="10249" width="12" style="455" customWidth="1"/>
    <col min="10250" max="10486" width="8.90625" style="455"/>
    <col min="10487" max="10487" width="6.6328125" style="455" customWidth="1"/>
    <col min="10488" max="10488" width="42.81640625" style="455" customWidth="1"/>
    <col min="10489" max="10489" width="22.6328125" style="455" customWidth="1"/>
    <col min="10490" max="10490" width="11.90625" style="455" customWidth="1"/>
    <col min="10491" max="10491" width="11.81640625" style="455" customWidth="1"/>
    <col min="10492" max="10493" width="15.90625" style="455" customWidth="1"/>
    <col min="10494" max="10494" width="12.08984375" style="455" customWidth="1"/>
    <col min="10495" max="10495" width="17.08984375" style="455" customWidth="1"/>
    <col min="10496" max="10502" width="12.08984375" style="455" customWidth="1"/>
    <col min="10503" max="10503" width="23" style="455" bestFit="1" customWidth="1"/>
    <col min="10504" max="10504" width="17.81640625" style="455" customWidth="1"/>
    <col min="10505" max="10505" width="12" style="455" customWidth="1"/>
    <col min="10506" max="10742" width="8.90625" style="455"/>
    <col min="10743" max="10743" width="6.6328125" style="455" customWidth="1"/>
    <col min="10744" max="10744" width="42.81640625" style="455" customWidth="1"/>
    <col min="10745" max="10745" width="22.6328125" style="455" customWidth="1"/>
    <col min="10746" max="10746" width="11.90625" style="455" customWidth="1"/>
    <col min="10747" max="10747" width="11.81640625" style="455" customWidth="1"/>
    <col min="10748" max="10749" width="15.90625" style="455" customWidth="1"/>
    <col min="10750" max="10750" width="12.08984375" style="455" customWidth="1"/>
    <col min="10751" max="10751" width="17.08984375" style="455" customWidth="1"/>
    <col min="10752" max="10758" width="12.08984375" style="455" customWidth="1"/>
    <col min="10759" max="10759" width="23" style="455" bestFit="1" customWidth="1"/>
    <col min="10760" max="10760" width="17.81640625" style="455" customWidth="1"/>
    <col min="10761" max="10761" width="12" style="455" customWidth="1"/>
    <col min="10762" max="10998" width="8.90625" style="455"/>
    <col min="10999" max="10999" width="6.6328125" style="455" customWidth="1"/>
    <col min="11000" max="11000" width="42.81640625" style="455" customWidth="1"/>
    <col min="11001" max="11001" width="22.6328125" style="455" customWidth="1"/>
    <col min="11002" max="11002" width="11.90625" style="455" customWidth="1"/>
    <col min="11003" max="11003" width="11.81640625" style="455" customWidth="1"/>
    <col min="11004" max="11005" width="15.90625" style="455" customWidth="1"/>
    <col min="11006" max="11006" width="12.08984375" style="455" customWidth="1"/>
    <col min="11007" max="11007" width="17.08984375" style="455" customWidth="1"/>
    <col min="11008" max="11014" width="12.08984375" style="455" customWidth="1"/>
    <col min="11015" max="11015" width="23" style="455" bestFit="1" customWidth="1"/>
    <col min="11016" max="11016" width="17.81640625" style="455" customWidth="1"/>
    <col min="11017" max="11017" width="12" style="455" customWidth="1"/>
    <col min="11018" max="11254" width="8.90625" style="455"/>
    <col min="11255" max="11255" width="6.6328125" style="455" customWidth="1"/>
    <col min="11256" max="11256" width="42.81640625" style="455" customWidth="1"/>
    <col min="11257" max="11257" width="22.6328125" style="455" customWidth="1"/>
    <col min="11258" max="11258" width="11.90625" style="455" customWidth="1"/>
    <col min="11259" max="11259" width="11.81640625" style="455" customWidth="1"/>
    <col min="11260" max="11261" width="15.90625" style="455" customWidth="1"/>
    <col min="11262" max="11262" width="12.08984375" style="455" customWidth="1"/>
    <col min="11263" max="11263" width="17.08984375" style="455" customWidth="1"/>
    <col min="11264" max="11270" width="12.08984375" style="455" customWidth="1"/>
    <col min="11271" max="11271" width="23" style="455" bestFit="1" customWidth="1"/>
    <col min="11272" max="11272" width="17.81640625" style="455" customWidth="1"/>
    <col min="11273" max="11273" width="12" style="455" customWidth="1"/>
    <col min="11274" max="11510" width="8.90625" style="455"/>
    <col min="11511" max="11511" width="6.6328125" style="455" customWidth="1"/>
    <col min="11512" max="11512" width="42.81640625" style="455" customWidth="1"/>
    <col min="11513" max="11513" width="22.6328125" style="455" customWidth="1"/>
    <col min="11514" max="11514" width="11.90625" style="455" customWidth="1"/>
    <col min="11515" max="11515" width="11.81640625" style="455" customWidth="1"/>
    <col min="11516" max="11517" width="15.90625" style="455" customWidth="1"/>
    <col min="11518" max="11518" width="12.08984375" style="455" customWidth="1"/>
    <col min="11519" max="11519" width="17.08984375" style="455" customWidth="1"/>
    <col min="11520" max="11526" width="12.08984375" style="455" customWidth="1"/>
    <col min="11527" max="11527" width="23" style="455" bestFit="1" customWidth="1"/>
    <col min="11528" max="11528" width="17.81640625" style="455" customWidth="1"/>
    <col min="11529" max="11529" width="12" style="455" customWidth="1"/>
    <col min="11530" max="11766" width="8.90625" style="455"/>
    <col min="11767" max="11767" width="6.6328125" style="455" customWidth="1"/>
    <col min="11768" max="11768" width="42.81640625" style="455" customWidth="1"/>
    <col min="11769" max="11769" width="22.6328125" style="455" customWidth="1"/>
    <col min="11770" max="11770" width="11.90625" style="455" customWidth="1"/>
    <col min="11771" max="11771" width="11.81640625" style="455" customWidth="1"/>
    <col min="11772" max="11773" width="15.90625" style="455" customWidth="1"/>
    <col min="11774" max="11774" width="12.08984375" style="455" customWidth="1"/>
    <col min="11775" max="11775" width="17.08984375" style="455" customWidth="1"/>
    <col min="11776" max="11782" width="12.08984375" style="455" customWidth="1"/>
    <col min="11783" max="11783" width="23" style="455" bestFit="1" customWidth="1"/>
    <col min="11784" max="11784" width="17.81640625" style="455" customWidth="1"/>
    <col min="11785" max="11785" width="12" style="455" customWidth="1"/>
    <col min="11786" max="12022" width="8.90625" style="455"/>
    <col min="12023" max="12023" width="6.6328125" style="455" customWidth="1"/>
    <col min="12024" max="12024" width="42.81640625" style="455" customWidth="1"/>
    <col min="12025" max="12025" width="22.6328125" style="455" customWidth="1"/>
    <col min="12026" max="12026" width="11.90625" style="455" customWidth="1"/>
    <col min="12027" max="12027" width="11.81640625" style="455" customWidth="1"/>
    <col min="12028" max="12029" width="15.90625" style="455" customWidth="1"/>
    <col min="12030" max="12030" width="12.08984375" style="455" customWidth="1"/>
    <col min="12031" max="12031" width="17.08984375" style="455" customWidth="1"/>
    <col min="12032" max="12038" width="12.08984375" style="455" customWidth="1"/>
    <col min="12039" max="12039" width="23" style="455" bestFit="1" customWidth="1"/>
    <col min="12040" max="12040" width="17.81640625" style="455" customWidth="1"/>
    <col min="12041" max="12041" width="12" style="455" customWidth="1"/>
    <col min="12042" max="12278" width="8.90625" style="455"/>
    <col min="12279" max="12279" width="6.6328125" style="455" customWidth="1"/>
    <col min="12280" max="12280" width="42.81640625" style="455" customWidth="1"/>
    <col min="12281" max="12281" width="22.6328125" style="455" customWidth="1"/>
    <col min="12282" max="12282" width="11.90625" style="455" customWidth="1"/>
    <col min="12283" max="12283" width="11.81640625" style="455" customWidth="1"/>
    <col min="12284" max="12285" width="15.90625" style="455" customWidth="1"/>
    <col min="12286" max="12286" width="12.08984375" style="455" customWidth="1"/>
    <col min="12287" max="12287" width="17.08984375" style="455" customWidth="1"/>
    <col min="12288" max="12294" width="12.08984375" style="455" customWidth="1"/>
    <col min="12295" max="12295" width="23" style="455" bestFit="1" customWidth="1"/>
    <col min="12296" max="12296" width="17.81640625" style="455" customWidth="1"/>
    <col min="12297" max="12297" width="12" style="455" customWidth="1"/>
    <col min="12298" max="12534" width="8.90625" style="455"/>
    <col min="12535" max="12535" width="6.6328125" style="455" customWidth="1"/>
    <col min="12536" max="12536" width="42.81640625" style="455" customWidth="1"/>
    <col min="12537" max="12537" width="22.6328125" style="455" customWidth="1"/>
    <col min="12538" max="12538" width="11.90625" style="455" customWidth="1"/>
    <col min="12539" max="12539" width="11.81640625" style="455" customWidth="1"/>
    <col min="12540" max="12541" width="15.90625" style="455" customWidth="1"/>
    <col min="12542" max="12542" width="12.08984375" style="455" customWidth="1"/>
    <col min="12543" max="12543" width="17.08984375" style="455" customWidth="1"/>
    <col min="12544" max="12550" width="12.08984375" style="455" customWidth="1"/>
    <col min="12551" max="12551" width="23" style="455" bestFit="1" customWidth="1"/>
    <col min="12552" max="12552" width="17.81640625" style="455" customWidth="1"/>
    <col min="12553" max="12553" width="12" style="455" customWidth="1"/>
    <col min="12554" max="12790" width="8.90625" style="455"/>
    <col min="12791" max="12791" width="6.6328125" style="455" customWidth="1"/>
    <col min="12792" max="12792" width="42.81640625" style="455" customWidth="1"/>
    <col min="12793" max="12793" width="22.6328125" style="455" customWidth="1"/>
    <col min="12794" max="12794" width="11.90625" style="455" customWidth="1"/>
    <col min="12795" max="12795" width="11.81640625" style="455" customWidth="1"/>
    <col min="12796" max="12797" width="15.90625" style="455" customWidth="1"/>
    <col min="12798" max="12798" width="12.08984375" style="455" customWidth="1"/>
    <col min="12799" max="12799" width="17.08984375" style="455" customWidth="1"/>
    <col min="12800" max="12806" width="12.08984375" style="455" customWidth="1"/>
    <col min="12807" max="12807" width="23" style="455" bestFit="1" customWidth="1"/>
    <col min="12808" max="12808" width="17.81640625" style="455" customWidth="1"/>
    <col min="12809" max="12809" width="12" style="455" customWidth="1"/>
    <col min="12810" max="13046" width="8.90625" style="455"/>
    <col min="13047" max="13047" width="6.6328125" style="455" customWidth="1"/>
    <col min="13048" max="13048" width="42.81640625" style="455" customWidth="1"/>
    <col min="13049" max="13049" width="22.6328125" style="455" customWidth="1"/>
    <col min="13050" max="13050" width="11.90625" style="455" customWidth="1"/>
    <col min="13051" max="13051" width="11.81640625" style="455" customWidth="1"/>
    <col min="13052" max="13053" width="15.90625" style="455" customWidth="1"/>
    <col min="13054" max="13054" width="12.08984375" style="455" customWidth="1"/>
    <col min="13055" max="13055" width="17.08984375" style="455" customWidth="1"/>
    <col min="13056" max="13062" width="12.08984375" style="455" customWidth="1"/>
    <col min="13063" max="13063" width="23" style="455" bestFit="1" customWidth="1"/>
    <col min="13064" max="13064" width="17.81640625" style="455" customWidth="1"/>
    <col min="13065" max="13065" width="12" style="455" customWidth="1"/>
    <col min="13066" max="13302" width="8.90625" style="455"/>
    <col min="13303" max="13303" width="6.6328125" style="455" customWidth="1"/>
    <col min="13304" max="13304" width="42.81640625" style="455" customWidth="1"/>
    <col min="13305" max="13305" width="22.6328125" style="455" customWidth="1"/>
    <col min="13306" max="13306" width="11.90625" style="455" customWidth="1"/>
    <col min="13307" max="13307" width="11.81640625" style="455" customWidth="1"/>
    <col min="13308" max="13309" width="15.90625" style="455" customWidth="1"/>
    <col min="13310" max="13310" width="12.08984375" style="455" customWidth="1"/>
    <col min="13311" max="13311" width="17.08984375" style="455" customWidth="1"/>
    <col min="13312" max="13318" width="12.08984375" style="455" customWidth="1"/>
    <col min="13319" max="13319" width="23" style="455" bestFit="1" customWidth="1"/>
    <col min="13320" max="13320" width="17.81640625" style="455" customWidth="1"/>
    <col min="13321" max="13321" width="12" style="455" customWidth="1"/>
    <col min="13322" max="13558" width="8.90625" style="455"/>
    <col min="13559" max="13559" width="6.6328125" style="455" customWidth="1"/>
    <col min="13560" max="13560" width="42.81640625" style="455" customWidth="1"/>
    <col min="13561" max="13561" width="22.6328125" style="455" customWidth="1"/>
    <col min="13562" max="13562" width="11.90625" style="455" customWidth="1"/>
    <col min="13563" max="13563" width="11.81640625" style="455" customWidth="1"/>
    <col min="13564" max="13565" width="15.90625" style="455" customWidth="1"/>
    <col min="13566" max="13566" width="12.08984375" style="455" customWidth="1"/>
    <col min="13567" max="13567" width="17.08984375" style="455" customWidth="1"/>
    <col min="13568" max="13574" width="12.08984375" style="455" customWidth="1"/>
    <col min="13575" max="13575" width="23" style="455" bestFit="1" customWidth="1"/>
    <col min="13576" max="13576" width="17.81640625" style="455" customWidth="1"/>
    <col min="13577" max="13577" width="12" style="455" customWidth="1"/>
    <col min="13578" max="13814" width="8.90625" style="455"/>
    <col min="13815" max="13815" width="6.6328125" style="455" customWidth="1"/>
    <col min="13816" max="13816" width="42.81640625" style="455" customWidth="1"/>
    <col min="13817" max="13817" width="22.6328125" style="455" customWidth="1"/>
    <col min="13818" max="13818" width="11.90625" style="455" customWidth="1"/>
    <col min="13819" max="13819" width="11.81640625" style="455" customWidth="1"/>
    <col min="13820" max="13821" width="15.90625" style="455" customWidth="1"/>
    <col min="13822" max="13822" width="12.08984375" style="455" customWidth="1"/>
    <col min="13823" max="13823" width="17.08984375" style="455" customWidth="1"/>
    <col min="13824" max="13830" width="12.08984375" style="455" customWidth="1"/>
    <col min="13831" max="13831" width="23" style="455" bestFit="1" customWidth="1"/>
    <col min="13832" max="13832" width="17.81640625" style="455" customWidth="1"/>
    <col min="13833" max="13833" width="12" style="455" customWidth="1"/>
    <col min="13834" max="14070" width="8.90625" style="455"/>
    <col min="14071" max="14071" width="6.6328125" style="455" customWidth="1"/>
    <col min="14072" max="14072" width="42.81640625" style="455" customWidth="1"/>
    <col min="14073" max="14073" width="22.6328125" style="455" customWidth="1"/>
    <col min="14074" max="14074" width="11.90625" style="455" customWidth="1"/>
    <col min="14075" max="14075" width="11.81640625" style="455" customWidth="1"/>
    <col min="14076" max="14077" width="15.90625" style="455" customWidth="1"/>
    <col min="14078" max="14078" width="12.08984375" style="455" customWidth="1"/>
    <col min="14079" max="14079" width="17.08984375" style="455" customWidth="1"/>
    <col min="14080" max="14086" width="12.08984375" style="455" customWidth="1"/>
    <col min="14087" max="14087" width="23" style="455" bestFit="1" customWidth="1"/>
    <col min="14088" max="14088" width="17.81640625" style="455" customWidth="1"/>
    <col min="14089" max="14089" width="12" style="455" customWidth="1"/>
    <col min="14090" max="14326" width="8.90625" style="455"/>
    <col min="14327" max="14327" width="6.6328125" style="455" customWidth="1"/>
    <col min="14328" max="14328" width="42.81640625" style="455" customWidth="1"/>
    <col min="14329" max="14329" width="22.6328125" style="455" customWidth="1"/>
    <col min="14330" max="14330" width="11.90625" style="455" customWidth="1"/>
    <col min="14331" max="14331" width="11.81640625" style="455" customWidth="1"/>
    <col min="14332" max="14333" width="15.90625" style="455" customWidth="1"/>
    <col min="14334" max="14334" width="12.08984375" style="455" customWidth="1"/>
    <col min="14335" max="14335" width="17.08984375" style="455" customWidth="1"/>
    <col min="14336" max="14342" width="12.08984375" style="455" customWidth="1"/>
    <col min="14343" max="14343" width="23" style="455" bestFit="1" customWidth="1"/>
    <col min="14344" max="14344" width="17.81640625" style="455" customWidth="1"/>
    <col min="14345" max="14345" width="12" style="455" customWidth="1"/>
    <col min="14346" max="14582" width="8.90625" style="455"/>
    <col min="14583" max="14583" width="6.6328125" style="455" customWidth="1"/>
    <col min="14584" max="14584" width="42.81640625" style="455" customWidth="1"/>
    <col min="14585" max="14585" width="22.6328125" style="455" customWidth="1"/>
    <col min="14586" max="14586" width="11.90625" style="455" customWidth="1"/>
    <col min="14587" max="14587" width="11.81640625" style="455" customWidth="1"/>
    <col min="14588" max="14589" width="15.90625" style="455" customWidth="1"/>
    <col min="14590" max="14590" width="12.08984375" style="455" customWidth="1"/>
    <col min="14591" max="14591" width="17.08984375" style="455" customWidth="1"/>
    <col min="14592" max="14598" width="12.08984375" style="455" customWidth="1"/>
    <col min="14599" max="14599" width="23" style="455" bestFit="1" customWidth="1"/>
    <col min="14600" max="14600" width="17.81640625" style="455" customWidth="1"/>
    <col min="14601" max="14601" width="12" style="455" customWidth="1"/>
    <col min="14602" max="14838" width="8.90625" style="455"/>
    <col min="14839" max="14839" width="6.6328125" style="455" customWidth="1"/>
    <col min="14840" max="14840" width="42.81640625" style="455" customWidth="1"/>
    <col min="14841" max="14841" width="22.6328125" style="455" customWidth="1"/>
    <col min="14842" max="14842" width="11.90625" style="455" customWidth="1"/>
    <col min="14843" max="14843" width="11.81640625" style="455" customWidth="1"/>
    <col min="14844" max="14845" width="15.90625" style="455" customWidth="1"/>
    <col min="14846" max="14846" width="12.08984375" style="455" customWidth="1"/>
    <col min="14847" max="14847" width="17.08984375" style="455" customWidth="1"/>
    <col min="14848" max="14854" width="12.08984375" style="455" customWidth="1"/>
    <col min="14855" max="14855" width="23" style="455" bestFit="1" customWidth="1"/>
    <col min="14856" max="14856" width="17.81640625" style="455" customWidth="1"/>
    <col min="14857" max="14857" width="12" style="455" customWidth="1"/>
    <col min="14858" max="15094" width="8.90625" style="455"/>
    <col min="15095" max="15095" width="6.6328125" style="455" customWidth="1"/>
    <col min="15096" max="15096" width="42.81640625" style="455" customWidth="1"/>
    <col min="15097" max="15097" width="22.6328125" style="455" customWidth="1"/>
    <col min="15098" max="15098" width="11.90625" style="455" customWidth="1"/>
    <col min="15099" max="15099" width="11.81640625" style="455" customWidth="1"/>
    <col min="15100" max="15101" width="15.90625" style="455" customWidth="1"/>
    <col min="15102" max="15102" width="12.08984375" style="455" customWidth="1"/>
    <col min="15103" max="15103" width="17.08984375" style="455" customWidth="1"/>
    <col min="15104" max="15110" width="12.08984375" style="455" customWidth="1"/>
    <col min="15111" max="15111" width="23" style="455" bestFit="1" customWidth="1"/>
    <col min="15112" max="15112" width="17.81640625" style="455" customWidth="1"/>
    <col min="15113" max="15113" width="12" style="455" customWidth="1"/>
    <col min="15114" max="15350" width="8.90625" style="455"/>
    <col min="15351" max="15351" width="6.6328125" style="455" customWidth="1"/>
    <col min="15352" max="15352" width="42.81640625" style="455" customWidth="1"/>
    <col min="15353" max="15353" width="22.6328125" style="455" customWidth="1"/>
    <col min="15354" max="15354" width="11.90625" style="455" customWidth="1"/>
    <col min="15355" max="15355" width="11.81640625" style="455" customWidth="1"/>
    <col min="15356" max="15357" width="15.90625" style="455" customWidth="1"/>
    <col min="15358" max="15358" width="12.08984375" style="455" customWidth="1"/>
    <col min="15359" max="15359" width="17.08984375" style="455" customWidth="1"/>
    <col min="15360" max="15366" width="12.08984375" style="455" customWidth="1"/>
    <col min="15367" max="15367" width="23" style="455" bestFit="1" customWidth="1"/>
    <col min="15368" max="15368" width="17.81640625" style="455" customWidth="1"/>
    <col min="15369" max="15369" width="12" style="455" customWidth="1"/>
    <col min="15370" max="15606" width="8.90625" style="455"/>
    <col min="15607" max="15607" width="6.6328125" style="455" customWidth="1"/>
    <col min="15608" max="15608" width="42.81640625" style="455" customWidth="1"/>
    <col min="15609" max="15609" width="22.6328125" style="455" customWidth="1"/>
    <col min="15610" max="15610" width="11.90625" style="455" customWidth="1"/>
    <col min="15611" max="15611" width="11.81640625" style="455" customWidth="1"/>
    <col min="15612" max="15613" width="15.90625" style="455" customWidth="1"/>
    <col min="15614" max="15614" width="12.08984375" style="455" customWidth="1"/>
    <col min="15615" max="15615" width="17.08984375" style="455" customWidth="1"/>
    <col min="15616" max="15622" width="12.08984375" style="455" customWidth="1"/>
    <col min="15623" max="15623" width="23" style="455" bestFit="1" customWidth="1"/>
    <col min="15624" max="15624" width="17.81640625" style="455" customWidth="1"/>
    <col min="15625" max="15625" width="12" style="455" customWidth="1"/>
    <col min="15626" max="15862" width="8.90625" style="455"/>
    <col min="15863" max="15863" width="6.6328125" style="455" customWidth="1"/>
    <col min="15864" max="15864" width="42.81640625" style="455" customWidth="1"/>
    <col min="15865" max="15865" width="22.6328125" style="455" customWidth="1"/>
    <col min="15866" max="15866" width="11.90625" style="455" customWidth="1"/>
    <col min="15867" max="15867" width="11.81640625" style="455" customWidth="1"/>
    <col min="15868" max="15869" width="15.90625" style="455" customWidth="1"/>
    <col min="15870" max="15870" width="12.08984375" style="455" customWidth="1"/>
    <col min="15871" max="15871" width="17.08984375" style="455" customWidth="1"/>
    <col min="15872" max="15878" width="12.08984375" style="455" customWidth="1"/>
    <col min="15879" max="15879" width="23" style="455" bestFit="1" customWidth="1"/>
    <col min="15880" max="15880" width="17.81640625" style="455" customWidth="1"/>
    <col min="15881" max="15881" width="12" style="455" customWidth="1"/>
    <col min="15882" max="16118" width="8.90625" style="455"/>
    <col min="16119" max="16119" width="6.6328125" style="455" customWidth="1"/>
    <col min="16120" max="16120" width="42.81640625" style="455" customWidth="1"/>
    <col min="16121" max="16121" width="22.6328125" style="455" customWidth="1"/>
    <col min="16122" max="16122" width="11.90625" style="455" customWidth="1"/>
    <col min="16123" max="16123" width="11.81640625" style="455" customWidth="1"/>
    <col min="16124" max="16125" width="15.90625" style="455" customWidth="1"/>
    <col min="16126" max="16126" width="12.08984375" style="455" customWidth="1"/>
    <col min="16127" max="16127" width="17.08984375" style="455" customWidth="1"/>
    <col min="16128" max="16134" width="12.08984375" style="455" customWidth="1"/>
    <col min="16135" max="16135" width="23" style="455" bestFit="1" customWidth="1"/>
    <col min="16136" max="16136" width="17.81640625" style="455" customWidth="1"/>
    <col min="16137" max="16137" width="12" style="455" customWidth="1"/>
    <col min="16138" max="16384" width="8.90625" style="455"/>
  </cols>
  <sheetData>
    <row r="1" spans="1:9" s="484" customFormat="1" ht="53.25" customHeight="1">
      <c r="A1" s="644" t="s">
        <v>550</v>
      </c>
      <c r="B1" s="644"/>
      <c r="C1" s="644"/>
      <c r="D1" s="644"/>
      <c r="E1" s="644"/>
      <c r="F1" s="644"/>
      <c r="G1" s="644"/>
      <c r="H1" s="644"/>
      <c r="I1" s="644"/>
    </row>
    <row r="2" spans="1:9" s="484" customFormat="1" ht="24.75" customHeight="1">
      <c r="A2" s="645" t="s">
        <v>604</v>
      </c>
      <c r="B2" s="645"/>
      <c r="C2" s="645"/>
      <c r="D2" s="645"/>
      <c r="E2" s="645"/>
      <c r="F2" s="645"/>
      <c r="G2" s="645"/>
      <c r="H2" s="645"/>
      <c r="I2" s="645"/>
    </row>
    <row r="3" spans="1:9" s="484" customFormat="1" ht="30" customHeight="1">
      <c r="A3" s="456"/>
      <c r="B3" s="456"/>
      <c r="C3" s="456"/>
      <c r="D3" s="456"/>
      <c r="E3" s="457"/>
      <c r="F3" s="457"/>
      <c r="G3" s="457"/>
      <c r="H3" s="646" t="s">
        <v>306</v>
      </c>
      <c r="I3" s="646"/>
    </row>
    <row r="4" spans="1:9" s="485" customFormat="1" ht="15" customHeight="1">
      <c r="A4" s="647" t="s">
        <v>217</v>
      </c>
      <c r="B4" s="647" t="s">
        <v>551</v>
      </c>
      <c r="C4" s="647" t="s">
        <v>552</v>
      </c>
      <c r="D4" s="647" t="s">
        <v>553</v>
      </c>
      <c r="E4" s="648" t="s">
        <v>554</v>
      </c>
      <c r="F4" s="649"/>
      <c r="G4" s="649"/>
      <c r="H4" s="649"/>
      <c r="I4" s="650"/>
    </row>
    <row r="5" spans="1:9" s="485" customFormat="1" ht="15" customHeight="1">
      <c r="A5" s="647"/>
      <c r="B5" s="647"/>
      <c r="C5" s="647"/>
      <c r="D5" s="647"/>
      <c r="E5" s="651"/>
      <c r="F5" s="652"/>
      <c r="G5" s="652"/>
      <c r="H5" s="652"/>
      <c r="I5" s="653"/>
    </row>
    <row r="6" spans="1:9" s="485" customFormat="1" ht="122.25" customHeight="1">
      <c r="A6" s="647"/>
      <c r="B6" s="647"/>
      <c r="C6" s="647"/>
      <c r="D6" s="647"/>
      <c r="E6" s="536" t="s">
        <v>555</v>
      </c>
      <c r="F6" s="536" t="s">
        <v>556</v>
      </c>
      <c r="G6" s="536" t="s">
        <v>557</v>
      </c>
      <c r="H6" s="536" t="s">
        <v>558</v>
      </c>
      <c r="I6" s="536" t="s">
        <v>559</v>
      </c>
    </row>
    <row r="7" spans="1:9" s="485" customFormat="1" ht="15.6">
      <c r="A7" s="458" t="s">
        <v>560</v>
      </c>
      <c r="B7" s="458" t="s">
        <v>561</v>
      </c>
      <c r="C7" s="458" t="s">
        <v>562</v>
      </c>
      <c r="D7" s="486" t="s">
        <v>563</v>
      </c>
      <c r="E7" s="486" t="s">
        <v>564</v>
      </c>
      <c r="F7" s="486" t="s">
        <v>565</v>
      </c>
      <c r="G7" s="459" t="s">
        <v>566</v>
      </c>
      <c r="H7" s="459" t="s">
        <v>567</v>
      </c>
      <c r="I7" s="459" t="s">
        <v>568</v>
      </c>
    </row>
    <row r="8" spans="1:9" s="485" customFormat="1" ht="15.6">
      <c r="A8" s="536"/>
      <c r="B8" s="460" t="s">
        <v>569</v>
      </c>
      <c r="C8" s="487"/>
      <c r="D8" s="488">
        <f>+E8+F8+G8+I8+H8</f>
        <v>25256</v>
      </c>
      <c r="E8" s="488">
        <f>+E9+E15+E20+E51+E54+E61+E76+E94+E99+E85</f>
        <v>3000</v>
      </c>
      <c r="F8" s="488">
        <f>+F9+F15+F20+F51+F54+F61+F76+F94+F99+F85</f>
        <v>4552</v>
      </c>
      <c r="G8" s="488">
        <f>+G9+G15+G20+G51+G54+G61+G76+G94+G99+G85</f>
        <v>244</v>
      </c>
      <c r="H8" s="488">
        <f>+H9+H15+H20+H51+H54+H61+H76+H94+H99+H85</f>
        <v>424</v>
      </c>
      <c r="I8" s="488">
        <f>+I9+I15+I20+I51+I54+I61+I76+I94+I99+I85</f>
        <v>17036</v>
      </c>
    </row>
    <row r="9" spans="1:9" s="485" customFormat="1" ht="62.25" customHeight="1">
      <c r="A9" s="461" t="s">
        <v>314</v>
      </c>
      <c r="B9" s="500" t="s">
        <v>228</v>
      </c>
      <c r="C9" s="487"/>
      <c r="D9" s="489">
        <f>+E9+F9+G9+I9</f>
        <v>5726</v>
      </c>
      <c r="E9" s="541">
        <f>+E10</f>
        <v>0</v>
      </c>
      <c r="F9" s="541">
        <f>+F10</f>
        <v>0</v>
      </c>
      <c r="G9" s="541">
        <f>+G10</f>
        <v>0</v>
      </c>
      <c r="H9" s="541"/>
      <c r="I9" s="541">
        <f>+I10</f>
        <v>5726</v>
      </c>
    </row>
    <row r="10" spans="1:9" s="490" customFormat="1" ht="90.75" customHeight="1">
      <c r="A10" s="462"/>
      <c r="B10" s="501" t="s">
        <v>229</v>
      </c>
      <c r="C10" s="509"/>
      <c r="D10" s="542">
        <f>+F10+I10+E10+G10</f>
        <v>5726</v>
      </c>
      <c r="E10" s="543">
        <f>+SUM(E11:E14)</f>
        <v>0</v>
      </c>
      <c r="F10" s="543">
        <f>+SUM(F11:F14)</f>
        <v>0</v>
      </c>
      <c r="G10" s="543">
        <f>+SUM(G11:G14)</f>
        <v>0</v>
      </c>
      <c r="H10" s="543"/>
      <c r="I10" s="543">
        <f>+SUM(I11:I14)</f>
        <v>5726</v>
      </c>
    </row>
    <row r="11" spans="1:9" s="485" customFormat="1" ht="15.6">
      <c r="A11" s="463"/>
      <c r="B11" s="502"/>
      <c r="C11" s="510" t="s">
        <v>570</v>
      </c>
      <c r="D11" s="544">
        <f>+E11+F11+G11+I11</f>
        <v>1470</v>
      </c>
      <c r="E11" s="493"/>
      <c r="F11" s="493"/>
      <c r="G11" s="493"/>
      <c r="H11" s="493"/>
      <c r="I11" s="493">
        <v>1470</v>
      </c>
    </row>
    <row r="12" spans="1:9" s="485" customFormat="1" ht="15.6">
      <c r="A12" s="463"/>
      <c r="B12" s="502"/>
      <c r="C12" s="510" t="s">
        <v>598</v>
      </c>
      <c r="D12" s="544">
        <f>+E12+F12+G12+I12</f>
        <v>856</v>
      </c>
      <c r="E12" s="493"/>
      <c r="F12" s="493"/>
      <c r="G12" s="493"/>
      <c r="H12" s="493"/>
      <c r="I12" s="493">
        <v>856</v>
      </c>
    </row>
    <row r="13" spans="1:9" s="485" customFormat="1" ht="15.6">
      <c r="A13" s="463"/>
      <c r="B13" s="502"/>
      <c r="C13" s="510" t="s">
        <v>599</v>
      </c>
      <c r="D13" s="544">
        <f>+E13+F13+G13+I13</f>
        <v>520</v>
      </c>
      <c r="E13" s="493"/>
      <c r="F13" s="493"/>
      <c r="G13" s="493"/>
      <c r="H13" s="493"/>
      <c r="I13" s="493">
        <v>520</v>
      </c>
    </row>
    <row r="14" spans="1:9" s="485" customFormat="1" ht="15.6">
      <c r="A14" s="463"/>
      <c r="B14" s="502"/>
      <c r="C14" s="510" t="s">
        <v>573</v>
      </c>
      <c r="D14" s="544">
        <f>+E14+F14+G14+I14</f>
        <v>2880</v>
      </c>
      <c r="E14" s="493"/>
      <c r="F14" s="493"/>
      <c r="G14" s="493"/>
      <c r="H14" s="493"/>
      <c r="I14" s="493">
        <v>2880</v>
      </c>
    </row>
    <row r="15" spans="1:9" s="491" customFormat="1" ht="76.5" customHeight="1">
      <c r="A15" s="464" t="s">
        <v>328</v>
      </c>
      <c r="B15" s="500" t="s">
        <v>230</v>
      </c>
      <c r="C15" s="536"/>
      <c r="D15" s="489">
        <f>+E15+F15+G15+I15</f>
        <v>430</v>
      </c>
      <c r="E15" s="488">
        <f>+E16+E18</f>
        <v>0</v>
      </c>
      <c r="F15" s="488">
        <f>+F16+F18</f>
        <v>230</v>
      </c>
      <c r="G15" s="488">
        <f>+G16+G18</f>
        <v>0</v>
      </c>
      <c r="H15" s="488"/>
      <c r="I15" s="488">
        <f>+I16+I18</f>
        <v>200</v>
      </c>
    </row>
    <row r="16" spans="1:9" s="492" customFormat="1" ht="66.75" customHeight="1">
      <c r="A16" s="465"/>
      <c r="B16" s="501" t="s">
        <v>231</v>
      </c>
      <c r="C16" s="511"/>
      <c r="D16" s="542">
        <f>+F16+I16+E16+G16</f>
        <v>230</v>
      </c>
      <c r="E16" s="543">
        <f>+E17</f>
        <v>0</v>
      </c>
      <c r="F16" s="543">
        <f>+F17</f>
        <v>230</v>
      </c>
      <c r="G16" s="543">
        <f>+G17</f>
        <v>0</v>
      </c>
      <c r="H16" s="543"/>
      <c r="I16" s="543">
        <f>+I17</f>
        <v>0</v>
      </c>
    </row>
    <row r="17" spans="1:9" s="485" customFormat="1" ht="15.6">
      <c r="A17" s="463"/>
      <c r="B17" s="500"/>
      <c r="C17" s="510" t="s">
        <v>600</v>
      </c>
      <c r="D17" s="544">
        <f>+E17+F17+G17+I17</f>
        <v>230</v>
      </c>
      <c r="E17" s="493"/>
      <c r="F17" s="493">
        <v>230</v>
      </c>
      <c r="G17" s="493"/>
      <c r="H17" s="493"/>
      <c r="I17" s="493"/>
    </row>
    <row r="18" spans="1:9" s="485" customFormat="1" ht="31.2">
      <c r="A18" s="463"/>
      <c r="B18" s="500" t="s">
        <v>232</v>
      </c>
      <c r="C18" s="510" t="s">
        <v>574</v>
      </c>
      <c r="D18" s="545">
        <f>+F18+I18+E18+G18</f>
        <v>200</v>
      </c>
      <c r="E18" s="541">
        <f>E19</f>
        <v>0</v>
      </c>
      <c r="F18" s="541">
        <f>+SUM(F19:F19)</f>
        <v>0</v>
      </c>
      <c r="G18" s="541">
        <f>+SUM(G19:G19)</f>
        <v>0</v>
      </c>
      <c r="H18" s="541"/>
      <c r="I18" s="541">
        <f>+SUM(I19:I19)</f>
        <v>200</v>
      </c>
    </row>
    <row r="19" spans="1:9" s="485" customFormat="1" ht="15.6">
      <c r="A19" s="463"/>
      <c r="B19" s="500"/>
      <c r="C19" s="510" t="s">
        <v>570</v>
      </c>
      <c r="D19" s="544">
        <f>+E19+F19+G19+I19</f>
        <v>200</v>
      </c>
      <c r="E19" s="493"/>
      <c r="F19" s="493"/>
      <c r="G19" s="493"/>
      <c r="H19" s="493"/>
      <c r="I19" s="493">
        <v>200</v>
      </c>
    </row>
    <row r="20" spans="1:9" s="491" customFormat="1" ht="53.25" customHeight="1">
      <c r="A20" s="464" t="s">
        <v>357</v>
      </c>
      <c r="B20" s="500" t="s">
        <v>233</v>
      </c>
      <c r="C20" s="536"/>
      <c r="D20" s="489">
        <f>+E20+F20+G20+I20</f>
        <v>9286</v>
      </c>
      <c r="E20" s="488">
        <f>+E21+E28+E37+E40+E45</f>
        <v>3000</v>
      </c>
      <c r="F20" s="488">
        <f>+F21+F28+F37+F40+F45</f>
        <v>250</v>
      </c>
      <c r="G20" s="488">
        <f>+G21+G28+G37+G40+G45</f>
        <v>0</v>
      </c>
      <c r="H20" s="488"/>
      <c r="I20" s="488">
        <f>+I21+I28+I37+I40+I45</f>
        <v>6036</v>
      </c>
    </row>
    <row r="21" spans="1:9" s="490" customFormat="1" ht="137.25" customHeight="1">
      <c r="A21" s="466"/>
      <c r="B21" s="501" t="s">
        <v>234</v>
      </c>
      <c r="C21" s="512"/>
      <c r="D21" s="542">
        <f>+F21+I21+E21+G21</f>
        <v>786</v>
      </c>
      <c r="E21" s="543">
        <f>+SUM(E22:E27)</f>
        <v>0</v>
      </c>
      <c r="F21" s="543">
        <f>+SUM(F22:F27)</f>
        <v>0</v>
      </c>
      <c r="G21" s="543">
        <f>+SUM(G22:G27)</f>
        <v>0</v>
      </c>
      <c r="H21" s="543"/>
      <c r="I21" s="543">
        <f>+SUM(I22:I27)</f>
        <v>786</v>
      </c>
    </row>
    <row r="22" spans="1:9" s="485" customFormat="1" ht="15.6">
      <c r="A22" s="463"/>
      <c r="B22" s="500"/>
      <c r="C22" s="510" t="s">
        <v>600</v>
      </c>
      <c r="D22" s="544">
        <f t="shared" ref="D22:D27" si="0">+E22+F22+G22+I22</f>
        <v>30</v>
      </c>
      <c r="E22" s="493"/>
      <c r="F22" s="493"/>
      <c r="G22" s="493"/>
      <c r="H22" s="493"/>
      <c r="I22" s="493">
        <v>30</v>
      </c>
    </row>
    <row r="23" spans="1:9" s="485" customFormat="1" ht="15.6">
      <c r="A23" s="463"/>
      <c r="B23" s="500"/>
      <c r="C23" s="510" t="s">
        <v>601</v>
      </c>
      <c r="D23" s="544">
        <f t="shared" si="0"/>
        <v>100</v>
      </c>
      <c r="E23" s="493"/>
      <c r="F23" s="493"/>
      <c r="G23" s="493"/>
      <c r="H23" s="493"/>
      <c r="I23" s="493">
        <v>100</v>
      </c>
    </row>
    <row r="24" spans="1:9" s="485" customFormat="1" ht="15.6">
      <c r="A24" s="463"/>
      <c r="B24" s="500"/>
      <c r="C24" s="510" t="s">
        <v>570</v>
      </c>
      <c r="D24" s="544">
        <f t="shared" si="0"/>
        <v>460</v>
      </c>
      <c r="E24" s="493"/>
      <c r="F24" s="493"/>
      <c r="G24" s="493"/>
      <c r="H24" s="493"/>
      <c r="I24" s="493">
        <v>460</v>
      </c>
    </row>
    <row r="25" spans="1:9" s="485" customFormat="1" ht="15.6">
      <c r="A25" s="463"/>
      <c r="B25" s="500"/>
      <c r="C25" s="510" t="s">
        <v>598</v>
      </c>
      <c r="D25" s="544">
        <f t="shared" si="0"/>
        <v>100</v>
      </c>
      <c r="E25" s="493"/>
      <c r="F25" s="493"/>
      <c r="G25" s="493"/>
      <c r="H25" s="493"/>
      <c r="I25" s="493">
        <v>100</v>
      </c>
    </row>
    <row r="26" spans="1:9" s="485" customFormat="1" ht="15.6">
      <c r="A26" s="463"/>
      <c r="B26" s="500"/>
      <c r="C26" s="510" t="s">
        <v>573</v>
      </c>
      <c r="D26" s="544">
        <f t="shared" si="0"/>
        <v>72</v>
      </c>
      <c r="E26" s="493"/>
      <c r="F26" s="493"/>
      <c r="G26" s="493"/>
      <c r="H26" s="493"/>
      <c r="I26" s="493">
        <v>72</v>
      </c>
    </row>
    <row r="27" spans="1:9" s="485" customFormat="1" ht="15.6">
      <c r="A27" s="463"/>
      <c r="B27" s="500"/>
      <c r="C27" s="510" t="s">
        <v>599</v>
      </c>
      <c r="D27" s="544">
        <f t="shared" si="0"/>
        <v>24</v>
      </c>
      <c r="E27" s="493"/>
      <c r="F27" s="493"/>
      <c r="G27" s="493"/>
      <c r="H27" s="493"/>
      <c r="I27" s="493">
        <v>24</v>
      </c>
    </row>
    <row r="28" spans="1:9" s="490" customFormat="1" ht="101.25" customHeight="1">
      <c r="A28" s="466"/>
      <c r="B28" s="501" t="s">
        <v>235</v>
      </c>
      <c r="C28" s="512"/>
      <c r="D28" s="542">
        <f>+F28+I28+E28+G28</f>
        <v>1030</v>
      </c>
      <c r="E28" s="543">
        <f>+SUM(E29:E36)</f>
        <v>0</v>
      </c>
      <c r="F28" s="543">
        <f>+SUM(F29:F36)</f>
        <v>0</v>
      </c>
      <c r="G28" s="543">
        <f>+SUM(G29:G36)</f>
        <v>0</v>
      </c>
      <c r="H28" s="543"/>
      <c r="I28" s="543">
        <f>+SUM(I29:I36)</f>
        <v>1030</v>
      </c>
    </row>
    <row r="29" spans="1:9" s="485" customFormat="1" ht="31.2">
      <c r="A29" s="463"/>
      <c r="B29" s="500"/>
      <c r="C29" s="510" t="s">
        <v>602</v>
      </c>
      <c r="D29" s="544">
        <f>+E29+F29+G29+I29</f>
        <v>500</v>
      </c>
      <c r="E29" s="493"/>
      <c r="F29" s="493"/>
      <c r="G29" s="493"/>
      <c r="H29" s="493"/>
      <c r="I29" s="493">
        <v>500</v>
      </c>
    </row>
    <row r="30" spans="1:9" s="485" customFormat="1" ht="15.6">
      <c r="A30" s="463"/>
      <c r="B30" s="500"/>
      <c r="C30" s="510" t="s">
        <v>600</v>
      </c>
      <c r="D30" s="544">
        <f t="shared" ref="D30:D36" si="1">+E30+F30+G30+I30</f>
        <v>50</v>
      </c>
      <c r="E30" s="493"/>
      <c r="F30" s="493"/>
      <c r="G30" s="493"/>
      <c r="H30" s="493"/>
      <c r="I30" s="493">
        <v>50</v>
      </c>
    </row>
    <row r="31" spans="1:9" s="485" customFormat="1" ht="15.6">
      <c r="A31" s="463"/>
      <c r="B31" s="500"/>
      <c r="C31" s="510" t="s">
        <v>570</v>
      </c>
      <c r="D31" s="544">
        <f t="shared" si="1"/>
        <v>160</v>
      </c>
      <c r="E31" s="493"/>
      <c r="F31" s="493"/>
      <c r="G31" s="493"/>
      <c r="H31" s="493"/>
      <c r="I31" s="493">
        <v>160</v>
      </c>
    </row>
    <row r="32" spans="1:9" s="485" customFormat="1" ht="15.6">
      <c r="A32" s="463"/>
      <c r="B32" s="500"/>
      <c r="C32" s="510" t="s">
        <v>598</v>
      </c>
      <c r="D32" s="544">
        <f t="shared" si="1"/>
        <v>120</v>
      </c>
      <c r="E32" s="493"/>
      <c r="F32" s="493"/>
      <c r="G32" s="493"/>
      <c r="H32" s="493"/>
      <c r="I32" s="493">
        <v>120</v>
      </c>
    </row>
    <row r="33" spans="1:9" s="485" customFormat="1" ht="15.6">
      <c r="A33" s="463"/>
      <c r="B33" s="500"/>
      <c r="C33" s="510" t="s">
        <v>576</v>
      </c>
      <c r="D33" s="544">
        <f t="shared" si="1"/>
        <v>66</v>
      </c>
      <c r="E33" s="493"/>
      <c r="F33" s="493"/>
      <c r="G33" s="493"/>
      <c r="H33" s="493"/>
      <c r="I33" s="493">
        <v>66</v>
      </c>
    </row>
    <row r="34" spans="1:9" s="485" customFormat="1" ht="15.6">
      <c r="A34" s="463"/>
      <c r="B34" s="500"/>
      <c r="C34" s="510" t="s">
        <v>599</v>
      </c>
      <c r="D34" s="544">
        <f t="shared" si="1"/>
        <v>20</v>
      </c>
      <c r="E34" s="493"/>
      <c r="F34" s="493"/>
      <c r="G34" s="493"/>
      <c r="H34" s="493"/>
      <c r="I34" s="493">
        <v>20</v>
      </c>
    </row>
    <row r="35" spans="1:9" s="485" customFormat="1" ht="15.6">
      <c r="A35" s="463"/>
      <c r="B35" s="500"/>
      <c r="C35" s="510" t="s">
        <v>573</v>
      </c>
      <c r="D35" s="544">
        <f t="shared" si="1"/>
        <v>64</v>
      </c>
      <c r="E35" s="493"/>
      <c r="F35" s="493"/>
      <c r="G35" s="493"/>
      <c r="H35" s="493"/>
      <c r="I35" s="493">
        <v>64</v>
      </c>
    </row>
    <row r="36" spans="1:9" s="485" customFormat="1" ht="15.6">
      <c r="A36" s="463"/>
      <c r="B36" s="500"/>
      <c r="C36" s="510" t="s">
        <v>601</v>
      </c>
      <c r="D36" s="544">
        <f t="shared" si="1"/>
        <v>50</v>
      </c>
      <c r="E36" s="493"/>
      <c r="F36" s="493"/>
      <c r="G36" s="493"/>
      <c r="H36" s="493"/>
      <c r="I36" s="493">
        <v>50</v>
      </c>
    </row>
    <row r="37" spans="1:9" s="490" customFormat="1" ht="35.25" customHeight="1">
      <c r="A37" s="466"/>
      <c r="B37" s="501" t="s">
        <v>237</v>
      </c>
      <c r="C37" s="512"/>
      <c r="D37" s="542">
        <f>+F37+I37+E37+G37</f>
        <v>3300</v>
      </c>
      <c r="E37" s="543">
        <f>+SUM(E38:E39)</f>
        <v>0</v>
      </c>
      <c r="F37" s="543">
        <f>+SUM(F38:F39)</f>
        <v>0</v>
      </c>
      <c r="G37" s="543">
        <f>+SUM(G38:G39)</f>
        <v>0</v>
      </c>
      <c r="H37" s="543"/>
      <c r="I37" s="543">
        <f>+SUM(I38:I39)</f>
        <v>3300</v>
      </c>
    </row>
    <row r="38" spans="1:9" s="485" customFormat="1" ht="31.2">
      <c r="A38" s="463"/>
      <c r="B38" s="500"/>
      <c r="C38" s="510" t="s">
        <v>602</v>
      </c>
      <c r="D38" s="544">
        <f>+E38+F38+G38+I38</f>
        <v>2500</v>
      </c>
      <c r="E38" s="493"/>
      <c r="F38" s="541"/>
      <c r="G38" s="541"/>
      <c r="H38" s="541"/>
      <c r="I38" s="493">
        <v>2500</v>
      </c>
    </row>
    <row r="39" spans="1:9" s="485" customFormat="1" ht="15.6">
      <c r="A39" s="463"/>
      <c r="B39" s="500"/>
      <c r="C39" s="510" t="s">
        <v>570</v>
      </c>
      <c r="D39" s="544">
        <f>+E39+F39+G39+I39</f>
        <v>800</v>
      </c>
      <c r="E39" s="493"/>
      <c r="F39" s="493"/>
      <c r="G39" s="493"/>
      <c r="H39" s="493"/>
      <c r="I39" s="493">
        <v>800</v>
      </c>
    </row>
    <row r="40" spans="1:9" s="490" customFormat="1" ht="90.75" customHeight="1">
      <c r="A40" s="466"/>
      <c r="B40" s="501" t="s">
        <v>239</v>
      </c>
      <c r="C40" s="512"/>
      <c r="D40" s="542">
        <f>+F40+I40+E40+G40</f>
        <v>630</v>
      </c>
      <c r="E40" s="543">
        <f>+SUM(E41:E44)</f>
        <v>0</v>
      </c>
      <c r="F40" s="543">
        <f>+SUM(F41:F44)</f>
        <v>250</v>
      </c>
      <c r="G40" s="543">
        <f>+SUM(G41:G44)</f>
        <v>0</v>
      </c>
      <c r="H40" s="543"/>
      <c r="I40" s="543">
        <f>+SUM(I41:I44)</f>
        <v>380</v>
      </c>
    </row>
    <row r="41" spans="1:9" s="485" customFormat="1" ht="31.2">
      <c r="A41" s="463"/>
      <c r="B41" s="500"/>
      <c r="C41" s="510" t="s">
        <v>602</v>
      </c>
      <c r="D41" s="544">
        <f>+E41+F41+G41+I41</f>
        <v>300</v>
      </c>
      <c r="E41" s="493"/>
      <c r="F41" s="493"/>
      <c r="G41" s="493"/>
      <c r="H41" s="493"/>
      <c r="I41" s="493">
        <v>300</v>
      </c>
    </row>
    <row r="42" spans="1:9" s="485" customFormat="1" ht="15.6">
      <c r="A42" s="463"/>
      <c r="B42" s="500"/>
      <c r="C42" s="510" t="s">
        <v>576</v>
      </c>
      <c r="D42" s="544">
        <f>+E42+F42+G42+I42</f>
        <v>90</v>
      </c>
      <c r="E42" s="493"/>
      <c r="F42" s="493">
        <v>90</v>
      </c>
      <c r="G42" s="493"/>
      <c r="H42" s="493"/>
      <c r="I42" s="493"/>
    </row>
    <row r="43" spans="1:9" s="485" customFormat="1" ht="15.6">
      <c r="A43" s="463"/>
      <c r="B43" s="500"/>
      <c r="C43" s="510" t="s">
        <v>601</v>
      </c>
      <c r="D43" s="544">
        <f>+E43+F43+G43+I43</f>
        <v>80</v>
      </c>
      <c r="E43" s="493"/>
      <c r="F43" s="493"/>
      <c r="G43" s="493"/>
      <c r="H43" s="493"/>
      <c r="I43" s="493">
        <v>80</v>
      </c>
    </row>
    <row r="44" spans="1:9" s="485" customFormat="1" ht="15.6">
      <c r="A44" s="463"/>
      <c r="B44" s="500"/>
      <c r="C44" s="510" t="s">
        <v>573</v>
      </c>
      <c r="D44" s="544">
        <f>+E44+F44+G44+I44</f>
        <v>160</v>
      </c>
      <c r="E44" s="493"/>
      <c r="F44" s="493">
        <v>160</v>
      </c>
      <c r="G44" s="493"/>
      <c r="H44" s="493"/>
      <c r="I44" s="493"/>
    </row>
    <row r="45" spans="1:9" s="490" customFormat="1" ht="72.75" customHeight="1">
      <c r="A45" s="466"/>
      <c r="B45" s="501" t="s">
        <v>241</v>
      </c>
      <c r="C45" s="512"/>
      <c r="D45" s="542">
        <f>+SUM(E45:I45)</f>
        <v>3540</v>
      </c>
      <c r="E45" s="543">
        <f>+SUM(E46:E50)</f>
        <v>3000</v>
      </c>
      <c r="F45" s="543">
        <f>+SUM(F46:F48)</f>
        <v>0</v>
      </c>
      <c r="G45" s="543"/>
      <c r="H45" s="543"/>
      <c r="I45" s="543">
        <f>+SUM(I46:I50)</f>
        <v>540</v>
      </c>
    </row>
    <row r="46" spans="1:9" s="485" customFormat="1" ht="31.2">
      <c r="A46" s="463"/>
      <c r="B46" s="500"/>
      <c r="C46" s="510" t="s">
        <v>577</v>
      </c>
      <c r="D46" s="544">
        <f t="shared" ref="D46:D51" si="2">+E46+F46+G46+I46</f>
        <v>2750</v>
      </c>
      <c r="E46" s="493">
        <v>2750</v>
      </c>
      <c r="F46" s="493"/>
      <c r="G46" s="493"/>
      <c r="H46" s="493"/>
      <c r="I46" s="493"/>
    </row>
    <row r="47" spans="1:9" s="485" customFormat="1" ht="31.2">
      <c r="A47" s="463"/>
      <c r="B47" s="500"/>
      <c r="C47" s="510" t="s">
        <v>602</v>
      </c>
      <c r="D47" s="544">
        <f t="shared" si="2"/>
        <v>400</v>
      </c>
      <c r="E47" s="493"/>
      <c r="F47" s="493"/>
      <c r="G47" s="493"/>
      <c r="H47" s="493"/>
      <c r="I47" s="493">
        <v>400</v>
      </c>
    </row>
    <row r="48" spans="1:9" s="485" customFormat="1" ht="15.6">
      <c r="A48" s="463"/>
      <c r="B48" s="500"/>
      <c r="C48" s="510" t="s">
        <v>598</v>
      </c>
      <c r="D48" s="544">
        <f t="shared" si="2"/>
        <v>140</v>
      </c>
      <c r="E48" s="493"/>
      <c r="F48" s="493"/>
      <c r="G48" s="493"/>
      <c r="H48" s="493"/>
      <c r="I48" s="493">
        <v>140</v>
      </c>
    </row>
    <row r="49" spans="1:9" s="485" customFormat="1" ht="15.6">
      <c r="A49" s="463"/>
      <c r="B49" s="500"/>
      <c r="C49" s="510" t="s">
        <v>601</v>
      </c>
      <c r="D49" s="544">
        <f t="shared" si="2"/>
        <v>50</v>
      </c>
      <c r="E49" s="493">
        <v>50</v>
      </c>
      <c r="F49" s="493"/>
      <c r="G49" s="493"/>
      <c r="H49" s="493"/>
      <c r="I49" s="493"/>
    </row>
    <row r="50" spans="1:9" s="485" customFormat="1" ht="15.6">
      <c r="A50" s="463"/>
      <c r="B50" s="500"/>
      <c r="C50" s="510" t="s">
        <v>573</v>
      </c>
      <c r="D50" s="544">
        <f t="shared" si="2"/>
        <v>200</v>
      </c>
      <c r="E50" s="493">
        <v>200</v>
      </c>
      <c r="F50" s="493"/>
      <c r="G50" s="493"/>
      <c r="H50" s="493"/>
      <c r="I50" s="493"/>
    </row>
    <row r="51" spans="1:9" s="491" customFormat="1" ht="52.5" customHeight="1">
      <c r="A51" s="464" t="s">
        <v>480</v>
      </c>
      <c r="B51" s="500" t="s">
        <v>242</v>
      </c>
      <c r="C51" s="536"/>
      <c r="D51" s="489">
        <f t="shared" si="2"/>
        <v>112</v>
      </c>
      <c r="E51" s="541">
        <f t="shared" ref="E51:I52" si="3">+E52</f>
        <v>0</v>
      </c>
      <c r="F51" s="541">
        <f t="shared" si="3"/>
        <v>0</v>
      </c>
      <c r="G51" s="488">
        <f t="shared" si="3"/>
        <v>112</v>
      </c>
      <c r="H51" s="488"/>
      <c r="I51" s="541">
        <f t="shared" si="3"/>
        <v>0</v>
      </c>
    </row>
    <row r="52" spans="1:9" s="490" customFormat="1" ht="118.5" customHeight="1">
      <c r="A52" s="466"/>
      <c r="B52" s="501" t="s">
        <v>243</v>
      </c>
      <c r="C52" s="512"/>
      <c r="D52" s="542">
        <f>+F52+I52+E52+G52</f>
        <v>112</v>
      </c>
      <c r="E52" s="543">
        <f t="shared" si="3"/>
        <v>0</v>
      </c>
      <c r="F52" s="543">
        <f t="shared" si="3"/>
        <v>0</v>
      </c>
      <c r="G52" s="543">
        <f t="shared" si="3"/>
        <v>112</v>
      </c>
      <c r="H52" s="543"/>
      <c r="I52" s="543">
        <f t="shared" si="3"/>
        <v>0</v>
      </c>
    </row>
    <row r="53" spans="1:9" s="485" customFormat="1" ht="15.6">
      <c r="A53" s="463"/>
      <c r="B53" s="500"/>
      <c r="C53" s="510" t="s">
        <v>599</v>
      </c>
      <c r="D53" s="544">
        <f>+E53+F53+G53+I53</f>
        <v>112</v>
      </c>
      <c r="E53" s="493"/>
      <c r="F53" s="493"/>
      <c r="G53" s="493">
        <v>112</v>
      </c>
      <c r="H53" s="493"/>
      <c r="I53" s="493"/>
    </row>
    <row r="54" spans="1:9" s="491" customFormat="1" ht="75" customHeight="1">
      <c r="A54" s="464" t="s">
        <v>481</v>
      </c>
      <c r="B54" s="500" t="s">
        <v>244</v>
      </c>
      <c r="C54" s="536"/>
      <c r="D54" s="489">
        <f>+E54+F54+G54+I54</f>
        <v>3404</v>
      </c>
      <c r="E54" s="541">
        <f>+E55</f>
        <v>0</v>
      </c>
      <c r="F54" s="488">
        <f>+F55</f>
        <v>3404</v>
      </c>
      <c r="G54" s="541">
        <f>+G55</f>
        <v>0</v>
      </c>
      <c r="H54" s="541"/>
      <c r="I54" s="541">
        <f>+I55</f>
        <v>0</v>
      </c>
    </row>
    <row r="55" spans="1:9" s="490" customFormat="1" ht="74.25" customHeight="1">
      <c r="A55" s="466"/>
      <c r="B55" s="501" t="s">
        <v>245</v>
      </c>
      <c r="C55" s="512"/>
      <c r="D55" s="542">
        <f>SUM(E55:I55)</f>
        <v>3404</v>
      </c>
      <c r="E55" s="543">
        <f>+SUM(E56:E60)</f>
        <v>0</v>
      </c>
      <c r="F55" s="543">
        <f>+SUM(F56:F60)</f>
        <v>3404</v>
      </c>
      <c r="G55" s="543"/>
      <c r="H55" s="543"/>
      <c r="I55" s="543">
        <f>+SUM(I56:I60)</f>
        <v>0</v>
      </c>
    </row>
    <row r="56" spans="1:9" s="485" customFormat="1" ht="15.6">
      <c r="A56" s="463"/>
      <c r="B56" s="500"/>
      <c r="C56" s="510" t="s">
        <v>600</v>
      </c>
      <c r="D56" s="544">
        <f t="shared" ref="D56:D61" si="4">+E56+F56+G56+I56</f>
        <v>420</v>
      </c>
      <c r="E56" s="493"/>
      <c r="F56" s="493">
        <v>420</v>
      </c>
      <c r="G56" s="493"/>
      <c r="H56" s="493"/>
      <c r="I56" s="493"/>
    </row>
    <row r="57" spans="1:9" s="485" customFormat="1" ht="15.6">
      <c r="A57" s="463"/>
      <c r="B57" s="500"/>
      <c r="C57" s="510" t="s">
        <v>603</v>
      </c>
      <c r="D57" s="544">
        <f t="shared" si="4"/>
        <v>2520</v>
      </c>
      <c r="E57" s="493"/>
      <c r="F57" s="493">
        <v>2520</v>
      </c>
      <c r="G57" s="493"/>
      <c r="H57" s="493"/>
      <c r="I57" s="493"/>
    </row>
    <row r="58" spans="1:9" s="485" customFormat="1" ht="15.6">
      <c r="A58" s="463"/>
      <c r="B58" s="500"/>
      <c r="C58" s="510" t="s">
        <v>599</v>
      </c>
      <c r="D58" s="544">
        <f t="shared" si="4"/>
        <v>120</v>
      </c>
      <c r="E58" s="493"/>
      <c r="F58" s="493">
        <v>120</v>
      </c>
      <c r="G58" s="493"/>
      <c r="H58" s="493"/>
      <c r="I58" s="493"/>
    </row>
    <row r="59" spans="1:9" s="485" customFormat="1" ht="15.6">
      <c r="A59" s="463"/>
      <c r="B59" s="500"/>
      <c r="C59" s="510" t="s">
        <v>598</v>
      </c>
      <c r="D59" s="544">
        <f t="shared" si="4"/>
        <v>184</v>
      </c>
      <c r="E59" s="493"/>
      <c r="F59" s="493">
        <v>184</v>
      </c>
      <c r="G59" s="493"/>
      <c r="H59" s="493"/>
      <c r="I59" s="493"/>
    </row>
    <row r="60" spans="1:9" s="485" customFormat="1" ht="15.6">
      <c r="A60" s="463"/>
      <c r="B60" s="500"/>
      <c r="C60" s="510" t="s">
        <v>601</v>
      </c>
      <c r="D60" s="544">
        <f t="shared" si="4"/>
        <v>160</v>
      </c>
      <c r="E60" s="493"/>
      <c r="F60" s="493">
        <v>160</v>
      </c>
      <c r="G60" s="493"/>
      <c r="H60" s="493"/>
      <c r="I60" s="493"/>
    </row>
    <row r="61" spans="1:9" s="491" customFormat="1" ht="69.75" customHeight="1">
      <c r="A61" s="464" t="s">
        <v>578</v>
      </c>
      <c r="B61" s="500" t="s">
        <v>246</v>
      </c>
      <c r="C61" s="536"/>
      <c r="D61" s="489">
        <f t="shared" si="4"/>
        <v>1370</v>
      </c>
      <c r="E61" s="541">
        <f>+E62+E65+E67+E73</f>
        <v>0</v>
      </c>
      <c r="F61" s="541">
        <f>+F62+F65+F67+F73</f>
        <v>0</v>
      </c>
      <c r="G61" s="541">
        <f>+G62+G65+G67+G73</f>
        <v>0</v>
      </c>
      <c r="H61" s="541"/>
      <c r="I61" s="488">
        <f>+I62+I65+I67+I73</f>
        <v>1370</v>
      </c>
    </row>
    <row r="62" spans="1:9" s="490" customFormat="1" ht="84.75" customHeight="1">
      <c r="A62" s="466"/>
      <c r="B62" s="501" t="s">
        <v>248</v>
      </c>
      <c r="C62" s="512"/>
      <c r="D62" s="542">
        <f>+SUM(E62:I62)</f>
        <v>534</v>
      </c>
      <c r="E62" s="543">
        <f>+SUM(E63:E64)</f>
        <v>0</v>
      </c>
      <c r="F62" s="543">
        <f>+SUM(F63:F64)</f>
        <v>0</v>
      </c>
      <c r="G62" s="543">
        <f>+SUM(G63:G64)</f>
        <v>0</v>
      </c>
      <c r="H62" s="543"/>
      <c r="I62" s="543">
        <f>+SUM(I63:I64)</f>
        <v>534</v>
      </c>
    </row>
    <row r="63" spans="1:9" s="485" customFormat="1" ht="15.6">
      <c r="A63" s="463"/>
      <c r="B63" s="500"/>
      <c r="C63" s="510" t="s">
        <v>600</v>
      </c>
      <c r="D63" s="544">
        <f>+E63+F63+G63+I63</f>
        <v>200</v>
      </c>
      <c r="E63" s="493"/>
      <c r="F63" s="493"/>
      <c r="G63" s="493"/>
      <c r="H63" s="493"/>
      <c r="I63" s="493">
        <v>200</v>
      </c>
    </row>
    <row r="64" spans="1:9" s="485" customFormat="1" ht="15.6">
      <c r="A64" s="463"/>
      <c r="B64" s="500"/>
      <c r="C64" s="510" t="s">
        <v>576</v>
      </c>
      <c r="D64" s="544">
        <f>+E64+F64+G64+I64</f>
        <v>334</v>
      </c>
      <c r="E64" s="493"/>
      <c r="F64" s="493"/>
      <c r="G64" s="493"/>
      <c r="H64" s="493"/>
      <c r="I64" s="493">
        <v>334</v>
      </c>
    </row>
    <row r="65" spans="1:9" s="490" customFormat="1" ht="87.75" customHeight="1">
      <c r="A65" s="466"/>
      <c r="B65" s="501" t="s">
        <v>250</v>
      </c>
      <c r="C65" s="512"/>
      <c r="D65" s="542">
        <f>+SUM(E65:I65)</f>
        <v>100</v>
      </c>
      <c r="E65" s="543">
        <f>+E66</f>
        <v>0</v>
      </c>
      <c r="F65" s="543">
        <f>+F66</f>
        <v>0</v>
      </c>
      <c r="G65" s="543">
        <f>+G66</f>
        <v>0</v>
      </c>
      <c r="H65" s="543"/>
      <c r="I65" s="543">
        <f>+I66</f>
        <v>100</v>
      </c>
    </row>
    <row r="66" spans="1:9" s="485" customFormat="1" ht="15.6">
      <c r="A66" s="463"/>
      <c r="B66" s="500"/>
      <c r="C66" s="510" t="s">
        <v>570</v>
      </c>
      <c r="D66" s="544">
        <f>+E66+F66+G66+I66</f>
        <v>100</v>
      </c>
      <c r="E66" s="493"/>
      <c r="F66" s="493"/>
      <c r="G66" s="493"/>
      <c r="H66" s="493"/>
      <c r="I66" s="493">
        <v>100</v>
      </c>
    </row>
    <row r="67" spans="1:9" s="485" customFormat="1" ht="62.4">
      <c r="A67" s="463"/>
      <c r="B67" s="500" t="s">
        <v>252</v>
      </c>
      <c r="C67" s="510"/>
      <c r="D67" s="545">
        <f>+SUM(E67:I67)</f>
        <v>676</v>
      </c>
      <c r="E67" s="541">
        <f>+SUM(E68:E72)</f>
        <v>0</v>
      </c>
      <c r="F67" s="541">
        <f>+SUM(F68:F72)</f>
        <v>0</v>
      </c>
      <c r="G67" s="541">
        <f>+SUM(G68:G72)</f>
        <v>0</v>
      </c>
      <c r="H67" s="541"/>
      <c r="I67" s="541">
        <f>+SUM(I68:I72)</f>
        <v>676</v>
      </c>
    </row>
    <row r="68" spans="1:9" s="485" customFormat="1" ht="15.6">
      <c r="A68" s="463"/>
      <c r="B68" s="500"/>
      <c r="C68" s="510" t="s">
        <v>598</v>
      </c>
      <c r="D68" s="544">
        <f>+E68+F68+G68+I68</f>
        <v>176</v>
      </c>
      <c r="E68" s="493"/>
      <c r="F68" s="493"/>
      <c r="G68" s="493"/>
      <c r="H68" s="493"/>
      <c r="I68" s="493">
        <v>176</v>
      </c>
    </row>
    <row r="69" spans="1:9" s="485" customFormat="1" ht="15.6">
      <c r="A69" s="463"/>
      <c r="B69" s="500"/>
      <c r="C69" s="510" t="s">
        <v>599</v>
      </c>
      <c r="D69" s="544">
        <f>+E69+F69+G69+I69</f>
        <v>120</v>
      </c>
      <c r="E69" s="493"/>
      <c r="F69" s="493"/>
      <c r="G69" s="493"/>
      <c r="H69" s="493"/>
      <c r="I69" s="493">
        <v>120</v>
      </c>
    </row>
    <row r="70" spans="1:9" s="485" customFormat="1" ht="15.6">
      <c r="A70" s="463"/>
      <c r="B70" s="500"/>
      <c r="C70" s="510" t="s">
        <v>576</v>
      </c>
      <c r="D70" s="544">
        <f>+E70+F70+G70+I70</f>
        <v>120</v>
      </c>
      <c r="E70" s="493"/>
      <c r="F70" s="493"/>
      <c r="G70" s="493"/>
      <c r="H70" s="493"/>
      <c r="I70" s="493">
        <v>120</v>
      </c>
    </row>
    <row r="71" spans="1:9" s="485" customFormat="1" ht="15.6">
      <c r="A71" s="463"/>
      <c r="B71" s="500"/>
      <c r="C71" s="510" t="s">
        <v>573</v>
      </c>
      <c r="D71" s="544">
        <f>+E71+F71+G71+I71</f>
        <v>60</v>
      </c>
      <c r="E71" s="493"/>
      <c r="F71" s="493"/>
      <c r="G71" s="493"/>
      <c r="H71" s="493"/>
      <c r="I71" s="493">
        <v>60</v>
      </c>
    </row>
    <row r="72" spans="1:9" s="485" customFormat="1" ht="15.6">
      <c r="A72" s="463"/>
      <c r="B72" s="500"/>
      <c r="C72" s="510" t="s">
        <v>601</v>
      </c>
      <c r="D72" s="544">
        <f>+E72+F72+G72+I72</f>
        <v>200</v>
      </c>
      <c r="E72" s="493"/>
      <c r="F72" s="493"/>
      <c r="G72" s="493"/>
      <c r="H72" s="493"/>
      <c r="I72" s="493">
        <v>200</v>
      </c>
    </row>
    <row r="73" spans="1:9" s="490" customFormat="1" ht="81">
      <c r="A73" s="466"/>
      <c r="B73" s="501" t="s">
        <v>254</v>
      </c>
      <c r="C73" s="512"/>
      <c r="D73" s="542">
        <f>+SUM(E73:I73)</f>
        <v>60</v>
      </c>
      <c r="E73" s="543">
        <f>+SUM(E74:E75)</f>
        <v>0</v>
      </c>
      <c r="F73" s="543">
        <f>+SUM(F74:F75)</f>
        <v>0</v>
      </c>
      <c r="G73" s="543">
        <f>+SUM(G74:G75)</f>
        <v>0</v>
      </c>
      <c r="H73" s="543"/>
      <c r="I73" s="543">
        <f>+SUM(I74:I75)</f>
        <v>60</v>
      </c>
    </row>
    <row r="74" spans="1:9" s="485" customFormat="1" ht="15.6">
      <c r="A74" s="463"/>
      <c r="B74" s="500"/>
      <c r="C74" s="510" t="s">
        <v>570</v>
      </c>
      <c r="D74" s="544">
        <f>+SUM(E74:I74)</f>
        <v>10</v>
      </c>
      <c r="E74" s="493"/>
      <c r="F74" s="493"/>
      <c r="G74" s="493"/>
      <c r="H74" s="493"/>
      <c r="I74" s="493">
        <v>10</v>
      </c>
    </row>
    <row r="75" spans="1:9" s="485" customFormat="1" ht="15.6">
      <c r="A75" s="463"/>
      <c r="B75" s="500"/>
      <c r="C75" s="510" t="s">
        <v>598</v>
      </c>
      <c r="D75" s="544">
        <f>+SUM(E75:I75)</f>
        <v>50</v>
      </c>
      <c r="E75" s="493"/>
      <c r="F75" s="493"/>
      <c r="G75" s="493"/>
      <c r="H75" s="493"/>
      <c r="I75" s="493">
        <v>50</v>
      </c>
    </row>
    <row r="76" spans="1:9" s="491" customFormat="1" ht="124.5" customHeight="1">
      <c r="A76" s="464" t="s">
        <v>579</v>
      </c>
      <c r="B76" s="500" t="s">
        <v>255</v>
      </c>
      <c r="C76" s="536"/>
      <c r="D76" s="489">
        <f>+E76+F76+G76+I76</f>
        <v>2444</v>
      </c>
      <c r="E76" s="488">
        <f>+E77+E81</f>
        <v>0</v>
      </c>
      <c r="F76" s="488">
        <f>+F77+F81</f>
        <v>668</v>
      </c>
      <c r="G76" s="488">
        <f>+G77+G81</f>
        <v>0</v>
      </c>
      <c r="H76" s="488"/>
      <c r="I76" s="488">
        <f>+I77+I81</f>
        <v>1776</v>
      </c>
    </row>
    <row r="77" spans="1:9" s="492" customFormat="1" ht="53.25" customHeight="1">
      <c r="A77" s="465"/>
      <c r="B77" s="501" t="s">
        <v>257</v>
      </c>
      <c r="C77" s="511"/>
      <c r="D77" s="542">
        <f>+SUM(E77:I77)</f>
        <v>668</v>
      </c>
      <c r="E77" s="543">
        <f>+E78+E80+E79</f>
        <v>0</v>
      </c>
      <c r="F77" s="543">
        <f>+F78+F80+F79</f>
        <v>668</v>
      </c>
      <c r="G77" s="543">
        <f>+G78+G80+G79</f>
        <v>0</v>
      </c>
      <c r="H77" s="543"/>
      <c r="I77" s="543">
        <f>+I78+I80+I79</f>
        <v>0</v>
      </c>
    </row>
    <row r="78" spans="1:9" s="485" customFormat="1" ht="15.6">
      <c r="A78" s="463"/>
      <c r="B78" s="500"/>
      <c r="C78" s="510" t="s">
        <v>598</v>
      </c>
      <c r="D78" s="544">
        <f>+SUM(E78:I78)</f>
        <v>220</v>
      </c>
      <c r="E78" s="493"/>
      <c r="F78" s="493">
        <v>220</v>
      </c>
      <c r="G78" s="493"/>
      <c r="H78" s="493"/>
      <c r="I78" s="493"/>
    </row>
    <row r="79" spans="1:9" s="485" customFormat="1" ht="15.6">
      <c r="A79" s="463"/>
      <c r="B79" s="500"/>
      <c r="C79" s="510" t="s">
        <v>599</v>
      </c>
      <c r="D79" s="544">
        <f>+SUM(E79:I79)</f>
        <v>320</v>
      </c>
      <c r="E79" s="493"/>
      <c r="F79" s="493">
        <v>320</v>
      </c>
      <c r="G79" s="493"/>
      <c r="H79" s="493"/>
      <c r="I79" s="493"/>
    </row>
    <row r="80" spans="1:9" s="485" customFormat="1" ht="15.6">
      <c r="A80" s="463"/>
      <c r="B80" s="500"/>
      <c r="C80" s="510" t="s">
        <v>576</v>
      </c>
      <c r="D80" s="544">
        <f>+SUM(E80:I80)</f>
        <v>128</v>
      </c>
      <c r="E80" s="493"/>
      <c r="F80" s="493">
        <v>128</v>
      </c>
      <c r="G80" s="493"/>
      <c r="H80" s="493"/>
      <c r="I80" s="493"/>
    </row>
    <row r="81" spans="1:9" s="492" customFormat="1" ht="48.6">
      <c r="A81" s="465"/>
      <c r="B81" s="501" t="s">
        <v>259</v>
      </c>
      <c r="C81" s="511"/>
      <c r="D81" s="542">
        <f>+E81+F81+I81</f>
        <v>1776</v>
      </c>
      <c r="E81" s="543">
        <f>+SUM(E82:E84)</f>
        <v>0</v>
      </c>
      <c r="F81" s="543">
        <f>+SUM(F82:F84)</f>
        <v>0</v>
      </c>
      <c r="G81" s="543">
        <f>+SUM(G82:G84)</f>
        <v>0</v>
      </c>
      <c r="H81" s="543"/>
      <c r="I81" s="543">
        <f>+SUM(I82:I84)</f>
        <v>1776</v>
      </c>
    </row>
    <row r="82" spans="1:9" s="485" customFormat="1" ht="15.6">
      <c r="A82" s="463"/>
      <c r="B82" s="500"/>
      <c r="C82" s="510" t="s">
        <v>573</v>
      </c>
      <c r="D82" s="544">
        <f>+SUM(E82:I82)</f>
        <v>196</v>
      </c>
      <c r="E82" s="493"/>
      <c r="F82" s="493"/>
      <c r="G82" s="493"/>
      <c r="H82" s="493"/>
      <c r="I82" s="493">
        <v>196</v>
      </c>
    </row>
    <row r="83" spans="1:9" s="496" customFormat="1" ht="15.6">
      <c r="A83" s="467"/>
      <c r="B83" s="503"/>
      <c r="C83" s="507" t="s">
        <v>580</v>
      </c>
      <c r="D83" s="494">
        <f>+SUM(E83:I83)</f>
        <v>1500</v>
      </c>
      <c r="E83" s="495"/>
      <c r="F83" s="495"/>
      <c r="G83" s="495"/>
      <c r="H83" s="495"/>
      <c r="I83" s="495">
        <v>1500</v>
      </c>
    </row>
    <row r="84" spans="1:9" s="485" customFormat="1" ht="15.6">
      <c r="A84" s="463"/>
      <c r="B84" s="500"/>
      <c r="C84" s="510" t="s">
        <v>598</v>
      </c>
      <c r="D84" s="544">
        <f>+SUM(E84:I84)</f>
        <v>80</v>
      </c>
      <c r="E84" s="493"/>
      <c r="F84" s="493"/>
      <c r="G84" s="493"/>
      <c r="H84" s="493"/>
      <c r="I84" s="493">
        <v>80</v>
      </c>
    </row>
    <row r="85" spans="1:9" s="485" customFormat="1" ht="67.5" customHeight="1">
      <c r="A85" s="468" t="s">
        <v>581</v>
      </c>
      <c r="B85" s="500" t="s">
        <v>260</v>
      </c>
      <c r="C85" s="513"/>
      <c r="D85" s="545">
        <f>+SUM(E85:I85)</f>
        <v>208</v>
      </c>
      <c r="E85" s="541">
        <f>+E90+E86+E88</f>
        <v>0</v>
      </c>
      <c r="F85" s="541">
        <f>+F90+F86+F88</f>
        <v>0</v>
      </c>
      <c r="G85" s="541">
        <f>+G90+G86+G88</f>
        <v>132</v>
      </c>
      <c r="H85" s="541"/>
      <c r="I85" s="541">
        <f>+I90+I86+I88</f>
        <v>76</v>
      </c>
    </row>
    <row r="86" spans="1:9" s="490" customFormat="1" ht="87.75" customHeight="1">
      <c r="A86" s="469"/>
      <c r="B86" s="501" t="s">
        <v>262</v>
      </c>
      <c r="C86" s="514"/>
      <c r="D86" s="542">
        <f>+D87</f>
        <v>24</v>
      </c>
      <c r="E86" s="543">
        <f>+E87</f>
        <v>0</v>
      </c>
      <c r="F86" s="543">
        <f>+F87</f>
        <v>0</v>
      </c>
      <c r="G86" s="543">
        <f>+G87</f>
        <v>0</v>
      </c>
      <c r="H86" s="543"/>
      <c r="I86" s="543">
        <f>+I87</f>
        <v>24</v>
      </c>
    </row>
    <row r="87" spans="1:9" s="485" customFormat="1" ht="15.6">
      <c r="A87" s="468"/>
      <c r="B87" s="500"/>
      <c r="C87" s="510" t="s">
        <v>573</v>
      </c>
      <c r="D87" s="544">
        <f>+SUM(E87:I87)</f>
        <v>24</v>
      </c>
      <c r="E87" s="541"/>
      <c r="F87" s="541"/>
      <c r="G87" s="541"/>
      <c r="H87" s="541"/>
      <c r="I87" s="541">
        <v>24</v>
      </c>
    </row>
    <row r="88" spans="1:9" s="490" customFormat="1" ht="32.4">
      <c r="A88" s="469"/>
      <c r="B88" s="501" t="s">
        <v>264</v>
      </c>
      <c r="C88" s="514"/>
      <c r="D88" s="542">
        <f>+D89</f>
        <v>12</v>
      </c>
      <c r="E88" s="543">
        <f>+E89</f>
        <v>0</v>
      </c>
      <c r="F88" s="543">
        <f>+F89</f>
        <v>0</v>
      </c>
      <c r="G88" s="543"/>
      <c r="H88" s="543"/>
      <c r="I88" s="543">
        <f>+I89</f>
        <v>12</v>
      </c>
    </row>
    <row r="89" spans="1:9" s="485" customFormat="1" ht="15.6">
      <c r="A89" s="468"/>
      <c r="B89" s="500"/>
      <c r="C89" s="510" t="s">
        <v>573</v>
      </c>
      <c r="D89" s="544">
        <f>+SUM(E89:I89)</f>
        <v>12</v>
      </c>
      <c r="E89" s="541"/>
      <c r="F89" s="541"/>
      <c r="G89" s="541"/>
      <c r="H89" s="541"/>
      <c r="I89" s="541">
        <v>12</v>
      </c>
    </row>
    <row r="90" spans="1:9" s="490" customFormat="1" ht="57" customHeight="1">
      <c r="A90" s="466"/>
      <c r="B90" s="501" t="s">
        <v>582</v>
      </c>
      <c r="C90" s="512"/>
      <c r="D90" s="542">
        <f>+SUM(E90:I90)</f>
        <v>172</v>
      </c>
      <c r="E90" s="543">
        <f>+SUM(E91:E93)</f>
        <v>0</v>
      </c>
      <c r="F90" s="543">
        <f>+SUM(F91:F93)</f>
        <v>0</v>
      </c>
      <c r="G90" s="543">
        <f>+SUM(G91:G93)</f>
        <v>132</v>
      </c>
      <c r="H90" s="543"/>
      <c r="I90" s="543">
        <f>+SUM(I91:I93)</f>
        <v>40</v>
      </c>
    </row>
    <row r="91" spans="1:9" s="485" customFormat="1" ht="31.2">
      <c r="A91" s="463"/>
      <c r="B91" s="502"/>
      <c r="C91" s="510" t="s">
        <v>583</v>
      </c>
      <c r="D91" s="544">
        <f>+SUM(E91:I91)</f>
        <v>120</v>
      </c>
      <c r="E91" s="493"/>
      <c r="F91" s="493"/>
      <c r="G91" s="493">
        <v>120</v>
      </c>
      <c r="H91" s="493"/>
      <c r="I91" s="493"/>
    </row>
    <row r="92" spans="1:9" s="485" customFormat="1" ht="15.6">
      <c r="A92" s="463"/>
      <c r="B92" s="502"/>
      <c r="C92" s="510" t="s">
        <v>570</v>
      </c>
      <c r="D92" s="544">
        <f>+SUM(E92:I92)</f>
        <v>40</v>
      </c>
      <c r="E92" s="493"/>
      <c r="F92" s="493"/>
      <c r="G92" s="493"/>
      <c r="H92" s="493"/>
      <c r="I92" s="493">
        <v>40</v>
      </c>
    </row>
    <row r="93" spans="1:9" s="485" customFormat="1" ht="15.6">
      <c r="A93" s="463"/>
      <c r="B93" s="502"/>
      <c r="C93" s="510" t="s">
        <v>573</v>
      </c>
      <c r="D93" s="544">
        <f>+SUM(E93:I93)</f>
        <v>12</v>
      </c>
      <c r="E93" s="493"/>
      <c r="F93" s="493"/>
      <c r="G93" s="493">
        <v>12</v>
      </c>
      <c r="H93" s="493"/>
      <c r="I93" s="493"/>
    </row>
    <row r="94" spans="1:9" s="491" customFormat="1" ht="31.2">
      <c r="A94" s="464" t="s">
        <v>584</v>
      </c>
      <c r="B94" s="500" t="s">
        <v>267</v>
      </c>
      <c r="C94" s="536"/>
      <c r="D94" s="489">
        <f>+E94+F94+G94+I94+H94</f>
        <v>660</v>
      </c>
      <c r="E94" s="541">
        <f>+E95</f>
        <v>0</v>
      </c>
      <c r="F94" s="541">
        <f>+F95</f>
        <v>0</v>
      </c>
      <c r="G94" s="541">
        <f>+G95</f>
        <v>0</v>
      </c>
      <c r="H94" s="488">
        <f t="shared" ref="H94" si="5">SUM(H95)</f>
        <v>420</v>
      </c>
      <c r="I94" s="488">
        <f>+I95</f>
        <v>240</v>
      </c>
    </row>
    <row r="95" spans="1:9" s="485" customFormat="1" ht="78">
      <c r="A95" s="463"/>
      <c r="B95" s="500" t="s">
        <v>269</v>
      </c>
      <c r="C95" s="510"/>
      <c r="D95" s="545">
        <f t="shared" ref="D95:D102" si="6">+SUM(E95:I95)</f>
        <v>660</v>
      </c>
      <c r="E95" s="541">
        <f>+SUM(E96:E98)</f>
        <v>0</v>
      </c>
      <c r="F95" s="541">
        <f>+SUM(F96:F98)</f>
        <v>0</v>
      </c>
      <c r="G95" s="541">
        <f>+SUM(G96:G98)</f>
        <v>0</v>
      </c>
      <c r="H95" s="541">
        <f>+SUM(H96:H98)</f>
        <v>420</v>
      </c>
      <c r="I95" s="541">
        <f>+SUM(I96:I98)</f>
        <v>240</v>
      </c>
    </row>
    <row r="96" spans="1:9" s="485" customFormat="1" ht="15.6">
      <c r="A96" s="463"/>
      <c r="B96" s="500"/>
      <c r="C96" s="510" t="s">
        <v>81</v>
      </c>
      <c r="D96" s="544">
        <f t="shared" si="6"/>
        <v>420</v>
      </c>
      <c r="E96" s="493"/>
      <c r="F96" s="493"/>
      <c r="G96" s="493"/>
      <c r="H96" s="493">
        <v>420</v>
      </c>
      <c r="I96" s="493"/>
    </row>
    <row r="97" spans="1:9" s="485" customFormat="1" ht="15.6">
      <c r="A97" s="463"/>
      <c r="B97" s="500"/>
      <c r="C97" s="510" t="s">
        <v>599</v>
      </c>
      <c r="D97" s="544">
        <f t="shared" si="6"/>
        <v>40</v>
      </c>
      <c r="E97" s="493"/>
      <c r="F97" s="493"/>
      <c r="G97" s="493"/>
      <c r="H97" s="493"/>
      <c r="I97" s="493">
        <v>40</v>
      </c>
    </row>
    <row r="98" spans="1:9" s="485" customFormat="1" ht="15.6">
      <c r="A98" s="463"/>
      <c r="B98" s="500"/>
      <c r="C98" s="510" t="s">
        <v>601</v>
      </c>
      <c r="D98" s="544">
        <f t="shared" si="6"/>
        <v>200</v>
      </c>
      <c r="E98" s="493"/>
      <c r="F98" s="493"/>
      <c r="G98" s="493"/>
      <c r="H98" s="493"/>
      <c r="I98" s="493">
        <v>200</v>
      </c>
    </row>
    <row r="99" spans="1:9" s="491" customFormat="1" ht="87" customHeight="1">
      <c r="A99" s="464" t="s">
        <v>585</v>
      </c>
      <c r="B99" s="500" t="s">
        <v>270</v>
      </c>
      <c r="C99" s="536"/>
      <c r="D99" s="489">
        <f t="shared" si="6"/>
        <v>1616</v>
      </c>
      <c r="E99" s="488">
        <f>+E100</f>
        <v>0</v>
      </c>
      <c r="F99" s="488">
        <f>+F100</f>
        <v>0</v>
      </c>
      <c r="G99" s="488">
        <f>+G100</f>
        <v>0</v>
      </c>
      <c r="H99" s="488">
        <f>+H100</f>
        <v>4</v>
      </c>
      <c r="I99" s="488">
        <f>+I100</f>
        <v>1612</v>
      </c>
    </row>
    <row r="100" spans="1:9" s="490" customFormat="1" ht="98.25" customHeight="1">
      <c r="A100" s="466"/>
      <c r="B100" s="501" t="s">
        <v>272</v>
      </c>
      <c r="C100" s="512"/>
      <c r="D100" s="497">
        <f t="shared" si="6"/>
        <v>1616</v>
      </c>
      <c r="E100" s="543">
        <f>+E101+E119</f>
        <v>0</v>
      </c>
      <c r="F100" s="543">
        <f>+F101+F119</f>
        <v>0</v>
      </c>
      <c r="G100" s="543">
        <f>+G101+G119</f>
        <v>0</v>
      </c>
      <c r="H100" s="498">
        <f>+H101+H116+H119</f>
        <v>4</v>
      </c>
      <c r="I100" s="498">
        <f>+I101+I116+I119</f>
        <v>1612</v>
      </c>
    </row>
    <row r="101" spans="1:9" s="485" customFormat="1" ht="54" customHeight="1">
      <c r="A101" s="463"/>
      <c r="B101" s="500" t="s">
        <v>586</v>
      </c>
      <c r="C101" s="510"/>
      <c r="D101" s="545">
        <f t="shared" si="6"/>
        <v>492</v>
      </c>
      <c r="E101" s="541">
        <f>+SUM(E102:E115)</f>
        <v>0</v>
      </c>
      <c r="F101" s="541">
        <f>+SUM(F102:F115)</f>
        <v>0</v>
      </c>
      <c r="G101" s="541">
        <f>+SUM(G102:G115)</f>
        <v>0</v>
      </c>
      <c r="H101" s="541">
        <f>SUM(H102:H115)</f>
        <v>4</v>
      </c>
      <c r="I101" s="541">
        <f>+SUM(I102:I115)</f>
        <v>488</v>
      </c>
    </row>
    <row r="102" spans="1:9" s="485" customFormat="1" ht="15.6">
      <c r="A102" s="470"/>
      <c r="B102" s="504"/>
      <c r="C102" s="510" t="s">
        <v>587</v>
      </c>
      <c r="D102" s="493">
        <f t="shared" si="6"/>
        <v>40</v>
      </c>
      <c r="E102" s="493"/>
      <c r="F102" s="493"/>
      <c r="G102" s="493"/>
      <c r="H102" s="493"/>
      <c r="I102" s="493">
        <v>40</v>
      </c>
    </row>
    <row r="103" spans="1:9" s="485" customFormat="1" ht="15.6">
      <c r="A103" s="470"/>
      <c r="B103" s="505"/>
      <c r="C103" s="510" t="s">
        <v>53</v>
      </c>
      <c r="D103" s="493">
        <f t="shared" ref="D103:D115" si="7">+SUM(E103:I103)</f>
        <v>4</v>
      </c>
      <c r="E103" s="493"/>
      <c r="F103" s="493"/>
      <c r="G103" s="493"/>
      <c r="H103" s="493"/>
      <c r="I103" s="493">
        <v>4</v>
      </c>
    </row>
    <row r="104" spans="1:9" s="485" customFormat="1" ht="31.2">
      <c r="A104" s="470"/>
      <c r="B104" s="505"/>
      <c r="C104" s="510" t="s">
        <v>577</v>
      </c>
      <c r="D104" s="493">
        <f t="shared" si="7"/>
        <v>10</v>
      </c>
      <c r="E104" s="493"/>
      <c r="F104" s="493"/>
      <c r="G104" s="493"/>
      <c r="H104" s="493"/>
      <c r="I104" s="493">
        <v>10</v>
      </c>
    </row>
    <row r="105" spans="1:9" s="485" customFormat="1" ht="15.6">
      <c r="A105" s="470"/>
      <c r="B105" s="505"/>
      <c r="C105" s="510" t="s">
        <v>45</v>
      </c>
      <c r="D105" s="493">
        <f>+SUM(E105:I105)</f>
        <v>4</v>
      </c>
      <c r="E105" s="493"/>
      <c r="F105" s="493"/>
      <c r="G105" s="493"/>
      <c r="H105" s="493"/>
      <c r="I105" s="493">
        <v>4</v>
      </c>
    </row>
    <row r="106" spans="1:9" s="485" customFormat="1" ht="15.6">
      <c r="A106" s="470"/>
      <c r="B106" s="506"/>
      <c r="C106" s="510" t="s">
        <v>603</v>
      </c>
      <c r="D106" s="493">
        <f>+SUM(E106:I106)</f>
        <v>8</v>
      </c>
      <c r="E106" s="493"/>
      <c r="F106" s="493"/>
      <c r="G106" s="493"/>
      <c r="H106" s="493"/>
      <c r="I106" s="493">
        <v>8</v>
      </c>
    </row>
    <row r="107" spans="1:9" s="485" customFormat="1" ht="15.6">
      <c r="A107" s="470"/>
      <c r="B107" s="505"/>
      <c r="C107" s="510" t="s">
        <v>588</v>
      </c>
      <c r="D107" s="493">
        <f>+SUM(E107:I107)</f>
        <v>4</v>
      </c>
      <c r="E107" s="493"/>
      <c r="F107" s="493"/>
      <c r="G107" s="493"/>
      <c r="H107" s="493">
        <v>4</v>
      </c>
      <c r="I107" s="493"/>
    </row>
    <row r="108" spans="1:9" s="485" customFormat="1" ht="31.2">
      <c r="A108" s="470"/>
      <c r="B108" s="505"/>
      <c r="C108" s="510" t="s">
        <v>602</v>
      </c>
      <c r="D108" s="493">
        <f>+SUM(E108:I108)</f>
        <v>108</v>
      </c>
      <c r="E108" s="499"/>
      <c r="F108" s="499"/>
      <c r="G108" s="499"/>
      <c r="H108" s="499"/>
      <c r="I108" s="499">
        <v>108</v>
      </c>
    </row>
    <row r="109" spans="1:9" s="485" customFormat="1" ht="15.6">
      <c r="A109" s="470"/>
      <c r="B109" s="505"/>
      <c r="C109" s="510" t="s">
        <v>600</v>
      </c>
      <c r="D109" s="493">
        <f t="shared" si="7"/>
        <v>32</v>
      </c>
      <c r="E109" s="493"/>
      <c r="F109" s="493"/>
      <c r="G109" s="493"/>
      <c r="H109" s="493"/>
      <c r="I109" s="493">
        <v>32</v>
      </c>
    </row>
    <row r="110" spans="1:9" s="485" customFormat="1" ht="15.6">
      <c r="A110" s="470" t="s">
        <v>574</v>
      </c>
      <c r="B110" s="505"/>
      <c r="C110" s="510" t="s">
        <v>570</v>
      </c>
      <c r="D110" s="493">
        <f t="shared" si="7"/>
        <v>50</v>
      </c>
      <c r="E110" s="493"/>
      <c r="F110" s="493"/>
      <c r="G110" s="493"/>
      <c r="H110" s="493"/>
      <c r="I110" s="493">
        <v>50</v>
      </c>
    </row>
    <row r="111" spans="1:9" s="485" customFormat="1" ht="15.6">
      <c r="A111" s="470"/>
      <c r="B111" s="505"/>
      <c r="C111" s="510" t="s">
        <v>571</v>
      </c>
      <c r="D111" s="493">
        <f t="shared" si="7"/>
        <v>40</v>
      </c>
      <c r="E111" s="493"/>
      <c r="F111" s="493"/>
      <c r="G111" s="493"/>
      <c r="H111" s="493"/>
      <c r="I111" s="493">
        <v>40</v>
      </c>
    </row>
    <row r="112" spans="1:9" s="485" customFormat="1" ht="15.6">
      <c r="A112" s="470"/>
      <c r="B112" s="505"/>
      <c r="C112" s="510" t="s">
        <v>576</v>
      </c>
      <c r="D112" s="493">
        <f t="shared" si="7"/>
        <v>58</v>
      </c>
      <c r="E112" s="493"/>
      <c r="F112" s="493"/>
      <c r="G112" s="493"/>
      <c r="H112" s="493"/>
      <c r="I112" s="493">
        <v>58</v>
      </c>
    </row>
    <row r="113" spans="1:9" s="485" customFormat="1" ht="15.6">
      <c r="A113" s="470"/>
      <c r="B113" s="505"/>
      <c r="C113" s="510" t="s">
        <v>572</v>
      </c>
      <c r="D113" s="493">
        <f t="shared" si="7"/>
        <v>46</v>
      </c>
      <c r="E113" s="493"/>
      <c r="F113" s="493"/>
      <c r="G113" s="493"/>
      <c r="H113" s="493"/>
      <c r="I113" s="493">
        <v>46</v>
      </c>
    </row>
    <row r="114" spans="1:9" s="485" customFormat="1" ht="15.6">
      <c r="A114" s="470"/>
      <c r="B114" s="505"/>
      <c r="C114" s="510" t="s">
        <v>573</v>
      </c>
      <c r="D114" s="493">
        <f t="shared" si="7"/>
        <v>70</v>
      </c>
      <c r="E114" s="493"/>
      <c r="F114" s="493"/>
      <c r="G114" s="493"/>
      <c r="H114" s="493"/>
      <c r="I114" s="493">
        <v>70</v>
      </c>
    </row>
    <row r="115" spans="1:9" s="485" customFormat="1" ht="15.6">
      <c r="A115" s="470"/>
      <c r="B115" s="505"/>
      <c r="C115" s="510" t="s">
        <v>575</v>
      </c>
      <c r="D115" s="493">
        <f t="shared" si="7"/>
        <v>18</v>
      </c>
      <c r="E115" s="493"/>
      <c r="F115" s="493"/>
      <c r="G115" s="493"/>
      <c r="H115" s="493"/>
      <c r="I115" s="493">
        <v>18</v>
      </c>
    </row>
    <row r="116" spans="1:9" s="485" customFormat="1" ht="56.25" customHeight="1">
      <c r="A116" s="470"/>
      <c r="B116" s="505" t="s">
        <v>589</v>
      </c>
      <c r="C116" s="510"/>
      <c r="D116" s="493">
        <f>+D117+D118</f>
        <v>130</v>
      </c>
      <c r="E116" s="493">
        <f>+E117+E118</f>
        <v>0</v>
      </c>
      <c r="F116" s="493">
        <f>+F117+F118</f>
        <v>0</v>
      </c>
      <c r="G116" s="493">
        <f>+G117+G118</f>
        <v>0</v>
      </c>
      <c r="H116" s="493"/>
      <c r="I116" s="493">
        <f>+I117+I118</f>
        <v>130</v>
      </c>
    </row>
    <row r="117" spans="1:9" s="485" customFormat="1" ht="31.2">
      <c r="A117" s="470"/>
      <c r="B117" s="505"/>
      <c r="C117" s="508" t="s">
        <v>577</v>
      </c>
      <c r="D117" s="493">
        <f>+SUM(E117:I117)</f>
        <v>50</v>
      </c>
      <c r="E117" s="493"/>
      <c r="F117" s="493"/>
      <c r="G117" s="493"/>
      <c r="H117" s="493"/>
      <c r="I117" s="493">
        <v>50</v>
      </c>
    </row>
    <row r="118" spans="1:9" s="485" customFormat="1" ht="31.2">
      <c r="A118" s="470"/>
      <c r="B118" s="505"/>
      <c r="C118" s="510" t="s">
        <v>602</v>
      </c>
      <c r="D118" s="493">
        <f>+SUM(E118:I118)</f>
        <v>80</v>
      </c>
      <c r="E118" s="493"/>
      <c r="F118" s="493"/>
      <c r="G118" s="493"/>
      <c r="H118" s="493"/>
      <c r="I118" s="493">
        <v>80</v>
      </c>
    </row>
    <row r="119" spans="1:9" s="485" customFormat="1" ht="104.25" customHeight="1">
      <c r="A119" s="470"/>
      <c r="B119" s="505" t="s">
        <v>590</v>
      </c>
      <c r="C119" s="536"/>
      <c r="D119" s="541">
        <f>+SUM(E119:I119)</f>
        <v>994</v>
      </c>
      <c r="E119" s="541">
        <f>+SUM(E120:E125)</f>
        <v>0</v>
      </c>
      <c r="F119" s="541">
        <f>+SUM(F120:F125)</f>
        <v>0</v>
      </c>
      <c r="G119" s="541">
        <f>+SUM(G120:G125)</f>
        <v>0</v>
      </c>
      <c r="H119" s="541"/>
      <c r="I119" s="541">
        <f>+SUM(I120:I125)</f>
        <v>994</v>
      </c>
    </row>
    <row r="120" spans="1:9" s="485" customFormat="1" ht="31.2">
      <c r="A120" s="470"/>
      <c r="B120" s="506"/>
      <c r="C120" s="510" t="s">
        <v>602</v>
      </c>
      <c r="D120" s="493">
        <f t="shared" ref="D120:D125" si="8">+SUM(E120:I120)</f>
        <v>380</v>
      </c>
      <c r="E120" s="493"/>
      <c r="F120" s="493"/>
      <c r="G120" s="493"/>
      <c r="H120" s="493"/>
      <c r="I120" s="493">
        <v>380</v>
      </c>
    </row>
    <row r="121" spans="1:9" s="485" customFormat="1" ht="15.6">
      <c r="A121" s="470"/>
      <c r="B121" s="506"/>
      <c r="C121" s="510" t="s">
        <v>600</v>
      </c>
      <c r="D121" s="493">
        <f t="shared" si="8"/>
        <v>66</v>
      </c>
      <c r="E121" s="493"/>
      <c r="F121" s="493"/>
      <c r="G121" s="493"/>
      <c r="H121" s="493"/>
      <c r="I121" s="493">
        <v>66</v>
      </c>
    </row>
    <row r="122" spans="1:9" s="485" customFormat="1" ht="15.6">
      <c r="A122" s="470"/>
      <c r="B122" s="506"/>
      <c r="C122" s="510" t="s">
        <v>570</v>
      </c>
      <c r="D122" s="493">
        <f t="shared" si="8"/>
        <v>196</v>
      </c>
      <c r="E122" s="493"/>
      <c r="F122" s="493"/>
      <c r="G122" s="493"/>
      <c r="H122" s="493"/>
      <c r="I122" s="493">
        <v>196</v>
      </c>
    </row>
    <row r="123" spans="1:9" s="485" customFormat="1" ht="15.6">
      <c r="A123" s="470"/>
      <c r="B123" s="506"/>
      <c r="C123" s="510" t="s">
        <v>598</v>
      </c>
      <c r="D123" s="493">
        <f t="shared" si="8"/>
        <v>164</v>
      </c>
      <c r="E123" s="493"/>
      <c r="F123" s="493"/>
      <c r="G123" s="493"/>
      <c r="H123" s="493"/>
      <c r="I123" s="493">
        <v>164</v>
      </c>
    </row>
    <row r="124" spans="1:9" s="485" customFormat="1" ht="15.6">
      <c r="A124" s="470"/>
      <c r="B124" s="506"/>
      <c r="C124" s="510" t="s">
        <v>576</v>
      </c>
      <c r="D124" s="493">
        <f t="shared" si="8"/>
        <v>130</v>
      </c>
      <c r="E124" s="493"/>
      <c r="F124" s="493"/>
      <c r="G124" s="493"/>
      <c r="H124" s="493"/>
      <c r="I124" s="493">
        <v>130</v>
      </c>
    </row>
    <row r="125" spans="1:9" s="485" customFormat="1" ht="15.6">
      <c r="A125" s="470"/>
      <c r="B125" s="506"/>
      <c r="C125" s="510" t="s">
        <v>573</v>
      </c>
      <c r="D125" s="493">
        <f t="shared" si="8"/>
        <v>58</v>
      </c>
      <c r="E125" s="493"/>
      <c r="F125" s="493"/>
      <c r="G125" s="493"/>
      <c r="H125" s="493"/>
      <c r="I125" s="493">
        <v>58</v>
      </c>
    </row>
  </sheetData>
  <mergeCells count="8">
    <mergeCell ref="A1:I1"/>
    <mergeCell ref="A2:I2"/>
    <mergeCell ref="H3:I3"/>
    <mergeCell ref="A4:A6"/>
    <mergeCell ref="B4:B6"/>
    <mergeCell ref="C4:C6"/>
    <mergeCell ref="D4:D6"/>
    <mergeCell ref="E4:I5"/>
  </mergeCells>
  <pageMargins left="0" right="0" top="0.39370078740157483" bottom="0" header="0" footer="0"/>
  <pageSetup paperSize="9" scale="85" fitToHeight="0" orientation="landscape" horizontalDpi="0" verticalDpi="0" r:id="rId1"/>
  <headerFooter differentFirst="1">
    <oddHeader>&amp;C&amp;"Times New Roman,Regular"&amp;10&amp;P</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topLeftCell="A4" zoomScaleNormal="100" workbookViewId="0">
      <selection activeCell="G10" sqref="G10"/>
    </sheetView>
  </sheetViews>
  <sheetFormatPr defaultRowHeight="15.6"/>
  <cols>
    <col min="1" max="1" width="4.1796875" style="471" customWidth="1"/>
    <col min="2" max="2" width="42.54296875" style="471" customWidth="1"/>
    <col min="3" max="3" width="20.81640625" style="527" customWidth="1"/>
    <col min="4" max="4" width="9.90625" style="471" customWidth="1"/>
    <col min="5" max="5" width="9" style="471" customWidth="1"/>
    <col min="6" max="6" width="8.453125" style="471" customWidth="1"/>
    <col min="7" max="7" width="9.54296875" style="471" customWidth="1"/>
    <col min="8" max="8" width="6.453125" style="471" customWidth="1"/>
    <col min="9" max="9" width="8.81640625" style="471" customWidth="1"/>
    <col min="10" max="10" width="17.81640625" style="471" customWidth="1"/>
    <col min="11" max="11" width="12" style="471" customWidth="1"/>
    <col min="12" max="248" width="8.90625" style="471"/>
    <col min="249" max="249" width="6.6328125" style="471" customWidth="1"/>
    <col min="250" max="250" width="42.81640625" style="471" customWidth="1"/>
    <col min="251" max="251" width="22.6328125" style="471" customWidth="1"/>
    <col min="252" max="252" width="11.90625" style="471" customWidth="1"/>
    <col min="253" max="253" width="11.81640625" style="471" customWidth="1"/>
    <col min="254" max="255" width="15.90625" style="471" customWidth="1"/>
    <col min="256" max="256" width="12.08984375" style="471" customWidth="1"/>
    <col min="257" max="257" width="17.08984375" style="471" customWidth="1"/>
    <col min="258" max="264" width="12.08984375" style="471" customWidth="1"/>
    <col min="265" max="265" width="23" style="471" bestFit="1" customWidth="1"/>
    <col min="266" max="266" width="17.81640625" style="471" customWidth="1"/>
    <col min="267" max="267" width="12" style="471" customWidth="1"/>
    <col min="268" max="504" width="8.90625" style="471"/>
    <col min="505" max="505" width="6.6328125" style="471" customWidth="1"/>
    <col min="506" max="506" width="42.81640625" style="471" customWidth="1"/>
    <col min="507" max="507" width="22.6328125" style="471" customWidth="1"/>
    <col min="508" max="508" width="11.90625" style="471" customWidth="1"/>
    <col min="509" max="509" width="11.81640625" style="471" customWidth="1"/>
    <col min="510" max="511" width="15.90625" style="471" customWidth="1"/>
    <col min="512" max="512" width="12.08984375" style="471" customWidth="1"/>
    <col min="513" max="513" width="17.08984375" style="471" customWidth="1"/>
    <col min="514" max="520" width="12.08984375" style="471" customWidth="1"/>
    <col min="521" max="521" width="23" style="471" bestFit="1" customWidth="1"/>
    <col min="522" max="522" width="17.81640625" style="471" customWidth="1"/>
    <col min="523" max="523" width="12" style="471" customWidth="1"/>
    <col min="524" max="760" width="8.90625" style="471"/>
    <col min="761" max="761" width="6.6328125" style="471" customWidth="1"/>
    <col min="762" max="762" width="42.81640625" style="471" customWidth="1"/>
    <col min="763" max="763" width="22.6328125" style="471" customWidth="1"/>
    <col min="764" max="764" width="11.90625" style="471" customWidth="1"/>
    <col min="765" max="765" width="11.81640625" style="471" customWidth="1"/>
    <col min="766" max="767" width="15.90625" style="471" customWidth="1"/>
    <col min="768" max="768" width="12.08984375" style="471" customWidth="1"/>
    <col min="769" max="769" width="17.08984375" style="471" customWidth="1"/>
    <col min="770" max="776" width="12.08984375" style="471" customWidth="1"/>
    <col min="777" max="777" width="23" style="471" bestFit="1" customWidth="1"/>
    <col min="778" max="778" width="17.81640625" style="471" customWidth="1"/>
    <col min="779" max="779" width="12" style="471" customWidth="1"/>
    <col min="780" max="1016" width="8.90625" style="471"/>
    <col min="1017" max="1017" width="6.6328125" style="471" customWidth="1"/>
    <col min="1018" max="1018" width="42.81640625" style="471" customWidth="1"/>
    <col min="1019" max="1019" width="22.6328125" style="471" customWidth="1"/>
    <col min="1020" max="1020" width="11.90625" style="471" customWidth="1"/>
    <col min="1021" max="1021" width="11.81640625" style="471" customWidth="1"/>
    <col min="1022" max="1023" width="15.90625" style="471" customWidth="1"/>
    <col min="1024" max="1024" width="12.08984375" style="471" customWidth="1"/>
    <col min="1025" max="1025" width="17.08984375" style="471" customWidth="1"/>
    <col min="1026" max="1032" width="12.08984375" style="471" customWidth="1"/>
    <col min="1033" max="1033" width="23" style="471" bestFit="1" customWidth="1"/>
    <col min="1034" max="1034" width="17.81640625" style="471" customWidth="1"/>
    <col min="1035" max="1035" width="12" style="471" customWidth="1"/>
    <col min="1036" max="1272" width="8.90625" style="471"/>
    <col min="1273" max="1273" width="6.6328125" style="471" customWidth="1"/>
    <col min="1274" max="1274" width="42.81640625" style="471" customWidth="1"/>
    <col min="1275" max="1275" width="22.6328125" style="471" customWidth="1"/>
    <col min="1276" max="1276" width="11.90625" style="471" customWidth="1"/>
    <col min="1277" max="1277" width="11.81640625" style="471" customWidth="1"/>
    <col min="1278" max="1279" width="15.90625" style="471" customWidth="1"/>
    <col min="1280" max="1280" width="12.08984375" style="471" customWidth="1"/>
    <col min="1281" max="1281" width="17.08984375" style="471" customWidth="1"/>
    <col min="1282" max="1288" width="12.08984375" style="471" customWidth="1"/>
    <col min="1289" max="1289" width="23" style="471" bestFit="1" customWidth="1"/>
    <col min="1290" max="1290" width="17.81640625" style="471" customWidth="1"/>
    <col min="1291" max="1291" width="12" style="471" customWidth="1"/>
    <col min="1292" max="1528" width="8.90625" style="471"/>
    <col min="1529" max="1529" width="6.6328125" style="471" customWidth="1"/>
    <col min="1530" max="1530" width="42.81640625" style="471" customWidth="1"/>
    <col min="1531" max="1531" width="22.6328125" style="471" customWidth="1"/>
    <col min="1532" max="1532" width="11.90625" style="471" customWidth="1"/>
    <col min="1533" max="1533" width="11.81640625" style="471" customWidth="1"/>
    <col min="1534" max="1535" width="15.90625" style="471" customWidth="1"/>
    <col min="1536" max="1536" width="12.08984375" style="471" customWidth="1"/>
    <col min="1537" max="1537" width="17.08984375" style="471" customWidth="1"/>
    <col min="1538" max="1544" width="12.08984375" style="471" customWidth="1"/>
    <col min="1545" max="1545" width="23" style="471" bestFit="1" customWidth="1"/>
    <col min="1546" max="1546" width="17.81640625" style="471" customWidth="1"/>
    <col min="1547" max="1547" width="12" style="471" customWidth="1"/>
    <col min="1548" max="1784" width="8.90625" style="471"/>
    <col min="1785" max="1785" width="6.6328125" style="471" customWidth="1"/>
    <col min="1786" max="1786" width="42.81640625" style="471" customWidth="1"/>
    <col min="1787" max="1787" width="22.6328125" style="471" customWidth="1"/>
    <col min="1788" max="1788" width="11.90625" style="471" customWidth="1"/>
    <col min="1789" max="1789" width="11.81640625" style="471" customWidth="1"/>
    <col min="1790" max="1791" width="15.90625" style="471" customWidth="1"/>
    <col min="1792" max="1792" width="12.08984375" style="471" customWidth="1"/>
    <col min="1793" max="1793" width="17.08984375" style="471" customWidth="1"/>
    <col min="1794" max="1800" width="12.08984375" style="471" customWidth="1"/>
    <col min="1801" max="1801" width="23" style="471" bestFit="1" customWidth="1"/>
    <col min="1802" max="1802" width="17.81640625" style="471" customWidth="1"/>
    <col min="1803" max="1803" width="12" style="471" customWidth="1"/>
    <col min="1804" max="2040" width="8.90625" style="471"/>
    <col min="2041" max="2041" width="6.6328125" style="471" customWidth="1"/>
    <col min="2042" max="2042" width="42.81640625" style="471" customWidth="1"/>
    <col min="2043" max="2043" width="22.6328125" style="471" customWidth="1"/>
    <col min="2044" max="2044" width="11.90625" style="471" customWidth="1"/>
    <col min="2045" max="2045" width="11.81640625" style="471" customWidth="1"/>
    <col min="2046" max="2047" width="15.90625" style="471" customWidth="1"/>
    <col min="2048" max="2048" width="12.08984375" style="471" customWidth="1"/>
    <col min="2049" max="2049" width="17.08984375" style="471" customWidth="1"/>
    <col min="2050" max="2056" width="12.08984375" style="471" customWidth="1"/>
    <col min="2057" max="2057" width="23" style="471" bestFit="1" customWidth="1"/>
    <col min="2058" max="2058" width="17.81640625" style="471" customWidth="1"/>
    <col min="2059" max="2059" width="12" style="471" customWidth="1"/>
    <col min="2060" max="2296" width="8.90625" style="471"/>
    <col min="2297" max="2297" width="6.6328125" style="471" customWidth="1"/>
    <col min="2298" max="2298" width="42.81640625" style="471" customWidth="1"/>
    <col min="2299" max="2299" width="22.6328125" style="471" customWidth="1"/>
    <col min="2300" max="2300" width="11.90625" style="471" customWidth="1"/>
    <col min="2301" max="2301" width="11.81640625" style="471" customWidth="1"/>
    <col min="2302" max="2303" width="15.90625" style="471" customWidth="1"/>
    <col min="2304" max="2304" width="12.08984375" style="471" customWidth="1"/>
    <col min="2305" max="2305" width="17.08984375" style="471" customWidth="1"/>
    <col min="2306" max="2312" width="12.08984375" style="471" customWidth="1"/>
    <col min="2313" max="2313" width="23" style="471" bestFit="1" customWidth="1"/>
    <col min="2314" max="2314" width="17.81640625" style="471" customWidth="1"/>
    <col min="2315" max="2315" width="12" style="471" customWidth="1"/>
    <col min="2316" max="2552" width="8.90625" style="471"/>
    <col min="2553" max="2553" width="6.6328125" style="471" customWidth="1"/>
    <col min="2554" max="2554" width="42.81640625" style="471" customWidth="1"/>
    <col min="2555" max="2555" width="22.6328125" style="471" customWidth="1"/>
    <col min="2556" max="2556" width="11.90625" style="471" customWidth="1"/>
    <col min="2557" max="2557" width="11.81640625" style="471" customWidth="1"/>
    <col min="2558" max="2559" width="15.90625" style="471" customWidth="1"/>
    <col min="2560" max="2560" width="12.08984375" style="471" customWidth="1"/>
    <col min="2561" max="2561" width="17.08984375" style="471" customWidth="1"/>
    <col min="2562" max="2568" width="12.08984375" style="471" customWidth="1"/>
    <col min="2569" max="2569" width="23" style="471" bestFit="1" customWidth="1"/>
    <col min="2570" max="2570" width="17.81640625" style="471" customWidth="1"/>
    <col min="2571" max="2571" width="12" style="471" customWidth="1"/>
    <col min="2572" max="2808" width="8.90625" style="471"/>
    <col min="2809" max="2809" width="6.6328125" style="471" customWidth="1"/>
    <col min="2810" max="2810" width="42.81640625" style="471" customWidth="1"/>
    <col min="2811" max="2811" width="22.6328125" style="471" customWidth="1"/>
    <col min="2812" max="2812" width="11.90625" style="471" customWidth="1"/>
    <col min="2813" max="2813" width="11.81640625" style="471" customWidth="1"/>
    <col min="2814" max="2815" width="15.90625" style="471" customWidth="1"/>
    <col min="2816" max="2816" width="12.08984375" style="471" customWidth="1"/>
    <col min="2817" max="2817" width="17.08984375" style="471" customWidth="1"/>
    <col min="2818" max="2824" width="12.08984375" style="471" customWidth="1"/>
    <col min="2825" max="2825" width="23" style="471" bestFit="1" customWidth="1"/>
    <col min="2826" max="2826" width="17.81640625" style="471" customWidth="1"/>
    <col min="2827" max="2827" width="12" style="471" customWidth="1"/>
    <col min="2828" max="3064" width="8.90625" style="471"/>
    <col min="3065" max="3065" width="6.6328125" style="471" customWidth="1"/>
    <col min="3066" max="3066" width="42.81640625" style="471" customWidth="1"/>
    <col min="3067" max="3067" width="22.6328125" style="471" customWidth="1"/>
    <col min="3068" max="3068" width="11.90625" style="471" customWidth="1"/>
    <col min="3069" max="3069" width="11.81640625" style="471" customWidth="1"/>
    <col min="3070" max="3071" width="15.90625" style="471" customWidth="1"/>
    <col min="3072" max="3072" width="12.08984375" style="471" customWidth="1"/>
    <col min="3073" max="3073" width="17.08984375" style="471" customWidth="1"/>
    <col min="3074" max="3080" width="12.08984375" style="471" customWidth="1"/>
    <col min="3081" max="3081" width="23" style="471" bestFit="1" customWidth="1"/>
    <col min="3082" max="3082" width="17.81640625" style="471" customWidth="1"/>
    <col min="3083" max="3083" width="12" style="471" customWidth="1"/>
    <col min="3084" max="3320" width="8.90625" style="471"/>
    <col min="3321" max="3321" width="6.6328125" style="471" customWidth="1"/>
    <col min="3322" max="3322" width="42.81640625" style="471" customWidth="1"/>
    <col min="3323" max="3323" width="22.6328125" style="471" customWidth="1"/>
    <col min="3324" max="3324" width="11.90625" style="471" customWidth="1"/>
    <col min="3325" max="3325" width="11.81640625" style="471" customWidth="1"/>
    <col min="3326" max="3327" width="15.90625" style="471" customWidth="1"/>
    <col min="3328" max="3328" width="12.08984375" style="471" customWidth="1"/>
    <col min="3329" max="3329" width="17.08984375" style="471" customWidth="1"/>
    <col min="3330" max="3336" width="12.08984375" style="471" customWidth="1"/>
    <col min="3337" max="3337" width="23" style="471" bestFit="1" customWidth="1"/>
    <col min="3338" max="3338" width="17.81640625" style="471" customWidth="1"/>
    <col min="3339" max="3339" width="12" style="471" customWidth="1"/>
    <col min="3340" max="3576" width="8.90625" style="471"/>
    <col min="3577" max="3577" width="6.6328125" style="471" customWidth="1"/>
    <col min="3578" max="3578" width="42.81640625" style="471" customWidth="1"/>
    <col min="3579" max="3579" width="22.6328125" style="471" customWidth="1"/>
    <col min="3580" max="3580" width="11.90625" style="471" customWidth="1"/>
    <col min="3581" max="3581" width="11.81640625" style="471" customWidth="1"/>
    <col min="3582" max="3583" width="15.90625" style="471" customWidth="1"/>
    <col min="3584" max="3584" width="12.08984375" style="471" customWidth="1"/>
    <col min="3585" max="3585" width="17.08984375" style="471" customWidth="1"/>
    <col min="3586" max="3592" width="12.08984375" style="471" customWidth="1"/>
    <col min="3593" max="3593" width="23" style="471" bestFit="1" customWidth="1"/>
    <col min="3594" max="3594" width="17.81640625" style="471" customWidth="1"/>
    <col min="3595" max="3595" width="12" style="471" customWidth="1"/>
    <col min="3596" max="3832" width="8.90625" style="471"/>
    <col min="3833" max="3833" width="6.6328125" style="471" customWidth="1"/>
    <col min="3834" max="3834" width="42.81640625" style="471" customWidth="1"/>
    <col min="3835" max="3835" width="22.6328125" style="471" customWidth="1"/>
    <col min="3836" max="3836" width="11.90625" style="471" customWidth="1"/>
    <col min="3837" max="3837" width="11.81640625" style="471" customWidth="1"/>
    <col min="3838" max="3839" width="15.90625" style="471" customWidth="1"/>
    <col min="3840" max="3840" width="12.08984375" style="471" customWidth="1"/>
    <col min="3841" max="3841" width="17.08984375" style="471" customWidth="1"/>
    <col min="3842" max="3848" width="12.08984375" style="471" customWidth="1"/>
    <col min="3849" max="3849" width="23" style="471" bestFit="1" customWidth="1"/>
    <col min="3850" max="3850" width="17.81640625" style="471" customWidth="1"/>
    <col min="3851" max="3851" width="12" style="471" customWidth="1"/>
    <col min="3852" max="4088" width="8.90625" style="471"/>
    <col min="4089" max="4089" width="6.6328125" style="471" customWidth="1"/>
    <col min="4090" max="4090" width="42.81640625" style="471" customWidth="1"/>
    <col min="4091" max="4091" width="22.6328125" style="471" customWidth="1"/>
    <col min="4092" max="4092" width="11.90625" style="471" customWidth="1"/>
    <col min="4093" max="4093" width="11.81640625" style="471" customWidth="1"/>
    <col min="4094" max="4095" width="15.90625" style="471" customWidth="1"/>
    <col min="4096" max="4096" width="12.08984375" style="471" customWidth="1"/>
    <col min="4097" max="4097" width="17.08984375" style="471" customWidth="1"/>
    <col min="4098" max="4104" width="12.08984375" style="471" customWidth="1"/>
    <col min="4105" max="4105" width="23" style="471" bestFit="1" customWidth="1"/>
    <col min="4106" max="4106" width="17.81640625" style="471" customWidth="1"/>
    <col min="4107" max="4107" width="12" style="471" customWidth="1"/>
    <col min="4108" max="4344" width="8.90625" style="471"/>
    <col min="4345" max="4345" width="6.6328125" style="471" customWidth="1"/>
    <col min="4346" max="4346" width="42.81640625" style="471" customWidth="1"/>
    <col min="4347" max="4347" width="22.6328125" style="471" customWidth="1"/>
    <col min="4348" max="4348" width="11.90625" style="471" customWidth="1"/>
    <col min="4349" max="4349" width="11.81640625" style="471" customWidth="1"/>
    <col min="4350" max="4351" width="15.90625" style="471" customWidth="1"/>
    <col min="4352" max="4352" width="12.08984375" style="471" customWidth="1"/>
    <col min="4353" max="4353" width="17.08984375" style="471" customWidth="1"/>
    <col min="4354" max="4360" width="12.08984375" style="471" customWidth="1"/>
    <col min="4361" max="4361" width="23" style="471" bestFit="1" customWidth="1"/>
    <col min="4362" max="4362" width="17.81640625" style="471" customWidth="1"/>
    <col min="4363" max="4363" width="12" style="471" customWidth="1"/>
    <col min="4364" max="4600" width="8.90625" style="471"/>
    <col min="4601" max="4601" width="6.6328125" style="471" customWidth="1"/>
    <col min="4602" max="4602" width="42.81640625" style="471" customWidth="1"/>
    <col min="4603" max="4603" width="22.6328125" style="471" customWidth="1"/>
    <col min="4604" max="4604" width="11.90625" style="471" customWidth="1"/>
    <col min="4605" max="4605" width="11.81640625" style="471" customWidth="1"/>
    <col min="4606" max="4607" width="15.90625" style="471" customWidth="1"/>
    <col min="4608" max="4608" width="12.08984375" style="471" customWidth="1"/>
    <col min="4609" max="4609" width="17.08984375" style="471" customWidth="1"/>
    <col min="4610" max="4616" width="12.08984375" style="471" customWidth="1"/>
    <col min="4617" max="4617" width="23" style="471" bestFit="1" customWidth="1"/>
    <col min="4618" max="4618" width="17.81640625" style="471" customWidth="1"/>
    <col min="4619" max="4619" width="12" style="471" customWidth="1"/>
    <col min="4620" max="4856" width="8.90625" style="471"/>
    <col min="4857" max="4857" width="6.6328125" style="471" customWidth="1"/>
    <col min="4858" max="4858" width="42.81640625" style="471" customWidth="1"/>
    <col min="4859" max="4859" width="22.6328125" style="471" customWidth="1"/>
    <col min="4860" max="4860" width="11.90625" style="471" customWidth="1"/>
    <col min="4861" max="4861" width="11.81640625" style="471" customWidth="1"/>
    <col min="4862" max="4863" width="15.90625" style="471" customWidth="1"/>
    <col min="4864" max="4864" width="12.08984375" style="471" customWidth="1"/>
    <col min="4865" max="4865" width="17.08984375" style="471" customWidth="1"/>
    <col min="4866" max="4872" width="12.08984375" style="471" customWidth="1"/>
    <col min="4873" max="4873" width="23" style="471" bestFit="1" customWidth="1"/>
    <col min="4874" max="4874" width="17.81640625" style="471" customWidth="1"/>
    <col min="4875" max="4875" width="12" style="471" customWidth="1"/>
    <col min="4876" max="5112" width="8.90625" style="471"/>
    <col min="5113" max="5113" width="6.6328125" style="471" customWidth="1"/>
    <col min="5114" max="5114" width="42.81640625" style="471" customWidth="1"/>
    <col min="5115" max="5115" width="22.6328125" style="471" customWidth="1"/>
    <col min="5116" max="5116" width="11.90625" style="471" customWidth="1"/>
    <col min="5117" max="5117" width="11.81640625" style="471" customWidth="1"/>
    <col min="5118" max="5119" width="15.90625" style="471" customWidth="1"/>
    <col min="5120" max="5120" width="12.08984375" style="471" customWidth="1"/>
    <col min="5121" max="5121" width="17.08984375" style="471" customWidth="1"/>
    <col min="5122" max="5128" width="12.08984375" style="471" customWidth="1"/>
    <col min="5129" max="5129" width="23" style="471" bestFit="1" customWidth="1"/>
    <col min="5130" max="5130" width="17.81640625" style="471" customWidth="1"/>
    <col min="5131" max="5131" width="12" style="471" customWidth="1"/>
    <col min="5132" max="5368" width="8.90625" style="471"/>
    <col min="5369" max="5369" width="6.6328125" style="471" customWidth="1"/>
    <col min="5370" max="5370" width="42.81640625" style="471" customWidth="1"/>
    <col min="5371" max="5371" width="22.6328125" style="471" customWidth="1"/>
    <col min="5372" max="5372" width="11.90625" style="471" customWidth="1"/>
    <col min="5373" max="5373" width="11.81640625" style="471" customWidth="1"/>
    <col min="5374" max="5375" width="15.90625" style="471" customWidth="1"/>
    <col min="5376" max="5376" width="12.08984375" style="471" customWidth="1"/>
    <col min="5377" max="5377" width="17.08984375" style="471" customWidth="1"/>
    <col min="5378" max="5384" width="12.08984375" style="471" customWidth="1"/>
    <col min="5385" max="5385" width="23" style="471" bestFit="1" customWidth="1"/>
    <col min="5386" max="5386" width="17.81640625" style="471" customWidth="1"/>
    <col min="5387" max="5387" width="12" style="471" customWidth="1"/>
    <col min="5388" max="5624" width="8.90625" style="471"/>
    <col min="5625" max="5625" width="6.6328125" style="471" customWidth="1"/>
    <col min="5626" max="5626" width="42.81640625" style="471" customWidth="1"/>
    <col min="5627" max="5627" width="22.6328125" style="471" customWidth="1"/>
    <col min="5628" max="5628" width="11.90625" style="471" customWidth="1"/>
    <col min="5629" max="5629" width="11.81640625" style="471" customWidth="1"/>
    <col min="5630" max="5631" width="15.90625" style="471" customWidth="1"/>
    <col min="5632" max="5632" width="12.08984375" style="471" customWidth="1"/>
    <col min="5633" max="5633" width="17.08984375" style="471" customWidth="1"/>
    <col min="5634" max="5640" width="12.08984375" style="471" customWidth="1"/>
    <col min="5641" max="5641" width="23" style="471" bestFit="1" customWidth="1"/>
    <col min="5642" max="5642" width="17.81640625" style="471" customWidth="1"/>
    <col min="5643" max="5643" width="12" style="471" customWidth="1"/>
    <col min="5644" max="5880" width="8.90625" style="471"/>
    <col min="5881" max="5881" width="6.6328125" style="471" customWidth="1"/>
    <col min="5882" max="5882" width="42.81640625" style="471" customWidth="1"/>
    <col min="5883" max="5883" width="22.6328125" style="471" customWidth="1"/>
    <col min="5884" max="5884" width="11.90625" style="471" customWidth="1"/>
    <col min="5885" max="5885" width="11.81640625" style="471" customWidth="1"/>
    <col min="5886" max="5887" width="15.90625" style="471" customWidth="1"/>
    <col min="5888" max="5888" width="12.08984375" style="471" customWidth="1"/>
    <col min="5889" max="5889" width="17.08984375" style="471" customWidth="1"/>
    <col min="5890" max="5896" width="12.08984375" style="471" customWidth="1"/>
    <col min="5897" max="5897" width="23" style="471" bestFit="1" customWidth="1"/>
    <col min="5898" max="5898" width="17.81640625" style="471" customWidth="1"/>
    <col min="5899" max="5899" width="12" style="471" customWidth="1"/>
    <col min="5900" max="6136" width="8.90625" style="471"/>
    <col min="6137" max="6137" width="6.6328125" style="471" customWidth="1"/>
    <col min="6138" max="6138" width="42.81640625" style="471" customWidth="1"/>
    <col min="6139" max="6139" width="22.6328125" style="471" customWidth="1"/>
    <col min="6140" max="6140" width="11.90625" style="471" customWidth="1"/>
    <col min="6141" max="6141" width="11.81640625" style="471" customWidth="1"/>
    <col min="6142" max="6143" width="15.90625" style="471" customWidth="1"/>
    <col min="6144" max="6144" width="12.08984375" style="471" customWidth="1"/>
    <col min="6145" max="6145" width="17.08984375" style="471" customWidth="1"/>
    <col min="6146" max="6152" width="12.08984375" style="471" customWidth="1"/>
    <col min="6153" max="6153" width="23" style="471" bestFit="1" customWidth="1"/>
    <col min="6154" max="6154" width="17.81640625" style="471" customWidth="1"/>
    <col min="6155" max="6155" width="12" style="471" customWidth="1"/>
    <col min="6156" max="6392" width="8.90625" style="471"/>
    <col min="6393" max="6393" width="6.6328125" style="471" customWidth="1"/>
    <col min="6394" max="6394" width="42.81640625" style="471" customWidth="1"/>
    <col min="6395" max="6395" width="22.6328125" style="471" customWidth="1"/>
    <col min="6396" max="6396" width="11.90625" style="471" customWidth="1"/>
    <col min="6397" max="6397" width="11.81640625" style="471" customWidth="1"/>
    <col min="6398" max="6399" width="15.90625" style="471" customWidth="1"/>
    <col min="6400" max="6400" width="12.08984375" style="471" customWidth="1"/>
    <col min="6401" max="6401" width="17.08984375" style="471" customWidth="1"/>
    <col min="6402" max="6408" width="12.08984375" style="471" customWidth="1"/>
    <col min="6409" max="6409" width="23" style="471" bestFit="1" customWidth="1"/>
    <col min="6410" max="6410" width="17.81640625" style="471" customWidth="1"/>
    <col min="6411" max="6411" width="12" style="471" customWidth="1"/>
    <col min="6412" max="6648" width="8.90625" style="471"/>
    <col min="6649" max="6649" width="6.6328125" style="471" customWidth="1"/>
    <col min="6650" max="6650" width="42.81640625" style="471" customWidth="1"/>
    <col min="6651" max="6651" width="22.6328125" style="471" customWidth="1"/>
    <col min="6652" max="6652" width="11.90625" style="471" customWidth="1"/>
    <col min="6653" max="6653" width="11.81640625" style="471" customWidth="1"/>
    <col min="6654" max="6655" width="15.90625" style="471" customWidth="1"/>
    <col min="6656" max="6656" width="12.08984375" style="471" customWidth="1"/>
    <col min="6657" max="6657" width="17.08984375" style="471" customWidth="1"/>
    <col min="6658" max="6664" width="12.08984375" style="471" customWidth="1"/>
    <col min="6665" max="6665" width="23" style="471" bestFit="1" customWidth="1"/>
    <col min="6666" max="6666" width="17.81640625" style="471" customWidth="1"/>
    <col min="6667" max="6667" width="12" style="471" customWidth="1"/>
    <col min="6668" max="6904" width="8.90625" style="471"/>
    <col min="6905" max="6905" width="6.6328125" style="471" customWidth="1"/>
    <col min="6906" max="6906" width="42.81640625" style="471" customWidth="1"/>
    <col min="6907" max="6907" width="22.6328125" style="471" customWidth="1"/>
    <col min="6908" max="6908" width="11.90625" style="471" customWidth="1"/>
    <col min="6909" max="6909" width="11.81640625" style="471" customWidth="1"/>
    <col min="6910" max="6911" width="15.90625" style="471" customWidth="1"/>
    <col min="6912" max="6912" width="12.08984375" style="471" customWidth="1"/>
    <col min="6913" max="6913" width="17.08984375" style="471" customWidth="1"/>
    <col min="6914" max="6920" width="12.08984375" style="471" customWidth="1"/>
    <col min="6921" max="6921" width="23" style="471" bestFit="1" customWidth="1"/>
    <col min="6922" max="6922" width="17.81640625" style="471" customWidth="1"/>
    <col min="6923" max="6923" width="12" style="471" customWidth="1"/>
    <col min="6924" max="7160" width="8.90625" style="471"/>
    <col min="7161" max="7161" width="6.6328125" style="471" customWidth="1"/>
    <col min="7162" max="7162" width="42.81640625" style="471" customWidth="1"/>
    <col min="7163" max="7163" width="22.6328125" style="471" customWidth="1"/>
    <col min="7164" max="7164" width="11.90625" style="471" customWidth="1"/>
    <col min="7165" max="7165" width="11.81640625" style="471" customWidth="1"/>
    <col min="7166" max="7167" width="15.90625" style="471" customWidth="1"/>
    <col min="7168" max="7168" width="12.08984375" style="471" customWidth="1"/>
    <col min="7169" max="7169" width="17.08984375" style="471" customWidth="1"/>
    <col min="7170" max="7176" width="12.08984375" style="471" customWidth="1"/>
    <col min="7177" max="7177" width="23" style="471" bestFit="1" customWidth="1"/>
    <col min="7178" max="7178" width="17.81640625" style="471" customWidth="1"/>
    <col min="7179" max="7179" width="12" style="471" customWidth="1"/>
    <col min="7180" max="7416" width="8.90625" style="471"/>
    <col min="7417" max="7417" width="6.6328125" style="471" customWidth="1"/>
    <col min="7418" max="7418" width="42.81640625" style="471" customWidth="1"/>
    <col min="7419" max="7419" width="22.6328125" style="471" customWidth="1"/>
    <col min="7420" max="7420" width="11.90625" style="471" customWidth="1"/>
    <col min="7421" max="7421" width="11.81640625" style="471" customWidth="1"/>
    <col min="7422" max="7423" width="15.90625" style="471" customWidth="1"/>
    <col min="7424" max="7424" width="12.08984375" style="471" customWidth="1"/>
    <col min="7425" max="7425" width="17.08984375" style="471" customWidth="1"/>
    <col min="7426" max="7432" width="12.08984375" style="471" customWidth="1"/>
    <col min="7433" max="7433" width="23" style="471" bestFit="1" customWidth="1"/>
    <col min="7434" max="7434" width="17.81640625" style="471" customWidth="1"/>
    <col min="7435" max="7435" width="12" style="471" customWidth="1"/>
    <col min="7436" max="7672" width="8.90625" style="471"/>
    <col min="7673" max="7673" width="6.6328125" style="471" customWidth="1"/>
    <col min="7674" max="7674" width="42.81640625" style="471" customWidth="1"/>
    <col min="7675" max="7675" width="22.6328125" style="471" customWidth="1"/>
    <col min="7676" max="7676" width="11.90625" style="471" customWidth="1"/>
    <col min="7677" max="7677" width="11.81640625" style="471" customWidth="1"/>
    <col min="7678" max="7679" width="15.90625" style="471" customWidth="1"/>
    <col min="7680" max="7680" width="12.08984375" style="471" customWidth="1"/>
    <col min="7681" max="7681" width="17.08984375" style="471" customWidth="1"/>
    <col min="7682" max="7688" width="12.08984375" style="471" customWidth="1"/>
    <col min="7689" max="7689" width="23" style="471" bestFit="1" customWidth="1"/>
    <col min="7690" max="7690" width="17.81640625" style="471" customWidth="1"/>
    <col min="7691" max="7691" width="12" style="471" customWidth="1"/>
    <col min="7692" max="7928" width="8.90625" style="471"/>
    <col min="7929" max="7929" width="6.6328125" style="471" customWidth="1"/>
    <col min="7930" max="7930" width="42.81640625" style="471" customWidth="1"/>
    <col min="7931" max="7931" width="22.6328125" style="471" customWidth="1"/>
    <col min="7932" max="7932" width="11.90625" style="471" customWidth="1"/>
    <col min="7933" max="7933" width="11.81640625" style="471" customWidth="1"/>
    <col min="7934" max="7935" width="15.90625" style="471" customWidth="1"/>
    <col min="7936" max="7936" width="12.08984375" style="471" customWidth="1"/>
    <col min="7937" max="7937" width="17.08984375" style="471" customWidth="1"/>
    <col min="7938" max="7944" width="12.08984375" style="471" customWidth="1"/>
    <col min="7945" max="7945" width="23" style="471" bestFit="1" customWidth="1"/>
    <col min="7946" max="7946" width="17.81640625" style="471" customWidth="1"/>
    <col min="7947" max="7947" width="12" style="471" customWidth="1"/>
    <col min="7948" max="8184" width="8.90625" style="471"/>
    <col min="8185" max="8185" width="6.6328125" style="471" customWidth="1"/>
    <col min="8186" max="8186" width="42.81640625" style="471" customWidth="1"/>
    <col min="8187" max="8187" width="22.6328125" style="471" customWidth="1"/>
    <col min="8188" max="8188" width="11.90625" style="471" customWidth="1"/>
    <col min="8189" max="8189" width="11.81640625" style="471" customWidth="1"/>
    <col min="8190" max="8191" width="15.90625" style="471" customWidth="1"/>
    <col min="8192" max="8192" width="12.08984375" style="471" customWidth="1"/>
    <col min="8193" max="8193" width="17.08984375" style="471" customWidth="1"/>
    <col min="8194" max="8200" width="12.08984375" style="471" customWidth="1"/>
    <col min="8201" max="8201" width="23" style="471" bestFit="1" customWidth="1"/>
    <col min="8202" max="8202" width="17.81640625" style="471" customWidth="1"/>
    <col min="8203" max="8203" width="12" style="471" customWidth="1"/>
    <col min="8204" max="8440" width="8.90625" style="471"/>
    <col min="8441" max="8441" width="6.6328125" style="471" customWidth="1"/>
    <col min="8442" max="8442" width="42.81640625" style="471" customWidth="1"/>
    <col min="8443" max="8443" width="22.6328125" style="471" customWidth="1"/>
    <col min="8444" max="8444" width="11.90625" style="471" customWidth="1"/>
    <col min="8445" max="8445" width="11.81640625" style="471" customWidth="1"/>
    <col min="8446" max="8447" width="15.90625" style="471" customWidth="1"/>
    <col min="8448" max="8448" width="12.08984375" style="471" customWidth="1"/>
    <col min="8449" max="8449" width="17.08984375" style="471" customWidth="1"/>
    <col min="8450" max="8456" width="12.08984375" style="471" customWidth="1"/>
    <col min="8457" max="8457" width="23" style="471" bestFit="1" customWidth="1"/>
    <col min="8458" max="8458" width="17.81640625" style="471" customWidth="1"/>
    <col min="8459" max="8459" width="12" style="471" customWidth="1"/>
    <col min="8460" max="8696" width="8.90625" style="471"/>
    <col min="8697" max="8697" width="6.6328125" style="471" customWidth="1"/>
    <col min="8698" max="8698" width="42.81640625" style="471" customWidth="1"/>
    <col min="8699" max="8699" width="22.6328125" style="471" customWidth="1"/>
    <col min="8700" max="8700" width="11.90625" style="471" customWidth="1"/>
    <col min="8701" max="8701" width="11.81640625" style="471" customWidth="1"/>
    <col min="8702" max="8703" width="15.90625" style="471" customWidth="1"/>
    <col min="8704" max="8704" width="12.08984375" style="471" customWidth="1"/>
    <col min="8705" max="8705" width="17.08984375" style="471" customWidth="1"/>
    <col min="8706" max="8712" width="12.08984375" style="471" customWidth="1"/>
    <col min="8713" max="8713" width="23" style="471" bestFit="1" customWidth="1"/>
    <col min="8714" max="8714" width="17.81640625" style="471" customWidth="1"/>
    <col min="8715" max="8715" width="12" style="471" customWidth="1"/>
    <col min="8716" max="8952" width="8.90625" style="471"/>
    <col min="8953" max="8953" width="6.6328125" style="471" customWidth="1"/>
    <col min="8954" max="8954" width="42.81640625" style="471" customWidth="1"/>
    <col min="8955" max="8955" width="22.6328125" style="471" customWidth="1"/>
    <col min="8956" max="8956" width="11.90625" style="471" customWidth="1"/>
    <col min="8957" max="8957" width="11.81640625" style="471" customWidth="1"/>
    <col min="8958" max="8959" width="15.90625" style="471" customWidth="1"/>
    <col min="8960" max="8960" width="12.08984375" style="471" customWidth="1"/>
    <col min="8961" max="8961" width="17.08984375" style="471" customWidth="1"/>
    <col min="8962" max="8968" width="12.08984375" style="471" customWidth="1"/>
    <col min="8969" max="8969" width="23" style="471" bestFit="1" customWidth="1"/>
    <col min="8970" max="8970" width="17.81640625" style="471" customWidth="1"/>
    <col min="8971" max="8971" width="12" style="471" customWidth="1"/>
    <col min="8972" max="9208" width="8.90625" style="471"/>
    <col min="9209" max="9209" width="6.6328125" style="471" customWidth="1"/>
    <col min="9210" max="9210" width="42.81640625" style="471" customWidth="1"/>
    <col min="9211" max="9211" width="22.6328125" style="471" customWidth="1"/>
    <col min="9212" max="9212" width="11.90625" style="471" customWidth="1"/>
    <col min="9213" max="9213" width="11.81640625" style="471" customWidth="1"/>
    <col min="9214" max="9215" width="15.90625" style="471" customWidth="1"/>
    <col min="9216" max="9216" width="12.08984375" style="471" customWidth="1"/>
    <col min="9217" max="9217" width="17.08984375" style="471" customWidth="1"/>
    <col min="9218" max="9224" width="12.08984375" style="471" customWidth="1"/>
    <col min="9225" max="9225" width="23" style="471" bestFit="1" customWidth="1"/>
    <col min="9226" max="9226" width="17.81640625" style="471" customWidth="1"/>
    <col min="9227" max="9227" width="12" style="471" customWidth="1"/>
    <col min="9228" max="9464" width="8.90625" style="471"/>
    <col min="9465" max="9465" width="6.6328125" style="471" customWidth="1"/>
    <col min="9466" max="9466" width="42.81640625" style="471" customWidth="1"/>
    <col min="9467" max="9467" width="22.6328125" style="471" customWidth="1"/>
    <col min="9468" max="9468" width="11.90625" style="471" customWidth="1"/>
    <col min="9469" max="9469" width="11.81640625" style="471" customWidth="1"/>
    <col min="9470" max="9471" width="15.90625" style="471" customWidth="1"/>
    <col min="9472" max="9472" width="12.08984375" style="471" customWidth="1"/>
    <col min="9473" max="9473" width="17.08984375" style="471" customWidth="1"/>
    <col min="9474" max="9480" width="12.08984375" style="471" customWidth="1"/>
    <col min="9481" max="9481" width="23" style="471" bestFit="1" customWidth="1"/>
    <col min="9482" max="9482" width="17.81640625" style="471" customWidth="1"/>
    <col min="9483" max="9483" width="12" style="471" customWidth="1"/>
    <col min="9484" max="9720" width="8.90625" style="471"/>
    <col min="9721" max="9721" width="6.6328125" style="471" customWidth="1"/>
    <col min="9722" max="9722" width="42.81640625" style="471" customWidth="1"/>
    <col min="9723" max="9723" width="22.6328125" style="471" customWidth="1"/>
    <col min="9724" max="9724" width="11.90625" style="471" customWidth="1"/>
    <col min="9725" max="9725" width="11.81640625" style="471" customWidth="1"/>
    <col min="9726" max="9727" width="15.90625" style="471" customWidth="1"/>
    <col min="9728" max="9728" width="12.08984375" style="471" customWidth="1"/>
    <col min="9729" max="9729" width="17.08984375" style="471" customWidth="1"/>
    <col min="9730" max="9736" width="12.08984375" style="471" customWidth="1"/>
    <col min="9737" max="9737" width="23" style="471" bestFit="1" customWidth="1"/>
    <col min="9738" max="9738" width="17.81640625" style="471" customWidth="1"/>
    <col min="9739" max="9739" width="12" style="471" customWidth="1"/>
    <col min="9740" max="9976" width="8.90625" style="471"/>
    <col min="9977" max="9977" width="6.6328125" style="471" customWidth="1"/>
    <col min="9978" max="9978" width="42.81640625" style="471" customWidth="1"/>
    <col min="9979" max="9979" width="22.6328125" style="471" customWidth="1"/>
    <col min="9980" max="9980" width="11.90625" style="471" customWidth="1"/>
    <col min="9981" max="9981" width="11.81640625" style="471" customWidth="1"/>
    <col min="9982" max="9983" width="15.90625" style="471" customWidth="1"/>
    <col min="9984" max="9984" width="12.08984375" style="471" customWidth="1"/>
    <col min="9985" max="9985" width="17.08984375" style="471" customWidth="1"/>
    <col min="9986" max="9992" width="12.08984375" style="471" customWidth="1"/>
    <col min="9993" max="9993" width="23" style="471" bestFit="1" customWidth="1"/>
    <col min="9994" max="9994" width="17.81640625" style="471" customWidth="1"/>
    <col min="9995" max="9995" width="12" style="471" customWidth="1"/>
    <col min="9996" max="10232" width="8.90625" style="471"/>
    <col min="10233" max="10233" width="6.6328125" style="471" customWidth="1"/>
    <col min="10234" max="10234" width="42.81640625" style="471" customWidth="1"/>
    <col min="10235" max="10235" width="22.6328125" style="471" customWidth="1"/>
    <col min="10236" max="10236" width="11.90625" style="471" customWidth="1"/>
    <col min="10237" max="10237" width="11.81640625" style="471" customWidth="1"/>
    <col min="10238" max="10239" width="15.90625" style="471" customWidth="1"/>
    <col min="10240" max="10240" width="12.08984375" style="471" customWidth="1"/>
    <col min="10241" max="10241" width="17.08984375" style="471" customWidth="1"/>
    <col min="10242" max="10248" width="12.08984375" style="471" customWidth="1"/>
    <col min="10249" max="10249" width="23" style="471" bestFit="1" customWidth="1"/>
    <col min="10250" max="10250" width="17.81640625" style="471" customWidth="1"/>
    <col min="10251" max="10251" width="12" style="471" customWidth="1"/>
    <col min="10252" max="10488" width="8.90625" style="471"/>
    <col min="10489" max="10489" width="6.6328125" style="471" customWidth="1"/>
    <col min="10490" max="10490" width="42.81640625" style="471" customWidth="1"/>
    <col min="10491" max="10491" width="22.6328125" style="471" customWidth="1"/>
    <col min="10492" max="10492" width="11.90625" style="471" customWidth="1"/>
    <col min="10493" max="10493" width="11.81640625" style="471" customWidth="1"/>
    <col min="10494" max="10495" width="15.90625" style="471" customWidth="1"/>
    <col min="10496" max="10496" width="12.08984375" style="471" customWidth="1"/>
    <col min="10497" max="10497" width="17.08984375" style="471" customWidth="1"/>
    <col min="10498" max="10504" width="12.08984375" style="471" customWidth="1"/>
    <col min="10505" max="10505" width="23" style="471" bestFit="1" customWidth="1"/>
    <col min="10506" max="10506" width="17.81640625" style="471" customWidth="1"/>
    <col min="10507" max="10507" width="12" style="471" customWidth="1"/>
    <col min="10508" max="10744" width="8.90625" style="471"/>
    <col min="10745" max="10745" width="6.6328125" style="471" customWidth="1"/>
    <col min="10746" max="10746" width="42.81640625" style="471" customWidth="1"/>
    <col min="10747" max="10747" width="22.6328125" style="471" customWidth="1"/>
    <col min="10748" max="10748" width="11.90625" style="471" customWidth="1"/>
    <col min="10749" max="10749" width="11.81640625" style="471" customWidth="1"/>
    <col min="10750" max="10751" width="15.90625" style="471" customWidth="1"/>
    <col min="10752" max="10752" width="12.08984375" style="471" customWidth="1"/>
    <col min="10753" max="10753" width="17.08984375" style="471" customWidth="1"/>
    <col min="10754" max="10760" width="12.08984375" style="471" customWidth="1"/>
    <col min="10761" max="10761" width="23" style="471" bestFit="1" customWidth="1"/>
    <col min="10762" max="10762" width="17.81640625" style="471" customWidth="1"/>
    <col min="10763" max="10763" width="12" style="471" customWidth="1"/>
    <col min="10764" max="11000" width="8.90625" style="471"/>
    <col min="11001" max="11001" width="6.6328125" style="471" customWidth="1"/>
    <col min="11002" max="11002" width="42.81640625" style="471" customWidth="1"/>
    <col min="11003" max="11003" width="22.6328125" style="471" customWidth="1"/>
    <col min="11004" max="11004" width="11.90625" style="471" customWidth="1"/>
    <col min="11005" max="11005" width="11.81640625" style="471" customWidth="1"/>
    <col min="11006" max="11007" width="15.90625" style="471" customWidth="1"/>
    <col min="11008" max="11008" width="12.08984375" style="471" customWidth="1"/>
    <col min="11009" max="11009" width="17.08984375" style="471" customWidth="1"/>
    <col min="11010" max="11016" width="12.08984375" style="471" customWidth="1"/>
    <col min="11017" max="11017" width="23" style="471" bestFit="1" customWidth="1"/>
    <col min="11018" max="11018" width="17.81640625" style="471" customWidth="1"/>
    <col min="11019" max="11019" width="12" style="471" customWidth="1"/>
    <col min="11020" max="11256" width="8.90625" style="471"/>
    <col min="11257" max="11257" width="6.6328125" style="471" customWidth="1"/>
    <col min="11258" max="11258" width="42.81640625" style="471" customWidth="1"/>
    <col min="11259" max="11259" width="22.6328125" style="471" customWidth="1"/>
    <col min="11260" max="11260" width="11.90625" style="471" customWidth="1"/>
    <col min="11261" max="11261" width="11.81640625" style="471" customWidth="1"/>
    <col min="11262" max="11263" width="15.90625" style="471" customWidth="1"/>
    <col min="11264" max="11264" width="12.08984375" style="471" customWidth="1"/>
    <col min="11265" max="11265" width="17.08984375" style="471" customWidth="1"/>
    <col min="11266" max="11272" width="12.08984375" style="471" customWidth="1"/>
    <col min="11273" max="11273" width="23" style="471" bestFit="1" customWidth="1"/>
    <col min="11274" max="11274" width="17.81640625" style="471" customWidth="1"/>
    <col min="11275" max="11275" width="12" style="471" customWidth="1"/>
    <col min="11276" max="11512" width="8.90625" style="471"/>
    <col min="11513" max="11513" width="6.6328125" style="471" customWidth="1"/>
    <col min="11514" max="11514" width="42.81640625" style="471" customWidth="1"/>
    <col min="11515" max="11515" width="22.6328125" style="471" customWidth="1"/>
    <col min="11516" max="11516" width="11.90625" style="471" customWidth="1"/>
    <col min="11517" max="11517" width="11.81640625" style="471" customWidth="1"/>
    <col min="11518" max="11519" width="15.90625" style="471" customWidth="1"/>
    <col min="11520" max="11520" width="12.08984375" style="471" customWidth="1"/>
    <col min="11521" max="11521" width="17.08984375" style="471" customWidth="1"/>
    <col min="11522" max="11528" width="12.08984375" style="471" customWidth="1"/>
    <col min="11529" max="11529" width="23" style="471" bestFit="1" customWidth="1"/>
    <col min="11530" max="11530" width="17.81640625" style="471" customWidth="1"/>
    <col min="11531" max="11531" width="12" style="471" customWidth="1"/>
    <col min="11532" max="11768" width="8.90625" style="471"/>
    <col min="11769" max="11769" width="6.6328125" style="471" customWidth="1"/>
    <col min="11770" max="11770" width="42.81640625" style="471" customWidth="1"/>
    <col min="11771" max="11771" width="22.6328125" style="471" customWidth="1"/>
    <col min="11772" max="11772" width="11.90625" style="471" customWidth="1"/>
    <col min="11773" max="11773" width="11.81640625" style="471" customWidth="1"/>
    <col min="11774" max="11775" width="15.90625" style="471" customWidth="1"/>
    <col min="11776" max="11776" width="12.08984375" style="471" customWidth="1"/>
    <col min="11777" max="11777" width="17.08984375" style="471" customWidth="1"/>
    <col min="11778" max="11784" width="12.08984375" style="471" customWidth="1"/>
    <col min="11785" max="11785" width="23" style="471" bestFit="1" customWidth="1"/>
    <col min="11786" max="11786" width="17.81640625" style="471" customWidth="1"/>
    <col min="11787" max="11787" width="12" style="471" customWidth="1"/>
    <col min="11788" max="12024" width="8.90625" style="471"/>
    <col min="12025" max="12025" width="6.6328125" style="471" customWidth="1"/>
    <col min="12026" max="12026" width="42.81640625" style="471" customWidth="1"/>
    <col min="12027" max="12027" width="22.6328125" style="471" customWidth="1"/>
    <col min="12028" max="12028" width="11.90625" style="471" customWidth="1"/>
    <col min="12029" max="12029" width="11.81640625" style="471" customWidth="1"/>
    <col min="12030" max="12031" width="15.90625" style="471" customWidth="1"/>
    <col min="12032" max="12032" width="12.08984375" style="471" customWidth="1"/>
    <col min="12033" max="12033" width="17.08984375" style="471" customWidth="1"/>
    <col min="12034" max="12040" width="12.08984375" style="471" customWidth="1"/>
    <col min="12041" max="12041" width="23" style="471" bestFit="1" customWidth="1"/>
    <col min="12042" max="12042" width="17.81640625" style="471" customWidth="1"/>
    <col min="12043" max="12043" width="12" style="471" customWidth="1"/>
    <col min="12044" max="12280" width="8.90625" style="471"/>
    <col min="12281" max="12281" width="6.6328125" style="471" customWidth="1"/>
    <col min="12282" max="12282" width="42.81640625" style="471" customWidth="1"/>
    <col min="12283" max="12283" width="22.6328125" style="471" customWidth="1"/>
    <col min="12284" max="12284" width="11.90625" style="471" customWidth="1"/>
    <col min="12285" max="12285" width="11.81640625" style="471" customWidth="1"/>
    <col min="12286" max="12287" width="15.90625" style="471" customWidth="1"/>
    <col min="12288" max="12288" width="12.08984375" style="471" customWidth="1"/>
    <col min="12289" max="12289" width="17.08984375" style="471" customWidth="1"/>
    <col min="12290" max="12296" width="12.08984375" style="471" customWidth="1"/>
    <col min="12297" max="12297" width="23" style="471" bestFit="1" customWidth="1"/>
    <col min="12298" max="12298" width="17.81640625" style="471" customWidth="1"/>
    <col min="12299" max="12299" width="12" style="471" customWidth="1"/>
    <col min="12300" max="12536" width="8.90625" style="471"/>
    <col min="12537" max="12537" width="6.6328125" style="471" customWidth="1"/>
    <col min="12538" max="12538" width="42.81640625" style="471" customWidth="1"/>
    <col min="12539" max="12539" width="22.6328125" style="471" customWidth="1"/>
    <col min="12540" max="12540" width="11.90625" style="471" customWidth="1"/>
    <col min="12541" max="12541" width="11.81640625" style="471" customWidth="1"/>
    <col min="12542" max="12543" width="15.90625" style="471" customWidth="1"/>
    <col min="12544" max="12544" width="12.08984375" style="471" customWidth="1"/>
    <col min="12545" max="12545" width="17.08984375" style="471" customWidth="1"/>
    <col min="12546" max="12552" width="12.08984375" style="471" customWidth="1"/>
    <col min="12553" max="12553" width="23" style="471" bestFit="1" customWidth="1"/>
    <col min="12554" max="12554" width="17.81640625" style="471" customWidth="1"/>
    <col min="12555" max="12555" width="12" style="471" customWidth="1"/>
    <col min="12556" max="12792" width="8.90625" style="471"/>
    <col min="12793" max="12793" width="6.6328125" style="471" customWidth="1"/>
    <col min="12794" max="12794" width="42.81640625" style="471" customWidth="1"/>
    <col min="12795" max="12795" width="22.6328125" style="471" customWidth="1"/>
    <col min="12796" max="12796" width="11.90625" style="471" customWidth="1"/>
    <col min="12797" max="12797" width="11.81640625" style="471" customWidth="1"/>
    <col min="12798" max="12799" width="15.90625" style="471" customWidth="1"/>
    <col min="12800" max="12800" width="12.08984375" style="471" customWidth="1"/>
    <col min="12801" max="12801" width="17.08984375" style="471" customWidth="1"/>
    <col min="12802" max="12808" width="12.08984375" style="471" customWidth="1"/>
    <col min="12809" max="12809" width="23" style="471" bestFit="1" customWidth="1"/>
    <col min="12810" max="12810" width="17.81640625" style="471" customWidth="1"/>
    <col min="12811" max="12811" width="12" style="471" customWidth="1"/>
    <col min="12812" max="13048" width="8.90625" style="471"/>
    <col min="13049" max="13049" width="6.6328125" style="471" customWidth="1"/>
    <col min="13050" max="13050" width="42.81640625" style="471" customWidth="1"/>
    <col min="13051" max="13051" width="22.6328125" style="471" customWidth="1"/>
    <col min="13052" max="13052" width="11.90625" style="471" customWidth="1"/>
    <col min="13053" max="13053" width="11.81640625" style="471" customWidth="1"/>
    <col min="13054" max="13055" width="15.90625" style="471" customWidth="1"/>
    <col min="13056" max="13056" width="12.08984375" style="471" customWidth="1"/>
    <col min="13057" max="13057" width="17.08984375" style="471" customWidth="1"/>
    <col min="13058" max="13064" width="12.08984375" style="471" customWidth="1"/>
    <col min="13065" max="13065" width="23" style="471" bestFit="1" customWidth="1"/>
    <col min="13066" max="13066" width="17.81640625" style="471" customWidth="1"/>
    <col min="13067" max="13067" width="12" style="471" customWidth="1"/>
    <col min="13068" max="13304" width="8.90625" style="471"/>
    <col min="13305" max="13305" width="6.6328125" style="471" customWidth="1"/>
    <col min="13306" max="13306" width="42.81640625" style="471" customWidth="1"/>
    <col min="13307" max="13307" width="22.6328125" style="471" customWidth="1"/>
    <col min="13308" max="13308" width="11.90625" style="471" customWidth="1"/>
    <col min="13309" max="13309" width="11.81640625" style="471" customWidth="1"/>
    <col min="13310" max="13311" width="15.90625" style="471" customWidth="1"/>
    <col min="13312" max="13312" width="12.08984375" style="471" customWidth="1"/>
    <col min="13313" max="13313" width="17.08984375" style="471" customWidth="1"/>
    <col min="13314" max="13320" width="12.08984375" style="471" customWidth="1"/>
    <col min="13321" max="13321" width="23" style="471" bestFit="1" customWidth="1"/>
    <col min="13322" max="13322" width="17.81640625" style="471" customWidth="1"/>
    <col min="13323" max="13323" width="12" style="471" customWidth="1"/>
    <col min="13324" max="13560" width="8.90625" style="471"/>
    <col min="13561" max="13561" width="6.6328125" style="471" customWidth="1"/>
    <col min="13562" max="13562" width="42.81640625" style="471" customWidth="1"/>
    <col min="13563" max="13563" width="22.6328125" style="471" customWidth="1"/>
    <col min="13564" max="13564" width="11.90625" style="471" customWidth="1"/>
    <col min="13565" max="13565" width="11.81640625" style="471" customWidth="1"/>
    <col min="13566" max="13567" width="15.90625" style="471" customWidth="1"/>
    <col min="13568" max="13568" width="12.08984375" style="471" customWidth="1"/>
    <col min="13569" max="13569" width="17.08984375" style="471" customWidth="1"/>
    <col min="13570" max="13576" width="12.08984375" style="471" customWidth="1"/>
    <col min="13577" max="13577" width="23" style="471" bestFit="1" customWidth="1"/>
    <col min="13578" max="13578" width="17.81640625" style="471" customWidth="1"/>
    <col min="13579" max="13579" width="12" style="471" customWidth="1"/>
    <col min="13580" max="13816" width="8.90625" style="471"/>
    <col min="13817" max="13817" width="6.6328125" style="471" customWidth="1"/>
    <col min="13818" max="13818" width="42.81640625" style="471" customWidth="1"/>
    <col min="13819" max="13819" width="22.6328125" style="471" customWidth="1"/>
    <col min="13820" max="13820" width="11.90625" style="471" customWidth="1"/>
    <col min="13821" max="13821" width="11.81640625" style="471" customWidth="1"/>
    <col min="13822" max="13823" width="15.90625" style="471" customWidth="1"/>
    <col min="13824" max="13824" width="12.08984375" style="471" customWidth="1"/>
    <col min="13825" max="13825" width="17.08984375" style="471" customWidth="1"/>
    <col min="13826" max="13832" width="12.08984375" style="471" customWidth="1"/>
    <col min="13833" max="13833" width="23" style="471" bestFit="1" customWidth="1"/>
    <col min="13834" max="13834" width="17.81640625" style="471" customWidth="1"/>
    <col min="13835" max="13835" width="12" style="471" customWidth="1"/>
    <col min="13836" max="14072" width="8.90625" style="471"/>
    <col min="14073" max="14073" width="6.6328125" style="471" customWidth="1"/>
    <col min="14074" max="14074" width="42.81640625" style="471" customWidth="1"/>
    <col min="14075" max="14075" width="22.6328125" style="471" customWidth="1"/>
    <col min="14076" max="14076" width="11.90625" style="471" customWidth="1"/>
    <col min="14077" max="14077" width="11.81640625" style="471" customWidth="1"/>
    <col min="14078" max="14079" width="15.90625" style="471" customWidth="1"/>
    <col min="14080" max="14080" width="12.08984375" style="471" customWidth="1"/>
    <col min="14081" max="14081" width="17.08984375" style="471" customWidth="1"/>
    <col min="14082" max="14088" width="12.08984375" style="471" customWidth="1"/>
    <col min="14089" max="14089" width="23" style="471" bestFit="1" customWidth="1"/>
    <col min="14090" max="14090" width="17.81640625" style="471" customWidth="1"/>
    <col min="14091" max="14091" width="12" style="471" customWidth="1"/>
    <col min="14092" max="14328" width="8.90625" style="471"/>
    <col min="14329" max="14329" width="6.6328125" style="471" customWidth="1"/>
    <col min="14330" max="14330" width="42.81640625" style="471" customWidth="1"/>
    <col min="14331" max="14331" width="22.6328125" style="471" customWidth="1"/>
    <col min="14332" max="14332" width="11.90625" style="471" customWidth="1"/>
    <col min="14333" max="14333" width="11.81640625" style="471" customWidth="1"/>
    <col min="14334" max="14335" width="15.90625" style="471" customWidth="1"/>
    <col min="14336" max="14336" width="12.08984375" style="471" customWidth="1"/>
    <col min="14337" max="14337" width="17.08984375" style="471" customWidth="1"/>
    <col min="14338" max="14344" width="12.08984375" style="471" customWidth="1"/>
    <col min="14345" max="14345" width="23" style="471" bestFit="1" customWidth="1"/>
    <col min="14346" max="14346" width="17.81640625" style="471" customWidth="1"/>
    <col min="14347" max="14347" width="12" style="471" customWidth="1"/>
    <col min="14348" max="14584" width="8.90625" style="471"/>
    <col min="14585" max="14585" width="6.6328125" style="471" customWidth="1"/>
    <col min="14586" max="14586" width="42.81640625" style="471" customWidth="1"/>
    <col min="14587" max="14587" width="22.6328125" style="471" customWidth="1"/>
    <col min="14588" max="14588" width="11.90625" style="471" customWidth="1"/>
    <col min="14589" max="14589" width="11.81640625" style="471" customWidth="1"/>
    <col min="14590" max="14591" width="15.90625" style="471" customWidth="1"/>
    <col min="14592" max="14592" width="12.08984375" style="471" customWidth="1"/>
    <col min="14593" max="14593" width="17.08984375" style="471" customWidth="1"/>
    <col min="14594" max="14600" width="12.08984375" style="471" customWidth="1"/>
    <col min="14601" max="14601" width="23" style="471" bestFit="1" customWidth="1"/>
    <col min="14602" max="14602" width="17.81640625" style="471" customWidth="1"/>
    <col min="14603" max="14603" width="12" style="471" customWidth="1"/>
    <col min="14604" max="14840" width="8.90625" style="471"/>
    <col min="14841" max="14841" width="6.6328125" style="471" customWidth="1"/>
    <col min="14842" max="14842" width="42.81640625" style="471" customWidth="1"/>
    <col min="14843" max="14843" width="22.6328125" style="471" customWidth="1"/>
    <col min="14844" max="14844" width="11.90625" style="471" customWidth="1"/>
    <col min="14845" max="14845" width="11.81640625" style="471" customWidth="1"/>
    <col min="14846" max="14847" width="15.90625" style="471" customWidth="1"/>
    <col min="14848" max="14848" width="12.08984375" style="471" customWidth="1"/>
    <col min="14849" max="14849" width="17.08984375" style="471" customWidth="1"/>
    <col min="14850" max="14856" width="12.08984375" style="471" customWidth="1"/>
    <col min="14857" max="14857" width="23" style="471" bestFit="1" customWidth="1"/>
    <col min="14858" max="14858" width="17.81640625" style="471" customWidth="1"/>
    <col min="14859" max="14859" width="12" style="471" customWidth="1"/>
    <col min="14860" max="15096" width="8.90625" style="471"/>
    <col min="15097" max="15097" width="6.6328125" style="471" customWidth="1"/>
    <col min="15098" max="15098" width="42.81640625" style="471" customWidth="1"/>
    <col min="15099" max="15099" width="22.6328125" style="471" customWidth="1"/>
    <col min="15100" max="15100" width="11.90625" style="471" customWidth="1"/>
    <col min="15101" max="15101" width="11.81640625" style="471" customWidth="1"/>
    <col min="15102" max="15103" width="15.90625" style="471" customWidth="1"/>
    <col min="15104" max="15104" width="12.08984375" style="471" customWidth="1"/>
    <col min="15105" max="15105" width="17.08984375" style="471" customWidth="1"/>
    <col min="15106" max="15112" width="12.08984375" style="471" customWidth="1"/>
    <col min="15113" max="15113" width="23" style="471" bestFit="1" customWidth="1"/>
    <col min="15114" max="15114" width="17.81640625" style="471" customWidth="1"/>
    <col min="15115" max="15115" width="12" style="471" customWidth="1"/>
    <col min="15116" max="15352" width="8.90625" style="471"/>
    <col min="15353" max="15353" width="6.6328125" style="471" customWidth="1"/>
    <col min="15354" max="15354" width="42.81640625" style="471" customWidth="1"/>
    <col min="15355" max="15355" width="22.6328125" style="471" customWidth="1"/>
    <col min="15356" max="15356" width="11.90625" style="471" customWidth="1"/>
    <col min="15357" max="15357" width="11.81640625" style="471" customWidth="1"/>
    <col min="15358" max="15359" width="15.90625" style="471" customWidth="1"/>
    <col min="15360" max="15360" width="12.08984375" style="471" customWidth="1"/>
    <col min="15361" max="15361" width="17.08984375" style="471" customWidth="1"/>
    <col min="15362" max="15368" width="12.08984375" style="471" customWidth="1"/>
    <col min="15369" max="15369" width="23" style="471" bestFit="1" customWidth="1"/>
    <col min="15370" max="15370" width="17.81640625" style="471" customWidth="1"/>
    <col min="15371" max="15371" width="12" style="471" customWidth="1"/>
    <col min="15372" max="15608" width="8.90625" style="471"/>
    <col min="15609" max="15609" width="6.6328125" style="471" customWidth="1"/>
    <col min="15610" max="15610" width="42.81640625" style="471" customWidth="1"/>
    <col min="15611" max="15611" width="22.6328125" style="471" customWidth="1"/>
    <col min="15612" max="15612" width="11.90625" style="471" customWidth="1"/>
    <col min="15613" max="15613" width="11.81640625" style="471" customWidth="1"/>
    <col min="15614" max="15615" width="15.90625" style="471" customWidth="1"/>
    <col min="15616" max="15616" width="12.08984375" style="471" customWidth="1"/>
    <col min="15617" max="15617" width="17.08984375" style="471" customWidth="1"/>
    <col min="15618" max="15624" width="12.08984375" style="471" customWidth="1"/>
    <col min="15625" max="15625" width="23" style="471" bestFit="1" customWidth="1"/>
    <col min="15626" max="15626" width="17.81640625" style="471" customWidth="1"/>
    <col min="15627" max="15627" width="12" style="471" customWidth="1"/>
    <col min="15628" max="15864" width="8.90625" style="471"/>
    <col min="15865" max="15865" width="6.6328125" style="471" customWidth="1"/>
    <col min="15866" max="15866" width="42.81640625" style="471" customWidth="1"/>
    <col min="15867" max="15867" width="22.6328125" style="471" customWidth="1"/>
    <col min="15868" max="15868" width="11.90625" style="471" customWidth="1"/>
    <col min="15869" max="15869" width="11.81640625" style="471" customWidth="1"/>
    <col min="15870" max="15871" width="15.90625" style="471" customWidth="1"/>
    <col min="15872" max="15872" width="12.08984375" style="471" customWidth="1"/>
    <col min="15873" max="15873" width="17.08984375" style="471" customWidth="1"/>
    <col min="15874" max="15880" width="12.08984375" style="471" customWidth="1"/>
    <col min="15881" max="15881" width="23" style="471" bestFit="1" customWidth="1"/>
    <col min="15882" max="15882" width="17.81640625" style="471" customWidth="1"/>
    <col min="15883" max="15883" width="12" style="471" customWidth="1"/>
    <col min="15884" max="16120" width="8.90625" style="471"/>
    <col min="16121" max="16121" width="6.6328125" style="471" customWidth="1"/>
    <col min="16122" max="16122" width="42.81640625" style="471" customWidth="1"/>
    <col min="16123" max="16123" width="22.6328125" style="471" customWidth="1"/>
    <col min="16124" max="16124" width="11.90625" style="471" customWidth="1"/>
    <col min="16125" max="16125" width="11.81640625" style="471" customWidth="1"/>
    <col min="16126" max="16127" width="15.90625" style="471" customWidth="1"/>
    <col min="16128" max="16128" width="12.08984375" style="471" customWidth="1"/>
    <col min="16129" max="16129" width="17.08984375" style="471" customWidth="1"/>
    <col min="16130" max="16136" width="12.08984375" style="471" customWidth="1"/>
    <col min="16137" max="16137" width="23" style="471" bestFit="1" customWidth="1"/>
    <col min="16138" max="16138" width="17.81640625" style="471" customWidth="1"/>
    <col min="16139" max="16139" width="12" style="471" customWidth="1"/>
    <col min="16140" max="16384" width="8.90625" style="471"/>
  </cols>
  <sheetData>
    <row r="1" spans="1:11" s="517" customFormat="1" ht="18">
      <c r="C1" s="522"/>
      <c r="H1" s="654" t="s">
        <v>591</v>
      </c>
      <c r="I1" s="654"/>
    </row>
    <row r="2" spans="1:11" s="517" customFormat="1" ht="18">
      <c r="A2" s="655" t="s">
        <v>605</v>
      </c>
      <c r="B2" s="655"/>
      <c r="C2" s="655"/>
      <c r="D2" s="655"/>
      <c r="E2" s="655"/>
      <c r="F2" s="655"/>
      <c r="G2" s="655"/>
      <c r="H2" s="655"/>
      <c r="I2" s="655"/>
    </row>
    <row r="3" spans="1:11" s="517" customFormat="1" ht="18">
      <c r="A3" s="656" t="s">
        <v>606</v>
      </c>
      <c r="B3" s="656"/>
      <c r="C3" s="656"/>
      <c r="D3" s="656"/>
      <c r="E3" s="656"/>
      <c r="F3" s="656"/>
      <c r="G3" s="656"/>
      <c r="H3" s="656"/>
      <c r="I3" s="656"/>
    </row>
    <row r="4" spans="1:11" s="517" customFormat="1" ht="27" customHeight="1">
      <c r="A4" s="472"/>
      <c r="B4" s="472"/>
      <c r="C4" s="523"/>
      <c r="G4" s="664" t="s">
        <v>592</v>
      </c>
      <c r="H4" s="664"/>
      <c r="I4" s="664"/>
    </row>
    <row r="5" spans="1:11" s="516" customFormat="1">
      <c r="A5" s="657" t="s">
        <v>217</v>
      </c>
      <c r="B5" s="657" t="s">
        <v>551</v>
      </c>
      <c r="C5" s="657" t="s">
        <v>552</v>
      </c>
      <c r="D5" s="658" t="s">
        <v>593</v>
      </c>
      <c r="E5" s="659"/>
      <c r="F5" s="659"/>
      <c r="G5" s="659"/>
      <c r="H5" s="659"/>
      <c r="I5" s="660"/>
    </row>
    <row r="6" spans="1:11" s="516" customFormat="1" ht="25.5" customHeight="1">
      <c r="A6" s="657"/>
      <c r="B6" s="657"/>
      <c r="C6" s="657"/>
      <c r="D6" s="661"/>
      <c r="E6" s="662"/>
      <c r="F6" s="662"/>
      <c r="G6" s="662"/>
      <c r="H6" s="662"/>
      <c r="I6" s="663"/>
    </row>
    <row r="7" spans="1:11" s="516" customFormat="1" ht="96.75" customHeight="1">
      <c r="A7" s="657"/>
      <c r="B7" s="657"/>
      <c r="C7" s="657"/>
      <c r="D7" s="537" t="s">
        <v>594</v>
      </c>
      <c r="E7" s="537" t="s">
        <v>555</v>
      </c>
      <c r="F7" s="537" t="s">
        <v>556</v>
      </c>
      <c r="G7" s="537" t="s">
        <v>557</v>
      </c>
      <c r="H7" s="537" t="s">
        <v>595</v>
      </c>
      <c r="I7" s="537" t="s">
        <v>559</v>
      </c>
    </row>
    <row r="8" spans="1:11" s="516" customFormat="1" ht="46.8">
      <c r="A8" s="473" t="s">
        <v>560</v>
      </c>
      <c r="B8" s="473" t="s">
        <v>561</v>
      </c>
      <c r="C8" s="473" t="s">
        <v>562</v>
      </c>
      <c r="D8" s="474" t="s">
        <v>596</v>
      </c>
      <c r="E8" s="474" t="s">
        <v>564</v>
      </c>
      <c r="F8" s="474" t="s">
        <v>565</v>
      </c>
      <c r="G8" s="474" t="s">
        <v>566</v>
      </c>
      <c r="H8" s="474" t="s">
        <v>567</v>
      </c>
      <c r="I8" s="474" t="s">
        <v>568</v>
      </c>
    </row>
    <row r="9" spans="1:11" s="516" customFormat="1">
      <c r="A9" s="537"/>
      <c r="B9" s="475" t="s">
        <v>569</v>
      </c>
      <c r="C9" s="537"/>
      <c r="D9" s="476">
        <f>D10+D20+D23+D26+D29</f>
        <v>15297</v>
      </c>
      <c r="E9" s="476">
        <f t="shared" ref="E9:I9" si="0">E10+E20+E23+E26+E29</f>
        <v>4125</v>
      </c>
      <c r="F9" s="476">
        <f t="shared" si="0"/>
        <v>3780</v>
      </c>
      <c r="G9" s="476">
        <f t="shared" si="0"/>
        <v>180</v>
      </c>
      <c r="H9" s="476">
        <f t="shared" si="0"/>
        <v>630</v>
      </c>
      <c r="I9" s="476">
        <f t="shared" si="0"/>
        <v>6582</v>
      </c>
      <c r="J9" s="528"/>
      <c r="K9" s="528"/>
    </row>
    <row r="10" spans="1:11" s="530" customFormat="1" ht="54" customHeight="1">
      <c r="A10" s="477">
        <v>1</v>
      </c>
      <c r="B10" s="518" t="s">
        <v>233</v>
      </c>
      <c r="C10" s="537"/>
      <c r="D10" s="476">
        <f>D11+D13+D15+D17</f>
        <v>9675</v>
      </c>
      <c r="E10" s="476">
        <f t="shared" ref="E10:I10" si="1">E11+E13+E15+E17</f>
        <v>4125</v>
      </c>
      <c r="F10" s="476">
        <f t="shared" si="1"/>
        <v>0</v>
      </c>
      <c r="G10" s="476">
        <f t="shared" si="1"/>
        <v>0</v>
      </c>
      <c r="H10" s="476">
        <f t="shared" si="1"/>
        <v>0</v>
      </c>
      <c r="I10" s="476">
        <f t="shared" si="1"/>
        <v>5550</v>
      </c>
      <c r="J10" s="529"/>
    </row>
    <row r="11" spans="1:11" s="530" customFormat="1" ht="109.5" customHeight="1">
      <c r="A11" s="477"/>
      <c r="B11" s="518" t="s">
        <v>235</v>
      </c>
      <c r="C11" s="537"/>
      <c r="D11" s="538">
        <v>750</v>
      </c>
      <c r="E11" s="538">
        <v>0</v>
      </c>
      <c r="F11" s="538">
        <v>0</v>
      </c>
      <c r="G11" s="538">
        <v>0</v>
      </c>
      <c r="H11" s="538"/>
      <c r="I11" s="538">
        <v>750</v>
      </c>
      <c r="J11" s="529"/>
    </row>
    <row r="12" spans="1:11" s="516" customFormat="1" ht="31.2">
      <c r="A12" s="478"/>
      <c r="B12" s="518"/>
      <c r="C12" s="524" t="s">
        <v>602</v>
      </c>
      <c r="D12" s="539">
        <v>750</v>
      </c>
      <c r="E12" s="539">
        <v>0</v>
      </c>
      <c r="F12" s="539">
        <v>0</v>
      </c>
      <c r="G12" s="539">
        <v>0</v>
      </c>
      <c r="H12" s="539"/>
      <c r="I12" s="539">
        <v>750</v>
      </c>
      <c r="J12" s="531"/>
    </row>
    <row r="13" spans="1:11" s="530" customFormat="1" ht="40.5" customHeight="1">
      <c r="A13" s="477"/>
      <c r="B13" s="518" t="s">
        <v>237</v>
      </c>
      <c r="C13" s="537"/>
      <c r="D13" s="538">
        <v>3750</v>
      </c>
      <c r="E13" s="538">
        <v>0</v>
      </c>
      <c r="F13" s="538">
        <v>0</v>
      </c>
      <c r="G13" s="538">
        <v>0</v>
      </c>
      <c r="H13" s="538"/>
      <c r="I13" s="538">
        <v>3750</v>
      </c>
      <c r="J13" s="529"/>
    </row>
    <row r="14" spans="1:11" s="516" customFormat="1" ht="31.2">
      <c r="A14" s="478"/>
      <c r="B14" s="518"/>
      <c r="C14" s="524" t="s">
        <v>602</v>
      </c>
      <c r="D14" s="539">
        <v>3750</v>
      </c>
      <c r="E14" s="539">
        <v>0</v>
      </c>
      <c r="F14" s="539">
        <v>0</v>
      </c>
      <c r="G14" s="539">
        <v>0</v>
      </c>
      <c r="H14" s="539"/>
      <c r="I14" s="539">
        <v>3750</v>
      </c>
      <c r="J14" s="531"/>
    </row>
    <row r="15" spans="1:11" s="533" customFormat="1" ht="99.75" customHeight="1">
      <c r="A15" s="479"/>
      <c r="B15" s="518" t="s">
        <v>239</v>
      </c>
      <c r="C15" s="537"/>
      <c r="D15" s="538">
        <v>450</v>
      </c>
      <c r="E15" s="538">
        <v>0</v>
      </c>
      <c r="F15" s="538">
        <v>0</v>
      </c>
      <c r="G15" s="538">
        <v>0</v>
      </c>
      <c r="H15" s="540"/>
      <c r="I15" s="540">
        <v>450</v>
      </c>
      <c r="J15" s="532"/>
    </row>
    <row r="16" spans="1:11" s="516" customFormat="1" ht="31.2">
      <c r="A16" s="478"/>
      <c r="B16" s="518"/>
      <c r="C16" s="524" t="s">
        <v>602</v>
      </c>
      <c r="D16" s="539">
        <v>450</v>
      </c>
      <c r="E16" s="539">
        <v>0</v>
      </c>
      <c r="F16" s="539">
        <v>0</v>
      </c>
      <c r="G16" s="539">
        <v>0</v>
      </c>
      <c r="H16" s="539"/>
      <c r="I16" s="539">
        <v>450</v>
      </c>
      <c r="J16" s="531"/>
    </row>
    <row r="17" spans="1:10" s="533" customFormat="1" ht="72.75" customHeight="1">
      <c r="A17" s="479"/>
      <c r="B17" s="518" t="s">
        <v>241</v>
      </c>
      <c r="C17" s="537"/>
      <c r="D17" s="538">
        <v>4725</v>
      </c>
      <c r="E17" s="538">
        <v>4125</v>
      </c>
      <c r="F17" s="538">
        <v>0</v>
      </c>
      <c r="G17" s="538">
        <v>0</v>
      </c>
      <c r="H17" s="540"/>
      <c r="I17" s="540">
        <v>600</v>
      </c>
      <c r="J17" s="532"/>
    </row>
    <row r="18" spans="1:10" s="516" customFormat="1" ht="31.2">
      <c r="A18" s="478"/>
      <c r="B18" s="518"/>
      <c r="C18" s="524" t="s">
        <v>597</v>
      </c>
      <c r="D18" s="539">
        <v>4125</v>
      </c>
      <c r="E18" s="539">
        <v>4125</v>
      </c>
      <c r="F18" s="539">
        <v>0</v>
      </c>
      <c r="G18" s="539">
        <v>0</v>
      </c>
      <c r="H18" s="539"/>
      <c r="I18" s="539">
        <v>0</v>
      </c>
      <c r="J18" s="531"/>
    </row>
    <row r="19" spans="1:10" s="516" customFormat="1" ht="31.2">
      <c r="A19" s="478"/>
      <c r="B19" s="518"/>
      <c r="C19" s="524" t="s">
        <v>602</v>
      </c>
      <c r="D19" s="539">
        <v>600</v>
      </c>
      <c r="E19" s="539">
        <v>0</v>
      </c>
      <c r="F19" s="539">
        <v>0</v>
      </c>
      <c r="G19" s="539">
        <v>0</v>
      </c>
      <c r="H19" s="539"/>
      <c r="I19" s="539">
        <v>600</v>
      </c>
      <c r="J19" s="531"/>
    </row>
    <row r="20" spans="1:10" s="530" customFormat="1" ht="76.5" customHeight="1">
      <c r="A20" s="477">
        <v>2</v>
      </c>
      <c r="B20" s="518" t="s">
        <v>244</v>
      </c>
      <c r="C20" s="537"/>
      <c r="D20" s="538">
        <v>3780</v>
      </c>
      <c r="E20" s="538">
        <v>0</v>
      </c>
      <c r="F20" s="538">
        <v>3780</v>
      </c>
      <c r="G20" s="538">
        <v>0</v>
      </c>
      <c r="H20" s="538"/>
      <c r="I20" s="538">
        <v>0</v>
      </c>
      <c r="J20" s="529"/>
    </row>
    <row r="21" spans="1:10" s="535" customFormat="1" ht="62.4">
      <c r="A21" s="480"/>
      <c r="B21" s="518" t="s">
        <v>245</v>
      </c>
      <c r="C21" s="524"/>
      <c r="D21" s="538">
        <v>3780</v>
      </c>
      <c r="E21" s="538">
        <v>0</v>
      </c>
      <c r="F21" s="538">
        <v>3780</v>
      </c>
      <c r="G21" s="538">
        <v>0</v>
      </c>
      <c r="H21" s="540"/>
      <c r="I21" s="540">
        <v>0</v>
      </c>
      <c r="J21" s="534"/>
    </row>
    <row r="22" spans="1:10" s="516" customFormat="1" ht="31.2">
      <c r="A22" s="478"/>
      <c r="B22" s="518"/>
      <c r="C22" s="524" t="s">
        <v>603</v>
      </c>
      <c r="D22" s="539">
        <v>3780</v>
      </c>
      <c r="E22" s="539">
        <v>0</v>
      </c>
      <c r="F22" s="539">
        <v>3780</v>
      </c>
      <c r="G22" s="539">
        <v>0</v>
      </c>
      <c r="H22" s="539"/>
      <c r="I22" s="539">
        <v>0</v>
      </c>
      <c r="J22" s="531"/>
    </row>
    <row r="23" spans="1:10" s="516" customFormat="1" ht="46.8">
      <c r="A23" s="477">
        <v>3</v>
      </c>
      <c r="B23" s="518" t="s">
        <v>260</v>
      </c>
      <c r="C23" s="525"/>
      <c r="D23" s="538">
        <v>180</v>
      </c>
      <c r="E23" s="538">
        <v>0</v>
      </c>
      <c r="F23" s="538">
        <v>0</v>
      </c>
      <c r="G23" s="538">
        <v>180</v>
      </c>
      <c r="H23" s="538"/>
      <c r="I23" s="538">
        <v>0</v>
      </c>
      <c r="J23" s="531"/>
    </row>
    <row r="24" spans="1:10" s="535" customFormat="1" ht="46.8">
      <c r="A24" s="480"/>
      <c r="B24" s="518" t="s">
        <v>582</v>
      </c>
      <c r="C24" s="524"/>
      <c r="D24" s="538">
        <v>180</v>
      </c>
      <c r="E24" s="538">
        <v>0</v>
      </c>
      <c r="F24" s="538">
        <v>0</v>
      </c>
      <c r="G24" s="538">
        <v>180</v>
      </c>
      <c r="H24" s="540"/>
      <c r="I24" s="540">
        <v>0</v>
      </c>
      <c r="J24" s="534"/>
    </row>
    <row r="25" spans="1:10" s="516" customFormat="1" ht="31.2">
      <c r="A25" s="478"/>
      <c r="B25" s="519"/>
      <c r="C25" s="524" t="s">
        <v>583</v>
      </c>
      <c r="D25" s="539">
        <v>180</v>
      </c>
      <c r="E25" s="539">
        <v>0</v>
      </c>
      <c r="F25" s="539">
        <v>0</v>
      </c>
      <c r="G25" s="539">
        <v>180</v>
      </c>
      <c r="H25" s="539"/>
      <c r="I25" s="539">
        <v>0</v>
      </c>
      <c r="J25" s="531"/>
    </row>
    <row r="26" spans="1:10" s="530" customFormat="1" ht="40.5" customHeight="1">
      <c r="A26" s="477">
        <v>4</v>
      </c>
      <c r="B26" s="518" t="s">
        <v>267</v>
      </c>
      <c r="C26" s="537"/>
      <c r="D26" s="476">
        <v>630</v>
      </c>
      <c r="E26" s="476">
        <f>SUM(E27)</f>
        <v>0</v>
      </c>
      <c r="F26" s="476">
        <f t="shared" ref="F26:I26" si="2">SUM(F27)</f>
        <v>0</v>
      </c>
      <c r="G26" s="476">
        <f t="shared" si="2"/>
        <v>0</v>
      </c>
      <c r="H26" s="476">
        <f t="shared" si="2"/>
        <v>630</v>
      </c>
      <c r="I26" s="476">
        <f t="shared" si="2"/>
        <v>0</v>
      </c>
      <c r="J26" s="529"/>
    </row>
    <row r="27" spans="1:10" s="516" customFormat="1" ht="88.5" customHeight="1">
      <c r="A27" s="478"/>
      <c r="B27" s="518" t="s">
        <v>269</v>
      </c>
      <c r="C27" s="524"/>
      <c r="D27" s="538">
        <v>630</v>
      </c>
      <c r="E27" s="538">
        <f>SUM(E28:E28)</f>
        <v>0</v>
      </c>
      <c r="F27" s="538">
        <f>SUM(F28:F28)</f>
        <v>0</v>
      </c>
      <c r="G27" s="538">
        <f>SUM(G28:G28)</f>
        <v>0</v>
      </c>
      <c r="H27" s="538">
        <f>SUM(H28:H28)</f>
        <v>630</v>
      </c>
      <c r="I27" s="538">
        <f>SUM(I28:I28)</f>
        <v>0</v>
      </c>
      <c r="J27" s="531"/>
    </row>
    <row r="28" spans="1:10" s="516" customFormat="1">
      <c r="A28" s="478"/>
      <c r="B28" s="518"/>
      <c r="C28" s="524" t="s">
        <v>81</v>
      </c>
      <c r="D28" s="539">
        <v>630</v>
      </c>
      <c r="E28" s="539">
        <v>0</v>
      </c>
      <c r="F28" s="539">
        <v>0</v>
      </c>
      <c r="G28" s="539">
        <v>0</v>
      </c>
      <c r="H28" s="539">
        <v>630</v>
      </c>
      <c r="I28" s="539"/>
      <c r="J28" s="531"/>
    </row>
    <row r="29" spans="1:10" s="530" customFormat="1" ht="93.75" customHeight="1">
      <c r="A29" s="477">
        <v>5</v>
      </c>
      <c r="B29" s="518" t="s">
        <v>270</v>
      </c>
      <c r="C29" s="537"/>
      <c r="D29" s="476">
        <v>1032</v>
      </c>
      <c r="E29" s="476">
        <v>0</v>
      </c>
      <c r="F29" s="476">
        <v>0</v>
      </c>
      <c r="G29" s="476">
        <v>0</v>
      </c>
      <c r="H29" s="476"/>
      <c r="I29" s="476">
        <v>1032</v>
      </c>
      <c r="J29" s="529"/>
    </row>
    <row r="30" spans="1:10" s="535" customFormat="1" ht="85.5" customHeight="1">
      <c r="A30" s="480"/>
      <c r="B30" s="518" t="s">
        <v>272</v>
      </c>
      <c r="C30" s="524"/>
      <c r="D30" s="476">
        <v>1032</v>
      </c>
      <c r="E30" s="476">
        <v>0</v>
      </c>
      <c r="F30" s="476">
        <v>0</v>
      </c>
      <c r="G30" s="476">
        <v>0</v>
      </c>
      <c r="H30" s="481"/>
      <c r="I30" s="481">
        <v>1032</v>
      </c>
      <c r="J30" s="534"/>
    </row>
    <row r="31" spans="1:10" s="516" customFormat="1" ht="54" customHeight="1">
      <c r="A31" s="478"/>
      <c r="B31" s="518" t="s">
        <v>586</v>
      </c>
      <c r="C31" s="524"/>
      <c r="D31" s="538">
        <f t="shared" ref="D31:I31" si="3">SUM(D32:D38)</f>
        <v>267</v>
      </c>
      <c r="E31" s="538">
        <f t="shared" si="3"/>
        <v>0</v>
      </c>
      <c r="F31" s="538">
        <f t="shared" si="3"/>
        <v>0</v>
      </c>
      <c r="G31" s="538">
        <f t="shared" si="3"/>
        <v>0</v>
      </c>
      <c r="H31" s="538">
        <f t="shared" si="3"/>
        <v>6</v>
      </c>
      <c r="I31" s="538">
        <f t="shared" si="3"/>
        <v>261</v>
      </c>
      <c r="J31" s="531"/>
    </row>
    <row r="32" spans="1:10" s="516" customFormat="1">
      <c r="A32" s="482"/>
      <c r="B32" s="520"/>
      <c r="C32" s="524" t="s">
        <v>587</v>
      </c>
      <c r="D32" s="539">
        <v>60</v>
      </c>
      <c r="E32" s="539">
        <v>0</v>
      </c>
      <c r="F32" s="539">
        <v>0</v>
      </c>
      <c r="G32" s="539">
        <v>0</v>
      </c>
      <c r="H32" s="539"/>
      <c r="I32" s="539">
        <v>60</v>
      </c>
      <c r="J32" s="531"/>
    </row>
    <row r="33" spans="1:10" s="516" customFormat="1">
      <c r="A33" s="482"/>
      <c r="B33" s="521"/>
      <c r="C33" s="524" t="s">
        <v>53</v>
      </c>
      <c r="D33" s="539">
        <v>6</v>
      </c>
      <c r="E33" s="539">
        <v>0</v>
      </c>
      <c r="F33" s="539">
        <v>0</v>
      </c>
      <c r="G33" s="539">
        <v>0</v>
      </c>
      <c r="H33" s="539"/>
      <c r="I33" s="539">
        <v>6</v>
      </c>
      <c r="J33" s="531"/>
    </row>
    <row r="34" spans="1:10" s="516" customFormat="1" ht="31.2">
      <c r="A34" s="482"/>
      <c r="B34" s="521"/>
      <c r="C34" s="524" t="s">
        <v>577</v>
      </c>
      <c r="D34" s="539">
        <v>15</v>
      </c>
      <c r="E34" s="539">
        <v>0</v>
      </c>
      <c r="F34" s="539">
        <v>0</v>
      </c>
      <c r="G34" s="539">
        <v>0</v>
      </c>
      <c r="H34" s="539"/>
      <c r="I34" s="539">
        <v>15</v>
      </c>
      <c r="J34" s="531"/>
    </row>
    <row r="35" spans="1:10" s="516" customFormat="1">
      <c r="A35" s="482"/>
      <c r="B35" s="521"/>
      <c r="C35" s="524" t="s">
        <v>45</v>
      </c>
      <c r="D35" s="539">
        <v>6</v>
      </c>
      <c r="E35" s="539">
        <v>0</v>
      </c>
      <c r="F35" s="539">
        <v>0</v>
      </c>
      <c r="G35" s="539">
        <v>0</v>
      </c>
      <c r="H35" s="539"/>
      <c r="I35" s="539">
        <v>6</v>
      </c>
      <c r="J35" s="531"/>
    </row>
    <row r="36" spans="1:10" s="516" customFormat="1" ht="31.2">
      <c r="A36" s="482"/>
      <c r="B36" s="519"/>
      <c r="C36" s="524" t="s">
        <v>603</v>
      </c>
      <c r="D36" s="539">
        <v>12</v>
      </c>
      <c r="E36" s="539">
        <v>0</v>
      </c>
      <c r="F36" s="539">
        <v>0</v>
      </c>
      <c r="G36" s="539">
        <v>0</v>
      </c>
      <c r="H36" s="539"/>
      <c r="I36" s="539">
        <v>12</v>
      </c>
      <c r="J36" s="531"/>
    </row>
    <row r="37" spans="1:10" s="516" customFormat="1">
      <c r="A37" s="482"/>
      <c r="B37" s="521"/>
      <c r="C37" s="524" t="s">
        <v>588</v>
      </c>
      <c r="D37" s="539">
        <v>6</v>
      </c>
      <c r="E37" s="539">
        <v>0</v>
      </c>
      <c r="F37" s="539">
        <v>0</v>
      </c>
      <c r="G37" s="539">
        <v>0</v>
      </c>
      <c r="H37" s="539">
        <v>6</v>
      </c>
      <c r="I37" s="539"/>
      <c r="J37" s="531"/>
    </row>
    <row r="38" spans="1:10" s="516" customFormat="1" ht="31.2">
      <c r="A38" s="482"/>
      <c r="B38" s="521"/>
      <c r="C38" s="524" t="s">
        <v>602</v>
      </c>
      <c r="D38" s="483">
        <v>162</v>
      </c>
      <c r="E38" s="483">
        <v>0</v>
      </c>
      <c r="F38" s="483">
        <v>0</v>
      </c>
      <c r="G38" s="483">
        <v>0</v>
      </c>
      <c r="H38" s="483"/>
      <c r="I38" s="483">
        <v>162</v>
      </c>
      <c r="J38" s="531"/>
    </row>
    <row r="39" spans="1:10" s="516" customFormat="1" ht="58.5" customHeight="1">
      <c r="A39" s="482"/>
      <c r="B39" s="521" t="s">
        <v>589</v>
      </c>
      <c r="C39" s="524"/>
      <c r="D39" s="539">
        <v>195</v>
      </c>
      <c r="E39" s="539">
        <v>0</v>
      </c>
      <c r="F39" s="539">
        <v>0</v>
      </c>
      <c r="G39" s="539">
        <v>0</v>
      </c>
      <c r="H39" s="539"/>
      <c r="I39" s="539">
        <v>195</v>
      </c>
      <c r="J39" s="531"/>
    </row>
    <row r="40" spans="1:10" s="516" customFormat="1" ht="31.2">
      <c r="A40" s="482"/>
      <c r="B40" s="521"/>
      <c r="C40" s="526" t="s">
        <v>577</v>
      </c>
      <c r="D40" s="539">
        <v>75</v>
      </c>
      <c r="E40" s="539">
        <v>0</v>
      </c>
      <c r="F40" s="539">
        <v>0</v>
      </c>
      <c r="G40" s="539">
        <v>0</v>
      </c>
      <c r="H40" s="539"/>
      <c r="I40" s="539">
        <v>75</v>
      </c>
      <c r="J40" s="531"/>
    </row>
    <row r="41" spans="1:10" s="516" customFormat="1" ht="31.2">
      <c r="A41" s="482"/>
      <c r="B41" s="521"/>
      <c r="C41" s="524" t="s">
        <v>602</v>
      </c>
      <c r="D41" s="539">
        <v>120</v>
      </c>
      <c r="E41" s="539">
        <v>0</v>
      </c>
      <c r="F41" s="539">
        <v>0</v>
      </c>
      <c r="G41" s="539">
        <v>0</v>
      </c>
      <c r="H41" s="539"/>
      <c r="I41" s="539">
        <v>120</v>
      </c>
      <c r="J41" s="531"/>
    </row>
    <row r="42" spans="1:10" s="516" customFormat="1" ht="93.6">
      <c r="A42" s="482"/>
      <c r="B42" s="521" t="s">
        <v>590</v>
      </c>
      <c r="C42" s="537"/>
      <c r="D42" s="538">
        <v>570</v>
      </c>
      <c r="E42" s="538">
        <v>0</v>
      </c>
      <c r="F42" s="538">
        <v>0</v>
      </c>
      <c r="G42" s="538">
        <v>0</v>
      </c>
      <c r="H42" s="538"/>
      <c r="I42" s="538">
        <v>570</v>
      </c>
      <c r="J42" s="531"/>
    </row>
    <row r="43" spans="1:10" s="516" customFormat="1" ht="31.2">
      <c r="A43" s="482"/>
      <c r="B43" s="519"/>
      <c r="C43" s="524" t="s">
        <v>602</v>
      </c>
      <c r="D43" s="539">
        <v>570</v>
      </c>
      <c r="E43" s="539"/>
      <c r="F43" s="539"/>
      <c r="G43" s="539"/>
      <c r="H43" s="539"/>
      <c r="I43" s="539">
        <v>570</v>
      </c>
      <c r="J43" s="531"/>
    </row>
  </sheetData>
  <mergeCells count="8">
    <mergeCell ref="H1:I1"/>
    <mergeCell ref="A2:I2"/>
    <mergeCell ref="A3:I3"/>
    <mergeCell ref="A5:A7"/>
    <mergeCell ref="B5:B7"/>
    <mergeCell ref="C5:C7"/>
    <mergeCell ref="D5:I6"/>
    <mergeCell ref="G4:I4"/>
  </mergeCells>
  <pageMargins left="0" right="0" top="0.39370078740157483" bottom="0" header="0" footer="0"/>
  <pageSetup paperSize="9" fitToHeight="0" orientation="landscape" horizontalDpi="0" verticalDpi="0" r:id="rId1"/>
  <headerFooter differentFirst="1">
    <oddHeader>&amp;C&amp;"Times New Roman,Regular"&amp;10&amp;P</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2"/>
  <sheetViews>
    <sheetView zoomScale="130" zoomScaleNormal="130" workbookViewId="0">
      <pane xSplit="2" ySplit="6" topLeftCell="C79" activePane="bottomRight" state="frozen"/>
      <selection activeCell="D1" sqref="D1:E1048576"/>
      <selection pane="topRight" activeCell="D1" sqref="D1:E1048576"/>
      <selection pane="bottomLeft" activeCell="D1" sqref="D1:E1048576"/>
      <selection pane="bottomRight" activeCell="D1" sqref="D1:E1048576"/>
    </sheetView>
  </sheetViews>
  <sheetFormatPr defaultColWidth="8.90625" defaultRowHeight="8.4"/>
  <cols>
    <col min="1" max="1" width="1.81640625" style="31" customWidth="1"/>
    <col min="2" max="2" width="16.08984375" style="12" customWidth="1"/>
    <col min="3" max="3" width="5.6328125" style="12" customWidth="1"/>
    <col min="4" max="4" width="4.453125" style="31" customWidth="1"/>
    <col min="5" max="5" width="1.1796875" style="31" hidden="1" customWidth="1"/>
    <col min="6" max="6" width="4.6328125" style="31" customWidth="1"/>
    <col min="7" max="7" width="2.6328125" style="12" hidden="1" customWidth="1"/>
    <col min="8" max="8" width="5.81640625" style="12" customWidth="1"/>
    <col min="9" max="9" width="4.08984375" style="12" customWidth="1"/>
    <col min="10" max="10" width="4.453125" style="12" customWidth="1"/>
    <col min="11" max="11" width="3.81640625" style="12" customWidth="1"/>
    <col min="12" max="12" width="3.6328125" style="12" customWidth="1"/>
    <col min="13" max="13" width="4.1796875" style="12" customWidth="1"/>
    <col min="14" max="14" width="3.54296875" style="12" customWidth="1"/>
    <col min="15" max="15" width="5.36328125" style="12" customWidth="1"/>
    <col min="16" max="16" width="5" style="12" customWidth="1"/>
    <col min="17" max="18" width="3.90625" style="12" customWidth="1"/>
    <col min="19" max="19" width="4" style="12" customWidth="1"/>
    <col min="20" max="20" width="4.1796875" style="12" customWidth="1"/>
    <col min="21" max="21" width="4.08984375" style="12" customWidth="1"/>
    <col min="22" max="22" width="3.90625" style="12" customWidth="1"/>
    <col min="23" max="23" width="4.54296875" style="12" bestFit="1" customWidth="1"/>
    <col min="24" max="24" width="5.36328125" style="12" customWidth="1"/>
    <col min="25" max="26" width="4.08984375" style="12" customWidth="1"/>
    <col min="27" max="27" width="4.453125" style="12" customWidth="1"/>
    <col min="28" max="28" width="3.81640625" style="12" customWidth="1"/>
    <col min="29" max="29" width="3.90625" style="12" customWidth="1"/>
    <col min="30" max="16384" width="8.90625" style="12"/>
  </cols>
  <sheetData>
    <row r="1" spans="1:29" s="11" customFormat="1" ht="27" customHeight="1">
      <c r="A1" s="665" t="s">
        <v>206</v>
      </c>
      <c r="B1" s="665"/>
      <c r="C1" s="665"/>
      <c r="D1" s="665"/>
      <c r="E1" s="665"/>
      <c r="F1" s="665"/>
      <c r="G1" s="665"/>
      <c r="H1" s="665"/>
      <c r="I1" s="665"/>
      <c r="J1" s="665"/>
      <c r="K1" s="665"/>
      <c r="L1" s="665"/>
      <c r="M1" s="665"/>
      <c r="N1" s="665"/>
      <c r="O1" s="665"/>
      <c r="P1" s="665"/>
      <c r="Q1" s="665"/>
      <c r="R1" s="665"/>
      <c r="S1" s="665"/>
      <c r="T1" s="665"/>
      <c r="U1" s="665"/>
      <c r="V1" s="665"/>
      <c r="W1" s="665"/>
      <c r="X1" s="665"/>
      <c r="Y1" s="665"/>
      <c r="Z1" s="665"/>
      <c r="AA1" s="665"/>
      <c r="AB1" s="665"/>
      <c r="AC1" s="665"/>
    </row>
    <row r="2" spans="1:29" s="11" customFormat="1" ht="14.25" customHeight="1">
      <c r="A2" s="15"/>
      <c r="C2" s="15"/>
      <c r="D2" s="15"/>
      <c r="E2" s="15"/>
      <c r="F2" s="15"/>
      <c r="G2" s="15"/>
      <c r="H2" s="15"/>
      <c r="I2" s="15"/>
      <c r="J2" s="15"/>
      <c r="K2" s="15"/>
      <c r="L2" s="15"/>
      <c r="M2" s="15"/>
      <c r="N2" s="15"/>
      <c r="O2" s="16"/>
      <c r="P2" s="15"/>
      <c r="Q2" s="15"/>
      <c r="R2" s="15"/>
      <c r="S2" s="15"/>
      <c r="T2" s="15"/>
      <c r="U2" s="666" t="s">
        <v>87</v>
      </c>
      <c r="V2" s="666"/>
      <c r="W2" s="666"/>
      <c r="X2" s="666"/>
      <c r="Y2" s="666"/>
      <c r="Z2" s="666"/>
      <c r="AA2" s="666"/>
      <c r="AB2" s="666"/>
      <c r="AC2" s="666"/>
    </row>
    <row r="3" spans="1:29" ht="29.25" customHeight="1">
      <c r="A3" s="667" t="s">
        <v>89</v>
      </c>
      <c r="B3" s="667" t="s">
        <v>28</v>
      </c>
      <c r="C3" s="667" t="s">
        <v>29</v>
      </c>
      <c r="D3" s="670" t="s">
        <v>163</v>
      </c>
      <c r="E3" s="671"/>
      <c r="F3" s="671"/>
      <c r="G3" s="672"/>
      <c r="H3" s="673" t="s">
        <v>39</v>
      </c>
      <c r="I3" s="676" t="s">
        <v>30</v>
      </c>
      <c r="J3" s="677"/>
      <c r="K3" s="677"/>
      <c r="L3" s="677"/>
      <c r="M3" s="678"/>
      <c r="N3" s="667" t="s">
        <v>27</v>
      </c>
      <c r="O3" s="676" t="s">
        <v>31</v>
      </c>
      <c r="P3" s="677"/>
      <c r="Q3" s="677"/>
      <c r="R3" s="677"/>
      <c r="S3" s="677"/>
      <c r="T3" s="677"/>
      <c r="U3" s="678"/>
      <c r="V3" s="667" t="s">
        <v>0</v>
      </c>
      <c r="W3" s="667" t="s">
        <v>32</v>
      </c>
      <c r="X3" s="667" t="s">
        <v>33</v>
      </c>
      <c r="Y3" s="667" t="s">
        <v>26</v>
      </c>
      <c r="Z3" s="667" t="s">
        <v>129</v>
      </c>
      <c r="AA3" s="667" t="s">
        <v>164</v>
      </c>
      <c r="AB3" s="667" t="s">
        <v>165</v>
      </c>
      <c r="AC3" s="667" t="s">
        <v>85</v>
      </c>
    </row>
    <row r="4" spans="1:29" ht="12.75" customHeight="1">
      <c r="A4" s="668"/>
      <c r="B4" s="668"/>
      <c r="C4" s="668"/>
      <c r="D4" s="681" t="s">
        <v>166</v>
      </c>
      <c r="E4" s="681" t="s">
        <v>167</v>
      </c>
      <c r="F4" s="683" t="s">
        <v>168</v>
      </c>
      <c r="G4" s="681" t="s">
        <v>38</v>
      </c>
      <c r="H4" s="674"/>
      <c r="I4" s="667" t="s">
        <v>1</v>
      </c>
      <c r="J4" s="667" t="s">
        <v>2</v>
      </c>
      <c r="K4" s="667" t="s">
        <v>3</v>
      </c>
      <c r="L4" s="667" t="s">
        <v>4</v>
      </c>
      <c r="M4" s="667" t="s">
        <v>86</v>
      </c>
      <c r="N4" s="679"/>
      <c r="O4" s="667" t="s">
        <v>88</v>
      </c>
      <c r="P4" s="667" t="s">
        <v>34</v>
      </c>
      <c r="Q4" s="667" t="s">
        <v>5</v>
      </c>
      <c r="R4" s="667" t="s">
        <v>23</v>
      </c>
      <c r="S4" s="667" t="s">
        <v>6</v>
      </c>
      <c r="T4" s="667" t="s">
        <v>7</v>
      </c>
      <c r="U4" s="667" t="s">
        <v>8</v>
      </c>
      <c r="V4" s="668"/>
      <c r="W4" s="668"/>
      <c r="X4" s="668"/>
      <c r="Y4" s="668"/>
      <c r="Z4" s="668"/>
      <c r="AA4" s="668"/>
      <c r="AB4" s="668"/>
      <c r="AC4" s="668"/>
    </row>
    <row r="5" spans="1:29" ht="16.5" customHeight="1">
      <c r="A5" s="668"/>
      <c r="B5" s="668"/>
      <c r="C5" s="668"/>
      <c r="D5" s="681"/>
      <c r="E5" s="681"/>
      <c r="F5" s="668"/>
      <c r="G5" s="681"/>
      <c r="H5" s="674"/>
      <c r="I5" s="668"/>
      <c r="J5" s="668"/>
      <c r="K5" s="668"/>
      <c r="L5" s="668"/>
      <c r="M5" s="679"/>
      <c r="N5" s="679"/>
      <c r="O5" s="668"/>
      <c r="P5" s="668"/>
      <c r="Q5" s="668"/>
      <c r="R5" s="668"/>
      <c r="S5" s="668"/>
      <c r="T5" s="668"/>
      <c r="U5" s="668"/>
      <c r="V5" s="668"/>
      <c r="W5" s="668"/>
      <c r="X5" s="668"/>
      <c r="Y5" s="668"/>
      <c r="Z5" s="668"/>
      <c r="AA5" s="668"/>
      <c r="AB5" s="668"/>
      <c r="AC5" s="668"/>
    </row>
    <row r="6" spans="1:29" ht="15" customHeight="1">
      <c r="A6" s="669"/>
      <c r="B6" s="669"/>
      <c r="C6" s="669"/>
      <c r="D6" s="682"/>
      <c r="E6" s="682"/>
      <c r="F6" s="669"/>
      <c r="G6" s="682"/>
      <c r="H6" s="675"/>
      <c r="I6" s="669"/>
      <c r="J6" s="669"/>
      <c r="K6" s="669"/>
      <c r="L6" s="669"/>
      <c r="M6" s="669"/>
      <c r="N6" s="680"/>
      <c r="O6" s="669"/>
      <c r="P6" s="669"/>
      <c r="Q6" s="669"/>
      <c r="R6" s="669"/>
      <c r="S6" s="669"/>
      <c r="T6" s="669"/>
      <c r="U6" s="669"/>
      <c r="V6" s="669"/>
      <c r="W6" s="669"/>
      <c r="X6" s="669"/>
      <c r="Y6" s="669"/>
      <c r="Z6" s="669"/>
      <c r="AA6" s="669"/>
      <c r="AB6" s="669"/>
      <c r="AC6" s="669"/>
    </row>
    <row r="7" spans="1:29" s="79" customFormat="1" ht="15" customHeight="1">
      <c r="A7" s="85">
        <v>1</v>
      </c>
      <c r="B7" s="86" t="s">
        <v>35</v>
      </c>
      <c r="C7" s="86">
        <f>H7</f>
        <v>70</v>
      </c>
      <c r="D7" s="85">
        <f>E7+G7</f>
        <v>0</v>
      </c>
      <c r="E7" s="85"/>
      <c r="F7" s="85"/>
      <c r="G7" s="86"/>
      <c r="H7" s="86">
        <f>SUM(I7:AC7)</f>
        <v>70</v>
      </c>
      <c r="I7" s="86">
        <f>SUM(I8:I9)</f>
        <v>70</v>
      </c>
      <c r="J7" s="86"/>
      <c r="K7" s="86">
        <f>SUM(K8:K9)</f>
        <v>0</v>
      </c>
      <c r="L7" s="86">
        <f>SUM(L8:L9)</f>
        <v>0</v>
      </c>
      <c r="M7" s="86">
        <f>SUM(M8:M9)</f>
        <v>0</v>
      </c>
      <c r="N7" s="86"/>
      <c r="O7" s="86">
        <f t="shared" ref="O7:U7" si="0">SUM(O8:O9)</f>
        <v>0</v>
      </c>
      <c r="P7" s="86">
        <f t="shared" si="0"/>
        <v>0</v>
      </c>
      <c r="Q7" s="86">
        <f t="shared" si="0"/>
        <v>0</v>
      </c>
      <c r="R7" s="86">
        <f t="shared" si="0"/>
        <v>0</v>
      </c>
      <c r="S7" s="86">
        <f t="shared" si="0"/>
        <v>0</v>
      </c>
      <c r="T7" s="86">
        <f t="shared" si="0"/>
        <v>0</v>
      </c>
      <c r="U7" s="86">
        <f t="shared" si="0"/>
        <v>0</v>
      </c>
      <c r="V7" s="86"/>
      <c r="W7" s="86">
        <f>SUM(W8:W9)</f>
        <v>0</v>
      </c>
      <c r="X7" s="86">
        <f>SUM(X8:X9)</f>
        <v>0</v>
      </c>
      <c r="Y7" s="86">
        <f>SUM(Y8:Y9)</f>
        <v>0</v>
      </c>
      <c r="Z7" s="86"/>
      <c r="AA7" s="86"/>
      <c r="AB7" s="86"/>
      <c r="AC7" s="86">
        <f>SUM(AC8:AC9)</f>
        <v>0</v>
      </c>
    </row>
    <row r="8" spans="1:29" s="37" customFormat="1" ht="15" customHeight="1">
      <c r="A8" s="34"/>
      <c r="B8" s="35" t="s">
        <v>169</v>
      </c>
      <c r="C8" s="35">
        <f t="shared" ref="C8:C71" si="1">H8</f>
        <v>0</v>
      </c>
      <c r="D8" s="34" t="s">
        <v>170</v>
      </c>
      <c r="E8" s="34"/>
      <c r="F8" s="36"/>
      <c r="G8" s="35"/>
      <c r="H8" s="35"/>
      <c r="I8" s="35"/>
      <c r="J8" s="35"/>
      <c r="K8" s="35"/>
      <c r="L8" s="35"/>
      <c r="M8" s="35"/>
      <c r="N8" s="35"/>
      <c r="O8" s="35"/>
      <c r="P8" s="35"/>
      <c r="Q8" s="35"/>
      <c r="R8" s="35"/>
      <c r="S8" s="35"/>
      <c r="T8" s="35"/>
      <c r="U8" s="35"/>
      <c r="V8" s="35"/>
      <c r="W8" s="35"/>
      <c r="X8" s="35"/>
      <c r="Y8" s="35"/>
      <c r="Z8" s="35"/>
      <c r="AA8" s="35"/>
      <c r="AB8" s="35"/>
      <c r="AC8" s="35"/>
    </row>
    <row r="9" spans="1:29" s="37" customFormat="1" ht="15" customHeight="1">
      <c r="A9" s="34"/>
      <c r="B9" s="35" t="s">
        <v>172</v>
      </c>
      <c r="C9" s="35">
        <f t="shared" si="1"/>
        <v>0</v>
      </c>
      <c r="D9" s="34" t="s">
        <v>173</v>
      </c>
      <c r="E9" s="34"/>
      <c r="F9" s="36" t="s">
        <v>208</v>
      </c>
      <c r="G9" s="35"/>
      <c r="H9" s="35"/>
      <c r="I9" s="35">
        <v>70</v>
      </c>
      <c r="J9" s="35"/>
      <c r="K9" s="35"/>
      <c r="L9" s="35"/>
      <c r="M9" s="35"/>
      <c r="N9" s="35"/>
      <c r="O9" s="35"/>
      <c r="P9" s="35"/>
      <c r="Q9" s="35"/>
      <c r="R9" s="35"/>
      <c r="S9" s="35"/>
      <c r="T9" s="35"/>
      <c r="U9" s="35"/>
      <c r="V9" s="35"/>
      <c r="W9" s="35"/>
      <c r="X9" s="35"/>
      <c r="Y9" s="35"/>
      <c r="Z9" s="35"/>
      <c r="AA9" s="35"/>
      <c r="AB9" s="35"/>
      <c r="AC9" s="35"/>
    </row>
    <row r="10" spans="1:29" s="79" customFormat="1" ht="15" customHeight="1">
      <c r="A10" s="77">
        <v>2</v>
      </c>
      <c r="B10" s="78" t="s">
        <v>40</v>
      </c>
      <c r="C10" s="78">
        <f t="shared" si="1"/>
        <v>69</v>
      </c>
      <c r="D10" s="77">
        <f t="shared" ref="D10:X10" si="2">SUM(D11:D11)</f>
        <v>0</v>
      </c>
      <c r="E10" s="77">
        <f t="shared" si="2"/>
        <v>0</v>
      </c>
      <c r="F10" s="77">
        <f t="shared" si="2"/>
        <v>0</v>
      </c>
      <c r="G10" s="78">
        <f t="shared" si="2"/>
        <v>0</v>
      </c>
      <c r="H10" s="78">
        <f t="shared" si="2"/>
        <v>69</v>
      </c>
      <c r="I10" s="78">
        <f t="shared" si="2"/>
        <v>0</v>
      </c>
      <c r="J10" s="78">
        <f t="shared" si="2"/>
        <v>0</v>
      </c>
      <c r="K10" s="78">
        <f t="shared" si="2"/>
        <v>69</v>
      </c>
      <c r="L10" s="78">
        <f t="shared" si="2"/>
        <v>0</v>
      </c>
      <c r="M10" s="78">
        <f t="shared" si="2"/>
        <v>0</v>
      </c>
      <c r="N10" s="78">
        <f t="shared" si="2"/>
        <v>0</v>
      </c>
      <c r="O10" s="78">
        <f t="shared" si="2"/>
        <v>0</v>
      </c>
      <c r="P10" s="78">
        <f t="shared" si="2"/>
        <v>0</v>
      </c>
      <c r="Q10" s="78">
        <f t="shared" si="2"/>
        <v>0</v>
      </c>
      <c r="R10" s="78">
        <f t="shared" si="2"/>
        <v>0</v>
      </c>
      <c r="S10" s="78">
        <f t="shared" si="2"/>
        <v>0</v>
      </c>
      <c r="T10" s="78">
        <f t="shared" si="2"/>
        <v>0</v>
      </c>
      <c r="U10" s="78">
        <f t="shared" si="2"/>
        <v>0</v>
      </c>
      <c r="V10" s="78">
        <f t="shared" si="2"/>
        <v>0</v>
      </c>
      <c r="W10" s="78">
        <f t="shared" si="2"/>
        <v>0</v>
      </c>
      <c r="X10" s="78">
        <f t="shared" si="2"/>
        <v>0</v>
      </c>
      <c r="Y10" s="78"/>
      <c r="Z10" s="78"/>
      <c r="AA10" s="78"/>
      <c r="AB10" s="78">
        <f>SUM(AB11:AB11)</f>
        <v>0</v>
      </c>
      <c r="AC10" s="78">
        <f>SUM(AC11:AC11)</f>
        <v>0</v>
      </c>
    </row>
    <row r="11" spans="1:29" s="37" customFormat="1" ht="15" customHeight="1">
      <c r="A11" s="34"/>
      <c r="B11" s="35" t="s">
        <v>175</v>
      </c>
      <c r="C11" s="35">
        <f t="shared" si="1"/>
        <v>69</v>
      </c>
      <c r="D11" s="34" t="s">
        <v>173</v>
      </c>
      <c r="E11" s="34"/>
      <c r="F11" s="36" t="s">
        <v>208</v>
      </c>
      <c r="G11" s="35"/>
      <c r="H11" s="35">
        <f>SUM(I11:AC11)</f>
        <v>69</v>
      </c>
      <c r="I11" s="35"/>
      <c r="J11" s="35"/>
      <c r="K11" s="35">
        <v>69</v>
      </c>
      <c r="L11" s="35"/>
      <c r="M11" s="35"/>
      <c r="N11" s="35"/>
      <c r="O11" s="35"/>
      <c r="P11" s="35"/>
      <c r="Q11" s="35"/>
      <c r="R11" s="35"/>
      <c r="S11" s="35"/>
      <c r="T11" s="35"/>
      <c r="U11" s="35"/>
      <c r="V11" s="35"/>
      <c r="W11" s="35"/>
      <c r="X11" s="35"/>
      <c r="Y11" s="35"/>
      <c r="Z11" s="35"/>
      <c r="AA11" s="35"/>
      <c r="AB11" s="35"/>
      <c r="AC11" s="35"/>
    </row>
    <row r="12" spans="1:29" s="37" customFormat="1" ht="15" customHeight="1">
      <c r="A12" s="34"/>
      <c r="B12" s="35"/>
      <c r="C12" s="35">
        <f t="shared" si="1"/>
        <v>0</v>
      </c>
      <c r="D12" s="34"/>
      <c r="E12" s="34"/>
      <c r="F12" s="34"/>
      <c r="G12" s="35"/>
      <c r="H12" s="35"/>
      <c r="I12" s="35"/>
      <c r="J12" s="35"/>
      <c r="K12" s="35"/>
      <c r="L12" s="35"/>
      <c r="M12" s="35"/>
      <c r="N12" s="35"/>
      <c r="O12" s="35"/>
      <c r="P12" s="35"/>
      <c r="Q12" s="35"/>
      <c r="R12" s="35"/>
      <c r="S12" s="35"/>
      <c r="T12" s="35"/>
      <c r="U12" s="35"/>
      <c r="V12" s="35"/>
      <c r="W12" s="35"/>
      <c r="X12" s="35"/>
      <c r="Y12" s="35"/>
      <c r="Z12" s="35"/>
      <c r="AA12" s="35"/>
      <c r="AB12" s="35"/>
      <c r="AC12" s="35"/>
    </row>
    <row r="13" spans="1:29" s="33" customFormat="1" ht="15" customHeight="1">
      <c r="A13" s="38">
        <v>3</v>
      </c>
      <c r="B13" s="39" t="s">
        <v>41</v>
      </c>
      <c r="C13" s="39">
        <f t="shared" si="1"/>
        <v>0</v>
      </c>
      <c r="D13" s="38">
        <f t="shared" ref="D13:Y13" si="3">SUM(D14:D14)</f>
        <v>0</v>
      </c>
      <c r="E13" s="38">
        <f t="shared" si="3"/>
        <v>0</v>
      </c>
      <c r="F13" s="38">
        <f t="shared" si="3"/>
        <v>0</v>
      </c>
      <c r="G13" s="39">
        <f t="shared" si="3"/>
        <v>0</v>
      </c>
      <c r="H13" s="39">
        <f t="shared" si="3"/>
        <v>0</v>
      </c>
      <c r="I13" s="39">
        <f t="shared" si="3"/>
        <v>0</v>
      </c>
      <c r="J13" s="39">
        <f t="shared" si="3"/>
        <v>0</v>
      </c>
      <c r="K13" s="39">
        <f t="shared" si="3"/>
        <v>0</v>
      </c>
      <c r="L13" s="39">
        <f t="shared" si="3"/>
        <v>0</v>
      </c>
      <c r="M13" s="39">
        <f t="shared" si="3"/>
        <v>0</v>
      </c>
      <c r="N13" s="39">
        <f t="shared" si="3"/>
        <v>0</v>
      </c>
      <c r="O13" s="39">
        <f t="shared" si="3"/>
        <v>0</v>
      </c>
      <c r="P13" s="39">
        <f t="shared" si="3"/>
        <v>0</v>
      </c>
      <c r="Q13" s="39">
        <f t="shared" si="3"/>
        <v>0</v>
      </c>
      <c r="R13" s="39">
        <f t="shared" si="3"/>
        <v>0</v>
      </c>
      <c r="S13" s="39">
        <f t="shared" si="3"/>
        <v>0</v>
      </c>
      <c r="T13" s="39">
        <f t="shared" si="3"/>
        <v>0</v>
      </c>
      <c r="U13" s="39">
        <f t="shared" si="3"/>
        <v>0</v>
      </c>
      <c r="V13" s="39">
        <f t="shared" si="3"/>
        <v>0</v>
      </c>
      <c r="W13" s="39">
        <f t="shared" si="3"/>
        <v>0</v>
      </c>
      <c r="X13" s="39">
        <f t="shared" si="3"/>
        <v>0</v>
      </c>
      <c r="Y13" s="39">
        <f t="shared" si="3"/>
        <v>0</v>
      </c>
      <c r="Z13" s="39"/>
      <c r="AA13" s="39"/>
      <c r="AB13" s="39">
        <f>SUM(AB14:AB14)</f>
        <v>0</v>
      </c>
      <c r="AC13" s="39">
        <f>SUM(AC14:AC14)</f>
        <v>0</v>
      </c>
    </row>
    <row r="14" spans="1:29" s="42" customFormat="1" ht="15" customHeight="1">
      <c r="A14" s="40"/>
      <c r="B14" s="41"/>
      <c r="C14" s="41"/>
      <c r="D14" s="40"/>
      <c r="E14" s="40"/>
      <c r="F14" s="40"/>
      <c r="G14" s="41"/>
      <c r="H14" s="41"/>
      <c r="I14" s="41"/>
      <c r="J14" s="41"/>
      <c r="K14" s="41"/>
      <c r="L14" s="41"/>
      <c r="M14" s="41"/>
      <c r="N14" s="41"/>
      <c r="O14" s="41"/>
      <c r="P14" s="41"/>
      <c r="Q14" s="41"/>
      <c r="R14" s="41"/>
      <c r="S14" s="41"/>
      <c r="T14" s="41"/>
      <c r="U14" s="41"/>
      <c r="V14" s="41"/>
      <c r="W14" s="41"/>
      <c r="X14" s="41"/>
      <c r="Y14" s="41"/>
      <c r="Z14" s="41"/>
      <c r="AA14" s="41"/>
      <c r="AB14" s="41"/>
      <c r="AC14" s="41"/>
    </row>
    <row r="15" spans="1:29" s="33" customFormat="1" ht="15" customHeight="1">
      <c r="A15" s="38">
        <v>4</v>
      </c>
      <c r="B15" s="39" t="s">
        <v>42</v>
      </c>
      <c r="C15" s="39">
        <f t="shared" si="1"/>
        <v>0</v>
      </c>
      <c r="D15" s="38">
        <f t="shared" ref="D15:Y15" si="4">SUM(D16:D17)</f>
        <v>0</v>
      </c>
      <c r="E15" s="38">
        <f t="shared" si="4"/>
        <v>0</v>
      </c>
      <c r="F15" s="38">
        <f t="shared" si="4"/>
        <v>0</v>
      </c>
      <c r="G15" s="39">
        <f t="shared" si="4"/>
        <v>0</v>
      </c>
      <c r="H15" s="39">
        <f t="shared" si="4"/>
        <v>0</v>
      </c>
      <c r="I15" s="39">
        <f t="shared" si="4"/>
        <v>0</v>
      </c>
      <c r="J15" s="39">
        <f t="shared" si="4"/>
        <v>0</v>
      </c>
      <c r="K15" s="39">
        <f t="shared" si="4"/>
        <v>0</v>
      </c>
      <c r="L15" s="39">
        <f t="shared" si="4"/>
        <v>0</v>
      </c>
      <c r="M15" s="39">
        <f t="shared" si="4"/>
        <v>0</v>
      </c>
      <c r="N15" s="39">
        <f t="shared" si="4"/>
        <v>0</v>
      </c>
      <c r="O15" s="39">
        <f t="shared" si="4"/>
        <v>0</v>
      </c>
      <c r="P15" s="39">
        <f t="shared" si="4"/>
        <v>0</v>
      </c>
      <c r="Q15" s="39">
        <f t="shared" si="4"/>
        <v>0</v>
      </c>
      <c r="R15" s="39">
        <f t="shared" si="4"/>
        <v>0</v>
      </c>
      <c r="S15" s="39">
        <f t="shared" si="4"/>
        <v>0</v>
      </c>
      <c r="T15" s="39">
        <f t="shared" si="4"/>
        <v>0</v>
      </c>
      <c r="U15" s="39">
        <f t="shared" si="4"/>
        <v>0</v>
      </c>
      <c r="V15" s="39">
        <f t="shared" si="4"/>
        <v>0</v>
      </c>
      <c r="W15" s="39">
        <f t="shared" si="4"/>
        <v>0</v>
      </c>
      <c r="X15" s="39">
        <f t="shared" si="4"/>
        <v>0</v>
      </c>
      <c r="Y15" s="39">
        <f t="shared" si="4"/>
        <v>0</v>
      </c>
      <c r="Z15" s="39"/>
      <c r="AA15" s="39"/>
      <c r="AB15" s="39">
        <f>SUM(AB16:AB17)</f>
        <v>0</v>
      </c>
      <c r="AC15" s="39">
        <f>SUM(AC16:AC17)</f>
        <v>0</v>
      </c>
    </row>
    <row r="16" spans="1:29" s="37" customFormat="1" ht="15" customHeight="1">
      <c r="A16" s="34"/>
      <c r="B16" s="35"/>
      <c r="C16" s="35">
        <f t="shared" si="1"/>
        <v>0</v>
      </c>
      <c r="D16" s="34"/>
      <c r="E16" s="34"/>
      <c r="F16" s="34"/>
      <c r="G16" s="35"/>
      <c r="H16" s="35"/>
      <c r="I16" s="35"/>
      <c r="J16" s="35"/>
      <c r="K16" s="35"/>
      <c r="L16" s="35"/>
      <c r="M16" s="35"/>
      <c r="N16" s="35"/>
      <c r="O16" s="35"/>
      <c r="P16" s="35"/>
      <c r="Q16" s="35"/>
      <c r="R16" s="35"/>
      <c r="S16" s="35"/>
      <c r="T16" s="35"/>
      <c r="U16" s="35"/>
      <c r="V16" s="35"/>
      <c r="W16" s="35"/>
      <c r="X16" s="35"/>
      <c r="Y16" s="35"/>
      <c r="Z16" s="35"/>
      <c r="AA16" s="35"/>
      <c r="AB16" s="35"/>
      <c r="AC16" s="35"/>
    </row>
    <row r="17" spans="1:29" s="37" customFormat="1" ht="15" customHeight="1">
      <c r="A17" s="34"/>
      <c r="B17" s="35"/>
      <c r="C17" s="35">
        <f t="shared" si="1"/>
        <v>0</v>
      </c>
      <c r="D17" s="34"/>
      <c r="E17" s="34"/>
      <c r="F17" s="34"/>
      <c r="G17" s="35"/>
      <c r="H17" s="35"/>
      <c r="I17" s="35"/>
      <c r="J17" s="35"/>
      <c r="K17" s="35"/>
      <c r="L17" s="35"/>
      <c r="M17" s="35"/>
      <c r="N17" s="35"/>
      <c r="O17" s="35"/>
      <c r="P17" s="35"/>
      <c r="Q17" s="35"/>
      <c r="R17" s="35"/>
      <c r="S17" s="35"/>
      <c r="T17" s="35"/>
      <c r="U17" s="35"/>
      <c r="V17" s="34"/>
      <c r="W17" s="35"/>
      <c r="X17" s="35"/>
      <c r="Y17" s="35"/>
      <c r="Z17" s="35"/>
      <c r="AA17" s="35"/>
      <c r="AB17" s="35"/>
      <c r="AC17" s="35"/>
    </row>
    <row r="18" spans="1:29" s="79" customFormat="1" ht="15" customHeight="1">
      <c r="A18" s="77">
        <v>5</v>
      </c>
      <c r="B18" s="78" t="s">
        <v>43</v>
      </c>
      <c r="C18" s="78">
        <f t="shared" si="1"/>
        <v>39</v>
      </c>
      <c r="D18" s="77">
        <f t="shared" ref="D18:AC18" si="5">SUM(D19:D21)</f>
        <v>0</v>
      </c>
      <c r="E18" s="77">
        <f t="shared" si="5"/>
        <v>0</v>
      </c>
      <c r="F18" s="77">
        <f t="shared" si="5"/>
        <v>0</v>
      </c>
      <c r="G18" s="78">
        <f t="shared" si="5"/>
        <v>0</v>
      </c>
      <c r="H18" s="78">
        <f t="shared" si="5"/>
        <v>39</v>
      </c>
      <c r="I18" s="78">
        <f t="shared" si="5"/>
        <v>0</v>
      </c>
      <c r="J18" s="78">
        <f t="shared" si="5"/>
        <v>0</v>
      </c>
      <c r="K18" s="78">
        <f t="shared" si="5"/>
        <v>0</v>
      </c>
      <c r="L18" s="78">
        <f t="shared" si="5"/>
        <v>0</v>
      </c>
      <c r="M18" s="78">
        <f t="shared" si="5"/>
        <v>39</v>
      </c>
      <c r="N18" s="78">
        <f t="shared" si="5"/>
        <v>0</v>
      </c>
      <c r="O18" s="78">
        <f t="shared" si="5"/>
        <v>0</v>
      </c>
      <c r="P18" s="78">
        <f t="shared" si="5"/>
        <v>0</v>
      </c>
      <c r="Q18" s="78">
        <f t="shared" si="5"/>
        <v>0</v>
      </c>
      <c r="R18" s="78">
        <f t="shared" si="5"/>
        <v>0</v>
      </c>
      <c r="S18" s="78">
        <f t="shared" si="5"/>
        <v>0</v>
      </c>
      <c r="T18" s="78">
        <f t="shared" si="5"/>
        <v>0</v>
      </c>
      <c r="U18" s="78">
        <f t="shared" si="5"/>
        <v>0</v>
      </c>
      <c r="V18" s="78">
        <f t="shared" si="5"/>
        <v>0</v>
      </c>
      <c r="W18" s="78">
        <f t="shared" si="5"/>
        <v>0</v>
      </c>
      <c r="X18" s="78">
        <f t="shared" si="5"/>
        <v>0</v>
      </c>
      <c r="Y18" s="78">
        <f t="shared" si="5"/>
        <v>0</v>
      </c>
      <c r="Z18" s="78">
        <f t="shared" si="5"/>
        <v>0</v>
      </c>
      <c r="AA18" s="78">
        <f t="shared" si="5"/>
        <v>0</v>
      </c>
      <c r="AB18" s="78">
        <f t="shared" si="5"/>
        <v>0</v>
      </c>
      <c r="AC18" s="78">
        <f t="shared" si="5"/>
        <v>0</v>
      </c>
    </row>
    <row r="19" spans="1:29" s="33" customFormat="1" ht="15" customHeight="1">
      <c r="A19" s="38"/>
      <c r="B19" s="35" t="s">
        <v>176</v>
      </c>
      <c r="C19" s="35">
        <f t="shared" si="1"/>
        <v>39</v>
      </c>
      <c r="D19" s="34" t="s">
        <v>173</v>
      </c>
      <c r="E19" s="34"/>
      <c r="F19" s="36" t="s">
        <v>208</v>
      </c>
      <c r="G19" s="35"/>
      <c r="H19" s="35">
        <f>SUM(I19:AC19)</f>
        <v>39</v>
      </c>
      <c r="I19" s="39"/>
      <c r="J19" s="39"/>
      <c r="K19" s="39"/>
      <c r="L19" s="35"/>
      <c r="M19" s="35">
        <v>39</v>
      </c>
      <c r="N19" s="35"/>
      <c r="O19" s="35"/>
      <c r="P19" s="39"/>
      <c r="Q19" s="39"/>
      <c r="R19" s="39"/>
      <c r="S19" s="39"/>
      <c r="T19" s="39"/>
      <c r="U19" s="35"/>
      <c r="V19" s="39"/>
      <c r="W19" s="39"/>
      <c r="X19" s="39"/>
      <c r="Y19" s="39"/>
      <c r="Z19" s="39"/>
      <c r="AA19" s="39"/>
      <c r="AB19" s="39"/>
      <c r="AC19" s="39"/>
    </row>
    <row r="20" spans="1:29" s="33" customFormat="1" ht="15" customHeight="1">
      <c r="A20" s="38"/>
      <c r="B20" s="35"/>
      <c r="C20" s="35"/>
      <c r="D20" s="34"/>
      <c r="E20" s="34"/>
      <c r="F20" s="36"/>
      <c r="G20" s="35"/>
      <c r="H20" s="35"/>
      <c r="I20" s="39"/>
      <c r="J20" s="39"/>
      <c r="K20" s="39"/>
      <c r="L20" s="35"/>
      <c r="M20" s="35"/>
      <c r="N20" s="35"/>
      <c r="O20" s="35"/>
      <c r="P20" s="39"/>
      <c r="Q20" s="39"/>
      <c r="R20" s="39"/>
      <c r="S20" s="39"/>
      <c r="T20" s="39"/>
      <c r="U20" s="35"/>
      <c r="V20" s="39"/>
      <c r="W20" s="39"/>
      <c r="X20" s="39"/>
      <c r="Y20" s="39"/>
      <c r="Z20" s="39"/>
      <c r="AA20" s="39"/>
      <c r="AB20" s="39"/>
      <c r="AC20" s="39"/>
    </row>
    <row r="21" spans="1:29" s="33" customFormat="1" ht="15" customHeight="1">
      <c r="A21" s="38"/>
      <c r="B21" s="35"/>
      <c r="C21" s="35">
        <f t="shared" si="1"/>
        <v>0</v>
      </c>
      <c r="D21" s="34"/>
      <c r="E21" s="34"/>
      <c r="F21" s="34"/>
      <c r="G21" s="35"/>
      <c r="H21" s="35"/>
      <c r="I21" s="39"/>
      <c r="J21" s="39"/>
      <c r="K21" s="39"/>
      <c r="L21" s="35"/>
      <c r="M21" s="35"/>
      <c r="N21" s="35"/>
      <c r="O21" s="35"/>
      <c r="P21" s="39"/>
      <c r="Q21" s="39"/>
      <c r="R21" s="39"/>
      <c r="S21" s="39"/>
      <c r="T21" s="39"/>
      <c r="U21" s="35"/>
      <c r="V21" s="39"/>
      <c r="W21" s="39"/>
      <c r="X21" s="39"/>
      <c r="Y21" s="39"/>
      <c r="Z21" s="39"/>
      <c r="AA21" s="39"/>
      <c r="AB21" s="39"/>
      <c r="AC21" s="39"/>
    </row>
    <row r="22" spans="1:29" s="33" customFormat="1" ht="15" customHeight="1">
      <c r="A22" s="38">
        <v>6</v>
      </c>
      <c r="B22" s="39" t="s">
        <v>44</v>
      </c>
      <c r="C22" s="39">
        <f t="shared" si="1"/>
        <v>0</v>
      </c>
      <c r="D22" s="38">
        <f t="shared" ref="D22:Y22" si="6">SUM(D23:D23)</f>
        <v>0</v>
      </c>
      <c r="E22" s="38">
        <f t="shared" si="6"/>
        <v>0</v>
      </c>
      <c r="F22" s="38">
        <f t="shared" si="6"/>
        <v>0</v>
      </c>
      <c r="G22" s="39">
        <f t="shared" si="6"/>
        <v>0</v>
      </c>
      <c r="H22" s="39">
        <f t="shared" si="6"/>
        <v>0</v>
      </c>
      <c r="I22" s="39">
        <f t="shared" si="6"/>
        <v>0</v>
      </c>
      <c r="J22" s="39">
        <f t="shared" si="6"/>
        <v>0</v>
      </c>
      <c r="K22" s="39">
        <f t="shared" si="6"/>
        <v>0</v>
      </c>
      <c r="L22" s="39">
        <f t="shared" si="6"/>
        <v>0</v>
      </c>
      <c r="M22" s="39">
        <f t="shared" si="6"/>
        <v>0</v>
      </c>
      <c r="N22" s="39">
        <f t="shared" si="6"/>
        <v>0</v>
      </c>
      <c r="O22" s="39">
        <f t="shared" si="6"/>
        <v>0</v>
      </c>
      <c r="P22" s="39">
        <f t="shared" si="6"/>
        <v>0</v>
      </c>
      <c r="Q22" s="39">
        <f t="shared" si="6"/>
        <v>0</v>
      </c>
      <c r="R22" s="39">
        <f t="shared" si="6"/>
        <v>0</v>
      </c>
      <c r="S22" s="39">
        <f t="shared" si="6"/>
        <v>0</v>
      </c>
      <c r="T22" s="39">
        <f t="shared" si="6"/>
        <v>0</v>
      </c>
      <c r="U22" s="39">
        <f t="shared" si="6"/>
        <v>0</v>
      </c>
      <c r="V22" s="39">
        <f t="shared" si="6"/>
        <v>0</v>
      </c>
      <c r="W22" s="39">
        <f t="shared" si="6"/>
        <v>0</v>
      </c>
      <c r="X22" s="39">
        <f t="shared" si="6"/>
        <v>0</v>
      </c>
      <c r="Y22" s="39">
        <f t="shared" si="6"/>
        <v>0</v>
      </c>
      <c r="Z22" s="39"/>
      <c r="AA22" s="39"/>
      <c r="AB22" s="39">
        <f>SUM(AB23:AB23)</f>
        <v>0</v>
      </c>
      <c r="AC22" s="39">
        <f>SUM(AC23:AC23)</f>
        <v>0</v>
      </c>
    </row>
    <row r="23" spans="1:29" s="37" customFormat="1" ht="15" customHeight="1">
      <c r="A23" s="34"/>
      <c r="B23" s="35" t="s">
        <v>177</v>
      </c>
      <c r="C23" s="35">
        <f t="shared" si="1"/>
        <v>0</v>
      </c>
      <c r="D23" s="34" t="s">
        <v>170</v>
      </c>
      <c r="E23" s="34"/>
      <c r="F23" s="36" t="s">
        <v>174</v>
      </c>
      <c r="G23" s="35"/>
      <c r="H23" s="35">
        <f>SUM(I23:AC23)</f>
        <v>0</v>
      </c>
      <c r="I23" s="35"/>
      <c r="J23" s="35"/>
      <c r="K23" s="35"/>
      <c r="L23" s="35"/>
      <c r="M23" s="35"/>
      <c r="N23" s="35"/>
      <c r="O23" s="35"/>
      <c r="P23" s="35"/>
      <c r="Q23" s="35"/>
      <c r="R23" s="35"/>
      <c r="S23" s="35"/>
      <c r="T23" s="35"/>
      <c r="U23" s="35"/>
      <c r="V23" s="35"/>
      <c r="W23" s="35"/>
      <c r="X23" s="35"/>
      <c r="Y23" s="35"/>
      <c r="Z23" s="35"/>
      <c r="AA23" s="35"/>
      <c r="AB23" s="35"/>
      <c r="AC23" s="35"/>
    </row>
    <row r="24" spans="1:29" s="33" customFormat="1" ht="15" customHeight="1">
      <c r="A24" s="38">
        <v>7</v>
      </c>
      <c r="B24" s="39" t="s">
        <v>45</v>
      </c>
      <c r="C24" s="39">
        <f t="shared" si="1"/>
        <v>0</v>
      </c>
      <c r="D24" s="38">
        <f t="shared" ref="D24:AC24" si="7">SUM(D25:D25)</f>
        <v>0</v>
      </c>
      <c r="E24" s="38">
        <f t="shared" si="7"/>
        <v>0</v>
      </c>
      <c r="F24" s="38">
        <f t="shared" si="7"/>
        <v>0</v>
      </c>
      <c r="G24" s="39">
        <f t="shared" si="7"/>
        <v>0</v>
      </c>
      <c r="H24" s="39">
        <f t="shared" si="7"/>
        <v>0</v>
      </c>
      <c r="I24" s="39">
        <f t="shared" si="7"/>
        <v>0</v>
      </c>
      <c r="J24" s="39">
        <f t="shared" si="7"/>
        <v>0</v>
      </c>
      <c r="K24" s="39">
        <f t="shared" si="7"/>
        <v>0</v>
      </c>
      <c r="L24" s="39">
        <f t="shared" si="7"/>
        <v>0</v>
      </c>
      <c r="M24" s="39">
        <f t="shared" si="7"/>
        <v>0</v>
      </c>
      <c r="N24" s="39">
        <f t="shared" si="7"/>
        <v>0</v>
      </c>
      <c r="O24" s="39">
        <f t="shared" si="7"/>
        <v>0</v>
      </c>
      <c r="P24" s="39">
        <f t="shared" si="7"/>
        <v>0</v>
      </c>
      <c r="Q24" s="39">
        <f t="shared" si="7"/>
        <v>0</v>
      </c>
      <c r="R24" s="39">
        <f t="shared" si="7"/>
        <v>0</v>
      </c>
      <c r="S24" s="39">
        <f t="shared" si="7"/>
        <v>0</v>
      </c>
      <c r="T24" s="39">
        <f t="shared" si="7"/>
        <v>0</v>
      </c>
      <c r="U24" s="39">
        <f t="shared" si="7"/>
        <v>0</v>
      </c>
      <c r="V24" s="39">
        <f t="shared" si="7"/>
        <v>0</v>
      </c>
      <c r="W24" s="39">
        <f t="shared" si="7"/>
        <v>0</v>
      </c>
      <c r="X24" s="39">
        <f t="shared" si="7"/>
        <v>0</v>
      </c>
      <c r="Y24" s="39">
        <f t="shared" si="7"/>
        <v>0</v>
      </c>
      <c r="Z24" s="39">
        <f t="shared" si="7"/>
        <v>0</v>
      </c>
      <c r="AA24" s="39">
        <f t="shared" si="7"/>
        <v>0</v>
      </c>
      <c r="AB24" s="39">
        <f t="shared" si="7"/>
        <v>0</v>
      </c>
      <c r="AC24" s="39">
        <f t="shared" si="7"/>
        <v>0</v>
      </c>
    </row>
    <row r="25" spans="1:29" s="37" customFormat="1" ht="15" customHeight="1">
      <c r="A25" s="34"/>
      <c r="B25" s="35" t="s">
        <v>178</v>
      </c>
      <c r="C25" s="35">
        <f t="shared" si="1"/>
        <v>0</v>
      </c>
      <c r="D25" s="34" t="s">
        <v>170</v>
      </c>
      <c r="E25" s="34"/>
      <c r="F25" s="36" t="s">
        <v>174</v>
      </c>
      <c r="G25" s="35"/>
      <c r="H25" s="35">
        <f>SUM(I25:AC25)</f>
        <v>0</v>
      </c>
      <c r="I25" s="35"/>
      <c r="J25" s="35"/>
      <c r="K25" s="35"/>
      <c r="L25" s="35"/>
      <c r="M25" s="35"/>
      <c r="N25" s="35"/>
      <c r="O25" s="35"/>
      <c r="P25" s="35"/>
      <c r="Q25" s="35"/>
      <c r="R25" s="35"/>
      <c r="S25" s="35"/>
      <c r="T25" s="35"/>
      <c r="U25" s="35"/>
      <c r="V25" s="35"/>
      <c r="W25" s="35"/>
      <c r="X25" s="35"/>
      <c r="Y25" s="35"/>
      <c r="Z25" s="35"/>
      <c r="AA25" s="35"/>
      <c r="AB25" s="35"/>
      <c r="AC25" s="35"/>
    </row>
    <row r="26" spans="1:29" s="79" customFormat="1" ht="15" customHeight="1">
      <c r="A26" s="77">
        <v>8</v>
      </c>
      <c r="B26" s="78" t="s">
        <v>46</v>
      </c>
      <c r="C26" s="78">
        <f t="shared" si="1"/>
        <v>36</v>
      </c>
      <c r="D26" s="77">
        <f t="shared" ref="D26:Y26" si="8">SUM(D27:D27)</f>
        <v>0</v>
      </c>
      <c r="E26" s="77">
        <f t="shared" si="8"/>
        <v>0</v>
      </c>
      <c r="F26" s="77">
        <f t="shared" si="8"/>
        <v>0</v>
      </c>
      <c r="G26" s="78">
        <f t="shared" si="8"/>
        <v>0</v>
      </c>
      <c r="H26" s="78">
        <f t="shared" si="8"/>
        <v>36</v>
      </c>
      <c r="I26" s="78">
        <f t="shared" si="8"/>
        <v>0</v>
      </c>
      <c r="J26" s="78">
        <f t="shared" si="8"/>
        <v>0</v>
      </c>
      <c r="K26" s="78">
        <f t="shared" si="8"/>
        <v>0</v>
      </c>
      <c r="L26" s="78">
        <f t="shared" si="8"/>
        <v>0</v>
      </c>
      <c r="M26" s="78">
        <f t="shared" si="8"/>
        <v>36</v>
      </c>
      <c r="N26" s="78">
        <f t="shared" si="8"/>
        <v>0</v>
      </c>
      <c r="O26" s="78">
        <f t="shared" si="8"/>
        <v>0</v>
      </c>
      <c r="P26" s="78">
        <f t="shared" si="8"/>
        <v>0</v>
      </c>
      <c r="Q26" s="78">
        <f t="shared" si="8"/>
        <v>0</v>
      </c>
      <c r="R26" s="78">
        <f t="shared" si="8"/>
        <v>0</v>
      </c>
      <c r="S26" s="78">
        <f t="shared" si="8"/>
        <v>0</v>
      </c>
      <c r="T26" s="78">
        <f t="shared" si="8"/>
        <v>0</v>
      </c>
      <c r="U26" s="78">
        <f t="shared" si="8"/>
        <v>0</v>
      </c>
      <c r="V26" s="78">
        <f t="shared" si="8"/>
        <v>0</v>
      </c>
      <c r="W26" s="78">
        <f t="shared" si="8"/>
        <v>0</v>
      </c>
      <c r="X26" s="78">
        <f t="shared" si="8"/>
        <v>0</v>
      </c>
      <c r="Y26" s="78">
        <f t="shared" si="8"/>
        <v>0</v>
      </c>
      <c r="Z26" s="78"/>
      <c r="AA26" s="78"/>
      <c r="AB26" s="78">
        <f>SUM(AB27:AB27)</f>
        <v>0</v>
      </c>
      <c r="AC26" s="78">
        <f>SUM(AC27:AC27)</f>
        <v>0</v>
      </c>
    </row>
    <row r="27" spans="1:29" s="33" customFormat="1" ht="15" customHeight="1">
      <c r="A27" s="34"/>
      <c r="B27" s="35" t="s">
        <v>179</v>
      </c>
      <c r="C27" s="35">
        <f t="shared" si="1"/>
        <v>36</v>
      </c>
      <c r="D27" s="34" t="s">
        <v>173</v>
      </c>
      <c r="E27" s="34"/>
      <c r="F27" s="36" t="s">
        <v>208</v>
      </c>
      <c r="G27" s="35"/>
      <c r="H27" s="35">
        <f>SUM(I27:AC27)</f>
        <v>36</v>
      </c>
      <c r="I27" s="39"/>
      <c r="J27" s="39"/>
      <c r="K27" s="39"/>
      <c r="L27" s="35"/>
      <c r="M27" s="35">
        <v>36</v>
      </c>
      <c r="N27" s="35"/>
      <c r="O27" s="35"/>
      <c r="P27" s="39"/>
      <c r="Q27" s="39"/>
      <c r="R27" s="39"/>
      <c r="S27" s="39"/>
      <c r="T27" s="39"/>
      <c r="U27" s="35"/>
      <c r="V27" s="35"/>
      <c r="W27" s="39"/>
      <c r="X27" s="39"/>
      <c r="Y27" s="39"/>
      <c r="Z27" s="39"/>
      <c r="AA27" s="39"/>
      <c r="AB27" s="39"/>
      <c r="AC27" s="39"/>
    </row>
    <row r="28" spans="1:29" s="79" customFormat="1" ht="15" customHeight="1">
      <c r="A28" s="77">
        <v>9</v>
      </c>
      <c r="B28" s="78" t="s">
        <v>47</v>
      </c>
      <c r="C28" s="78">
        <f t="shared" si="1"/>
        <v>66</v>
      </c>
      <c r="D28" s="77">
        <f t="shared" ref="D28:Y28" si="9">SUM(D29:D34)</f>
        <v>0</v>
      </c>
      <c r="E28" s="77">
        <f t="shared" si="9"/>
        <v>0</v>
      </c>
      <c r="F28" s="77">
        <f t="shared" si="9"/>
        <v>0</v>
      </c>
      <c r="G28" s="78">
        <f t="shared" si="9"/>
        <v>0</v>
      </c>
      <c r="H28" s="78">
        <f t="shared" si="9"/>
        <v>66</v>
      </c>
      <c r="I28" s="78">
        <f t="shared" si="9"/>
        <v>0</v>
      </c>
      <c r="J28" s="78">
        <f t="shared" si="9"/>
        <v>0</v>
      </c>
      <c r="K28" s="78">
        <f t="shared" si="9"/>
        <v>0</v>
      </c>
      <c r="L28" s="78">
        <f t="shared" si="9"/>
        <v>0</v>
      </c>
      <c r="M28" s="78">
        <f t="shared" si="9"/>
        <v>0</v>
      </c>
      <c r="N28" s="78">
        <f t="shared" si="9"/>
        <v>0</v>
      </c>
      <c r="O28" s="78">
        <f t="shared" si="9"/>
        <v>0</v>
      </c>
      <c r="P28" s="78">
        <f t="shared" si="9"/>
        <v>0</v>
      </c>
      <c r="Q28" s="78">
        <f t="shared" si="9"/>
        <v>0</v>
      </c>
      <c r="R28" s="78">
        <f t="shared" si="9"/>
        <v>0</v>
      </c>
      <c r="S28" s="78">
        <f t="shared" si="9"/>
        <v>66</v>
      </c>
      <c r="T28" s="78">
        <f t="shared" si="9"/>
        <v>0</v>
      </c>
      <c r="U28" s="78">
        <f t="shared" si="9"/>
        <v>0</v>
      </c>
      <c r="V28" s="78">
        <f t="shared" si="9"/>
        <v>0</v>
      </c>
      <c r="W28" s="78">
        <f t="shared" si="9"/>
        <v>0</v>
      </c>
      <c r="X28" s="78">
        <f t="shared" si="9"/>
        <v>0</v>
      </c>
      <c r="Y28" s="78">
        <f t="shared" si="9"/>
        <v>0</v>
      </c>
      <c r="Z28" s="78"/>
      <c r="AA28" s="78"/>
      <c r="AB28" s="78">
        <f>SUM(AB29:AB34)</f>
        <v>0</v>
      </c>
      <c r="AC28" s="78">
        <f>SUM(AC29:AC34)</f>
        <v>0</v>
      </c>
    </row>
    <row r="29" spans="1:29" s="37" customFormat="1" ht="15" customHeight="1">
      <c r="A29" s="34"/>
      <c r="B29" s="35" t="s">
        <v>180</v>
      </c>
      <c r="C29" s="35">
        <f t="shared" si="1"/>
        <v>0</v>
      </c>
      <c r="D29" s="34" t="s">
        <v>170</v>
      </c>
      <c r="E29" s="34"/>
      <c r="F29" s="36" t="s">
        <v>174</v>
      </c>
      <c r="G29" s="35"/>
      <c r="H29" s="35">
        <f t="shared" ref="H29:H36" si="10">SUM(I29:AC29)</f>
        <v>0</v>
      </c>
      <c r="I29" s="35"/>
      <c r="J29" s="35"/>
      <c r="K29" s="35"/>
      <c r="L29" s="35"/>
      <c r="M29" s="35"/>
      <c r="N29" s="35"/>
      <c r="O29" s="35"/>
      <c r="P29" s="35"/>
      <c r="Q29" s="35"/>
      <c r="R29" s="35"/>
      <c r="S29" s="35"/>
      <c r="T29" s="35"/>
      <c r="U29" s="35"/>
      <c r="V29" s="35"/>
      <c r="W29" s="35"/>
      <c r="X29" s="35"/>
      <c r="Y29" s="35"/>
      <c r="Z29" s="35"/>
      <c r="AA29" s="35"/>
      <c r="AB29" s="35"/>
      <c r="AC29" s="35"/>
    </row>
    <row r="30" spans="1:29" s="37" customFormat="1" ht="15" customHeight="1">
      <c r="A30" s="34"/>
      <c r="B30" s="35" t="s">
        <v>181</v>
      </c>
      <c r="C30" s="35">
        <f t="shared" si="1"/>
        <v>0</v>
      </c>
      <c r="D30" s="34" t="s">
        <v>170</v>
      </c>
      <c r="E30" s="34"/>
      <c r="F30" s="36" t="s">
        <v>174</v>
      </c>
      <c r="G30" s="35"/>
      <c r="H30" s="35">
        <f t="shared" si="10"/>
        <v>0</v>
      </c>
      <c r="I30" s="35"/>
      <c r="J30" s="35"/>
      <c r="K30" s="35"/>
      <c r="L30" s="35"/>
      <c r="M30" s="35"/>
      <c r="N30" s="35"/>
      <c r="O30" s="35"/>
      <c r="P30" s="35"/>
      <c r="Q30" s="35"/>
      <c r="R30" s="35"/>
      <c r="S30" s="35"/>
      <c r="T30" s="35"/>
      <c r="U30" s="35"/>
      <c r="V30" s="35"/>
      <c r="W30" s="35"/>
      <c r="X30" s="35"/>
      <c r="Y30" s="35"/>
      <c r="Z30" s="35"/>
      <c r="AA30" s="35"/>
      <c r="AB30" s="35"/>
      <c r="AC30" s="35"/>
    </row>
    <row r="31" spans="1:29" s="37" customFormat="1" ht="15" customHeight="1">
      <c r="A31" s="34"/>
      <c r="B31" s="35" t="s">
        <v>182</v>
      </c>
      <c r="C31" s="35">
        <f t="shared" si="1"/>
        <v>0</v>
      </c>
      <c r="D31" s="34" t="s">
        <v>170</v>
      </c>
      <c r="E31" s="34"/>
      <c r="F31" s="36" t="s">
        <v>174</v>
      </c>
      <c r="G31" s="35"/>
      <c r="H31" s="35">
        <f t="shared" si="10"/>
        <v>0</v>
      </c>
      <c r="I31" s="35"/>
      <c r="J31" s="35"/>
      <c r="K31" s="35"/>
      <c r="L31" s="35"/>
      <c r="M31" s="35"/>
      <c r="N31" s="35"/>
      <c r="O31" s="35"/>
      <c r="P31" s="35"/>
      <c r="Q31" s="35"/>
      <c r="R31" s="35"/>
      <c r="S31" s="35"/>
      <c r="T31" s="35"/>
      <c r="U31" s="35"/>
      <c r="V31" s="35"/>
      <c r="W31" s="35"/>
      <c r="X31" s="35"/>
      <c r="Y31" s="35"/>
      <c r="Z31" s="35"/>
      <c r="AA31" s="35"/>
      <c r="AB31" s="35"/>
      <c r="AC31" s="35"/>
    </row>
    <row r="32" spans="1:29" s="37" customFormat="1" ht="15" customHeight="1">
      <c r="A32" s="34"/>
      <c r="B32" s="35" t="s">
        <v>183</v>
      </c>
      <c r="C32" s="35">
        <f t="shared" si="1"/>
        <v>0</v>
      </c>
      <c r="D32" s="34" t="s">
        <v>170</v>
      </c>
      <c r="E32" s="34"/>
      <c r="F32" s="36" t="s">
        <v>174</v>
      </c>
      <c r="G32" s="35"/>
      <c r="H32" s="35">
        <f t="shared" si="10"/>
        <v>0</v>
      </c>
      <c r="I32" s="35"/>
      <c r="J32" s="35"/>
      <c r="K32" s="35"/>
      <c r="L32" s="35"/>
      <c r="M32" s="35"/>
      <c r="N32" s="35"/>
      <c r="O32" s="35"/>
      <c r="P32" s="35"/>
      <c r="Q32" s="35"/>
      <c r="R32" s="35"/>
      <c r="S32" s="35"/>
      <c r="T32" s="35"/>
      <c r="U32" s="35"/>
      <c r="V32" s="35"/>
      <c r="W32" s="35"/>
      <c r="X32" s="35"/>
      <c r="Y32" s="35"/>
      <c r="Z32" s="35"/>
      <c r="AA32" s="35"/>
      <c r="AB32" s="35"/>
      <c r="AC32" s="35"/>
    </row>
    <row r="33" spans="1:29" s="37" customFormat="1" ht="15" customHeight="1">
      <c r="A33" s="34"/>
      <c r="B33" s="35" t="s">
        <v>184</v>
      </c>
      <c r="C33" s="35">
        <f t="shared" si="1"/>
        <v>66</v>
      </c>
      <c r="D33" s="34" t="s">
        <v>173</v>
      </c>
      <c r="E33" s="34"/>
      <c r="F33" s="36" t="s">
        <v>171</v>
      </c>
      <c r="G33" s="35"/>
      <c r="H33" s="35">
        <f t="shared" si="10"/>
        <v>66</v>
      </c>
      <c r="I33" s="35"/>
      <c r="J33" s="35"/>
      <c r="K33" s="35"/>
      <c r="L33" s="35"/>
      <c r="M33" s="35"/>
      <c r="N33" s="35"/>
      <c r="O33" s="35"/>
      <c r="P33" s="35"/>
      <c r="Q33" s="35"/>
      <c r="R33" s="35"/>
      <c r="S33" s="35">
        <v>66</v>
      </c>
      <c r="T33" s="35"/>
      <c r="U33" s="35"/>
      <c r="V33" s="35"/>
      <c r="W33" s="35"/>
      <c r="X33" s="35"/>
      <c r="Y33" s="35"/>
      <c r="Z33" s="35"/>
      <c r="AA33" s="35"/>
      <c r="AB33" s="35"/>
      <c r="AC33" s="35"/>
    </row>
    <row r="34" spans="1:29" s="37" customFormat="1" ht="15" customHeight="1">
      <c r="A34" s="34"/>
      <c r="B34" s="35" t="s">
        <v>185</v>
      </c>
      <c r="C34" s="35">
        <f t="shared" si="1"/>
        <v>0</v>
      </c>
      <c r="D34" s="34" t="s">
        <v>170</v>
      </c>
      <c r="E34" s="34"/>
      <c r="F34" s="36" t="s">
        <v>174</v>
      </c>
      <c r="G34" s="35"/>
      <c r="H34" s="35">
        <f t="shared" si="10"/>
        <v>0</v>
      </c>
      <c r="I34" s="35"/>
      <c r="J34" s="35"/>
      <c r="K34" s="35"/>
      <c r="L34" s="35"/>
      <c r="M34" s="35"/>
      <c r="N34" s="35"/>
      <c r="O34" s="35"/>
      <c r="P34" s="35"/>
      <c r="Q34" s="35"/>
      <c r="R34" s="35"/>
      <c r="S34" s="35"/>
      <c r="T34" s="35"/>
      <c r="U34" s="35"/>
      <c r="V34" s="35"/>
      <c r="W34" s="35"/>
      <c r="X34" s="35"/>
      <c r="Y34" s="35"/>
      <c r="Z34" s="35"/>
      <c r="AA34" s="35"/>
      <c r="AB34" s="35"/>
      <c r="AC34" s="35"/>
    </row>
    <row r="35" spans="1:29" s="33" customFormat="1" ht="15" customHeight="1">
      <c r="A35" s="38">
        <v>10</v>
      </c>
      <c r="B35" s="39" t="s">
        <v>116</v>
      </c>
      <c r="C35" s="39">
        <f t="shared" si="1"/>
        <v>0</v>
      </c>
      <c r="D35" s="38">
        <f>E35+G35</f>
        <v>0</v>
      </c>
      <c r="E35" s="38"/>
      <c r="F35" s="38"/>
      <c r="G35" s="39"/>
      <c r="H35" s="39">
        <f t="shared" si="10"/>
        <v>0</v>
      </c>
      <c r="I35" s="39"/>
      <c r="J35" s="39"/>
      <c r="K35" s="39"/>
      <c r="L35" s="39"/>
      <c r="M35" s="39"/>
      <c r="N35" s="39"/>
      <c r="O35" s="39"/>
      <c r="P35" s="39"/>
      <c r="Q35" s="39"/>
      <c r="R35" s="39"/>
      <c r="S35" s="39"/>
      <c r="T35" s="39"/>
      <c r="U35" s="39"/>
      <c r="V35" s="39"/>
      <c r="W35" s="39"/>
      <c r="X35" s="39"/>
      <c r="Y35" s="39"/>
      <c r="Z35" s="39"/>
      <c r="AA35" s="39"/>
      <c r="AB35" s="39"/>
      <c r="AC35" s="39"/>
    </row>
    <row r="36" spans="1:29" s="33" customFormat="1" ht="15" customHeight="1">
      <c r="A36" s="38">
        <v>11</v>
      </c>
      <c r="B36" s="39" t="s">
        <v>48</v>
      </c>
      <c r="C36" s="39">
        <f t="shared" si="1"/>
        <v>0</v>
      </c>
      <c r="D36" s="38">
        <f>E36+G36</f>
        <v>0</v>
      </c>
      <c r="E36" s="38"/>
      <c r="F36" s="38"/>
      <c r="G36" s="39"/>
      <c r="H36" s="39">
        <f t="shared" si="10"/>
        <v>0</v>
      </c>
      <c r="I36" s="39"/>
      <c r="J36" s="39"/>
      <c r="K36" s="39"/>
      <c r="L36" s="39"/>
      <c r="M36" s="39"/>
      <c r="N36" s="39"/>
      <c r="O36" s="39"/>
      <c r="P36" s="39"/>
      <c r="Q36" s="39"/>
      <c r="R36" s="39"/>
      <c r="S36" s="39"/>
      <c r="T36" s="39"/>
      <c r="U36" s="39"/>
      <c r="V36" s="39"/>
      <c r="W36" s="39"/>
      <c r="X36" s="39"/>
      <c r="Y36" s="39"/>
      <c r="Z36" s="39"/>
      <c r="AA36" s="39"/>
      <c r="AB36" s="39"/>
      <c r="AC36" s="39"/>
    </row>
    <row r="37" spans="1:29" s="32" customFormat="1" ht="15" customHeight="1">
      <c r="A37" s="80">
        <v>12</v>
      </c>
      <c r="B37" s="81" t="s">
        <v>49</v>
      </c>
      <c r="C37" s="81">
        <f t="shared" si="1"/>
        <v>31</v>
      </c>
      <c r="D37" s="80">
        <f t="shared" ref="D37:Y37" si="11">SUM(D38:D38)</f>
        <v>0</v>
      </c>
      <c r="E37" s="80">
        <f t="shared" si="11"/>
        <v>0</v>
      </c>
      <c r="F37" s="80">
        <f t="shared" si="11"/>
        <v>0</v>
      </c>
      <c r="G37" s="81">
        <f t="shared" si="11"/>
        <v>0</v>
      </c>
      <c r="H37" s="81">
        <f t="shared" si="11"/>
        <v>31</v>
      </c>
      <c r="I37" s="81">
        <f t="shared" si="11"/>
        <v>0</v>
      </c>
      <c r="J37" s="81">
        <f t="shared" si="11"/>
        <v>0</v>
      </c>
      <c r="K37" s="81">
        <f t="shared" si="11"/>
        <v>0</v>
      </c>
      <c r="L37" s="81">
        <f t="shared" si="11"/>
        <v>0</v>
      </c>
      <c r="M37" s="81">
        <f t="shared" si="11"/>
        <v>31</v>
      </c>
      <c r="N37" s="81">
        <f t="shared" si="11"/>
        <v>0</v>
      </c>
      <c r="O37" s="81">
        <f t="shared" si="11"/>
        <v>0</v>
      </c>
      <c r="P37" s="81">
        <f t="shared" si="11"/>
        <v>0</v>
      </c>
      <c r="Q37" s="81">
        <f t="shared" si="11"/>
        <v>0</v>
      </c>
      <c r="R37" s="81">
        <f t="shared" si="11"/>
        <v>0</v>
      </c>
      <c r="S37" s="81">
        <f t="shared" si="11"/>
        <v>0</v>
      </c>
      <c r="T37" s="81">
        <f t="shared" si="11"/>
        <v>0</v>
      </c>
      <c r="U37" s="81">
        <f t="shared" si="11"/>
        <v>0</v>
      </c>
      <c r="V37" s="81">
        <f t="shared" si="11"/>
        <v>0</v>
      </c>
      <c r="W37" s="81">
        <f t="shared" si="11"/>
        <v>0</v>
      </c>
      <c r="X37" s="81">
        <f t="shared" si="11"/>
        <v>0</v>
      </c>
      <c r="Y37" s="81">
        <f t="shared" si="11"/>
        <v>0</v>
      </c>
      <c r="Z37" s="81"/>
      <c r="AA37" s="81"/>
      <c r="AB37" s="81">
        <f>SUM(AB38:AB38)</f>
        <v>0</v>
      </c>
      <c r="AC37" s="81">
        <f>SUM(AC38:AC38)</f>
        <v>0</v>
      </c>
    </row>
    <row r="38" spans="1:29" s="73" customFormat="1" ht="15" customHeight="1">
      <c r="A38" s="82"/>
      <c r="B38" s="83" t="s">
        <v>186</v>
      </c>
      <c r="C38" s="83">
        <f t="shared" si="1"/>
        <v>31</v>
      </c>
      <c r="D38" s="82" t="s">
        <v>173</v>
      </c>
      <c r="E38" s="82"/>
      <c r="F38" s="84" t="s">
        <v>208</v>
      </c>
      <c r="G38" s="83"/>
      <c r="H38" s="83">
        <f>SUM(I38:AC38)</f>
        <v>31</v>
      </c>
      <c r="I38" s="83"/>
      <c r="J38" s="83"/>
      <c r="K38" s="83"/>
      <c r="L38" s="83"/>
      <c r="M38" s="83">
        <v>31</v>
      </c>
      <c r="N38" s="83"/>
      <c r="O38" s="83"/>
      <c r="P38" s="83"/>
      <c r="Q38" s="83"/>
      <c r="R38" s="83"/>
      <c r="S38" s="83"/>
      <c r="T38" s="83"/>
      <c r="U38" s="83"/>
      <c r="V38" s="83"/>
      <c r="W38" s="83"/>
      <c r="X38" s="83"/>
      <c r="Y38" s="83"/>
      <c r="Z38" s="83"/>
      <c r="AA38" s="83"/>
      <c r="AB38" s="83"/>
      <c r="AC38" s="83"/>
    </row>
    <row r="39" spans="1:29" s="90" customFormat="1" ht="15" customHeight="1">
      <c r="A39" s="87">
        <v>13</v>
      </c>
      <c r="B39" s="88" t="s">
        <v>50</v>
      </c>
      <c r="C39" s="88">
        <f t="shared" si="1"/>
        <v>48</v>
      </c>
      <c r="D39" s="89">
        <f t="shared" ref="D39:Y39" si="12">SUM(D40:D40)</f>
        <v>0</v>
      </c>
      <c r="E39" s="89">
        <f t="shared" si="12"/>
        <v>0</v>
      </c>
      <c r="F39" s="89">
        <f t="shared" si="12"/>
        <v>0</v>
      </c>
      <c r="G39" s="88">
        <f t="shared" si="12"/>
        <v>0</v>
      </c>
      <c r="H39" s="88">
        <f t="shared" si="12"/>
        <v>48</v>
      </c>
      <c r="I39" s="88">
        <f t="shared" si="12"/>
        <v>0</v>
      </c>
      <c r="J39" s="88">
        <f t="shared" si="12"/>
        <v>0</v>
      </c>
      <c r="K39" s="88">
        <f t="shared" si="12"/>
        <v>0</v>
      </c>
      <c r="L39" s="88">
        <f t="shared" si="12"/>
        <v>0</v>
      </c>
      <c r="M39" s="88">
        <f t="shared" si="12"/>
        <v>0</v>
      </c>
      <c r="N39" s="88">
        <f t="shared" si="12"/>
        <v>0</v>
      </c>
      <c r="O39" s="88">
        <f t="shared" si="12"/>
        <v>0</v>
      </c>
      <c r="P39" s="88">
        <f t="shared" si="12"/>
        <v>0</v>
      </c>
      <c r="Q39" s="88">
        <f t="shared" si="12"/>
        <v>0</v>
      </c>
      <c r="R39" s="88">
        <f t="shared" si="12"/>
        <v>48</v>
      </c>
      <c r="S39" s="88">
        <f t="shared" si="12"/>
        <v>0</v>
      </c>
      <c r="T39" s="88">
        <f t="shared" si="12"/>
        <v>0</v>
      </c>
      <c r="U39" s="88">
        <f t="shared" si="12"/>
        <v>0</v>
      </c>
      <c r="V39" s="88">
        <f t="shared" si="12"/>
        <v>0</v>
      </c>
      <c r="W39" s="88">
        <f t="shared" si="12"/>
        <v>0</v>
      </c>
      <c r="X39" s="88">
        <f t="shared" si="12"/>
        <v>0</v>
      </c>
      <c r="Y39" s="88">
        <f t="shared" si="12"/>
        <v>0</v>
      </c>
      <c r="Z39" s="88"/>
      <c r="AA39" s="88"/>
      <c r="AB39" s="88">
        <f>SUM(AB40:AB40)</f>
        <v>0</v>
      </c>
      <c r="AC39" s="88">
        <f>SUM(AC40:AC40)</f>
        <v>0</v>
      </c>
    </row>
    <row r="40" spans="1:29" s="37" customFormat="1" ht="15" customHeight="1">
      <c r="A40" s="34"/>
      <c r="B40" s="35" t="s">
        <v>187</v>
      </c>
      <c r="C40" s="35">
        <f t="shared" si="1"/>
        <v>48</v>
      </c>
      <c r="D40" s="34" t="s">
        <v>173</v>
      </c>
      <c r="E40" s="34"/>
      <c r="F40" s="36" t="s">
        <v>208</v>
      </c>
      <c r="G40" s="35"/>
      <c r="H40" s="35">
        <f>SUM(I40:AC40)</f>
        <v>48</v>
      </c>
      <c r="I40" s="35"/>
      <c r="J40" s="35"/>
      <c r="K40" s="35"/>
      <c r="L40" s="35"/>
      <c r="M40" s="35"/>
      <c r="N40" s="35"/>
      <c r="O40" s="35"/>
      <c r="P40" s="35"/>
      <c r="Q40" s="35"/>
      <c r="R40" s="35">
        <v>48</v>
      </c>
      <c r="S40" s="35"/>
      <c r="T40" s="35"/>
      <c r="U40" s="35"/>
      <c r="V40" s="35"/>
      <c r="W40" s="35"/>
      <c r="X40" s="35"/>
      <c r="Y40" s="35"/>
      <c r="Z40" s="35"/>
      <c r="AA40" s="35"/>
      <c r="AB40" s="35"/>
      <c r="AC40" s="35"/>
    </row>
    <row r="41" spans="1:29" s="33" customFormat="1" ht="15" customHeight="1">
      <c r="A41" s="38">
        <v>14</v>
      </c>
      <c r="B41" s="39" t="s">
        <v>51</v>
      </c>
      <c r="C41" s="39">
        <f t="shared" si="1"/>
        <v>0</v>
      </c>
      <c r="D41" s="38">
        <f>SUM(D42:D43)</f>
        <v>0</v>
      </c>
      <c r="E41" s="38">
        <f>SUM(E42:E43)</f>
        <v>0</v>
      </c>
      <c r="F41" s="38">
        <f>SUM(F42:F43)</f>
        <v>0</v>
      </c>
      <c r="G41" s="39">
        <f>SUM(G42:G43)</f>
        <v>0</v>
      </c>
      <c r="H41" s="39">
        <f>SUM(H42:H44)</f>
        <v>0</v>
      </c>
      <c r="I41" s="39">
        <f t="shared" ref="I41:S41" si="13">SUM(I42:I43)</f>
        <v>0</v>
      </c>
      <c r="J41" s="39">
        <f t="shared" si="13"/>
        <v>0</v>
      </c>
      <c r="K41" s="39">
        <f t="shared" si="13"/>
        <v>0</v>
      </c>
      <c r="L41" s="39">
        <f t="shared" si="13"/>
        <v>0</v>
      </c>
      <c r="M41" s="39">
        <f t="shared" si="13"/>
        <v>0</v>
      </c>
      <c r="N41" s="39">
        <f t="shared" si="13"/>
        <v>0</v>
      </c>
      <c r="O41" s="39">
        <f t="shared" si="13"/>
        <v>0</v>
      </c>
      <c r="P41" s="39">
        <f t="shared" si="13"/>
        <v>0</v>
      </c>
      <c r="Q41" s="39">
        <f t="shared" si="13"/>
        <v>0</v>
      </c>
      <c r="R41" s="39">
        <f t="shared" si="13"/>
        <v>0</v>
      </c>
      <c r="S41" s="39">
        <f t="shared" si="13"/>
        <v>0</v>
      </c>
      <c r="T41" s="39">
        <f>SUM(T42:T44)</f>
        <v>0</v>
      </c>
      <c r="U41" s="39">
        <f>SUM(U42:U43)</f>
        <v>0</v>
      </c>
      <c r="V41" s="39">
        <f>SUM(V42:V43)</f>
        <v>0</v>
      </c>
      <c r="W41" s="39">
        <f>SUM(W42:W43)</f>
        <v>0</v>
      </c>
      <c r="X41" s="39">
        <f>SUM(X42:X43)</f>
        <v>0</v>
      </c>
      <c r="Y41" s="39">
        <f>SUM(Y42:Y43)</f>
        <v>0</v>
      </c>
      <c r="Z41" s="39"/>
      <c r="AA41" s="39"/>
      <c r="AB41" s="39">
        <f>SUM(AB42:AB43)</f>
        <v>0</v>
      </c>
      <c r="AC41" s="39">
        <f>SUM(AC42:AC43)</f>
        <v>0</v>
      </c>
    </row>
    <row r="42" spans="1:29" s="37" customFormat="1" ht="15" customHeight="1">
      <c r="A42" s="34"/>
      <c r="B42" s="35" t="s">
        <v>188</v>
      </c>
      <c r="C42" s="35">
        <f t="shared" si="1"/>
        <v>0</v>
      </c>
      <c r="D42" s="34" t="s">
        <v>170</v>
      </c>
      <c r="E42" s="34"/>
      <c r="F42" s="36" t="s">
        <v>174</v>
      </c>
      <c r="G42" s="35"/>
      <c r="H42" s="35">
        <f t="shared" ref="H42:H80" si="14">SUM(I42:AC42)</f>
        <v>0</v>
      </c>
      <c r="I42" s="35"/>
      <c r="J42" s="35"/>
      <c r="K42" s="35"/>
      <c r="L42" s="35"/>
      <c r="M42" s="35"/>
      <c r="N42" s="35"/>
      <c r="O42" s="35"/>
      <c r="P42" s="35"/>
      <c r="Q42" s="35"/>
      <c r="R42" s="35"/>
      <c r="S42" s="35"/>
      <c r="T42" s="35"/>
      <c r="U42" s="35"/>
      <c r="V42" s="35"/>
      <c r="W42" s="35"/>
      <c r="X42" s="35"/>
      <c r="Y42" s="35"/>
      <c r="Z42" s="35"/>
      <c r="AA42" s="35"/>
      <c r="AB42" s="35"/>
      <c r="AC42" s="35"/>
    </row>
    <row r="43" spans="1:29" s="37" customFormat="1" ht="15" customHeight="1">
      <c r="A43" s="34"/>
      <c r="B43" s="35" t="s">
        <v>189</v>
      </c>
      <c r="C43" s="35">
        <f t="shared" si="1"/>
        <v>0</v>
      </c>
      <c r="D43" s="34" t="s">
        <v>170</v>
      </c>
      <c r="E43" s="34"/>
      <c r="F43" s="36" t="s">
        <v>174</v>
      </c>
      <c r="G43" s="35"/>
      <c r="H43" s="35">
        <f>SUM(I43:AC43)</f>
        <v>0</v>
      </c>
      <c r="I43" s="35"/>
      <c r="J43" s="35"/>
      <c r="K43" s="35"/>
      <c r="L43" s="35"/>
      <c r="M43" s="35"/>
      <c r="N43" s="35"/>
      <c r="O43" s="35"/>
      <c r="P43" s="35"/>
      <c r="Q43" s="35"/>
      <c r="R43" s="35"/>
      <c r="S43" s="35"/>
      <c r="T43" s="35"/>
      <c r="U43" s="35"/>
      <c r="V43" s="35"/>
      <c r="W43" s="35"/>
      <c r="X43" s="35"/>
      <c r="Y43" s="35"/>
      <c r="Z43" s="35"/>
      <c r="AA43" s="35"/>
      <c r="AB43" s="35"/>
      <c r="AC43" s="35"/>
    </row>
    <row r="44" spans="1:29" s="37" customFormat="1" ht="15" customHeight="1">
      <c r="A44" s="34"/>
      <c r="B44" s="35" t="s">
        <v>190</v>
      </c>
      <c r="C44" s="35">
        <f t="shared" si="1"/>
        <v>0</v>
      </c>
      <c r="D44" s="34" t="s">
        <v>170</v>
      </c>
      <c r="E44" s="34"/>
      <c r="F44" s="36" t="s">
        <v>174</v>
      </c>
      <c r="G44" s="35"/>
      <c r="H44" s="35">
        <f>SUM(I44:AC44)</f>
        <v>0</v>
      </c>
      <c r="I44" s="35"/>
      <c r="J44" s="35"/>
      <c r="K44" s="35"/>
      <c r="L44" s="35"/>
      <c r="M44" s="35"/>
      <c r="N44" s="35"/>
      <c r="O44" s="35"/>
      <c r="P44" s="35"/>
      <c r="Q44" s="35"/>
      <c r="R44" s="35"/>
      <c r="S44" s="35"/>
      <c r="T44" s="35"/>
      <c r="U44" s="35"/>
      <c r="V44" s="35"/>
      <c r="W44" s="35"/>
      <c r="X44" s="35"/>
      <c r="Y44" s="35"/>
      <c r="Z44" s="35"/>
      <c r="AA44" s="35"/>
      <c r="AB44" s="35"/>
      <c r="AC44" s="35"/>
    </row>
    <row r="45" spans="1:29" s="79" customFormat="1" ht="15" customHeight="1">
      <c r="A45" s="77">
        <v>15</v>
      </c>
      <c r="B45" s="78" t="s">
        <v>52</v>
      </c>
      <c r="C45" s="78">
        <f t="shared" si="1"/>
        <v>73</v>
      </c>
      <c r="D45" s="77">
        <f t="shared" ref="D45:Y45" si="15">SUM(D46:D47)</f>
        <v>0</v>
      </c>
      <c r="E45" s="77">
        <f t="shared" si="15"/>
        <v>0</v>
      </c>
      <c r="F45" s="77">
        <f t="shared" si="15"/>
        <v>0</v>
      </c>
      <c r="G45" s="78">
        <f t="shared" si="15"/>
        <v>0</v>
      </c>
      <c r="H45" s="78">
        <f t="shared" si="15"/>
        <v>73</v>
      </c>
      <c r="I45" s="78">
        <f t="shared" si="15"/>
        <v>0</v>
      </c>
      <c r="J45" s="78">
        <f t="shared" si="15"/>
        <v>0</v>
      </c>
      <c r="K45" s="78">
        <f t="shared" si="15"/>
        <v>0</v>
      </c>
      <c r="L45" s="78">
        <f t="shared" si="15"/>
        <v>0</v>
      </c>
      <c r="M45" s="78">
        <f t="shared" si="15"/>
        <v>0</v>
      </c>
      <c r="N45" s="78">
        <f t="shared" si="15"/>
        <v>0</v>
      </c>
      <c r="O45" s="78">
        <f t="shared" si="15"/>
        <v>0</v>
      </c>
      <c r="P45" s="78">
        <f t="shared" si="15"/>
        <v>0</v>
      </c>
      <c r="Q45" s="78">
        <f t="shared" si="15"/>
        <v>0</v>
      </c>
      <c r="R45" s="78">
        <f t="shared" si="15"/>
        <v>0</v>
      </c>
      <c r="S45" s="78">
        <f t="shared" si="15"/>
        <v>0</v>
      </c>
      <c r="T45" s="78">
        <f t="shared" si="15"/>
        <v>0</v>
      </c>
      <c r="U45" s="78">
        <f t="shared" si="15"/>
        <v>73</v>
      </c>
      <c r="V45" s="78">
        <f t="shared" si="15"/>
        <v>0</v>
      </c>
      <c r="W45" s="78">
        <f t="shared" si="15"/>
        <v>0</v>
      </c>
      <c r="X45" s="78">
        <f t="shared" si="15"/>
        <v>0</v>
      </c>
      <c r="Y45" s="78">
        <f t="shared" si="15"/>
        <v>0</v>
      </c>
      <c r="Z45" s="78"/>
      <c r="AA45" s="78"/>
      <c r="AB45" s="78">
        <f>SUM(AB46:AB47)</f>
        <v>0</v>
      </c>
      <c r="AC45" s="78">
        <f>SUM(AC46:AC47)</f>
        <v>0</v>
      </c>
    </row>
    <row r="46" spans="1:29" s="37" customFormat="1" ht="15" customHeight="1">
      <c r="A46" s="34"/>
      <c r="B46" s="35" t="s">
        <v>191</v>
      </c>
      <c r="C46" s="35">
        <f t="shared" si="1"/>
        <v>73</v>
      </c>
      <c r="D46" s="34" t="s">
        <v>173</v>
      </c>
      <c r="E46" s="34"/>
      <c r="F46" s="36" t="s">
        <v>208</v>
      </c>
      <c r="G46" s="35"/>
      <c r="H46" s="35">
        <f>SUM(I46:AC46)</f>
        <v>73</v>
      </c>
      <c r="I46" s="35"/>
      <c r="J46" s="35"/>
      <c r="K46" s="35"/>
      <c r="L46" s="35"/>
      <c r="M46" s="35"/>
      <c r="N46" s="35"/>
      <c r="O46" s="35"/>
      <c r="P46" s="35"/>
      <c r="Q46" s="35"/>
      <c r="R46" s="35"/>
      <c r="S46" s="35"/>
      <c r="T46" s="35"/>
      <c r="U46" s="35">
        <v>73</v>
      </c>
      <c r="V46" s="35"/>
      <c r="W46" s="35"/>
      <c r="X46" s="35"/>
      <c r="Y46" s="35"/>
      <c r="Z46" s="35"/>
      <c r="AA46" s="35"/>
      <c r="AB46" s="35"/>
      <c r="AC46" s="35"/>
    </row>
    <row r="47" spans="1:29" s="37" customFormat="1" ht="15" customHeight="1">
      <c r="A47" s="34"/>
      <c r="B47" s="35"/>
      <c r="C47" s="35"/>
      <c r="D47" s="34"/>
      <c r="E47" s="34"/>
      <c r="F47" s="34"/>
      <c r="G47" s="35"/>
      <c r="H47" s="35"/>
      <c r="I47" s="35"/>
      <c r="J47" s="35"/>
      <c r="K47" s="35"/>
      <c r="L47" s="35"/>
      <c r="M47" s="35"/>
      <c r="N47" s="35"/>
      <c r="O47" s="35"/>
      <c r="P47" s="35"/>
      <c r="Q47" s="35"/>
      <c r="R47" s="35"/>
      <c r="S47" s="35"/>
      <c r="T47" s="35"/>
      <c r="U47" s="35"/>
      <c r="V47" s="35"/>
      <c r="W47" s="35"/>
      <c r="X47" s="35"/>
      <c r="Y47" s="35"/>
      <c r="Z47" s="35"/>
      <c r="AA47" s="35"/>
      <c r="AB47" s="35"/>
      <c r="AC47" s="35"/>
    </row>
    <row r="48" spans="1:29" s="64" customFormat="1" ht="15" customHeight="1">
      <c r="A48" s="62">
        <v>16</v>
      </c>
      <c r="B48" s="63" t="s">
        <v>53</v>
      </c>
      <c r="C48" s="63">
        <f t="shared" si="1"/>
        <v>0</v>
      </c>
      <c r="D48" s="62">
        <f t="shared" ref="D48:AC48" si="16">SUM(D49:D50)</f>
        <v>0</v>
      </c>
      <c r="E48" s="62">
        <f t="shared" si="16"/>
        <v>0</v>
      </c>
      <c r="F48" s="62">
        <f t="shared" si="16"/>
        <v>0</v>
      </c>
      <c r="G48" s="63">
        <f t="shared" si="16"/>
        <v>0</v>
      </c>
      <c r="H48" s="63">
        <f t="shared" si="16"/>
        <v>0</v>
      </c>
      <c r="I48" s="63">
        <f t="shared" si="16"/>
        <v>0</v>
      </c>
      <c r="J48" s="63">
        <f t="shared" si="16"/>
        <v>0</v>
      </c>
      <c r="K48" s="63">
        <f t="shared" si="16"/>
        <v>0</v>
      </c>
      <c r="L48" s="63">
        <f t="shared" si="16"/>
        <v>0</v>
      </c>
      <c r="M48" s="63">
        <f t="shared" si="16"/>
        <v>0</v>
      </c>
      <c r="N48" s="63">
        <f t="shared" si="16"/>
        <v>0</v>
      </c>
      <c r="O48" s="63">
        <f t="shared" si="16"/>
        <v>0</v>
      </c>
      <c r="P48" s="63">
        <f t="shared" si="16"/>
        <v>0</v>
      </c>
      <c r="Q48" s="63">
        <f t="shared" si="16"/>
        <v>0</v>
      </c>
      <c r="R48" s="63">
        <f t="shared" si="16"/>
        <v>0</v>
      </c>
      <c r="S48" s="63">
        <f t="shared" si="16"/>
        <v>0</v>
      </c>
      <c r="T48" s="63">
        <f t="shared" si="16"/>
        <v>0</v>
      </c>
      <c r="U48" s="63">
        <f t="shared" si="16"/>
        <v>0</v>
      </c>
      <c r="V48" s="63">
        <f t="shared" si="16"/>
        <v>0</v>
      </c>
      <c r="W48" s="63">
        <f t="shared" si="16"/>
        <v>0</v>
      </c>
      <c r="X48" s="63">
        <f t="shared" si="16"/>
        <v>0</v>
      </c>
      <c r="Y48" s="63">
        <f t="shared" si="16"/>
        <v>0</v>
      </c>
      <c r="Z48" s="63"/>
      <c r="AA48" s="63"/>
      <c r="AB48" s="63">
        <f t="shared" si="16"/>
        <v>0</v>
      </c>
      <c r="AC48" s="63">
        <f t="shared" si="16"/>
        <v>0</v>
      </c>
    </row>
    <row r="49" spans="1:29" s="33" customFormat="1" ht="15" customHeight="1">
      <c r="A49" s="38"/>
      <c r="B49" s="35" t="s">
        <v>192</v>
      </c>
      <c r="C49" s="35">
        <f t="shared" si="1"/>
        <v>0</v>
      </c>
      <c r="D49" s="34" t="s">
        <v>173</v>
      </c>
      <c r="E49" s="34"/>
      <c r="F49" s="36" t="s">
        <v>208</v>
      </c>
      <c r="G49" s="35"/>
      <c r="H49" s="35">
        <f t="shared" si="14"/>
        <v>0</v>
      </c>
      <c r="I49" s="45"/>
      <c r="J49" s="45"/>
      <c r="K49" s="45"/>
      <c r="L49" s="45"/>
      <c r="M49" s="45"/>
      <c r="N49" s="45"/>
      <c r="O49" s="35"/>
      <c r="P49" s="35"/>
      <c r="Q49" s="35"/>
      <c r="R49" s="35"/>
      <c r="S49" s="35"/>
      <c r="T49" s="35"/>
      <c r="U49" s="35"/>
      <c r="V49" s="35"/>
      <c r="W49" s="35"/>
      <c r="X49" s="35"/>
      <c r="Y49" s="35"/>
      <c r="Z49" s="35"/>
      <c r="AA49" s="35"/>
      <c r="AB49" s="35"/>
      <c r="AC49" s="45"/>
    </row>
    <row r="50" spans="1:29" s="33" customFormat="1" ht="15" customHeight="1">
      <c r="A50" s="38"/>
      <c r="B50" s="35" t="s">
        <v>193</v>
      </c>
      <c r="C50" s="35">
        <f t="shared" si="1"/>
        <v>0</v>
      </c>
      <c r="D50" s="34" t="s">
        <v>170</v>
      </c>
      <c r="E50" s="34"/>
      <c r="F50" s="36" t="s">
        <v>174</v>
      </c>
      <c r="G50" s="35"/>
      <c r="H50" s="35">
        <f t="shared" si="14"/>
        <v>0</v>
      </c>
      <c r="I50" s="45"/>
      <c r="J50" s="45"/>
      <c r="K50" s="45"/>
      <c r="L50" s="45"/>
      <c r="M50" s="45"/>
      <c r="N50" s="45"/>
      <c r="O50" s="35"/>
      <c r="P50" s="35"/>
      <c r="Q50" s="35"/>
      <c r="R50" s="35"/>
      <c r="S50" s="35"/>
      <c r="T50" s="35"/>
      <c r="U50" s="35"/>
      <c r="V50" s="35"/>
      <c r="W50" s="35"/>
      <c r="X50" s="35"/>
      <c r="Y50" s="35"/>
      <c r="Z50" s="35"/>
      <c r="AA50" s="35"/>
      <c r="AB50" s="35"/>
      <c r="AC50" s="45"/>
    </row>
    <row r="51" spans="1:29" s="64" customFormat="1" ht="15" customHeight="1">
      <c r="A51" s="62">
        <v>17</v>
      </c>
      <c r="B51" s="63" t="s">
        <v>55</v>
      </c>
      <c r="C51" s="63">
        <f t="shared" si="1"/>
        <v>5167</v>
      </c>
      <c r="D51" s="62">
        <f t="shared" ref="D51:U51" si="17">SUM(D52:D52)</f>
        <v>0</v>
      </c>
      <c r="E51" s="62">
        <f t="shared" si="17"/>
        <v>0</v>
      </c>
      <c r="F51" s="62">
        <f t="shared" si="17"/>
        <v>2.5000000000000001E-2</v>
      </c>
      <c r="G51" s="63">
        <f t="shared" si="17"/>
        <v>0</v>
      </c>
      <c r="H51" s="63">
        <f t="shared" si="17"/>
        <v>5167</v>
      </c>
      <c r="I51" s="63">
        <f t="shared" si="17"/>
        <v>0</v>
      </c>
      <c r="J51" s="63">
        <f t="shared" si="17"/>
        <v>0</v>
      </c>
      <c r="K51" s="63">
        <f t="shared" si="17"/>
        <v>0</v>
      </c>
      <c r="L51" s="63">
        <f t="shared" si="17"/>
        <v>0</v>
      </c>
      <c r="M51" s="63">
        <f t="shared" si="17"/>
        <v>0</v>
      </c>
      <c r="N51" s="63">
        <f t="shared" si="17"/>
        <v>0</v>
      </c>
      <c r="O51" s="63">
        <f t="shared" si="17"/>
        <v>0</v>
      </c>
      <c r="P51" s="63">
        <f t="shared" si="17"/>
        <v>5167</v>
      </c>
      <c r="Q51" s="63">
        <f t="shared" si="17"/>
        <v>0</v>
      </c>
      <c r="R51" s="63">
        <f t="shared" si="17"/>
        <v>0</v>
      </c>
      <c r="S51" s="63">
        <f t="shared" si="17"/>
        <v>0</v>
      </c>
      <c r="T51" s="63">
        <f t="shared" si="17"/>
        <v>0</v>
      </c>
      <c r="U51" s="63">
        <f t="shared" si="17"/>
        <v>0</v>
      </c>
      <c r="V51" s="63"/>
      <c r="W51" s="63">
        <f>SUM(W52:W52)</f>
        <v>0</v>
      </c>
      <c r="X51" s="63">
        <f>SUM(X52:X52)</f>
        <v>0</v>
      </c>
      <c r="Y51" s="63">
        <f>SUM(Y52:Y52)</f>
        <v>0</v>
      </c>
      <c r="Z51" s="63"/>
      <c r="AA51" s="63"/>
      <c r="AB51" s="63">
        <f>SUM(AB52:AB52)</f>
        <v>0</v>
      </c>
      <c r="AC51" s="63">
        <f>SUM(AC52:AC52)</f>
        <v>0</v>
      </c>
    </row>
    <row r="52" spans="1:29" s="68" customFormat="1" ht="15" customHeight="1">
      <c r="A52" s="65"/>
      <c r="B52" s="66" t="s">
        <v>194</v>
      </c>
      <c r="C52" s="66">
        <f t="shared" si="1"/>
        <v>5167</v>
      </c>
      <c r="D52" s="65" t="s">
        <v>173</v>
      </c>
      <c r="E52" s="65"/>
      <c r="F52" s="67">
        <v>2.5000000000000001E-2</v>
      </c>
      <c r="G52" s="66"/>
      <c r="H52" s="66">
        <f>SUM(I52:AC52)</f>
        <v>5167</v>
      </c>
      <c r="I52" s="66"/>
      <c r="J52" s="66"/>
      <c r="K52" s="66"/>
      <c r="L52" s="66"/>
      <c r="M52" s="66"/>
      <c r="N52" s="66"/>
      <c r="O52" s="66"/>
      <c r="P52" s="66">
        <v>5167</v>
      </c>
      <c r="Q52" s="66"/>
      <c r="R52" s="66"/>
      <c r="S52" s="66"/>
      <c r="T52" s="66"/>
      <c r="U52" s="66"/>
      <c r="V52" s="66"/>
      <c r="W52" s="66"/>
      <c r="X52" s="66"/>
      <c r="Y52" s="66"/>
      <c r="Z52" s="66"/>
      <c r="AA52" s="66"/>
      <c r="AB52" s="66"/>
      <c r="AC52" s="66"/>
    </row>
    <row r="53" spans="1:29" s="33" customFormat="1" ht="15" customHeight="1">
      <c r="A53" s="38">
        <v>18</v>
      </c>
      <c r="B53" s="39" t="s">
        <v>57</v>
      </c>
      <c r="C53" s="46">
        <f t="shared" si="1"/>
        <v>0</v>
      </c>
      <c r="D53" s="43">
        <f t="shared" ref="D53:Y53" si="18">SUM(D54:D54)</f>
        <v>0</v>
      </c>
      <c r="E53" s="43">
        <f t="shared" si="18"/>
        <v>0</v>
      </c>
      <c r="F53" s="43">
        <f t="shared" si="18"/>
        <v>0</v>
      </c>
      <c r="G53" s="46">
        <f t="shared" si="18"/>
        <v>0</v>
      </c>
      <c r="H53" s="46">
        <f t="shared" si="18"/>
        <v>0</v>
      </c>
      <c r="I53" s="46">
        <f t="shared" si="18"/>
        <v>0</v>
      </c>
      <c r="J53" s="46">
        <f t="shared" si="18"/>
        <v>0</v>
      </c>
      <c r="K53" s="46">
        <f t="shared" si="18"/>
        <v>0</v>
      </c>
      <c r="L53" s="46">
        <f t="shared" si="18"/>
        <v>0</v>
      </c>
      <c r="M53" s="46">
        <f t="shared" si="18"/>
        <v>0</v>
      </c>
      <c r="N53" s="46">
        <f t="shared" si="18"/>
        <v>0</v>
      </c>
      <c r="O53" s="46">
        <f t="shared" si="18"/>
        <v>0</v>
      </c>
      <c r="P53" s="46">
        <f t="shared" si="18"/>
        <v>0</v>
      </c>
      <c r="Q53" s="46">
        <f t="shared" si="18"/>
        <v>0</v>
      </c>
      <c r="R53" s="46">
        <f t="shared" si="18"/>
        <v>0</v>
      </c>
      <c r="S53" s="46">
        <f t="shared" si="18"/>
        <v>0</v>
      </c>
      <c r="T53" s="46">
        <f t="shared" si="18"/>
        <v>0</v>
      </c>
      <c r="U53" s="46">
        <f t="shared" si="18"/>
        <v>0</v>
      </c>
      <c r="V53" s="46">
        <f t="shared" si="18"/>
        <v>0</v>
      </c>
      <c r="W53" s="46">
        <f t="shared" si="18"/>
        <v>0</v>
      </c>
      <c r="X53" s="46">
        <f t="shared" si="18"/>
        <v>0</v>
      </c>
      <c r="Y53" s="46">
        <f t="shared" si="18"/>
        <v>0</v>
      </c>
      <c r="Z53" s="46"/>
      <c r="AA53" s="46"/>
      <c r="AB53" s="46">
        <f>SUM(AB54:AB54)</f>
        <v>0</v>
      </c>
      <c r="AC53" s="46">
        <f>SUM(AC54:AC54)</f>
        <v>0</v>
      </c>
    </row>
    <row r="54" spans="1:29" s="37" customFormat="1" ht="15" customHeight="1">
      <c r="A54" s="34"/>
      <c r="B54" s="35" t="s">
        <v>195</v>
      </c>
      <c r="C54" s="35">
        <f t="shared" si="1"/>
        <v>0</v>
      </c>
      <c r="D54" s="34" t="s">
        <v>170</v>
      </c>
      <c r="E54" s="34"/>
      <c r="F54" s="36" t="s">
        <v>174</v>
      </c>
      <c r="G54" s="35"/>
      <c r="H54" s="35">
        <f t="shared" si="14"/>
        <v>0</v>
      </c>
      <c r="I54" s="35"/>
      <c r="J54" s="35"/>
      <c r="K54" s="35"/>
      <c r="L54" s="35"/>
      <c r="M54" s="35"/>
      <c r="N54" s="35"/>
      <c r="O54" s="35"/>
      <c r="P54" s="35"/>
      <c r="Q54" s="35"/>
      <c r="R54" s="35"/>
      <c r="S54" s="35"/>
      <c r="T54" s="35"/>
      <c r="U54" s="35">
        <v>0</v>
      </c>
      <c r="V54" s="35"/>
      <c r="W54" s="35"/>
      <c r="X54" s="35"/>
      <c r="Y54" s="35"/>
      <c r="Z54" s="35"/>
      <c r="AA54" s="35"/>
      <c r="AB54" s="35"/>
      <c r="AC54" s="35"/>
    </row>
    <row r="55" spans="1:29" s="44" customFormat="1" ht="15" customHeight="1">
      <c r="A55" s="38">
        <v>19</v>
      </c>
      <c r="B55" s="39" t="s">
        <v>59</v>
      </c>
      <c r="C55" s="39">
        <f t="shared" si="1"/>
        <v>0</v>
      </c>
      <c r="D55" s="38">
        <f t="shared" ref="D55:D80" si="19">E55+G55</f>
        <v>0</v>
      </c>
      <c r="E55" s="38"/>
      <c r="F55" s="38"/>
      <c r="G55" s="39"/>
      <c r="H55" s="39">
        <f t="shared" si="14"/>
        <v>0</v>
      </c>
      <c r="I55" s="39"/>
      <c r="J55" s="39"/>
      <c r="K55" s="39"/>
      <c r="L55" s="39"/>
      <c r="M55" s="39"/>
      <c r="N55" s="39"/>
      <c r="O55" s="39"/>
      <c r="P55" s="39"/>
      <c r="Q55" s="39"/>
      <c r="R55" s="39"/>
      <c r="S55" s="39"/>
      <c r="T55" s="39"/>
      <c r="U55" s="39"/>
      <c r="V55" s="39"/>
      <c r="W55" s="39"/>
      <c r="X55" s="39"/>
      <c r="Y55" s="39"/>
      <c r="Z55" s="39"/>
      <c r="AA55" s="39"/>
      <c r="AB55" s="39"/>
      <c r="AC55" s="39"/>
    </row>
    <row r="56" spans="1:29" s="33" customFormat="1" ht="15" customHeight="1">
      <c r="A56" s="38">
        <v>20</v>
      </c>
      <c r="B56" s="39" t="s">
        <v>60</v>
      </c>
      <c r="C56" s="39">
        <f t="shared" si="1"/>
        <v>0</v>
      </c>
      <c r="D56" s="38">
        <f>E56+F56+G56</f>
        <v>0</v>
      </c>
      <c r="E56" s="38"/>
      <c r="F56" s="38"/>
      <c r="G56" s="39"/>
      <c r="H56" s="39">
        <f>SUM(I56:AC56)</f>
        <v>0</v>
      </c>
      <c r="I56" s="39"/>
      <c r="J56" s="39"/>
      <c r="K56" s="39"/>
      <c r="L56" s="39"/>
      <c r="M56" s="39"/>
      <c r="N56" s="39"/>
      <c r="O56" s="39"/>
      <c r="P56" s="39"/>
      <c r="Q56" s="39"/>
      <c r="R56" s="39"/>
      <c r="S56" s="39"/>
      <c r="T56" s="39"/>
      <c r="U56" s="39"/>
      <c r="V56" s="39"/>
      <c r="W56" s="39"/>
      <c r="X56" s="39"/>
      <c r="Y56" s="39"/>
      <c r="Z56" s="39"/>
      <c r="AA56" s="39"/>
      <c r="AB56" s="39"/>
      <c r="AC56" s="39"/>
    </row>
    <row r="57" spans="1:29" s="33" customFormat="1" ht="15" customHeight="1">
      <c r="A57" s="38">
        <v>21</v>
      </c>
      <c r="B57" s="39" t="s">
        <v>61</v>
      </c>
      <c r="C57" s="39">
        <f t="shared" si="1"/>
        <v>0</v>
      </c>
      <c r="D57" s="38">
        <f>E57+G57</f>
        <v>0</v>
      </c>
      <c r="E57" s="38"/>
      <c r="F57" s="38"/>
      <c r="G57" s="39"/>
      <c r="H57" s="39">
        <f>SUM(I57:AC57)</f>
        <v>0</v>
      </c>
      <c r="I57" s="39"/>
      <c r="J57" s="39"/>
      <c r="K57" s="39"/>
      <c r="L57" s="39"/>
      <c r="M57" s="39"/>
      <c r="N57" s="39"/>
      <c r="O57" s="39"/>
      <c r="P57" s="39"/>
      <c r="Q57" s="39"/>
      <c r="R57" s="39"/>
      <c r="S57" s="39"/>
      <c r="T57" s="39"/>
      <c r="U57" s="39"/>
      <c r="V57" s="39"/>
      <c r="W57" s="39"/>
      <c r="X57" s="39"/>
      <c r="Y57" s="39"/>
      <c r="Z57" s="39"/>
      <c r="AA57" s="39"/>
      <c r="AB57" s="39"/>
      <c r="AC57" s="39"/>
    </row>
    <row r="58" spans="1:29" s="33" customFormat="1" ht="15" customHeight="1">
      <c r="A58" s="38">
        <v>22</v>
      </c>
      <c r="B58" s="39" t="s">
        <v>62</v>
      </c>
      <c r="C58" s="39">
        <f t="shared" si="1"/>
        <v>0</v>
      </c>
      <c r="D58" s="38">
        <f>E58+G58</f>
        <v>0</v>
      </c>
      <c r="E58" s="38"/>
      <c r="F58" s="38"/>
      <c r="G58" s="39"/>
      <c r="H58" s="39">
        <f>SUM(I58:AC58)</f>
        <v>0</v>
      </c>
      <c r="I58" s="39"/>
      <c r="J58" s="39"/>
      <c r="K58" s="39"/>
      <c r="L58" s="39"/>
      <c r="M58" s="39"/>
      <c r="N58" s="39"/>
      <c r="O58" s="39"/>
      <c r="P58" s="39"/>
      <c r="Q58" s="39"/>
      <c r="R58" s="39"/>
      <c r="S58" s="39"/>
      <c r="T58" s="39"/>
      <c r="U58" s="39"/>
      <c r="V58" s="39"/>
      <c r="W58" s="39"/>
      <c r="X58" s="39"/>
      <c r="Y58" s="39"/>
      <c r="Z58" s="39"/>
      <c r="AA58" s="39"/>
      <c r="AB58" s="39"/>
      <c r="AC58" s="39"/>
    </row>
    <row r="59" spans="1:29" s="33" customFormat="1" ht="15" customHeight="1">
      <c r="A59" s="38">
        <v>23</v>
      </c>
      <c r="B59" s="39" t="s">
        <v>63</v>
      </c>
      <c r="C59" s="39">
        <f t="shared" si="1"/>
        <v>0</v>
      </c>
      <c r="D59" s="38">
        <f>SUM(D60:D69)</f>
        <v>0</v>
      </c>
      <c r="E59" s="38">
        <f>SUM(E60:E69)</f>
        <v>0</v>
      </c>
      <c r="F59" s="38">
        <f>SUM(F60:F69)</f>
        <v>0</v>
      </c>
      <c r="G59" s="39">
        <f>SUM(G60:G69)</f>
        <v>0</v>
      </c>
      <c r="H59" s="39">
        <f>SUM(H60:H73)</f>
        <v>0</v>
      </c>
      <c r="I59" s="39">
        <f>SUM(I60:I73)</f>
        <v>0</v>
      </c>
      <c r="J59" s="39">
        <f t="shared" ref="J59:U59" si="20">SUM(J60:J73)</f>
        <v>0</v>
      </c>
      <c r="K59" s="39">
        <f t="shared" si="20"/>
        <v>0</v>
      </c>
      <c r="L59" s="39">
        <f t="shared" si="20"/>
        <v>0</v>
      </c>
      <c r="M59" s="39">
        <f t="shared" si="20"/>
        <v>0</v>
      </c>
      <c r="N59" s="39">
        <f t="shared" si="20"/>
        <v>0</v>
      </c>
      <c r="O59" s="39">
        <f t="shared" si="20"/>
        <v>0</v>
      </c>
      <c r="P59" s="39">
        <f t="shared" si="20"/>
        <v>0</v>
      </c>
      <c r="Q59" s="39">
        <f t="shared" si="20"/>
        <v>0</v>
      </c>
      <c r="R59" s="39">
        <f t="shared" si="20"/>
        <v>0</v>
      </c>
      <c r="S59" s="39">
        <f t="shared" si="20"/>
        <v>0</v>
      </c>
      <c r="T59" s="39">
        <f t="shared" si="20"/>
        <v>0</v>
      </c>
      <c r="U59" s="39">
        <f t="shared" si="20"/>
        <v>0</v>
      </c>
      <c r="V59" s="39">
        <f>SUM(V60:V73)</f>
        <v>0</v>
      </c>
      <c r="W59" s="39">
        <f>SUM(W60:W73)</f>
        <v>0</v>
      </c>
      <c r="X59" s="39">
        <f>SUM(X60:X73)</f>
        <v>0</v>
      </c>
      <c r="Y59" s="39">
        <f>SUM(Y60:Y73)</f>
        <v>0</v>
      </c>
      <c r="Z59" s="39"/>
      <c r="AA59" s="39"/>
      <c r="AB59" s="39">
        <f>SUM(AB60:AB73)</f>
        <v>0</v>
      </c>
      <c r="AC59" s="39">
        <f>SUM(AC60:AC73)</f>
        <v>0</v>
      </c>
    </row>
    <row r="60" spans="1:29" s="37" customFormat="1" ht="15" customHeight="1">
      <c r="A60" s="34"/>
      <c r="B60" s="35" t="s">
        <v>64</v>
      </c>
      <c r="C60" s="35">
        <f t="shared" si="1"/>
        <v>0</v>
      </c>
      <c r="D60" s="34">
        <f t="shared" si="19"/>
        <v>0</v>
      </c>
      <c r="E60" s="34"/>
      <c r="F60" s="34"/>
      <c r="G60" s="35"/>
      <c r="H60" s="35">
        <f t="shared" si="14"/>
        <v>0</v>
      </c>
      <c r="I60" s="35"/>
      <c r="J60" s="35"/>
      <c r="K60" s="35"/>
      <c r="L60" s="35"/>
      <c r="M60" s="35"/>
      <c r="N60" s="35"/>
      <c r="O60" s="35"/>
      <c r="P60" s="35"/>
      <c r="Q60" s="35"/>
      <c r="R60" s="35"/>
      <c r="S60" s="35"/>
      <c r="T60" s="35"/>
      <c r="U60" s="35"/>
      <c r="V60" s="35"/>
      <c r="W60" s="35"/>
      <c r="X60" s="35"/>
      <c r="Y60" s="35"/>
      <c r="Z60" s="35"/>
      <c r="AA60" s="35"/>
      <c r="AB60" s="35"/>
      <c r="AC60" s="35"/>
    </row>
    <row r="61" spans="1:29" s="37" customFormat="1" ht="15" customHeight="1">
      <c r="A61" s="34"/>
      <c r="B61" s="35" t="s">
        <v>65</v>
      </c>
      <c r="C61" s="35">
        <f t="shared" si="1"/>
        <v>0</v>
      </c>
      <c r="D61" s="34">
        <f t="shared" si="19"/>
        <v>0</v>
      </c>
      <c r="E61" s="34"/>
      <c r="F61" s="34"/>
      <c r="G61" s="35"/>
      <c r="H61" s="35">
        <f t="shared" si="14"/>
        <v>0</v>
      </c>
      <c r="I61" s="35"/>
      <c r="J61" s="35"/>
      <c r="K61" s="35"/>
      <c r="L61" s="35"/>
      <c r="M61" s="35"/>
      <c r="N61" s="35"/>
      <c r="O61" s="35"/>
      <c r="P61" s="35"/>
      <c r="Q61" s="35"/>
      <c r="R61" s="35"/>
      <c r="S61" s="35"/>
      <c r="T61" s="35"/>
      <c r="U61" s="35"/>
      <c r="V61" s="35"/>
      <c r="W61" s="35"/>
      <c r="X61" s="35"/>
      <c r="Y61" s="35"/>
      <c r="Z61" s="35"/>
      <c r="AA61" s="35"/>
      <c r="AB61" s="35"/>
      <c r="AC61" s="35"/>
    </row>
    <row r="62" spans="1:29" s="37" customFormat="1" ht="15" customHeight="1">
      <c r="A62" s="34"/>
      <c r="B62" s="35" t="s">
        <v>66</v>
      </c>
      <c r="C62" s="35">
        <f t="shared" si="1"/>
        <v>0</v>
      </c>
      <c r="D62" s="34">
        <f t="shared" si="19"/>
        <v>0</v>
      </c>
      <c r="E62" s="34"/>
      <c r="F62" s="34"/>
      <c r="G62" s="35"/>
      <c r="H62" s="35">
        <f>SUM(I62:AC62)</f>
        <v>0</v>
      </c>
      <c r="I62" s="35"/>
      <c r="J62" s="35"/>
      <c r="K62" s="35"/>
      <c r="L62" s="35"/>
      <c r="M62" s="35"/>
      <c r="N62" s="35"/>
      <c r="O62" s="35"/>
      <c r="P62" s="35"/>
      <c r="Q62" s="35"/>
      <c r="R62" s="35"/>
      <c r="S62" s="35"/>
      <c r="T62" s="35"/>
      <c r="U62" s="35"/>
      <c r="V62" s="35"/>
      <c r="W62" s="35"/>
      <c r="X62" s="35"/>
      <c r="Y62" s="35"/>
      <c r="Z62" s="35"/>
      <c r="AA62" s="35"/>
      <c r="AB62" s="35"/>
      <c r="AC62" s="35"/>
    </row>
    <row r="63" spans="1:29" s="37" customFormat="1" ht="15" customHeight="1">
      <c r="A63" s="34"/>
      <c r="B63" s="35" t="s">
        <v>67</v>
      </c>
      <c r="C63" s="35">
        <f t="shared" si="1"/>
        <v>0</v>
      </c>
      <c r="D63" s="34">
        <f t="shared" si="19"/>
        <v>0</v>
      </c>
      <c r="E63" s="34"/>
      <c r="F63" s="34"/>
      <c r="G63" s="35"/>
      <c r="H63" s="35">
        <f>SUM(I63:AC63)</f>
        <v>0</v>
      </c>
      <c r="I63" s="35"/>
      <c r="J63" s="35"/>
      <c r="K63" s="35"/>
      <c r="L63" s="35"/>
      <c r="M63" s="35"/>
      <c r="N63" s="35"/>
      <c r="O63" s="35"/>
      <c r="P63" s="35"/>
      <c r="Q63" s="35"/>
      <c r="R63" s="35"/>
      <c r="S63" s="35"/>
      <c r="T63" s="35"/>
      <c r="U63" s="35"/>
      <c r="V63" s="35"/>
      <c r="W63" s="35"/>
      <c r="X63" s="35"/>
      <c r="Y63" s="35"/>
      <c r="Z63" s="35"/>
      <c r="AA63" s="35"/>
      <c r="AB63" s="35"/>
      <c r="AC63" s="35"/>
    </row>
    <row r="64" spans="1:29" s="37" customFormat="1" ht="15" customHeight="1">
      <c r="A64" s="34"/>
      <c r="B64" s="35" t="s">
        <v>68</v>
      </c>
      <c r="C64" s="35">
        <f t="shared" si="1"/>
        <v>0</v>
      </c>
      <c r="D64" s="34">
        <f t="shared" si="19"/>
        <v>0</v>
      </c>
      <c r="E64" s="34"/>
      <c r="F64" s="34"/>
      <c r="G64" s="35"/>
      <c r="H64" s="35">
        <f t="shared" si="14"/>
        <v>0</v>
      </c>
      <c r="I64" s="35"/>
      <c r="J64" s="35"/>
      <c r="K64" s="35"/>
      <c r="L64" s="35"/>
      <c r="M64" s="35"/>
      <c r="N64" s="35"/>
      <c r="O64" s="35"/>
      <c r="P64" s="35"/>
      <c r="Q64" s="35"/>
      <c r="R64" s="35"/>
      <c r="S64" s="35"/>
      <c r="T64" s="35"/>
      <c r="U64" s="35"/>
      <c r="V64" s="35"/>
      <c r="W64" s="35"/>
      <c r="X64" s="35"/>
      <c r="Y64" s="35"/>
      <c r="Z64" s="35"/>
      <c r="AA64" s="35"/>
      <c r="AB64" s="35"/>
      <c r="AC64" s="35"/>
    </row>
    <row r="65" spans="1:29" s="37" customFormat="1" ht="15" customHeight="1">
      <c r="A65" s="34"/>
      <c r="B65" s="35" t="s">
        <v>69</v>
      </c>
      <c r="C65" s="35">
        <f t="shared" si="1"/>
        <v>0</v>
      </c>
      <c r="D65" s="34">
        <f t="shared" si="19"/>
        <v>0</v>
      </c>
      <c r="E65" s="34"/>
      <c r="F65" s="34"/>
      <c r="G65" s="35"/>
      <c r="H65" s="35">
        <f t="shared" si="14"/>
        <v>0</v>
      </c>
      <c r="I65" s="35"/>
      <c r="J65" s="35"/>
      <c r="K65" s="35"/>
      <c r="L65" s="35"/>
      <c r="M65" s="35"/>
      <c r="N65" s="35"/>
      <c r="O65" s="35"/>
      <c r="P65" s="35"/>
      <c r="Q65" s="35"/>
      <c r="R65" s="35"/>
      <c r="S65" s="35"/>
      <c r="T65" s="35"/>
      <c r="U65" s="35"/>
      <c r="V65" s="35"/>
      <c r="W65" s="35"/>
      <c r="X65" s="35"/>
      <c r="Y65" s="35"/>
      <c r="Z65" s="35"/>
      <c r="AA65" s="35"/>
      <c r="AB65" s="35"/>
      <c r="AC65" s="35"/>
    </row>
    <row r="66" spans="1:29" s="37" customFormat="1" ht="15" customHeight="1">
      <c r="A66" s="34"/>
      <c r="B66" s="35" t="s">
        <v>70</v>
      </c>
      <c r="C66" s="35">
        <f t="shared" si="1"/>
        <v>0</v>
      </c>
      <c r="D66" s="34">
        <f t="shared" si="19"/>
        <v>0</v>
      </c>
      <c r="E66" s="34"/>
      <c r="F66" s="34"/>
      <c r="G66" s="35"/>
      <c r="H66" s="35">
        <f t="shared" si="14"/>
        <v>0</v>
      </c>
      <c r="I66" s="35"/>
      <c r="J66" s="35"/>
      <c r="K66" s="35"/>
      <c r="L66" s="35"/>
      <c r="M66" s="35"/>
      <c r="N66" s="35"/>
      <c r="O66" s="35"/>
      <c r="P66" s="35"/>
      <c r="Q66" s="35"/>
      <c r="R66" s="35"/>
      <c r="S66" s="35"/>
      <c r="T66" s="35"/>
      <c r="U66" s="35"/>
      <c r="V66" s="35"/>
      <c r="W66" s="35"/>
      <c r="X66" s="35"/>
      <c r="Y66" s="35"/>
      <c r="Z66" s="35"/>
      <c r="AA66" s="35"/>
      <c r="AB66" s="35"/>
      <c r="AC66" s="35"/>
    </row>
    <row r="67" spans="1:29" s="37" customFormat="1" ht="15" customHeight="1">
      <c r="A67" s="34"/>
      <c r="B67" s="35" t="s">
        <v>71</v>
      </c>
      <c r="C67" s="35">
        <f t="shared" si="1"/>
        <v>0</v>
      </c>
      <c r="D67" s="34">
        <f t="shared" si="19"/>
        <v>0</v>
      </c>
      <c r="E67" s="34"/>
      <c r="F67" s="34"/>
      <c r="G67" s="35"/>
      <c r="H67" s="35">
        <f t="shared" si="14"/>
        <v>0</v>
      </c>
      <c r="I67" s="35"/>
      <c r="J67" s="35"/>
      <c r="K67" s="35"/>
      <c r="L67" s="35"/>
      <c r="M67" s="35"/>
      <c r="N67" s="35"/>
      <c r="O67" s="35"/>
      <c r="P67" s="35"/>
      <c r="Q67" s="35"/>
      <c r="R67" s="35"/>
      <c r="S67" s="35"/>
      <c r="T67" s="35"/>
      <c r="U67" s="35"/>
      <c r="V67" s="35"/>
      <c r="W67" s="35"/>
      <c r="X67" s="35"/>
      <c r="Y67" s="35"/>
      <c r="Z67" s="35"/>
      <c r="AA67" s="35"/>
      <c r="AB67" s="35"/>
      <c r="AC67" s="35"/>
    </row>
    <row r="68" spans="1:29" s="37" customFormat="1" ht="15" customHeight="1">
      <c r="A68" s="34"/>
      <c r="B68" s="35" t="s">
        <v>72</v>
      </c>
      <c r="C68" s="35">
        <f t="shared" si="1"/>
        <v>0</v>
      </c>
      <c r="D68" s="34">
        <f t="shared" si="19"/>
        <v>0</v>
      </c>
      <c r="E68" s="34"/>
      <c r="F68" s="34"/>
      <c r="G68" s="35"/>
      <c r="H68" s="35">
        <f t="shared" si="14"/>
        <v>0</v>
      </c>
      <c r="I68" s="35"/>
      <c r="J68" s="35"/>
      <c r="K68" s="35"/>
      <c r="L68" s="35"/>
      <c r="M68" s="35"/>
      <c r="N68" s="35"/>
      <c r="O68" s="35"/>
      <c r="P68" s="35"/>
      <c r="Q68" s="35"/>
      <c r="R68" s="35"/>
      <c r="S68" s="35"/>
      <c r="T68" s="35"/>
      <c r="U68" s="35"/>
      <c r="V68" s="35"/>
      <c r="W68" s="35"/>
      <c r="X68" s="35"/>
      <c r="Y68" s="35"/>
      <c r="Z68" s="35"/>
      <c r="AA68" s="35"/>
      <c r="AB68" s="35"/>
      <c r="AC68" s="35"/>
    </row>
    <row r="69" spans="1:29" s="37" customFormat="1" ht="15" customHeight="1">
      <c r="A69" s="34"/>
      <c r="B69" s="35" t="s">
        <v>73</v>
      </c>
      <c r="C69" s="35">
        <f t="shared" si="1"/>
        <v>0</v>
      </c>
      <c r="D69" s="34">
        <f t="shared" si="19"/>
        <v>0</v>
      </c>
      <c r="E69" s="34"/>
      <c r="F69" s="34"/>
      <c r="G69" s="35"/>
      <c r="H69" s="35">
        <f>SUM(I69:AC69)</f>
        <v>0</v>
      </c>
      <c r="I69" s="35"/>
      <c r="J69" s="35"/>
      <c r="K69" s="35"/>
      <c r="L69" s="35"/>
      <c r="M69" s="35"/>
      <c r="N69" s="35"/>
      <c r="O69" s="35"/>
      <c r="P69" s="35"/>
      <c r="Q69" s="35"/>
      <c r="R69" s="35"/>
      <c r="S69" s="35"/>
      <c r="T69" s="35"/>
      <c r="U69" s="35"/>
      <c r="V69" s="35"/>
      <c r="W69" s="35"/>
      <c r="X69" s="35"/>
      <c r="Y69" s="35"/>
      <c r="Z69" s="35"/>
      <c r="AA69" s="35"/>
      <c r="AB69" s="35"/>
      <c r="AC69" s="35"/>
    </row>
    <row r="70" spans="1:29" s="37" customFormat="1" ht="15" customHeight="1">
      <c r="A70" s="43"/>
      <c r="B70" s="35" t="s">
        <v>119</v>
      </c>
      <c r="C70" s="35">
        <f t="shared" si="1"/>
        <v>0</v>
      </c>
      <c r="D70" s="34">
        <f t="shared" si="19"/>
        <v>0</v>
      </c>
      <c r="E70" s="34"/>
      <c r="F70" s="34"/>
      <c r="G70" s="35"/>
      <c r="H70" s="35">
        <f t="shared" si="14"/>
        <v>0</v>
      </c>
      <c r="I70" s="35"/>
      <c r="J70" s="35"/>
      <c r="K70" s="35"/>
      <c r="L70" s="35"/>
      <c r="M70" s="35"/>
      <c r="N70" s="35"/>
      <c r="O70" s="35"/>
      <c r="P70" s="35"/>
      <c r="Q70" s="35"/>
      <c r="R70" s="35"/>
      <c r="S70" s="35"/>
      <c r="T70" s="35"/>
      <c r="U70" s="35"/>
      <c r="V70" s="35"/>
      <c r="W70" s="35"/>
      <c r="X70" s="35"/>
      <c r="Y70" s="35"/>
      <c r="Z70" s="35"/>
      <c r="AA70" s="35"/>
      <c r="AB70" s="35"/>
      <c r="AC70" s="35"/>
    </row>
    <row r="71" spans="1:29" s="37" customFormat="1" ht="15" customHeight="1">
      <c r="A71" s="43"/>
      <c r="B71" s="35" t="s">
        <v>113</v>
      </c>
      <c r="C71" s="35">
        <f t="shared" si="1"/>
        <v>0</v>
      </c>
      <c r="D71" s="34">
        <f t="shared" si="19"/>
        <v>0</v>
      </c>
      <c r="E71" s="34"/>
      <c r="F71" s="34"/>
      <c r="G71" s="35"/>
      <c r="H71" s="35">
        <f t="shared" si="14"/>
        <v>0</v>
      </c>
      <c r="I71" s="35"/>
      <c r="J71" s="35"/>
      <c r="K71" s="35"/>
      <c r="L71" s="35"/>
      <c r="M71" s="35"/>
      <c r="N71" s="35"/>
      <c r="O71" s="35"/>
      <c r="P71" s="35"/>
      <c r="Q71" s="35"/>
      <c r="R71" s="35"/>
      <c r="S71" s="35"/>
      <c r="T71" s="35"/>
      <c r="U71" s="35"/>
      <c r="V71" s="35"/>
      <c r="W71" s="35"/>
      <c r="X71" s="35"/>
      <c r="Y71" s="35"/>
      <c r="Z71" s="35"/>
      <c r="AA71" s="35"/>
      <c r="AB71" s="35"/>
      <c r="AC71" s="35"/>
    </row>
    <row r="72" spans="1:29" s="37" customFormat="1" ht="15" customHeight="1">
      <c r="A72" s="43"/>
      <c r="B72" s="35" t="s">
        <v>93</v>
      </c>
      <c r="C72" s="35">
        <f t="shared" ref="C72:C85" si="21">H72</f>
        <v>0</v>
      </c>
      <c r="D72" s="34"/>
      <c r="E72" s="34"/>
      <c r="F72" s="34"/>
      <c r="G72" s="35"/>
      <c r="H72" s="35">
        <f t="shared" si="14"/>
        <v>0</v>
      </c>
      <c r="I72" s="35"/>
      <c r="J72" s="35"/>
      <c r="K72" s="35"/>
      <c r="L72" s="35"/>
      <c r="M72" s="35"/>
      <c r="N72" s="35"/>
      <c r="O72" s="35"/>
      <c r="P72" s="35"/>
      <c r="Q72" s="35"/>
      <c r="R72" s="35"/>
      <c r="S72" s="35"/>
      <c r="T72" s="35"/>
      <c r="U72" s="35"/>
      <c r="V72" s="35"/>
      <c r="W72" s="35"/>
      <c r="X72" s="35"/>
      <c r="Y72" s="35"/>
      <c r="Z72" s="35"/>
      <c r="AA72" s="35"/>
      <c r="AB72" s="35"/>
      <c r="AC72" s="35"/>
    </row>
    <row r="73" spans="1:29" s="37" customFormat="1" ht="15" customHeight="1">
      <c r="A73" s="34"/>
      <c r="B73" s="35" t="s">
        <v>196</v>
      </c>
      <c r="C73" s="35">
        <f t="shared" si="21"/>
        <v>0</v>
      </c>
      <c r="D73" s="34">
        <f t="shared" si="19"/>
        <v>0</v>
      </c>
      <c r="E73" s="34"/>
      <c r="F73" s="34"/>
      <c r="G73" s="35"/>
      <c r="H73" s="35">
        <f t="shared" si="14"/>
        <v>0</v>
      </c>
      <c r="I73" s="35"/>
      <c r="J73" s="35"/>
      <c r="K73" s="35"/>
      <c r="L73" s="35"/>
      <c r="M73" s="35"/>
      <c r="N73" s="35"/>
      <c r="O73" s="35"/>
      <c r="P73" s="35"/>
      <c r="Q73" s="35"/>
      <c r="R73" s="35"/>
      <c r="S73" s="35"/>
      <c r="T73" s="35"/>
      <c r="U73" s="35"/>
      <c r="V73" s="35"/>
      <c r="W73" s="35"/>
      <c r="X73" s="35"/>
      <c r="Y73" s="35"/>
      <c r="Z73" s="35"/>
      <c r="AA73" s="35"/>
      <c r="AB73" s="35"/>
      <c r="AC73" s="35"/>
    </row>
    <row r="74" spans="1:29" s="33" customFormat="1" ht="15" customHeight="1">
      <c r="A74" s="38">
        <v>24</v>
      </c>
      <c r="B74" s="39" t="s">
        <v>197</v>
      </c>
      <c r="C74" s="39">
        <f t="shared" si="21"/>
        <v>0</v>
      </c>
      <c r="D74" s="38">
        <f t="shared" si="19"/>
        <v>0</v>
      </c>
      <c r="E74" s="38"/>
      <c r="F74" s="38"/>
      <c r="G74" s="39"/>
      <c r="H74" s="39">
        <f t="shared" si="14"/>
        <v>0</v>
      </c>
      <c r="I74" s="39"/>
      <c r="J74" s="39"/>
      <c r="K74" s="39"/>
      <c r="L74" s="39"/>
      <c r="M74" s="39"/>
      <c r="N74" s="39"/>
      <c r="O74" s="39">
        <v>0</v>
      </c>
      <c r="P74" s="39"/>
      <c r="Q74" s="39"/>
      <c r="R74" s="39"/>
      <c r="S74" s="39"/>
      <c r="T74" s="39"/>
      <c r="U74" s="39"/>
      <c r="V74" s="39"/>
      <c r="W74" s="39"/>
      <c r="X74" s="39"/>
      <c r="Y74" s="39"/>
      <c r="Z74" s="39"/>
      <c r="AA74" s="39"/>
      <c r="AB74" s="39"/>
      <c r="AC74" s="39"/>
    </row>
    <row r="75" spans="1:29" s="33" customFormat="1" ht="15" customHeight="1">
      <c r="A75" s="38">
        <v>25</v>
      </c>
      <c r="B75" s="39" t="s">
        <v>74</v>
      </c>
      <c r="C75" s="39">
        <f t="shared" si="21"/>
        <v>374</v>
      </c>
      <c r="D75" s="38">
        <f t="shared" ref="D75:AC75" si="22">SUM(D76:D79)</f>
        <v>0</v>
      </c>
      <c r="E75" s="38">
        <f t="shared" si="22"/>
        <v>0</v>
      </c>
      <c r="F75" s="38">
        <f t="shared" si="22"/>
        <v>0</v>
      </c>
      <c r="G75" s="39">
        <f t="shared" si="22"/>
        <v>0</v>
      </c>
      <c r="H75" s="39">
        <f t="shared" si="22"/>
        <v>374</v>
      </c>
      <c r="I75" s="39">
        <f t="shared" si="22"/>
        <v>0</v>
      </c>
      <c r="J75" s="39">
        <f t="shared" si="22"/>
        <v>0</v>
      </c>
      <c r="K75" s="39">
        <f t="shared" si="22"/>
        <v>0</v>
      </c>
      <c r="L75" s="39">
        <f t="shared" si="22"/>
        <v>0</v>
      </c>
      <c r="M75" s="39">
        <f t="shared" si="22"/>
        <v>0</v>
      </c>
      <c r="N75" s="39">
        <f t="shared" si="22"/>
        <v>0</v>
      </c>
      <c r="O75" s="39">
        <f t="shared" si="22"/>
        <v>374</v>
      </c>
      <c r="P75" s="39">
        <f t="shared" si="22"/>
        <v>0</v>
      </c>
      <c r="Q75" s="39">
        <f t="shared" si="22"/>
        <v>0</v>
      </c>
      <c r="R75" s="39">
        <f t="shared" si="22"/>
        <v>0</v>
      </c>
      <c r="S75" s="39">
        <f t="shared" si="22"/>
        <v>0</v>
      </c>
      <c r="T75" s="39">
        <f t="shared" si="22"/>
        <v>0</v>
      </c>
      <c r="U75" s="39">
        <f t="shared" si="22"/>
        <v>0</v>
      </c>
      <c r="V75" s="39">
        <f t="shared" si="22"/>
        <v>0</v>
      </c>
      <c r="W75" s="39">
        <f t="shared" si="22"/>
        <v>0</v>
      </c>
      <c r="X75" s="39">
        <f t="shared" si="22"/>
        <v>0</v>
      </c>
      <c r="Y75" s="39">
        <f t="shared" si="22"/>
        <v>0</v>
      </c>
      <c r="Z75" s="39"/>
      <c r="AA75" s="39"/>
      <c r="AB75" s="39">
        <f t="shared" si="22"/>
        <v>0</v>
      </c>
      <c r="AC75" s="39">
        <f t="shared" si="22"/>
        <v>0</v>
      </c>
    </row>
    <row r="76" spans="1:29" s="102" customFormat="1" ht="15" customHeight="1">
      <c r="A76" s="99"/>
      <c r="B76" s="100" t="s">
        <v>75</v>
      </c>
      <c r="C76" s="100">
        <f t="shared" si="21"/>
        <v>147</v>
      </c>
      <c r="D76" s="99" t="s">
        <v>173</v>
      </c>
      <c r="E76" s="99"/>
      <c r="F76" s="101" t="s">
        <v>208</v>
      </c>
      <c r="G76" s="100"/>
      <c r="H76" s="100">
        <f t="shared" si="14"/>
        <v>147</v>
      </c>
      <c r="I76" s="100"/>
      <c r="J76" s="100"/>
      <c r="K76" s="100"/>
      <c r="L76" s="100"/>
      <c r="M76" s="100"/>
      <c r="N76" s="100"/>
      <c r="O76" s="100">
        <v>147</v>
      </c>
      <c r="P76" s="100"/>
      <c r="Q76" s="100"/>
      <c r="R76" s="100"/>
      <c r="S76" s="100"/>
      <c r="T76" s="100"/>
      <c r="U76" s="100"/>
      <c r="V76" s="100"/>
      <c r="W76" s="100"/>
      <c r="X76" s="100"/>
      <c r="Y76" s="100"/>
      <c r="Z76" s="100"/>
      <c r="AA76" s="100"/>
      <c r="AB76" s="100"/>
      <c r="AC76" s="100"/>
    </row>
    <row r="77" spans="1:29" s="76" customFormat="1" ht="15" customHeight="1">
      <c r="A77" s="74"/>
      <c r="B77" s="75" t="s">
        <v>110</v>
      </c>
      <c r="C77" s="75">
        <f t="shared" si="21"/>
        <v>227</v>
      </c>
      <c r="D77" s="74">
        <f t="shared" si="19"/>
        <v>0</v>
      </c>
      <c r="E77" s="74"/>
      <c r="F77" s="74"/>
      <c r="G77" s="75"/>
      <c r="H77" s="75">
        <f t="shared" si="14"/>
        <v>227</v>
      </c>
      <c r="I77" s="75"/>
      <c r="J77" s="75"/>
      <c r="K77" s="75"/>
      <c r="L77" s="75"/>
      <c r="M77" s="75"/>
      <c r="N77" s="75"/>
      <c r="O77" s="75">
        <v>227</v>
      </c>
      <c r="P77" s="75"/>
      <c r="Q77" s="75"/>
      <c r="R77" s="75"/>
      <c r="S77" s="75"/>
      <c r="T77" s="75"/>
      <c r="U77" s="75"/>
      <c r="V77" s="75"/>
      <c r="W77" s="75"/>
      <c r="X77" s="75"/>
      <c r="Y77" s="75"/>
      <c r="Z77" s="75"/>
      <c r="AA77" s="75"/>
      <c r="AB77" s="75"/>
      <c r="AC77" s="75"/>
    </row>
    <row r="78" spans="1:29" s="37" customFormat="1" ht="15" customHeight="1">
      <c r="A78" s="34"/>
      <c r="B78" s="47" t="s">
        <v>198</v>
      </c>
      <c r="C78" s="35">
        <f t="shared" si="21"/>
        <v>0</v>
      </c>
      <c r="D78" s="34"/>
      <c r="E78" s="34"/>
      <c r="F78" s="34"/>
      <c r="G78" s="35"/>
      <c r="H78" s="35">
        <f t="shared" si="14"/>
        <v>0</v>
      </c>
      <c r="I78" s="35"/>
      <c r="J78" s="35"/>
      <c r="K78" s="35"/>
      <c r="L78" s="35"/>
      <c r="M78" s="35"/>
      <c r="N78" s="35"/>
      <c r="O78" s="35"/>
      <c r="P78" s="35"/>
      <c r="Q78" s="35"/>
      <c r="R78" s="35"/>
      <c r="S78" s="35"/>
      <c r="T78" s="35"/>
      <c r="U78" s="35"/>
      <c r="V78" s="35"/>
      <c r="W78" s="35"/>
      <c r="X78" s="35"/>
      <c r="Y78" s="35"/>
      <c r="Z78" s="35"/>
      <c r="AA78" s="35"/>
      <c r="AB78" s="35"/>
      <c r="AC78" s="35"/>
    </row>
    <row r="79" spans="1:29" s="37" customFormat="1" ht="15" customHeight="1">
      <c r="A79" s="34"/>
      <c r="B79" s="35" t="s">
        <v>114</v>
      </c>
      <c r="C79" s="35">
        <f t="shared" si="21"/>
        <v>0</v>
      </c>
      <c r="D79" s="34">
        <f t="shared" si="19"/>
        <v>0</v>
      </c>
      <c r="E79" s="34"/>
      <c r="F79" s="34"/>
      <c r="G79" s="35"/>
      <c r="H79" s="35">
        <f t="shared" si="14"/>
        <v>0</v>
      </c>
      <c r="I79" s="35"/>
      <c r="J79" s="35"/>
      <c r="K79" s="35"/>
      <c r="L79" s="35"/>
      <c r="M79" s="35"/>
      <c r="N79" s="35"/>
      <c r="O79" s="35"/>
      <c r="P79" s="35"/>
      <c r="Q79" s="35"/>
      <c r="R79" s="35"/>
      <c r="S79" s="35"/>
      <c r="T79" s="35"/>
      <c r="U79" s="35"/>
      <c r="V79" s="35"/>
      <c r="W79" s="35"/>
      <c r="X79" s="35"/>
      <c r="Y79" s="35"/>
      <c r="Z79" s="35"/>
      <c r="AA79" s="35"/>
      <c r="AB79" s="35"/>
      <c r="AC79" s="35"/>
    </row>
    <row r="80" spans="1:29" s="33" customFormat="1" ht="18.75" customHeight="1">
      <c r="A80" s="38">
        <v>26</v>
      </c>
      <c r="B80" s="39" t="s">
        <v>199</v>
      </c>
      <c r="C80" s="39">
        <f t="shared" si="21"/>
        <v>0</v>
      </c>
      <c r="D80" s="38">
        <f t="shared" si="19"/>
        <v>0</v>
      </c>
      <c r="E80" s="38"/>
      <c r="F80" s="38"/>
      <c r="G80" s="39"/>
      <c r="H80" s="39">
        <f t="shared" si="14"/>
        <v>0</v>
      </c>
      <c r="I80" s="39"/>
      <c r="J80" s="39"/>
      <c r="K80" s="39"/>
      <c r="L80" s="39"/>
      <c r="M80" s="39"/>
      <c r="N80" s="39"/>
      <c r="O80" s="39"/>
      <c r="P80" s="39"/>
      <c r="Q80" s="39"/>
      <c r="R80" s="39"/>
      <c r="S80" s="39"/>
      <c r="T80" s="39"/>
      <c r="U80" s="39"/>
      <c r="V80" s="39"/>
      <c r="W80" s="39"/>
      <c r="X80" s="39"/>
      <c r="Y80" s="39"/>
      <c r="Z80" s="39"/>
      <c r="AA80" s="39"/>
      <c r="AB80" s="39"/>
      <c r="AC80" s="39"/>
    </row>
    <row r="81" spans="1:29" s="49" customFormat="1" ht="15" customHeight="1">
      <c r="A81" s="38">
        <v>27</v>
      </c>
      <c r="B81" s="39" t="s">
        <v>94</v>
      </c>
      <c r="C81" s="45">
        <f t="shared" si="21"/>
        <v>0</v>
      </c>
      <c r="D81" s="48"/>
      <c r="E81" s="48"/>
      <c r="F81" s="48"/>
      <c r="G81" s="45"/>
      <c r="H81" s="39">
        <f>SUM(I81:AC81)</f>
        <v>0</v>
      </c>
      <c r="I81" s="45"/>
      <c r="J81" s="45"/>
      <c r="K81" s="45"/>
      <c r="L81" s="45"/>
      <c r="M81" s="45"/>
      <c r="N81" s="45"/>
      <c r="O81" s="45"/>
      <c r="P81" s="45"/>
      <c r="Q81" s="45"/>
      <c r="R81" s="45"/>
      <c r="S81" s="45"/>
      <c r="T81" s="45"/>
      <c r="U81" s="45"/>
      <c r="V81" s="39"/>
      <c r="W81" s="45"/>
      <c r="X81" s="45"/>
      <c r="Y81" s="45"/>
      <c r="Z81" s="45"/>
      <c r="AA81" s="45"/>
      <c r="AB81" s="45"/>
      <c r="AC81" s="45"/>
    </row>
    <row r="82" spans="1:29" s="44" customFormat="1">
      <c r="A82" s="38">
        <v>28</v>
      </c>
      <c r="B82" s="39" t="s">
        <v>24</v>
      </c>
      <c r="C82" s="39">
        <f t="shared" si="21"/>
        <v>0</v>
      </c>
      <c r="D82" s="38">
        <f t="shared" ref="D82:D94" si="23">E82+G82</f>
        <v>0</v>
      </c>
      <c r="E82" s="38"/>
      <c r="F82" s="38"/>
      <c r="G82" s="39"/>
      <c r="H82" s="39">
        <f t="shared" ref="H82:H104" si="24">SUM(I82:AC82)</f>
        <v>0</v>
      </c>
      <c r="I82" s="39"/>
      <c r="J82" s="39"/>
      <c r="K82" s="39"/>
      <c r="L82" s="39"/>
      <c r="M82" s="39"/>
      <c r="N82" s="39"/>
      <c r="O82" s="39"/>
      <c r="P82" s="39"/>
      <c r="Q82" s="39"/>
      <c r="R82" s="39"/>
      <c r="S82" s="39"/>
      <c r="T82" s="39"/>
      <c r="U82" s="39"/>
      <c r="V82" s="39"/>
      <c r="W82" s="39"/>
      <c r="X82" s="39"/>
      <c r="Y82" s="39"/>
      <c r="Z82" s="39"/>
      <c r="AA82" s="39"/>
      <c r="AB82" s="39"/>
      <c r="AC82" s="39"/>
    </row>
    <row r="83" spans="1:29" s="37" customFormat="1">
      <c r="A83" s="38">
        <v>29</v>
      </c>
      <c r="B83" s="39" t="s">
        <v>81</v>
      </c>
      <c r="C83" s="39">
        <f t="shared" si="21"/>
        <v>0</v>
      </c>
      <c r="D83" s="38">
        <f t="shared" si="23"/>
        <v>0</v>
      </c>
      <c r="E83" s="38"/>
      <c r="F83" s="38"/>
      <c r="G83" s="39"/>
      <c r="H83" s="39">
        <f>SUM(I83:AC83)</f>
        <v>0</v>
      </c>
      <c r="I83" s="39"/>
      <c r="J83" s="39"/>
      <c r="K83" s="39"/>
      <c r="L83" s="39"/>
      <c r="M83" s="39"/>
      <c r="N83" s="39"/>
      <c r="O83" s="39"/>
      <c r="P83" s="39"/>
      <c r="Q83" s="39"/>
      <c r="R83" s="39"/>
      <c r="S83" s="39"/>
      <c r="T83" s="39"/>
      <c r="U83" s="39"/>
      <c r="V83" s="39"/>
      <c r="W83" s="39"/>
      <c r="X83" s="39"/>
      <c r="Y83" s="39"/>
      <c r="Z83" s="39"/>
      <c r="AA83" s="39"/>
      <c r="AB83" s="39"/>
      <c r="AC83" s="39"/>
    </row>
    <row r="84" spans="1:29" s="37" customFormat="1">
      <c r="A84" s="38">
        <v>30</v>
      </c>
      <c r="B84" s="39" t="s">
        <v>82</v>
      </c>
      <c r="C84" s="39">
        <f t="shared" si="21"/>
        <v>0</v>
      </c>
      <c r="D84" s="38">
        <f t="shared" si="23"/>
        <v>0</v>
      </c>
      <c r="E84" s="38"/>
      <c r="F84" s="38"/>
      <c r="G84" s="39"/>
      <c r="H84" s="39">
        <f t="shared" si="24"/>
        <v>0</v>
      </c>
      <c r="I84" s="39"/>
      <c r="J84" s="39"/>
      <c r="K84" s="39"/>
      <c r="L84" s="39"/>
      <c r="M84" s="39"/>
      <c r="N84" s="39"/>
      <c r="O84" s="39"/>
      <c r="P84" s="39"/>
      <c r="Q84" s="39"/>
      <c r="R84" s="39"/>
      <c r="S84" s="39"/>
      <c r="T84" s="39"/>
      <c r="U84" s="39"/>
      <c r="V84" s="39"/>
      <c r="W84" s="39"/>
      <c r="X84" s="39"/>
      <c r="Y84" s="39"/>
      <c r="Z84" s="39"/>
      <c r="AA84" s="39"/>
      <c r="AB84" s="39"/>
      <c r="AC84" s="39"/>
    </row>
    <row r="85" spans="1:29" s="37" customFormat="1" ht="17.25" customHeight="1">
      <c r="A85" s="38">
        <v>31</v>
      </c>
      <c r="B85" s="39" t="s">
        <v>83</v>
      </c>
      <c r="C85" s="39">
        <f t="shared" si="21"/>
        <v>0</v>
      </c>
      <c r="D85" s="38">
        <f t="shared" si="23"/>
        <v>0</v>
      </c>
      <c r="E85" s="38"/>
      <c r="F85" s="38"/>
      <c r="G85" s="39"/>
      <c r="H85" s="39">
        <f>SUM(I85:AC85)</f>
        <v>0</v>
      </c>
      <c r="I85" s="39"/>
      <c r="J85" s="39"/>
      <c r="K85" s="39"/>
      <c r="L85" s="39"/>
      <c r="M85" s="39"/>
      <c r="N85" s="39"/>
      <c r="O85" s="39"/>
      <c r="P85" s="39"/>
      <c r="Q85" s="39"/>
      <c r="R85" s="39"/>
      <c r="S85" s="39"/>
      <c r="T85" s="39"/>
      <c r="U85" s="39"/>
      <c r="V85" s="39"/>
      <c r="W85" s="39"/>
      <c r="X85" s="39"/>
      <c r="Y85" s="39"/>
      <c r="Z85" s="39"/>
      <c r="AA85" s="39"/>
      <c r="AB85" s="39"/>
      <c r="AC85" s="39"/>
    </row>
    <row r="86" spans="1:29" s="37" customFormat="1" hidden="1">
      <c r="A86" s="38">
        <v>32</v>
      </c>
      <c r="B86" s="39" t="s">
        <v>84</v>
      </c>
      <c r="C86" s="39">
        <f t="shared" ref="C86:C102" si="25">D86+H86</f>
        <v>0</v>
      </c>
      <c r="D86" s="38">
        <f t="shared" si="23"/>
        <v>0</v>
      </c>
      <c r="E86" s="38"/>
      <c r="F86" s="38"/>
      <c r="G86" s="39"/>
      <c r="H86" s="39">
        <f t="shared" si="24"/>
        <v>0</v>
      </c>
      <c r="I86" s="39"/>
      <c r="J86" s="39"/>
      <c r="K86" s="39"/>
      <c r="L86" s="39"/>
      <c r="M86" s="39"/>
      <c r="N86" s="39"/>
      <c r="O86" s="39"/>
      <c r="P86" s="39"/>
      <c r="Q86" s="39"/>
      <c r="R86" s="39"/>
      <c r="S86" s="39"/>
      <c r="T86" s="39"/>
      <c r="U86" s="39"/>
      <c r="V86" s="39"/>
      <c r="W86" s="39"/>
      <c r="X86" s="39"/>
      <c r="Y86" s="39"/>
      <c r="Z86" s="39"/>
      <c r="AA86" s="39"/>
      <c r="AB86" s="39"/>
      <c r="AC86" s="39"/>
    </row>
    <row r="87" spans="1:29" s="37" customFormat="1" ht="33.6" hidden="1">
      <c r="A87" s="38">
        <v>33</v>
      </c>
      <c r="B87" s="50" t="s">
        <v>102</v>
      </c>
      <c r="C87" s="39">
        <f t="shared" si="25"/>
        <v>0</v>
      </c>
      <c r="D87" s="38">
        <f t="shared" si="23"/>
        <v>0</v>
      </c>
      <c r="E87" s="38"/>
      <c r="F87" s="38"/>
      <c r="G87" s="39"/>
      <c r="H87" s="39">
        <f t="shared" si="24"/>
        <v>0</v>
      </c>
      <c r="I87" s="39"/>
      <c r="J87" s="39"/>
      <c r="K87" s="39"/>
      <c r="L87" s="39"/>
      <c r="M87" s="39"/>
      <c r="N87" s="39"/>
      <c r="O87" s="39"/>
      <c r="P87" s="39"/>
      <c r="Q87" s="39"/>
      <c r="R87" s="39"/>
      <c r="S87" s="39"/>
      <c r="T87" s="39"/>
      <c r="U87" s="39"/>
      <c r="V87" s="39"/>
      <c r="W87" s="39"/>
      <c r="X87" s="39"/>
      <c r="Y87" s="39"/>
      <c r="Z87" s="39"/>
      <c r="AA87" s="39"/>
      <c r="AB87" s="39"/>
      <c r="AC87" s="39"/>
    </row>
    <row r="88" spans="1:29" s="37" customFormat="1" ht="16.8" hidden="1">
      <c r="A88" s="38">
        <v>34</v>
      </c>
      <c r="B88" s="50" t="s">
        <v>25</v>
      </c>
      <c r="C88" s="39">
        <f t="shared" si="25"/>
        <v>0</v>
      </c>
      <c r="D88" s="38">
        <f t="shared" si="23"/>
        <v>0</v>
      </c>
      <c r="E88" s="38"/>
      <c r="F88" s="38"/>
      <c r="G88" s="39"/>
      <c r="H88" s="39">
        <f t="shared" si="24"/>
        <v>0</v>
      </c>
      <c r="I88" s="39"/>
      <c r="J88" s="39"/>
      <c r="K88" s="39"/>
      <c r="L88" s="39"/>
      <c r="M88" s="39"/>
      <c r="N88" s="39"/>
      <c r="O88" s="39"/>
      <c r="P88" s="39"/>
      <c r="Q88" s="39"/>
      <c r="R88" s="39"/>
      <c r="S88" s="39"/>
      <c r="T88" s="39"/>
      <c r="U88" s="39"/>
      <c r="V88" s="39"/>
      <c r="W88" s="39"/>
      <c r="X88" s="39"/>
      <c r="Y88" s="39"/>
      <c r="Z88" s="39"/>
      <c r="AA88" s="39"/>
      <c r="AB88" s="39"/>
      <c r="AC88" s="39"/>
    </row>
    <row r="89" spans="1:29" s="37" customFormat="1" hidden="1">
      <c r="A89" s="38">
        <v>35</v>
      </c>
      <c r="B89" s="39" t="s">
        <v>128</v>
      </c>
      <c r="C89" s="39">
        <f t="shared" si="25"/>
        <v>0</v>
      </c>
      <c r="D89" s="38">
        <f t="shared" si="23"/>
        <v>0</v>
      </c>
      <c r="E89" s="38"/>
      <c r="F89" s="38"/>
      <c r="G89" s="39"/>
      <c r="H89" s="39">
        <f t="shared" si="24"/>
        <v>0</v>
      </c>
      <c r="I89" s="39"/>
      <c r="J89" s="39"/>
      <c r="K89" s="39"/>
      <c r="L89" s="39"/>
      <c r="M89" s="39"/>
      <c r="N89" s="39"/>
      <c r="O89" s="39"/>
      <c r="P89" s="39"/>
      <c r="Q89" s="39"/>
      <c r="R89" s="39"/>
      <c r="S89" s="39"/>
      <c r="T89" s="39"/>
      <c r="U89" s="39"/>
      <c r="V89" s="39"/>
      <c r="W89" s="39"/>
      <c r="X89" s="39"/>
      <c r="Y89" s="39"/>
      <c r="Z89" s="39"/>
      <c r="AA89" s="39"/>
      <c r="AB89" s="39"/>
      <c r="AC89" s="39"/>
    </row>
    <row r="90" spans="1:29" s="37" customFormat="1" ht="25.2" hidden="1">
      <c r="A90" s="38">
        <v>36</v>
      </c>
      <c r="B90" s="50" t="s">
        <v>200</v>
      </c>
      <c r="C90" s="39">
        <f>D90+H90</f>
        <v>0</v>
      </c>
      <c r="D90" s="38">
        <f>F90</f>
        <v>0</v>
      </c>
      <c r="E90" s="38"/>
      <c r="F90" s="38"/>
      <c r="G90" s="39"/>
      <c r="H90" s="39">
        <f t="shared" si="24"/>
        <v>0</v>
      </c>
      <c r="I90" s="39"/>
      <c r="J90" s="39"/>
      <c r="K90" s="39"/>
      <c r="L90" s="39"/>
      <c r="M90" s="39"/>
      <c r="N90" s="39"/>
      <c r="O90" s="39"/>
      <c r="P90" s="39"/>
      <c r="Q90" s="39"/>
      <c r="R90" s="39"/>
      <c r="S90" s="39"/>
      <c r="T90" s="39"/>
      <c r="U90" s="39"/>
      <c r="V90" s="39"/>
      <c r="W90" s="39"/>
      <c r="X90" s="39"/>
      <c r="Y90" s="39"/>
      <c r="Z90" s="39"/>
      <c r="AA90" s="39"/>
      <c r="AB90" s="39"/>
      <c r="AC90" s="39"/>
    </row>
    <row r="91" spans="1:29" s="37" customFormat="1" hidden="1">
      <c r="A91" s="38">
        <v>37</v>
      </c>
      <c r="B91" s="39" t="s">
        <v>127</v>
      </c>
      <c r="C91" s="39">
        <f t="shared" si="25"/>
        <v>0</v>
      </c>
      <c r="D91" s="51">
        <f>E91+F91+G91</f>
        <v>0</v>
      </c>
      <c r="E91" s="38"/>
      <c r="F91" s="38"/>
      <c r="G91" s="39"/>
      <c r="H91" s="39">
        <f t="shared" si="24"/>
        <v>0</v>
      </c>
      <c r="I91" s="39"/>
      <c r="J91" s="39"/>
      <c r="K91" s="39"/>
      <c r="L91" s="39"/>
      <c r="M91" s="39"/>
      <c r="N91" s="39"/>
      <c r="O91" s="39"/>
      <c r="P91" s="39"/>
      <c r="Q91" s="39"/>
      <c r="R91" s="39"/>
      <c r="S91" s="39"/>
      <c r="T91" s="39"/>
      <c r="U91" s="39"/>
      <c r="V91" s="39"/>
      <c r="W91" s="39"/>
      <c r="X91" s="39"/>
      <c r="Y91" s="39"/>
      <c r="Z91" s="39"/>
      <c r="AA91" s="39"/>
      <c r="AB91" s="39"/>
      <c r="AC91" s="39"/>
    </row>
    <row r="92" spans="1:29" s="37" customFormat="1" ht="25.2" hidden="1">
      <c r="A92" s="38">
        <v>38</v>
      </c>
      <c r="B92" s="52" t="s">
        <v>97</v>
      </c>
      <c r="C92" s="39">
        <f t="shared" si="25"/>
        <v>0</v>
      </c>
      <c r="D92" s="38">
        <f t="shared" si="23"/>
        <v>0</v>
      </c>
      <c r="E92" s="38"/>
      <c r="F92" s="38"/>
      <c r="G92" s="39"/>
      <c r="H92" s="39">
        <f t="shared" si="24"/>
        <v>0</v>
      </c>
      <c r="I92" s="39"/>
      <c r="J92" s="39"/>
      <c r="K92" s="39"/>
      <c r="L92" s="39"/>
      <c r="M92" s="39"/>
      <c r="N92" s="39"/>
      <c r="O92" s="39"/>
      <c r="P92" s="39"/>
      <c r="Q92" s="39"/>
      <c r="R92" s="39"/>
      <c r="S92" s="39"/>
      <c r="T92" s="39"/>
      <c r="U92" s="39"/>
      <c r="V92" s="39"/>
      <c r="W92" s="39"/>
      <c r="X92" s="39"/>
      <c r="Y92" s="39"/>
      <c r="Z92" s="39"/>
      <c r="AA92" s="39"/>
      <c r="AB92" s="39"/>
      <c r="AC92" s="39"/>
    </row>
    <row r="93" spans="1:29" s="37" customFormat="1" hidden="1">
      <c r="A93" s="38">
        <v>39</v>
      </c>
      <c r="B93" s="39" t="s">
        <v>117</v>
      </c>
      <c r="C93" s="39">
        <f t="shared" si="25"/>
        <v>0</v>
      </c>
      <c r="D93" s="38">
        <f t="shared" si="23"/>
        <v>0</v>
      </c>
      <c r="E93" s="38"/>
      <c r="F93" s="38"/>
      <c r="G93" s="39"/>
      <c r="H93" s="39">
        <f t="shared" si="24"/>
        <v>0</v>
      </c>
      <c r="I93" s="39"/>
      <c r="J93" s="39"/>
      <c r="K93" s="39"/>
      <c r="L93" s="39"/>
      <c r="M93" s="39"/>
      <c r="N93" s="39"/>
      <c r="O93" s="39"/>
      <c r="P93" s="39"/>
      <c r="Q93" s="39"/>
      <c r="R93" s="39"/>
      <c r="S93" s="39"/>
      <c r="T93" s="39"/>
      <c r="U93" s="39"/>
      <c r="V93" s="39"/>
      <c r="W93" s="39"/>
      <c r="X93" s="39"/>
      <c r="Y93" s="39"/>
      <c r="Z93" s="39"/>
      <c r="AA93" s="39"/>
      <c r="AB93" s="39"/>
      <c r="AC93" s="39"/>
    </row>
    <row r="94" spans="1:29" s="37" customFormat="1" hidden="1">
      <c r="A94" s="38">
        <v>40</v>
      </c>
      <c r="B94" s="39" t="s">
        <v>90</v>
      </c>
      <c r="C94" s="39">
        <f t="shared" si="25"/>
        <v>0</v>
      </c>
      <c r="D94" s="38">
        <f t="shared" si="23"/>
        <v>0</v>
      </c>
      <c r="E94" s="38"/>
      <c r="F94" s="38"/>
      <c r="G94" s="39"/>
      <c r="H94" s="39">
        <f>SUM(I94:AC94)</f>
        <v>0</v>
      </c>
      <c r="I94" s="39"/>
      <c r="J94" s="39"/>
      <c r="K94" s="39"/>
      <c r="L94" s="39"/>
      <c r="M94" s="39"/>
      <c r="N94" s="39"/>
      <c r="O94" s="39"/>
      <c r="P94" s="39"/>
      <c r="Q94" s="39"/>
      <c r="R94" s="39"/>
      <c r="S94" s="39"/>
      <c r="T94" s="39"/>
      <c r="U94" s="39"/>
      <c r="V94" s="39"/>
      <c r="W94" s="39"/>
      <c r="X94" s="39"/>
      <c r="Y94" s="39"/>
      <c r="Z94" s="39"/>
      <c r="AA94" s="39"/>
      <c r="AB94" s="39"/>
      <c r="AC94" s="39"/>
    </row>
    <row r="95" spans="1:29" s="37" customFormat="1" hidden="1">
      <c r="A95" s="38">
        <v>41</v>
      </c>
      <c r="B95" s="52" t="s">
        <v>125</v>
      </c>
      <c r="C95" s="39">
        <f t="shared" si="25"/>
        <v>0</v>
      </c>
      <c r="D95" s="51"/>
      <c r="E95" s="51"/>
      <c r="F95" s="38"/>
      <c r="G95" s="39"/>
      <c r="H95" s="39">
        <f>SUM(I95:AC95)</f>
        <v>0</v>
      </c>
      <c r="I95" s="39"/>
      <c r="J95" s="39"/>
      <c r="K95" s="39"/>
      <c r="L95" s="39"/>
      <c r="M95" s="39"/>
      <c r="N95" s="39"/>
      <c r="O95" s="39"/>
      <c r="P95" s="39"/>
      <c r="Q95" s="39"/>
      <c r="R95" s="39"/>
      <c r="S95" s="39"/>
      <c r="T95" s="39"/>
      <c r="U95" s="39"/>
      <c r="V95" s="39"/>
      <c r="W95" s="39"/>
      <c r="X95" s="39"/>
      <c r="Y95" s="39"/>
      <c r="Z95" s="39"/>
      <c r="AA95" s="39"/>
      <c r="AB95" s="39"/>
      <c r="AC95" s="39"/>
    </row>
    <row r="96" spans="1:29" s="37" customFormat="1" hidden="1">
      <c r="A96" s="38">
        <v>42</v>
      </c>
      <c r="B96" s="39" t="s">
        <v>92</v>
      </c>
      <c r="C96" s="39">
        <f t="shared" si="25"/>
        <v>0</v>
      </c>
      <c r="D96" s="38"/>
      <c r="E96" s="38"/>
      <c r="F96" s="38"/>
      <c r="G96" s="39"/>
      <c r="H96" s="39">
        <f>SUM(I96:AC96)</f>
        <v>0</v>
      </c>
      <c r="I96" s="39"/>
      <c r="J96" s="39"/>
      <c r="K96" s="39"/>
      <c r="L96" s="39"/>
      <c r="M96" s="39"/>
      <c r="N96" s="39"/>
      <c r="O96" s="39"/>
      <c r="P96" s="39"/>
      <c r="Q96" s="39"/>
      <c r="R96" s="39"/>
      <c r="S96" s="39"/>
      <c r="T96" s="39"/>
      <c r="U96" s="39"/>
      <c r="V96" s="39"/>
      <c r="W96" s="39"/>
      <c r="X96" s="39"/>
      <c r="Y96" s="39"/>
      <c r="Z96" s="39"/>
      <c r="AA96" s="39"/>
      <c r="AB96" s="39"/>
      <c r="AC96" s="39"/>
    </row>
    <row r="97" spans="1:29" s="37" customFormat="1" hidden="1">
      <c r="A97" s="38">
        <v>43</v>
      </c>
      <c r="B97" s="39" t="s">
        <v>98</v>
      </c>
      <c r="C97" s="39">
        <f t="shared" si="25"/>
        <v>0</v>
      </c>
      <c r="D97" s="38"/>
      <c r="E97" s="38"/>
      <c r="F97" s="38"/>
      <c r="G97" s="39"/>
      <c r="H97" s="39">
        <f>SUM(I97:AC97)</f>
        <v>0</v>
      </c>
      <c r="I97" s="39"/>
      <c r="J97" s="39"/>
      <c r="K97" s="39"/>
      <c r="L97" s="39"/>
      <c r="M97" s="39"/>
      <c r="N97" s="39"/>
      <c r="O97" s="39"/>
      <c r="P97" s="39"/>
      <c r="Q97" s="39"/>
      <c r="R97" s="39"/>
      <c r="S97" s="39"/>
      <c r="T97" s="39"/>
      <c r="U97" s="39"/>
      <c r="V97" s="39"/>
      <c r="W97" s="39"/>
      <c r="X97" s="39"/>
      <c r="Y97" s="39"/>
      <c r="Z97" s="39"/>
      <c r="AA97" s="39"/>
      <c r="AB97" s="39"/>
      <c r="AC97" s="39"/>
    </row>
    <row r="98" spans="1:29" s="55" customFormat="1" hidden="1">
      <c r="A98" s="38">
        <v>44</v>
      </c>
      <c r="B98" s="52" t="s">
        <v>126</v>
      </c>
      <c r="C98" s="53">
        <f t="shared" si="25"/>
        <v>0</v>
      </c>
      <c r="D98" s="54"/>
      <c r="E98" s="54"/>
      <c r="F98" s="54"/>
      <c r="G98" s="53"/>
      <c r="H98" s="53">
        <f t="shared" si="24"/>
        <v>0</v>
      </c>
      <c r="I98" s="53"/>
      <c r="J98" s="53"/>
      <c r="K98" s="53"/>
      <c r="L98" s="53"/>
      <c r="M98" s="53"/>
      <c r="N98" s="53"/>
      <c r="O98" s="53"/>
      <c r="P98" s="53"/>
      <c r="Q98" s="53"/>
      <c r="R98" s="53"/>
      <c r="S98" s="53"/>
      <c r="T98" s="53"/>
      <c r="U98" s="53"/>
      <c r="V98" s="53"/>
      <c r="W98" s="53"/>
      <c r="X98" s="53"/>
      <c r="Y98" s="53"/>
      <c r="Z98" s="53"/>
      <c r="AA98" s="53"/>
      <c r="AB98" s="53"/>
      <c r="AC98" s="53"/>
    </row>
    <row r="99" spans="1:29" s="37" customFormat="1" hidden="1">
      <c r="A99" s="38">
        <v>45</v>
      </c>
      <c r="B99" s="39" t="s">
        <v>201</v>
      </c>
      <c r="C99" s="39">
        <f t="shared" si="25"/>
        <v>0</v>
      </c>
      <c r="D99" s="38"/>
      <c r="E99" s="38"/>
      <c r="F99" s="38"/>
      <c r="G99" s="39"/>
      <c r="H99" s="39">
        <f t="shared" si="24"/>
        <v>0</v>
      </c>
      <c r="I99" s="39"/>
      <c r="J99" s="39"/>
      <c r="K99" s="39"/>
      <c r="L99" s="39"/>
      <c r="M99" s="39"/>
      <c r="N99" s="39"/>
      <c r="O99" s="39"/>
      <c r="P99" s="39"/>
      <c r="Q99" s="39"/>
      <c r="R99" s="39"/>
      <c r="S99" s="39"/>
      <c r="T99" s="39"/>
      <c r="U99" s="39"/>
      <c r="V99" s="39"/>
      <c r="W99" s="39"/>
      <c r="X99" s="39"/>
      <c r="Y99" s="39"/>
      <c r="Z99" s="39"/>
      <c r="AA99" s="39"/>
      <c r="AB99" s="39"/>
      <c r="AC99" s="39"/>
    </row>
    <row r="100" spans="1:29" s="37" customFormat="1" hidden="1">
      <c r="A100" s="38">
        <v>46</v>
      </c>
      <c r="B100" s="39" t="s">
        <v>99</v>
      </c>
      <c r="C100" s="39">
        <f t="shared" si="25"/>
        <v>0</v>
      </c>
      <c r="D100" s="38"/>
      <c r="E100" s="38"/>
      <c r="F100" s="38"/>
      <c r="G100" s="39"/>
      <c r="H100" s="39">
        <f t="shared" si="24"/>
        <v>0</v>
      </c>
      <c r="I100" s="39"/>
      <c r="J100" s="39"/>
      <c r="K100" s="39"/>
      <c r="L100" s="39"/>
      <c r="M100" s="39"/>
      <c r="N100" s="39"/>
      <c r="O100" s="39"/>
      <c r="P100" s="39"/>
      <c r="Q100" s="39"/>
      <c r="R100" s="39"/>
      <c r="S100" s="39"/>
      <c r="T100" s="39"/>
      <c r="U100" s="39"/>
      <c r="V100" s="39"/>
      <c r="W100" s="39"/>
      <c r="X100" s="39"/>
      <c r="Y100" s="39"/>
      <c r="Z100" s="39"/>
      <c r="AA100" s="39"/>
      <c r="AB100" s="39"/>
      <c r="AC100" s="39"/>
    </row>
    <row r="101" spans="1:29" s="37" customFormat="1" ht="33.6" hidden="1">
      <c r="A101" s="38">
        <v>47</v>
      </c>
      <c r="B101" s="52" t="s">
        <v>202</v>
      </c>
      <c r="C101" s="39">
        <f t="shared" si="25"/>
        <v>0</v>
      </c>
      <c r="D101" s="38"/>
      <c r="E101" s="38"/>
      <c r="F101" s="38"/>
      <c r="G101" s="39"/>
      <c r="H101" s="39">
        <f t="shared" si="24"/>
        <v>0</v>
      </c>
      <c r="I101" s="39"/>
      <c r="J101" s="39"/>
      <c r="K101" s="39"/>
      <c r="L101" s="39"/>
      <c r="M101" s="39"/>
      <c r="N101" s="39"/>
      <c r="O101" s="39"/>
      <c r="P101" s="39"/>
      <c r="Q101" s="39"/>
      <c r="R101" s="39"/>
      <c r="S101" s="39"/>
      <c r="T101" s="39"/>
      <c r="U101" s="39"/>
      <c r="V101" s="39"/>
      <c r="W101" s="39"/>
      <c r="X101" s="39"/>
      <c r="Y101" s="39"/>
      <c r="Z101" s="39"/>
      <c r="AA101" s="39"/>
      <c r="AB101" s="39"/>
      <c r="AC101" s="39"/>
    </row>
    <row r="102" spans="1:29" s="37" customFormat="1" hidden="1">
      <c r="A102" s="38">
        <v>48</v>
      </c>
      <c r="B102" s="56" t="s">
        <v>122</v>
      </c>
      <c r="C102" s="39">
        <f t="shared" si="25"/>
        <v>0</v>
      </c>
      <c r="D102" s="57"/>
      <c r="E102" s="57"/>
      <c r="F102" s="57"/>
      <c r="G102" s="58"/>
      <c r="H102" s="39">
        <f t="shared" si="24"/>
        <v>0</v>
      </c>
      <c r="I102" s="58"/>
      <c r="J102" s="58"/>
      <c r="K102" s="58"/>
      <c r="L102" s="58"/>
      <c r="M102" s="58"/>
      <c r="N102" s="58"/>
      <c r="O102" s="58"/>
      <c r="P102" s="58"/>
      <c r="Q102" s="58"/>
      <c r="R102" s="58"/>
      <c r="S102" s="58"/>
      <c r="T102" s="58"/>
      <c r="U102" s="58"/>
      <c r="V102" s="58"/>
      <c r="W102" s="58"/>
      <c r="X102" s="58"/>
      <c r="Y102" s="58"/>
      <c r="Z102" s="58"/>
      <c r="AA102" s="58"/>
      <c r="AB102" s="58"/>
      <c r="AC102" s="58"/>
    </row>
    <row r="103" spans="1:29" s="37" customFormat="1" hidden="1">
      <c r="A103" s="38">
        <v>49</v>
      </c>
      <c r="B103" s="56" t="s">
        <v>203</v>
      </c>
      <c r="C103" s="39">
        <f>D103+H103</f>
        <v>0</v>
      </c>
      <c r="D103" s="57">
        <f>F103</f>
        <v>0</v>
      </c>
      <c r="E103" s="57"/>
      <c r="F103" s="57"/>
      <c r="G103" s="58"/>
      <c r="H103" s="39">
        <f t="shared" si="24"/>
        <v>0</v>
      </c>
      <c r="I103" s="58"/>
      <c r="J103" s="58"/>
      <c r="K103" s="58"/>
      <c r="L103" s="58"/>
      <c r="M103" s="58"/>
      <c r="N103" s="58"/>
      <c r="O103" s="58"/>
      <c r="P103" s="58"/>
      <c r="Q103" s="58"/>
      <c r="R103" s="58"/>
      <c r="S103" s="58"/>
      <c r="T103" s="58"/>
      <c r="U103" s="58"/>
      <c r="V103" s="58"/>
      <c r="W103" s="58"/>
      <c r="X103" s="58"/>
      <c r="Y103" s="58"/>
      <c r="Z103" s="58"/>
      <c r="AA103" s="58"/>
      <c r="AB103" s="58"/>
      <c r="AC103" s="58"/>
    </row>
    <row r="104" spans="1:29" s="37" customFormat="1" ht="18" hidden="1" customHeight="1">
      <c r="A104" s="57">
        <v>50</v>
      </c>
      <c r="B104" s="59" t="s">
        <v>204</v>
      </c>
      <c r="C104" s="59">
        <f>D104+H104</f>
        <v>0</v>
      </c>
      <c r="D104" s="60"/>
      <c r="E104" s="60"/>
      <c r="F104" s="60"/>
      <c r="G104" s="59"/>
      <c r="H104" s="59">
        <f t="shared" si="24"/>
        <v>0</v>
      </c>
      <c r="I104" s="59"/>
      <c r="J104" s="59"/>
      <c r="K104" s="59"/>
      <c r="L104" s="59"/>
      <c r="M104" s="59"/>
      <c r="N104" s="59"/>
      <c r="O104" s="59"/>
      <c r="P104" s="59"/>
      <c r="Q104" s="59"/>
      <c r="R104" s="59"/>
      <c r="S104" s="59"/>
      <c r="T104" s="59"/>
      <c r="U104" s="59"/>
      <c r="V104" s="59"/>
      <c r="W104" s="59"/>
      <c r="X104" s="59"/>
      <c r="Y104" s="59"/>
      <c r="Z104" s="59"/>
      <c r="AA104" s="59"/>
      <c r="AB104" s="59"/>
      <c r="AC104" s="59"/>
    </row>
    <row r="105" spans="1:29" s="17" customFormat="1" ht="18.75" customHeight="1">
      <c r="A105" s="19"/>
      <c r="B105" s="21" t="s">
        <v>29</v>
      </c>
      <c r="C105" s="22">
        <f t="shared" ref="C105:H105" si="26">C90+C7+C10+C13+C15+C18+C22+C24+C26+C28+C35+C36+C37+C39+C41+C45+C48+C51+C53+C55+C56+C57+C58+C59+C74+C75+C80+C82+C83+C84+C85+C86+C87+C88+C89+C91+C92+C95+C97+C93+C94+C96+C81+C98+C99+C100+C101+C104+C102+C103</f>
        <v>5973</v>
      </c>
      <c r="D105" s="21">
        <f t="shared" si="26"/>
        <v>0</v>
      </c>
      <c r="E105" s="21">
        <f t="shared" si="26"/>
        <v>0</v>
      </c>
      <c r="F105" s="21">
        <f t="shared" si="26"/>
        <v>2.5000000000000001E-2</v>
      </c>
      <c r="G105" s="22">
        <f t="shared" si="26"/>
        <v>0</v>
      </c>
      <c r="H105" s="22">
        <f t="shared" si="26"/>
        <v>5973</v>
      </c>
      <c r="I105" s="22">
        <f t="shared" ref="I105:Z105" si="27">I7+I10+I13+I15+I18+I22+I24+I26+I28+I35+I36+I37+I39+I41+I45+I48+I51+I53+I55+I56+I57+I58+I59+I74+I75+I80+I82+I83+I84+I85+I86+I87+I88+I89+I91+I92+I95+I97+I93+I94+I96+I81+I98+I99+I100+I101+I104+I102+I103</f>
        <v>70</v>
      </c>
      <c r="J105" s="22">
        <f t="shared" si="27"/>
        <v>0</v>
      </c>
      <c r="K105" s="22">
        <f t="shared" si="27"/>
        <v>69</v>
      </c>
      <c r="L105" s="22">
        <f t="shared" si="27"/>
        <v>0</v>
      </c>
      <c r="M105" s="22">
        <f t="shared" si="27"/>
        <v>106</v>
      </c>
      <c r="N105" s="22">
        <f t="shared" si="27"/>
        <v>0</v>
      </c>
      <c r="O105" s="22">
        <f t="shared" si="27"/>
        <v>374</v>
      </c>
      <c r="P105" s="22">
        <f t="shared" si="27"/>
        <v>5167</v>
      </c>
      <c r="Q105" s="22">
        <f t="shared" si="27"/>
        <v>0</v>
      </c>
      <c r="R105" s="22">
        <f t="shared" si="27"/>
        <v>48</v>
      </c>
      <c r="S105" s="22">
        <f t="shared" si="27"/>
        <v>66</v>
      </c>
      <c r="T105" s="22">
        <f t="shared" si="27"/>
        <v>0</v>
      </c>
      <c r="U105" s="22">
        <f t="shared" si="27"/>
        <v>73</v>
      </c>
      <c r="V105" s="22">
        <f t="shared" si="27"/>
        <v>0</v>
      </c>
      <c r="W105" s="22">
        <f t="shared" si="27"/>
        <v>0</v>
      </c>
      <c r="X105" s="22">
        <f t="shared" si="27"/>
        <v>0</v>
      </c>
      <c r="Y105" s="22">
        <f t="shared" si="27"/>
        <v>0</v>
      </c>
      <c r="Z105" s="22">
        <f t="shared" si="27"/>
        <v>0</v>
      </c>
      <c r="AA105" s="22">
        <f>AA90+AA7+AA10+AA13+AA15+AA18+AA22+AA24+AA26+AA28+AA35+AA36+AA37+AA39+AA41+AA45+AA48+AA51+AA53+AA55+AA56+AA57+AA58+AA59+AA74+AA75+AA80+AA82+AA83+AA84+AA85+AA86+AA87+AA88+AA89+AA91+AA92+AA95+AA97+AA93+AA94+AA96+AA81+AA98+AA99+AA100+AA101+AA104+AA102+AA103</f>
        <v>0</v>
      </c>
      <c r="AB105" s="22">
        <f>AB7+AB10+AB13+AB15+AB18+AB22+AB24+AB26+AB28+AB35+AB36+AB37+AB39+AB41+AB45+AB48+AB51+AB53+AB55+AB56+AB57+AB58+AB59+AB74+AB75+AB80+AB82+AB83+AB84+AB85+AB86+AB87+AB88+AB89+AB91+AB92+AB95+AB97+AB93+AB94+AB96+AB81+AB98+AB99+AB100+AB101+AB104+AB102+AB103</f>
        <v>0</v>
      </c>
      <c r="AC105" s="22">
        <f>AC7+AC10+AC13+AC15+AC18+AC22+AC24+AC26+AC28+AC35+AC36+AC37+AC39+AC41+AC45+AC48+AC51+AC53+AC55+AC56+AC57+AC58+AC59+AC74+AC75+AC80+AC82+AC83+AC84+AC85+AC86+AC87+AC88+AC89+AC91+AC92+AC95+AC97+AC93+AC94+AC96+AC81+AC98+AC99+AC100+AC101+AC104+AC102+AC103</f>
        <v>0</v>
      </c>
    </row>
    <row r="106" spans="1:29" hidden="1">
      <c r="C106" s="22">
        <f t="shared" ref="C106" si="28">C91+C8+C11+C14+C16+C19+C23+C25+C27+C29+C36+C37+C38+C40+C42+C46+C49+C52+C54+C56+C57+C58+C59+C60+C75+C76+C81+C83+C84+C85+C86+C87+C88+C89+C90+C92+C93+C96+C98+C94+C95+C97+C82+C99+C100+C101+C102+C105+C103+C104</f>
        <v>11988</v>
      </c>
      <c r="H106" s="22">
        <f t="shared" ref="H106" si="29">H91+H8+H11+H14+H16+H19+H23+H25+H27+H29+H36+H37+H38+H40+H42+H46+H49+H52+H54+H56+H57+H58+H59+H60+H75+H76+H81+H83+H84+H85+H86+H87+H88+H89+H90+H92+H93+H96+H98+H94+H95+H97+H82+H99+H100+H101+H102+H105+H103+H104</f>
        <v>11988</v>
      </c>
    </row>
    <row r="107" spans="1:29" hidden="1">
      <c r="B107" s="12" t="s">
        <v>29</v>
      </c>
      <c r="C107" s="22">
        <f t="shared" ref="C107" si="30">C92+C9+C12+C15+C17+C20+C24+C26+C28+C30+C37+C38+C39+C41+C43+C47+C50+C53+C55+C57+C58+C59+C60+C61+C76+C77+C82+C84+C85+C86+C87+C88+C89+C90+C91+C93+C94+C97+C99+C95+C96+C98+C83+C100+C101+C102+C103+C106+C104+C105</f>
        <v>18547</v>
      </c>
      <c r="D107" s="31">
        <v>0</v>
      </c>
      <c r="E107" s="31">
        <v>0</v>
      </c>
      <c r="F107" s="31">
        <v>0</v>
      </c>
      <c r="G107" s="12">
        <v>0</v>
      </c>
      <c r="H107" s="22">
        <f t="shared" ref="H107" si="31">H92+H9+H12+H15+H17+H20+H24+H26+H28+H30+H37+H38+H39+H41+H43+H47+H50+H53+H55+H57+H58+H59+H60+H61+H76+H77+H82+H84+H85+H86+H87+H88+H89+H90+H91+H93+H94+H97+H99+H95+H96+H98+H83+H100+H101+H102+H103+H106+H104+H105</f>
        <v>18547</v>
      </c>
      <c r="I107" s="22">
        <v>58151</v>
      </c>
      <c r="J107" s="22">
        <v>28693</v>
      </c>
      <c r="K107" s="22">
        <v>16316</v>
      </c>
      <c r="L107" s="22">
        <v>710</v>
      </c>
      <c r="M107" s="22">
        <v>70987</v>
      </c>
      <c r="N107" s="22">
        <v>5950</v>
      </c>
      <c r="O107" s="22">
        <v>465509</v>
      </c>
      <c r="P107" s="22">
        <v>353099</v>
      </c>
      <c r="Q107" s="22">
        <v>35693</v>
      </c>
      <c r="R107" s="22">
        <v>9902</v>
      </c>
      <c r="S107" s="22">
        <v>23433</v>
      </c>
      <c r="T107" s="22">
        <v>88354</v>
      </c>
      <c r="U107" s="22">
        <v>27846</v>
      </c>
      <c r="V107" s="22">
        <v>253210.09200000003</v>
      </c>
      <c r="W107" s="22">
        <v>37043</v>
      </c>
      <c r="X107" s="22">
        <v>24673</v>
      </c>
      <c r="Y107" s="22">
        <v>209835</v>
      </c>
      <c r="Z107" s="22"/>
      <c r="AA107" s="22"/>
      <c r="AB107" s="22">
        <v>0</v>
      </c>
      <c r="AC107" s="22">
        <v>46905</v>
      </c>
    </row>
    <row r="108" spans="1:29" hidden="1">
      <c r="B108" s="12" t="s">
        <v>103</v>
      </c>
      <c r="C108" s="22">
        <f t="shared" ref="C108" si="32">C93+C10+C13+C16+C18+C21+C25+C27+C29+C31+C38+C39+C40+C42+C44+C48+C51+C54+C56+C58+C59+C60+C61+C62+C77+C78+C83+C85+C86+C87+C88+C89+C90+C91+C92+C94+C95+C98+C100+C96+C97+C99+C84+C101+C102+C103+C104+C107+C105+C106</f>
        <v>42173</v>
      </c>
      <c r="H108" s="22">
        <f t="shared" ref="H108" si="33">H93+H10+H13+H16+H18+H21+H25+H27+H29+H31+H38+H39+H40+H42+H44+H48+H51+H54+H56+H58+H59+H60+H61+H62+H77+H78+H83+H85+H86+H87+H88+H89+H90+H91+H92+H94+H95+H98+H100+H96+H97+H99+H84+H101+H102+H103+H104+H107+H105+H106</f>
        <v>42173</v>
      </c>
      <c r="W108" s="12">
        <f>W109+W110</f>
        <v>13002</v>
      </c>
    </row>
    <row r="109" spans="1:29" ht="13.2" hidden="1">
      <c r="B109" s="12" t="s">
        <v>104</v>
      </c>
      <c r="C109" s="22">
        <f t="shared" ref="C109" si="34">C94+C11+C14+C17+C19+C22+C26+C28+C30+C32+C39+C40+C41+C43+C45+C49+C52+C55+C57+C59+C60+C61+C62+C63+C78+C79+C84+C86+C87+C88+C89+C90+C91+C92+C93+C95+C96+C99+C101+C97+C98+C100+C85+C102+C103+C104+C105+C108+C106+C107</f>
        <v>84227</v>
      </c>
      <c r="F109" s="61"/>
      <c r="G109" s="13"/>
      <c r="H109" s="22">
        <f t="shared" ref="H109" si="35">H94+H11+H14+H17+H19+H22+H26+H28+H30+H32+H39+H40+H41+H43+H45+H49+H52+H55+H57+H59+H60+H61+H62+H63+H78+H79+H84+H86+H87+H88+H89+H90+H91+H92+H93+H95+H96+H99+H101+H97+H98+H100+H85+H102+H103+H104+H105+H108+H106+H107</f>
        <v>84227</v>
      </c>
      <c r="I109" s="13"/>
      <c r="J109" s="13"/>
      <c r="K109" s="13"/>
      <c r="L109" s="13"/>
      <c r="M109" s="13"/>
      <c r="N109" s="13"/>
      <c r="O109" s="13"/>
      <c r="P109" s="13"/>
      <c r="W109" s="12">
        <v>2702</v>
      </c>
    </row>
    <row r="110" spans="1:29" ht="13.2" hidden="1">
      <c r="B110" s="12" t="s">
        <v>105</v>
      </c>
      <c r="C110" s="22">
        <f t="shared" ref="C110" si="36">C95+C12+C15+C18+C20+C23+C27+C29+C31+C33+C40+C41+C42+C44+C46+C50+C53+C56+C58+C60+C61+C62+C63+C64+C79+C80+C85+C87+C88+C89+C90+C91+C92+C93+C94+C96+C97+C100+C102+C98+C99+C101+C86+C103+C104+C105+C106+C109+C107+C108</f>
        <v>163170</v>
      </c>
      <c r="F110" s="61"/>
      <c r="G110" s="13"/>
      <c r="H110" s="22">
        <f t="shared" ref="H110" si="37">H95+H12+H15+H18+H20+H23+H27+H29+H31+H33+H40+H41+H42+H44+H46+H50+H53+H56+H58+H60+H61+H62+H63+H64+H79+H80+H85+H87+H88+H89+H90+H91+H92+H93+H94+H96+H97+H100+H102+H98+H99+H101+H86+H103+H104+H105+H106+H109+H107+H108</f>
        <v>163170</v>
      </c>
      <c r="I110" s="13"/>
      <c r="J110" s="13"/>
      <c r="K110" s="13"/>
      <c r="L110" s="13"/>
      <c r="M110" s="13"/>
      <c r="N110" s="13"/>
      <c r="O110" s="13"/>
      <c r="P110" s="13"/>
      <c r="W110" s="12">
        <v>10300</v>
      </c>
    </row>
    <row r="111" spans="1:29" ht="13.2" hidden="1">
      <c r="B111" s="12" t="s">
        <v>106</v>
      </c>
      <c r="C111" s="22">
        <f t="shared" ref="C111" si="38">C96+C13+C16+C19+C21+C24+C28+C30+C32+C34+C41+C42+C43+C45+C47+C51+C54+C57+C59+C61+C62+C63+C64+C65+C80+C81+C86+C88+C89+C90+C91+C92+C93+C94+C95+C97+C98+C101+C103+C99+C100+C102+C87+C104+C105+C106+C107+C110+C108+C109</f>
        <v>331423</v>
      </c>
      <c r="F111" s="61"/>
      <c r="G111" s="13"/>
      <c r="H111" s="22">
        <f t="shared" ref="H111" si="39">H96+H13+H16+H19+H21+H24+H28+H30+H32+H34+H41+H42+H43+H45+H47+H51+H54+H57+H59+H61+H62+H63+H64+H65+H80+H81+H86+H88+H89+H90+H91+H92+H93+H94+H95+H97+H98+H101+H103+H99+H100+H102+H87+H104+H105+H106+H107+H110+H108+H109</f>
        <v>331423</v>
      </c>
      <c r="I111" s="13"/>
      <c r="J111" s="13"/>
      <c r="K111" s="13"/>
      <c r="L111" s="13"/>
      <c r="M111" s="12">
        <f>M114</f>
        <v>0</v>
      </c>
      <c r="N111" s="13"/>
      <c r="O111" s="13"/>
      <c r="P111" s="22">
        <f>P112+P113</f>
        <v>2583.5</v>
      </c>
      <c r="Q111" s="22">
        <f t="shared" ref="Q111:W111" si="40">Q112+Q113</f>
        <v>0</v>
      </c>
      <c r="R111" s="22">
        <f t="shared" si="40"/>
        <v>24</v>
      </c>
      <c r="S111" s="22">
        <f t="shared" si="40"/>
        <v>33</v>
      </c>
      <c r="T111" s="22">
        <f t="shared" si="40"/>
        <v>0</v>
      </c>
      <c r="U111" s="22">
        <f t="shared" si="40"/>
        <v>36.5</v>
      </c>
      <c r="V111" s="22">
        <f t="shared" si="40"/>
        <v>5515</v>
      </c>
      <c r="W111" s="22">
        <f t="shared" si="40"/>
        <v>0</v>
      </c>
    </row>
    <row r="112" spans="1:29" ht="13.2" hidden="1">
      <c r="B112" s="12" t="s">
        <v>107</v>
      </c>
      <c r="C112" s="22">
        <f t="shared" ref="C112" si="41">C97+C14+C17+C20+C22+C25+C29+C31+C33+C35+C42+C43+C44+C46+C48+C52+C55+C58+C60+C62+C63+C64+C65+C66+C81+C82+C87+C89+C90+C91+C92+C93+C94+C95+C96+C98+C99+C102+C104+C100+C101+C103+C88+C105+C106+C107+C108+C111+C109+C110</f>
        <v>662807</v>
      </c>
      <c r="F112" s="61"/>
      <c r="G112" s="13"/>
      <c r="H112" s="22">
        <f t="shared" ref="H112" si="42">H97+H14+H17+H20+H22+H25+H29+H31+H33+H35+H42+H43+H44+H46+H48+H52+H55+H58+H60+H62+H63+H64+H65+H66+H81+H82+H87+H89+H90+H91+H92+H93+H94+H95+H96+H98+H99+H102+H104+H100+H101+H103+H88+H105+H106+H107+H108+H111+H109+H110</f>
        <v>662807</v>
      </c>
      <c r="I112" s="13"/>
      <c r="J112" s="13"/>
      <c r="K112" s="13"/>
      <c r="L112" s="13"/>
      <c r="M112" s="13"/>
      <c r="N112" s="13"/>
      <c r="O112" s="13"/>
      <c r="P112" s="13"/>
      <c r="V112" s="12">
        <v>5515</v>
      </c>
    </row>
    <row r="113" spans="1:29" s="72" customFormat="1" ht="27" customHeight="1">
      <c r="A113" s="69"/>
      <c r="B113" s="70" t="s">
        <v>207</v>
      </c>
      <c r="C113" s="201">
        <f>H113</f>
        <v>2986.5</v>
      </c>
      <c r="D113" s="70"/>
      <c r="E113" s="70"/>
      <c r="F113" s="70"/>
      <c r="G113" s="71"/>
      <c r="H113" s="71">
        <f>SUM(I113:AC113)</f>
        <v>2986.5</v>
      </c>
      <c r="I113" s="71">
        <f>I105/2</f>
        <v>35</v>
      </c>
      <c r="J113" s="71">
        <f t="shared" ref="J113:AC113" si="43">J105/2</f>
        <v>0</v>
      </c>
      <c r="K113" s="71">
        <f t="shared" si="43"/>
        <v>34.5</v>
      </c>
      <c r="L113" s="71">
        <f t="shared" si="43"/>
        <v>0</v>
      </c>
      <c r="M113" s="71">
        <f t="shared" si="43"/>
        <v>53</v>
      </c>
      <c r="N113" s="71">
        <f t="shared" si="43"/>
        <v>0</v>
      </c>
      <c r="O113" s="71">
        <f t="shared" si="43"/>
        <v>187</v>
      </c>
      <c r="P113" s="71">
        <f t="shared" si="43"/>
        <v>2583.5</v>
      </c>
      <c r="Q113" s="71">
        <f t="shared" si="43"/>
        <v>0</v>
      </c>
      <c r="R113" s="71">
        <f t="shared" si="43"/>
        <v>24</v>
      </c>
      <c r="S113" s="71">
        <f t="shared" si="43"/>
        <v>33</v>
      </c>
      <c r="T113" s="71">
        <f t="shared" si="43"/>
        <v>0</v>
      </c>
      <c r="U113" s="71">
        <f t="shared" si="43"/>
        <v>36.5</v>
      </c>
      <c r="V113" s="71">
        <f t="shared" si="43"/>
        <v>0</v>
      </c>
      <c r="W113" s="71">
        <f t="shared" si="43"/>
        <v>0</v>
      </c>
      <c r="X113" s="71">
        <f t="shared" si="43"/>
        <v>0</v>
      </c>
      <c r="Y113" s="71">
        <f t="shared" si="43"/>
        <v>0</v>
      </c>
      <c r="Z113" s="71">
        <f t="shared" si="43"/>
        <v>0</v>
      </c>
      <c r="AA113" s="71">
        <f t="shared" si="43"/>
        <v>0</v>
      </c>
      <c r="AB113" s="71">
        <f t="shared" si="43"/>
        <v>0</v>
      </c>
      <c r="AC113" s="71">
        <f t="shared" si="43"/>
        <v>0</v>
      </c>
    </row>
    <row r="114" spans="1:29" ht="24.75" customHeight="1">
      <c r="A114" s="12"/>
    </row>
    <row r="115" spans="1:29" ht="24.75" customHeight="1">
      <c r="A115" s="12"/>
    </row>
    <row r="116" spans="1:29">
      <c r="A116" s="12"/>
    </row>
    <row r="122" spans="1:29">
      <c r="C122" s="12" t="s">
        <v>205</v>
      </c>
    </row>
  </sheetData>
  <mergeCells count="34">
    <mergeCell ref="W3:W6"/>
    <mergeCell ref="X3:X6"/>
    <mergeCell ref="Y3:Y6"/>
    <mergeCell ref="Z3:Z6"/>
    <mergeCell ref="AA3:AA6"/>
    <mergeCell ref="I4:I6"/>
    <mergeCell ref="J4:J6"/>
    <mergeCell ref="K4:K6"/>
    <mergeCell ref="L4:L6"/>
    <mergeCell ref="V3:V6"/>
    <mergeCell ref="T4:T6"/>
    <mergeCell ref="U4:U6"/>
    <mergeCell ref="M4:M6"/>
    <mergeCell ref="O4:O6"/>
    <mergeCell ref="P4:P6"/>
    <mergeCell ref="Q4:Q6"/>
    <mergeCell ref="R4:R6"/>
    <mergeCell ref="S4:S6"/>
    <mergeCell ref="A1:AC1"/>
    <mergeCell ref="U2:AC2"/>
    <mergeCell ref="A3:A6"/>
    <mergeCell ref="B3:B6"/>
    <mergeCell ref="C3:C6"/>
    <mergeCell ref="D3:G3"/>
    <mergeCell ref="H3:H6"/>
    <mergeCell ref="I3:M3"/>
    <mergeCell ref="N3:N6"/>
    <mergeCell ref="O3:U3"/>
    <mergeCell ref="AB3:AB6"/>
    <mergeCell ref="AC3:AC6"/>
    <mergeCell ref="D4:D6"/>
    <mergeCell ref="E4:E6"/>
    <mergeCell ref="F4:F6"/>
    <mergeCell ref="G4:G6"/>
  </mergeCells>
  <pageMargins left="0.7" right="0.7" top="0.75" bottom="0.75" header="0.3" footer="0.3"/>
  <pageSetup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98"/>
  <sheetViews>
    <sheetView topLeftCell="A34" zoomScale="115" zoomScaleNormal="115" workbookViewId="0">
      <selection activeCell="D1" sqref="D1:E1048576"/>
    </sheetView>
  </sheetViews>
  <sheetFormatPr defaultColWidth="8.90625" defaultRowHeight="15.6"/>
  <cols>
    <col min="1" max="1" width="6.36328125" style="174" customWidth="1"/>
    <col min="2" max="2" width="38" style="26" customWidth="1"/>
    <col min="3" max="3" width="23.08984375" style="104" customWidth="1"/>
    <col min="4" max="16384" width="8.90625" style="26"/>
  </cols>
  <sheetData>
    <row r="2" spans="1:3" s="25" customFormat="1" ht="32.25" customHeight="1">
      <c r="A2" s="684" t="s">
        <v>295</v>
      </c>
      <c r="B2" s="684"/>
      <c r="C2" s="684"/>
    </row>
    <row r="3" spans="1:3" s="25" customFormat="1" ht="21" customHeight="1">
      <c r="A3" s="689" t="s">
        <v>274</v>
      </c>
      <c r="B3" s="689"/>
      <c r="C3" s="103"/>
    </row>
    <row r="4" spans="1:3" s="25" customFormat="1" ht="19.5" customHeight="1">
      <c r="A4" s="687" t="s">
        <v>89</v>
      </c>
      <c r="B4" s="687" t="s">
        <v>28</v>
      </c>
      <c r="C4" s="685" t="s">
        <v>279</v>
      </c>
    </row>
    <row r="5" spans="1:3" s="25" customFormat="1" ht="12.75" hidden="1" customHeight="1">
      <c r="A5" s="688"/>
      <c r="B5" s="688"/>
      <c r="C5" s="686"/>
    </row>
    <row r="6" spans="1:3" s="25" customFormat="1" ht="16.5" customHeight="1">
      <c r="A6" s="688"/>
      <c r="B6" s="688"/>
      <c r="C6" s="686"/>
    </row>
    <row r="7" spans="1:3" s="177" customFormat="1" ht="19.5" customHeight="1">
      <c r="A7" s="198">
        <v>1</v>
      </c>
      <c r="B7" s="199" t="s">
        <v>35</v>
      </c>
      <c r="C7" s="200">
        <f>'DT trinh GD'!AK10</f>
        <v>3448</v>
      </c>
    </row>
    <row r="8" spans="1:3" s="177" customFormat="1" ht="19.5" customHeight="1">
      <c r="A8" s="175">
        <v>2</v>
      </c>
      <c r="B8" s="176" t="s">
        <v>40</v>
      </c>
      <c r="C8" s="195">
        <f>'DT trinh GD'!AK18</f>
        <v>904</v>
      </c>
    </row>
    <row r="9" spans="1:3" s="177" customFormat="1" ht="19.5" customHeight="1">
      <c r="A9" s="175">
        <v>3</v>
      </c>
      <c r="B9" s="176" t="s">
        <v>41</v>
      </c>
      <c r="C9" s="195">
        <f>'DT trinh GD'!AK23</f>
        <v>540</v>
      </c>
    </row>
    <row r="10" spans="1:3" s="177" customFormat="1" ht="19.5" customHeight="1">
      <c r="A10" s="175">
        <v>4</v>
      </c>
      <c r="B10" s="176" t="s">
        <v>42</v>
      </c>
      <c r="C10" s="195">
        <f>'DT trinh GD'!AK28</f>
        <v>639</v>
      </c>
    </row>
    <row r="11" spans="1:3" s="177" customFormat="1" ht="19.5" customHeight="1">
      <c r="A11" s="175">
        <v>5</v>
      </c>
      <c r="B11" s="176" t="s">
        <v>43</v>
      </c>
      <c r="C11" s="195">
        <f>'DT trinh GD'!AK33</f>
        <v>789</v>
      </c>
    </row>
    <row r="12" spans="1:3" s="177" customFormat="1" ht="19.5" customHeight="1">
      <c r="A12" s="175">
        <v>6</v>
      </c>
      <c r="B12" s="176" t="s">
        <v>44</v>
      </c>
      <c r="C12" s="195">
        <f>'DT trinh GD'!AK39</f>
        <v>811</v>
      </c>
    </row>
    <row r="13" spans="1:3" s="177" customFormat="1" ht="19.5" customHeight="1">
      <c r="A13" s="175">
        <v>7</v>
      </c>
      <c r="B13" s="176" t="s">
        <v>45</v>
      </c>
      <c r="C13" s="195">
        <f>'DT trinh GD'!AK44</f>
        <v>452</v>
      </c>
    </row>
    <row r="14" spans="1:3" s="177" customFormat="1" ht="19.5" customHeight="1">
      <c r="A14" s="175">
        <v>8</v>
      </c>
      <c r="B14" s="176" t="s">
        <v>46</v>
      </c>
      <c r="C14" s="195">
        <f>'DT trinh GD'!AK49</f>
        <v>600</v>
      </c>
    </row>
    <row r="15" spans="1:3" s="177" customFormat="1" ht="19.5" customHeight="1">
      <c r="A15" s="175">
        <v>9</v>
      </c>
      <c r="B15" s="176" t="s">
        <v>47</v>
      </c>
      <c r="C15" s="195">
        <f>'DT trinh GD'!AK54</f>
        <v>2563</v>
      </c>
    </row>
    <row r="16" spans="1:3" s="177" customFormat="1" ht="19.5" customHeight="1">
      <c r="A16" s="175">
        <v>10</v>
      </c>
      <c r="B16" s="176" t="s">
        <v>116</v>
      </c>
      <c r="C16" s="195">
        <f>'DT trinh GD'!AK60</f>
        <v>395</v>
      </c>
    </row>
    <row r="17" spans="1:3" s="177" customFormat="1" ht="19.5" customHeight="1">
      <c r="A17" s="175">
        <v>11</v>
      </c>
      <c r="B17" s="176" t="s">
        <v>48</v>
      </c>
      <c r="C17" s="195">
        <f>'DT trinh GD'!AK61</f>
        <v>415</v>
      </c>
    </row>
    <row r="18" spans="1:3" s="177" customFormat="1" ht="19.5" customHeight="1">
      <c r="A18" s="175">
        <v>12</v>
      </c>
      <c r="B18" s="176" t="s">
        <v>49</v>
      </c>
      <c r="C18" s="195">
        <f>'DT trinh GD'!AK66</f>
        <v>782</v>
      </c>
    </row>
    <row r="19" spans="1:3" s="177" customFormat="1" ht="19.5" customHeight="1">
      <c r="A19" s="175">
        <v>13</v>
      </c>
      <c r="B19" s="176" t="s">
        <v>50</v>
      </c>
      <c r="C19" s="195">
        <f>'DT trinh GD'!AK72</f>
        <v>640</v>
      </c>
    </row>
    <row r="20" spans="1:3" s="177" customFormat="1" ht="19.5" customHeight="1">
      <c r="A20" s="175">
        <v>14</v>
      </c>
      <c r="B20" s="176" t="s">
        <v>51</v>
      </c>
      <c r="C20" s="195">
        <f>'DT trinh GD'!AK77</f>
        <v>1830</v>
      </c>
    </row>
    <row r="21" spans="1:3" s="177" customFormat="1" ht="19.5" customHeight="1">
      <c r="A21" s="175">
        <v>15</v>
      </c>
      <c r="B21" s="176" t="s">
        <v>52</v>
      </c>
      <c r="C21" s="195">
        <f>'DT trinh GD'!AK82</f>
        <v>715</v>
      </c>
    </row>
    <row r="22" spans="1:3" s="177" customFormat="1" ht="19.5" customHeight="1">
      <c r="A22" s="175">
        <v>16</v>
      </c>
      <c r="B22" s="176" t="s">
        <v>53</v>
      </c>
      <c r="C22" s="195">
        <f>'DT trinh GD'!AK88</f>
        <v>30943</v>
      </c>
    </row>
    <row r="23" spans="1:3" s="177" customFormat="1" ht="19.5" customHeight="1">
      <c r="A23" s="175">
        <v>17</v>
      </c>
      <c r="B23" s="176" t="s">
        <v>55</v>
      </c>
      <c r="C23" s="195">
        <f>'DT trinh GD'!AK94</f>
        <v>20114</v>
      </c>
    </row>
    <row r="24" spans="1:3" s="177" customFormat="1" ht="19.5" customHeight="1">
      <c r="A24" s="175">
        <v>18</v>
      </c>
      <c r="B24" s="176" t="s">
        <v>57</v>
      </c>
      <c r="C24" s="195">
        <f>'DT trinh GD'!AK101</f>
        <v>1041</v>
      </c>
    </row>
    <row r="25" spans="1:3" s="177" customFormat="1" ht="19.5" customHeight="1">
      <c r="A25" s="175">
        <v>19</v>
      </c>
      <c r="B25" s="176" t="s">
        <v>59</v>
      </c>
      <c r="C25" s="195">
        <f>'DT trinh GD'!AK106</f>
        <v>104</v>
      </c>
    </row>
    <row r="26" spans="1:3" s="177" customFormat="1" ht="19.5" customHeight="1">
      <c r="A26" s="175">
        <v>20</v>
      </c>
      <c r="B26" s="176" t="s">
        <v>60</v>
      </c>
      <c r="C26" s="195">
        <f>'DT trinh GD'!AK107</f>
        <v>239</v>
      </c>
    </row>
    <row r="27" spans="1:3" s="177" customFormat="1" ht="19.5" customHeight="1">
      <c r="A27" s="175">
        <v>21</v>
      </c>
      <c r="B27" s="176" t="s">
        <v>61</v>
      </c>
      <c r="C27" s="195">
        <f>'DT trinh GD'!AK112</f>
        <v>160</v>
      </c>
    </row>
    <row r="28" spans="1:3" s="177" customFormat="1" ht="19.5" customHeight="1">
      <c r="A28" s="175">
        <v>22</v>
      </c>
      <c r="B28" s="176" t="s">
        <v>62</v>
      </c>
      <c r="C28" s="195">
        <f>'DT trinh GD'!AK117</f>
        <v>53</v>
      </c>
    </row>
    <row r="29" spans="1:3" s="180" customFormat="1" ht="19.5" customHeight="1">
      <c r="A29" s="178"/>
      <c r="B29" s="179" t="s">
        <v>63</v>
      </c>
      <c r="C29" s="196">
        <f>SUM(C30:C40)</f>
        <v>1334</v>
      </c>
    </row>
    <row r="30" spans="1:3" s="184" customFormat="1" ht="19.5" customHeight="1">
      <c r="A30" s="181">
        <v>24</v>
      </c>
      <c r="B30" s="182" t="s">
        <v>64</v>
      </c>
      <c r="C30" s="183">
        <f>'DT trinh GD'!AK119</f>
        <v>186</v>
      </c>
    </row>
    <row r="31" spans="1:3" s="184" customFormat="1" ht="19.5" customHeight="1">
      <c r="A31" s="181">
        <v>25</v>
      </c>
      <c r="B31" s="182" t="s">
        <v>65</v>
      </c>
      <c r="C31" s="183">
        <f>'DT trinh GD'!AK120</f>
        <v>187</v>
      </c>
    </row>
    <row r="32" spans="1:3" s="184" customFormat="1" ht="19.5" customHeight="1">
      <c r="A32" s="181">
        <v>26</v>
      </c>
      <c r="B32" s="182" t="s">
        <v>66</v>
      </c>
      <c r="C32" s="183">
        <f>'DT trinh GD'!AK121</f>
        <v>227</v>
      </c>
    </row>
    <row r="33" spans="1:3" s="184" customFormat="1" ht="19.5" customHeight="1">
      <c r="A33" s="181">
        <v>27</v>
      </c>
      <c r="B33" s="182" t="s">
        <v>67</v>
      </c>
      <c r="C33" s="183">
        <f>'DT trinh GD'!AK122</f>
        <v>198</v>
      </c>
    </row>
    <row r="34" spans="1:3" s="184" customFormat="1" ht="19.5" customHeight="1">
      <c r="A34" s="181">
        <v>28</v>
      </c>
      <c r="B34" s="182" t="s">
        <v>68</v>
      </c>
      <c r="C34" s="183">
        <f>'DT trinh GD'!AK123</f>
        <v>28</v>
      </c>
    </row>
    <row r="35" spans="1:3" s="184" customFormat="1" ht="19.5" customHeight="1">
      <c r="A35" s="181">
        <v>29</v>
      </c>
      <c r="B35" s="182" t="s">
        <v>69</v>
      </c>
      <c r="C35" s="183">
        <f>'DT trinh GD'!AK124</f>
        <v>116</v>
      </c>
    </row>
    <row r="36" spans="1:3" s="184" customFormat="1" ht="19.5" customHeight="1">
      <c r="A36" s="181">
        <v>30</v>
      </c>
      <c r="B36" s="182" t="s">
        <v>70</v>
      </c>
      <c r="C36" s="183">
        <f>'DT trinh GD'!AK125</f>
        <v>61</v>
      </c>
    </row>
    <row r="37" spans="1:3" s="184" customFormat="1" ht="19.5" customHeight="1">
      <c r="A37" s="181">
        <v>31</v>
      </c>
      <c r="B37" s="182" t="s">
        <v>71</v>
      </c>
      <c r="C37" s="183">
        <f>'DT trinh GD'!AK126</f>
        <v>118</v>
      </c>
    </row>
    <row r="38" spans="1:3" s="184" customFormat="1" ht="19.5" customHeight="1">
      <c r="A38" s="181">
        <v>32</v>
      </c>
      <c r="B38" s="182" t="s">
        <v>72</v>
      </c>
      <c r="C38" s="183">
        <f>'DT trinh GD'!AK127</f>
        <v>68</v>
      </c>
    </row>
    <row r="39" spans="1:3" s="184" customFormat="1" ht="19.5" customHeight="1">
      <c r="A39" s="181">
        <v>33</v>
      </c>
      <c r="B39" s="182" t="s">
        <v>73</v>
      </c>
      <c r="C39" s="183">
        <f>'DT trinh GD'!AK128</f>
        <v>100</v>
      </c>
    </row>
    <row r="40" spans="1:3" s="104" customFormat="1" ht="19.5" customHeight="1">
      <c r="A40" s="181">
        <v>34</v>
      </c>
      <c r="B40" s="186" t="s">
        <v>113</v>
      </c>
      <c r="C40" s="187">
        <f>'DT trinh GD'!AK129</f>
        <v>45</v>
      </c>
    </row>
    <row r="41" spans="1:3" s="180" customFormat="1" ht="19.5" customHeight="1">
      <c r="A41" s="178"/>
      <c r="B41" s="179" t="s">
        <v>74</v>
      </c>
      <c r="C41" s="196">
        <f>SUM(C42:C44)</f>
        <v>1852</v>
      </c>
    </row>
    <row r="42" spans="1:3" s="104" customFormat="1" ht="19.5" customHeight="1">
      <c r="A42" s="185">
        <v>35</v>
      </c>
      <c r="B42" s="188" t="s">
        <v>75</v>
      </c>
      <c r="C42" s="187">
        <f>'DT trinh GD'!AK131</f>
        <v>509</v>
      </c>
    </row>
    <row r="43" spans="1:3" s="104" customFormat="1" ht="19.5" customHeight="1">
      <c r="A43" s="185">
        <v>36</v>
      </c>
      <c r="B43" s="188" t="s">
        <v>110</v>
      </c>
      <c r="C43" s="187">
        <v>1343</v>
      </c>
    </row>
    <row r="44" spans="1:3" s="104" customFormat="1" ht="19.5" customHeight="1">
      <c r="A44" s="185"/>
      <c r="B44" s="188"/>
      <c r="C44" s="187"/>
    </row>
    <row r="45" spans="1:3" ht="19.5" customHeight="1">
      <c r="A45" s="192">
        <v>38</v>
      </c>
      <c r="B45" s="193" t="s">
        <v>296</v>
      </c>
      <c r="C45" s="194">
        <v>25</v>
      </c>
    </row>
    <row r="46" spans="1:3" s="180" customFormat="1" ht="19.5" customHeight="1">
      <c r="A46" s="189"/>
      <c r="B46" s="190" t="str">
        <f>'DT trinh GD'!B173</f>
        <v xml:space="preserve">Tổng cộng </v>
      </c>
      <c r="C46" s="197">
        <f>C7+C8+C9+C10+C11+C12+C13+C14+C15+C16+C17+C18+C19+C20+C21+C22+C23+C24+C25+C26+C27+C28+C29+C41+C45</f>
        <v>71388</v>
      </c>
    </row>
    <row r="47" spans="1:3" ht="18.75" customHeight="1"/>
    <row r="48" spans="1:3" ht="18" customHeight="1">
      <c r="B48" s="25"/>
      <c r="C48" s="103"/>
    </row>
    <row r="49" spans="1:3" ht="18" customHeight="1">
      <c r="B49" s="191"/>
      <c r="C49" s="103"/>
    </row>
    <row r="50" spans="1:3" ht="18" customHeight="1">
      <c r="B50" s="191"/>
      <c r="C50" s="103"/>
    </row>
    <row r="51" spans="1:3" ht="18" customHeight="1"/>
    <row r="56" spans="1:3">
      <c r="A56" s="26"/>
      <c r="C56" s="26"/>
    </row>
    <row r="57" spans="1:3">
      <c r="A57" s="26"/>
      <c r="C57" s="26"/>
    </row>
    <row r="58" spans="1:3">
      <c r="A58" s="26"/>
      <c r="C58" s="26"/>
    </row>
    <row r="59" spans="1:3">
      <c r="A59" s="26"/>
      <c r="C59" s="26"/>
    </row>
    <row r="60" spans="1:3">
      <c r="A60" s="26"/>
      <c r="C60" s="26"/>
    </row>
    <row r="61" spans="1:3">
      <c r="A61" s="26"/>
      <c r="C61" s="26"/>
    </row>
    <row r="62" spans="1:3">
      <c r="A62" s="26"/>
      <c r="C62" s="26"/>
    </row>
    <row r="63" spans="1:3">
      <c r="A63" s="26"/>
      <c r="C63" s="26"/>
    </row>
    <row r="64" spans="1:3">
      <c r="A64" s="26"/>
      <c r="C64" s="26"/>
    </row>
    <row r="65" spans="1:3">
      <c r="A65" s="26"/>
      <c r="C65" s="26"/>
    </row>
    <row r="66" spans="1:3">
      <c r="A66" s="26"/>
      <c r="C66" s="26"/>
    </row>
    <row r="67" spans="1:3">
      <c r="A67" s="26"/>
      <c r="C67" s="26"/>
    </row>
    <row r="68" spans="1:3">
      <c r="A68" s="26"/>
      <c r="C68" s="26"/>
    </row>
    <row r="69" spans="1:3">
      <c r="A69" s="26"/>
      <c r="C69" s="26"/>
    </row>
    <row r="70" spans="1:3">
      <c r="A70" s="26"/>
      <c r="C70" s="26"/>
    </row>
    <row r="71" spans="1:3">
      <c r="A71" s="26"/>
      <c r="C71" s="26"/>
    </row>
    <row r="72" spans="1:3">
      <c r="A72" s="26"/>
      <c r="C72" s="26"/>
    </row>
    <row r="73" spans="1:3">
      <c r="A73" s="26"/>
      <c r="C73" s="26"/>
    </row>
    <row r="74" spans="1:3">
      <c r="A74" s="26"/>
      <c r="C74" s="26"/>
    </row>
    <row r="75" spans="1:3">
      <c r="A75" s="26"/>
      <c r="C75" s="26"/>
    </row>
    <row r="76" spans="1:3">
      <c r="A76" s="26"/>
      <c r="C76" s="26"/>
    </row>
    <row r="77" spans="1:3">
      <c r="A77" s="26"/>
      <c r="C77" s="26"/>
    </row>
    <row r="78" spans="1:3">
      <c r="A78" s="26"/>
      <c r="C78" s="26"/>
    </row>
    <row r="79" spans="1:3">
      <c r="A79" s="26"/>
      <c r="C79" s="26"/>
    </row>
    <row r="80" spans="1:3">
      <c r="A80" s="26"/>
      <c r="C80" s="26"/>
    </row>
    <row r="81" spans="1:3">
      <c r="A81" s="26"/>
      <c r="C81" s="26"/>
    </row>
    <row r="82" spans="1:3">
      <c r="A82" s="26"/>
      <c r="C82" s="26"/>
    </row>
    <row r="83" spans="1:3">
      <c r="A83" s="26"/>
      <c r="C83" s="26"/>
    </row>
    <row r="84" spans="1:3">
      <c r="A84" s="26"/>
      <c r="C84" s="26"/>
    </row>
    <row r="85" spans="1:3">
      <c r="A85" s="26"/>
      <c r="C85" s="26"/>
    </row>
    <row r="86" spans="1:3">
      <c r="A86" s="26"/>
      <c r="C86" s="26"/>
    </row>
    <row r="87" spans="1:3">
      <c r="A87" s="26"/>
      <c r="C87" s="26"/>
    </row>
    <row r="88" spans="1:3">
      <c r="A88" s="26"/>
      <c r="C88" s="26"/>
    </row>
    <row r="89" spans="1:3">
      <c r="A89" s="26"/>
      <c r="C89" s="26"/>
    </row>
    <row r="90" spans="1:3">
      <c r="A90" s="26"/>
      <c r="C90" s="26"/>
    </row>
    <row r="91" spans="1:3">
      <c r="A91" s="26"/>
      <c r="C91" s="26"/>
    </row>
    <row r="92" spans="1:3">
      <c r="A92" s="26"/>
      <c r="C92" s="26"/>
    </row>
    <row r="93" spans="1:3">
      <c r="A93" s="26"/>
      <c r="C93" s="26"/>
    </row>
    <row r="94" spans="1:3">
      <c r="A94" s="26"/>
      <c r="C94" s="26"/>
    </row>
    <row r="95" spans="1:3">
      <c r="A95" s="26"/>
      <c r="C95" s="26"/>
    </row>
    <row r="96" spans="1:3">
      <c r="A96" s="26"/>
      <c r="C96" s="26"/>
    </row>
    <row r="97" spans="1:3">
      <c r="A97" s="26"/>
      <c r="C97" s="26"/>
    </row>
    <row r="98" spans="1:3">
      <c r="A98" s="26"/>
      <c r="C98" s="26"/>
    </row>
    <row r="99" spans="1:3">
      <c r="A99" s="26"/>
      <c r="C99" s="26"/>
    </row>
    <row r="100" spans="1:3">
      <c r="A100" s="26"/>
      <c r="C100" s="26"/>
    </row>
    <row r="101" spans="1:3">
      <c r="A101" s="26"/>
      <c r="C101" s="26"/>
    </row>
    <row r="102" spans="1:3">
      <c r="A102" s="26"/>
      <c r="C102" s="26"/>
    </row>
    <row r="103" spans="1:3">
      <c r="A103" s="26"/>
      <c r="C103" s="26"/>
    </row>
    <row r="104" spans="1:3">
      <c r="A104" s="26"/>
      <c r="C104" s="26"/>
    </row>
    <row r="105" spans="1:3">
      <c r="A105" s="26"/>
      <c r="C105" s="26"/>
    </row>
    <row r="106" spans="1:3">
      <c r="A106" s="26"/>
      <c r="C106" s="26"/>
    </row>
    <row r="107" spans="1:3">
      <c r="A107" s="26"/>
      <c r="C107" s="26"/>
    </row>
    <row r="108" spans="1:3">
      <c r="A108" s="26"/>
      <c r="C108" s="26"/>
    </row>
    <row r="109" spans="1:3">
      <c r="A109" s="26"/>
      <c r="C109" s="26"/>
    </row>
    <row r="110" spans="1:3">
      <c r="A110" s="26"/>
      <c r="C110" s="26"/>
    </row>
    <row r="111" spans="1:3">
      <c r="A111" s="26"/>
      <c r="C111" s="26"/>
    </row>
    <row r="112" spans="1:3">
      <c r="A112" s="26"/>
      <c r="C112" s="26"/>
    </row>
    <row r="113" spans="1:3">
      <c r="A113" s="26"/>
      <c r="C113" s="26"/>
    </row>
    <row r="114" spans="1:3">
      <c r="A114" s="26"/>
      <c r="C114" s="26"/>
    </row>
    <row r="115" spans="1:3">
      <c r="A115" s="26"/>
      <c r="C115" s="26"/>
    </row>
    <row r="116" spans="1:3">
      <c r="A116" s="26"/>
      <c r="C116" s="26"/>
    </row>
    <row r="117" spans="1:3">
      <c r="A117" s="26"/>
      <c r="C117" s="26"/>
    </row>
    <row r="118" spans="1:3">
      <c r="A118" s="26"/>
      <c r="C118" s="26"/>
    </row>
    <row r="119" spans="1:3">
      <c r="A119" s="26"/>
      <c r="C119" s="26"/>
    </row>
    <row r="120" spans="1:3">
      <c r="A120" s="26"/>
      <c r="C120" s="26"/>
    </row>
    <row r="121" spans="1:3">
      <c r="A121" s="26"/>
      <c r="C121" s="26"/>
    </row>
    <row r="122" spans="1:3">
      <c r="A122" s="26"/>
      <c r="C122" s="26"/>
    </row>
    <row r="123" spans="1:3">
      <c r="A123" s="26"/>
      <c r="C123" s="26"/>
    </row>
    <row r="124" spans="1:3">
      <c r="A124" s="26"/>
      <c r="C124" s="26"/>
    </row>
    <row r="125" spans="1:3">
      <c r="A125" s="26"/>
      <c r="C125" s="26"/>
    </row>
    <row r="126" spans="1:3">
      <c r="A126" s="26"/>
      <c r="C126" s="26"/>
    </row>
    <row r="127" spans="1:3">
      <c r="A127" s="26"/>
      <c r="C127" s="26"/>
    </row>
    <row r="128" spans="1:3">
      <c r="A128" s="26"/>
      <c r="C128" s="26"/>
    </row>
    <row r="129" spans="1:3">
      <c r="A129" s="26"/>
      <c r="C129" s="26"/>
    </row>
    <row r="130" spans="1:3">
      <c r="A130" s="26"/>
      <c r="C130" s="26"/>
    </row>
    <row r="131" spans="1:3">
      <c r="A131" s="26"/>
      <c r="C131" s="26"/>
    </row>
    <row r="132" spans="1:3">
      <c r="A132" s="26"/>
      <c r="C132" s="26"/>
    </row>
    <row r="133" spans="1:3">
      <c r="A133" s="26"/>
      <c r="C133" s="26"/>
    </row>
    <row r="134" spans="1:3">
      <c r="A134" s="26"/>
      <c r="C134" s="26"/>
    </row>
    <row r="135" spans="1:3">
      <c r="A135" s="26"/>
      <c r="C135" s="26"/>
    </row>
    <row r="136" spans="1:3">
      <c r="A136" s="26"/>
      <c r="C136" s="26"/>
    </row>
    <row r="137" spans="1:3">
      <c r="A137" s="26"/>
      <c r="C137" s="26"/>
    </row>
    <row r="138" spans="1:3">
      <c r="A138" s="26"/>
      <c r="C138" s="26"/>
    </row>
    <row r="139" spans="1:3">
      <c r="A139" s="26"/>
      <c r="C139" s="26"/>
    </row>
    <row r="140" spans="1:3">
      <c r="A140" s="26"/>
      <c r="C140" s="26"/>
    </row>
    <row r="141" spans="1:3">
      <c r="A141" s="26"/>
      <c r="C141" s="26"/>
    </row>
    <row r="142" spans="1:3">
      <c r="A142" s="26"/>
      <c r="C142" s="26"/>
    </row>
    <row r="143" spans="1:3">
      <c r="A143" s="26"/>
      <c r="C143" s="26"/>
    </row>
    <row r="144" spans="1:3">
      <c r="A144" s="26"/>
      <c r="C144" s="26"/>
    </row>
    <row r="145" spans="1:3">
      <c r="A145" s="26"/>
      <c r="C145" s="26"/>
    </row>
    <row r="146" spans="1:3">
      <c r="A146" s="26"/>
      <c r="C146" s="26"/>
    </row>
    <row r="147" spans="1:3">
      <c r="A147" s="26"/>
      <c r="C147" s="26"/>
    </row>
    <row r="148" spans="1:3">
      <c r="A148" s="26"/>
      <c r="C148" s="26"/>
    </row>
    <row r="149" spans="1:3">
      <c r="A149" s="26"/>
      <c r="C149" s="26"/>
    </row>
    <row r="150" spans="1:3">
      <c r="A150" s="26"/>
      <c r="C150" s="26"/>
    </row>
    <row r="151" spans="1:3">
      <c r="A151" s="26"/>
      <c r="C151" s="26"/>
    </row>
    <row r="152" spans="1:3">
      <c r="A152" s="26"/>
      <c r="C152" s="26"/>
    </row>
    <row r="153" spans="1:3">
      <c r="A153" s="26"/>
      <c r="C153" s="26"/>
    </row>
    <row r="154" spans="1:3">
      <c r="A154" s="26"/>
      <c r="C154" s="26"/>
    </row>
    <row r="155" spans="1:3">
      <c r="A155" s="26"/>
      <c r="C155" s="26"/>
    </row>
    <row r="156" spans="1:3">
      <c r="A156" s="26"/>
      <c r="C156" s="26"/>
    </row>
    <row r="157" spans="1:3">
      <c r="A157" s="26"/>
      <c r="C157" s="26"/>
    </row>
    <row r="158" spans="1:3">
      <c r="A158" s="26"/>
      <c r="C158" s="26"/>
    </row>
    <row r="159" spans="1:3">
      <c r="A159" s="26"/>
      <c r="C159" s="26"/>
    </row>
    <row r="160" spans="1:3">
      <c r="A160" s="26"/>
      <c r="C160" s="26"/>
    </row>
    <row r="161" spans="1:3">
      <c r="A161" s="26"/>
      <c r="C161" s="26"/>
    </row>
    <row r="162" spans="1:3">
      <c r="A162" s="26"/>
      <c r="C162" s="26"/>
    </row>
    <row r="163" spans="1:3">
      <c r="A163" s="26"/>
      <c r="C163" s="26"/>
    </row>
    <row r="164" spans="1:3">
      <c r="A164" s="26"/>
      <c r="C164" s="26"/>
    </row>
    <row r="165" spans="1:3">
      <c r="A165" s="26"/>
      <c r="C165" s="26"/>
    </row>
    <row r="166" spans="1:3">
      <c r="A166" s="26"/>
      <c r="C166" s="26"/>
    </row>
    <row r="167" spans="1:3">
      <c r="A167" s="26"/>
      <c r="C167" s="26"/>
    </row>
    <row r="168" spans="1:3">
      <c r="A168" s="26"/>
      <c r="C168" s="26"/>
    </row>
    <row r="169" spans="1:3">
      <c r="A169" s="26"/>
      <c r="C169" s="26"/>
    </row>
    <row r="170" spans="1:3">
      <c r="A170" s="26"/>
      <c r="C170" s="26"/>
    </row>
    <row r="171" spans="1:3">
      <c r="A171" s="26"/>
      <c r="C171" s="26"/>
    </row>
    <row r="172" spans="1:3">
      <c r="A172" s="26"/>
      <c r="C172" s="26"/>
    </row>
    <row r="173" spans="1:3">
      <c r="A173" s="26"/>
      <c r="C173" s="26"/>
    </row>
    <row r="174" spans="1:3">
      <c r="A174" s="26"/>
      <c r="C174" s="26"/>
    </row>
    <row r="175" spans="1:3">
      <c r="A175" s="26"/>
      <c r="C175" s="26"/>
    </row>
    <row r="176" spans="1:3">
      <c r="A176" s="26"/>
      <c r="C176" s="26"/>
    </row>
    <row r="177" spans="1:3">
      <c r="A177" s="26"/>
      <c r="C177" s="26"/>
    </row>
    <row r="178" spans="1:3">
      <c r="A178" s="26"/>
      <c r="C178" s="26"/>
    </row>
    <row r="179" spans="1:3">
      <c r="A179" s="26"/>
      <c r="C179" s="26"/>
    </row>
    <row r="180" spans="1:3">
      <c r="A180" s="26"/>
      <c r="C180" s="26"/>
    </row>
    <row r="181" spans="1:3">
      <c r="A181" s="26"/>
      <c r="C181" s="26"/>
    </row>
    <row r="182" spans="1:3">
      <c r="A182" s="26"/>
      <c r="C182" s="26"/>
    </row>
    <row r="183" spans="1:3">
      <c r="A183" s="26"/>
      <c r="C183" s="26"/>
    </row>
    <row r="184" spans="1:3">
      <c r="A184" s="26"/>
      <c r="C184" s="26"/>
    </row>
    <row r="185" spans="1:3">
      <c r="A185" s="26"/>
      <c r="C185" s="26"/>
    </row>
    <row r="186" spans="1:3">
      <c r="A186" s="26"/>
      <c r="C186" s="26"/>
    </row>
    <row r="187" spans="1:3">
      <c r="A187" s="26"/>
      <c r="C187" s="26"/>
    </row>
    <row r="188" spans="1:3">
      <c r="A188" s="26"/>
      <c r="C188" s="26"/>
    </row>
    <row r="189" spans="1:3">
      <c r="A189" s="26"/>
      <c r="C189" s="26"/>
    </row>
    <row r="190" spans="1:3">
      <c r="A190" s="26"/>
      <c r="C190" s="26"/>
    </row>
    <row r="191" spans="1:3">
      <c r="A191" s="26"/>
      <c r="C191" s="26"/>
    </row>
    <row r="192" spans="1:3">
      <c r="A192" s="26"/>
      <c r="C192" s="26"/>
    </row>
    <row r="197" spans="1:3">
      <c r="A197" s="26"/>
      <c r="C197" s="26"/>
    </row>
    <row r="198" spans="1:3">
      <c r="A198" s="26"/>
      <c r="C198" s="26"/>
    </row>
  </sheetData>
  <mergeCells count="5">
    <mergeCell ref="A2:C2"/>
    <mergeCell ref="C4:C6"/>
    <mergeCell ref="B4:B6"/>
    <mergeCell ref="A3:B3"/>
    <mergeCell ref="A4:A6"/>
  </mergeCells>
  <pageMargins left="0.70866141732283472" right="0.70866141732283472" top="0.74803149606299213" bottom="0.74803149606299213" header="0.31496062992125984" footer="0.31496062992125984"/>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Formulas="1" workbookViewId="0">
      <selection activeCell="C1" sqref="C1"/>
    </sheetView>
  </sheetViews>
  <sheetFormatPr defaultColWidth="7.08984375" defaultRowHeight="13.2"/>
  <cols>
    <col min="1" max="1" width="23.1796875" style="2" customWidth="1"/>
    <col min="2" max="2" width="1" style="2" customWidth="1"/>
    <col min="3" max="3" width="25" style="2" customWidth="1"/>
    <col min="4" max="16384" width="7.08984375" style="2"/>
  </cols>
  <sheetData>
    <row r="1" spans="1:3" ht="15">
      <c r="A1" t="s">
        <v>21</v>
      </c>
    </row>
    <row r="2" spans="1:3" ht="13.8" thickBot="1">
      <c r="A2" s="1" t="s">
        <v>20</v>
      </c>
    </row>
    <row r="3" spans="1:3" ht="13.8" thickBot="1">
      <c r="A3" s="3" t="s">
        <v>9</v>
      </c>
      <c r="C3" s="4" t="s">
        <v>10</v>
      </c>
    </row>
    <row r="4" spans="1:3">
      <c r="A4" s="3" t="e">
        <v>#REF!</v>
      </c>
    </row>
    <row r="6" spans="1:3" ht="13.8" thickBot="1"/>
    <row r="7" spans="1:3">
      <c r="A7" s="5" t="s">
        <v>11</v>
      </c>
    </row>
    <row r="8" spans="1:3">
      <c r="A8" s="6" t="s">
        <v>12</v>
      </c>
    </row>
    <row r="9" spans="1:3">
      <c r="A9" s="7" t="s">
        <v>13</v>
      </c>
    </row>
    <row r="10" spans="1:3">
      <c r="A10" s="6" t="s">
        <v>14</v>
      </c>
    </row>
    <row r="11" spans="1:3" ht="13.8" thickBot="1">
      <c r="A11" s="8" t="s">
        <v>15</v>
      </c>
    </row>
    <row r="13" spans="1:3" ht="13.8" thickBot="1"/>
    <row r="14" spans="1:3" ht="13.8" thickBot="1">
      <c r="A14" s="4" t="s">
        <v>16</v>
      </c>
    </row>
    <row r="16" spans="1:3" ht="13.8" thickBot="1"/>
    <row r="17" spans="1:3" ht="13.8" thickBot="1">
      <c r="C17" s="4" t="s">
        <v>17</v>
      </c>
    </row>
    <row r="20" spans="1:3">
      <c r="A20" s="9" t="s">
        <v>18</v>
      </c>
    </row>
    <row r="26" spans="1:3" ht="13.8" thickBot="1">
      <c r="C26" s="10" t="s">
        <v>19</v>
      </c>
    </row>
  </sheetData>
  <sheetProtection password="8863" sheet="1" objects="1"/>
  <phoneticPr fontId="1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Formulas="1" workbookViewId="0">
      <selection activeCell="C1" sqref="C1"/>
    </sheetView>
  </sheetViews>
  <sheetFormatPr defaultColWidth="7.08984375" defaultRowHeight="13.2"/>
  <cols>
    <col min="1" max="1" width="23.1796875" style="2" customWidth="1"/>
    <col min="2" max="2" width="1" style="2" customWidth="1"/>
    <col min="3" max="3" width="25" style="2" customWidth="1"/>
    <col min="4" max="16384" width="7.08984375" style="2"/>
  </cols>
  <sheetData>
    <row r="1" spans="1:3" ht="15">
      <c r="A1" t="s">
        <v>21</v>
      </c>
    </row>
    <row r="2" spans="1:3" ht="13.8" thickBot="1">
      <c r="A2" s="1" t="s">
        <v>22</v>
      </c>
    </row>
    <row r="3" spans="1:3" ht="13.8" thickBot="1">
      <c r="A3" s="3" t="s">
        <v>9</v>
      </c>
      <c r="C3" s="4" t="s">
        <v>10</v>
      </c>
    </row>
    <row r="4" spans="1:3">
      <c r="A4" s="3" t="e">
        <v>#N/A</v>
      </c>
    </row>
    <row r="6" spans="1:3" ht="13.8" thickBot="1"/>
    <row r="7" spans="1:3">
      <c r="A7" s="5" t="s">
        <v>11</v>
      </c>
    </row>
    <row r="8" spans="1:3">
      <c r="A8" s="6" t="s">
        <v>12</v>
      </c>
    </row>
    <row r="9" spans="1:3">
      <c r="A9" s="7" t="s">
        <v>13</v>
      </c>
    </row>
    <row r="10" spans="1:3">
      <c r="A10" s="6" t="s">
        <v>14</v>
      </c>
    </row>
    <row r="11" spans="1:3" ht="13.8" thickBot="1">
      <c r="A11" s="8" t="s">
        <v>15</v>
      </c>
    </row>
    <row r="13" spans="1:3" ht="13.8" thickBot="1"/>
    <row r="14" spans="1:3" ht="13.8" thickBot="1">
      <c r="A14" s="4" t="s">
        <v>16</v>
      </c>
    </row>
    <row r="16" spans="1:3" ht="13.8" thickBot="1"/>
    <row r="17" spans="1:3" ht="13.8" thickBot="1">
      <c r="C17" s="4" t="s">
        <v>17</v>
      </c>
    </row>
    <row r="20" spans="1:3">
      <c r="A20" s="9" t="s">
        <v>18</v>
      </c>
    </row>
    <row r="26" spans="1:3" ht="13.8" thickBot="1">
      <c r="C26" s="10" t="s">
        <v>19</v>
      </c>
    </row>
  </sheetData>
  <sheetProtection password="8863" sheet="1" objects="1"/>
  <phoneticPr fontId="1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showZeros="0" tabSelected="1" zoomScaleNormal="100" workbookViewId="0">
      <selection activeCell="A3" sqref="A3:C3"/>
    </sheetView>
  </sheetViews>
  <sheetFormatPr defaultColWidth="7" defaultRowHeight="16.8"/>
  <cols>
    <col min="1" max="1" width="4.54296875" style="242" customWidth="1"/>
    <col min="2" max="2" width="55.1796875" style="243" customWidth="1"/>
    <col min="3" max="3" width="14.36328125" style="243" customWidth="1"/>
    <col min="4" max="16384" width="7" style="243"/>
  </cols>
  <sheetData>
    <row r="1" spans="1:3">
      <c r="A1" s="332"/>
      <c r="B1" s="333"/>
      <c r="C1" s="283" t="s">
        <v>307</v>
      </c>
    </row>
    <row r="2" spans="1:3" ht="30" customHeight="1">
      <c r="A2" s="571" t="s">
        <v>308</v>
      </c>
      <c r="B2" s="571"/>
      <c r="C2" s="571"/>
    </row>
    <row r="3" spans="1:3" ht="30" customHeight="1">
      <c r="A3" s="572" t="s">
        <v>607</v>
      </c>
      <c r="B3" s="572"/>
      <c r="C3" s="572"/>
    </row>
    <row r="4" spans="1:3" ht="27.75" customHeight="1">
      <c r="A4" s="332"/>
      <c r="B4" s="333"/>
      <c r="C4" s="244" t="s">
        <v>306</v>
      </c>
    </row>
    <row r="5" spans="1:3" ht="16.5" customHeight="1">
      <c r="A5" s="573" t="s">
        <v>217</v>
      </c>
      <c r="B5" s="573" t="s">
        <v>310</v>
      </c>
      <c r="C5" s="575" t="s">
        <v>311</v>
      </c>
    </row>
    <row r="6" spans="1:3" ht="20.25" customHeight="1">
      <c r="A6" s="574"/>
      <c r="B6" s="574"/>
      <c r="C6" s="576"/>
    </row>
    <row r="7" spans="1:3" s="333" customFormat="1" ht="20.25" customHeight="1">
      <c r="A7" s="245" t="s">
        <v>312</v>
      </c>
      <c r="B7" s="245" t="s">
        <v>313</v>
      </c>
      <c r="C7" s="245"/>
    </row>
    <row r="8" spans="1:3" s="375" customFormat="1" ht="21.75" customHeight="1">
      <c r="A8" s="251" t="s">
        <v>314</v>
      </c>
      <c r="B8" s="377" t="s">
        <v>315</v>
      </c>
      <c r="C8" s="252">
        <f>C9+C10+C11+C15+C20+C21</f>
        <v>7902488</v>
      </c>
    </row>
    <row r="9" spans="1:3" s="333" customFormat="1" ht="21.75" customHeight="1">
      <c r="A9" s="249">
        <v>1</v>
      </c>
      <c r="B9" s="378" t="s">
        <v>316</v>
      </c>
      <c r="C9" s="247">
        <v>6335000</v>
      </c>
    </row>
    <row r="10" spans="1:3" s="333" customFormat="1" ht="21.75" customHeight="1">
      <c r="A10" s="249">
        <v>2</v>
      </c>
      <c r="B10" s="378" t="s">
        <v>317</v>
      </c>
      <c r="C10" s="247">
        <v>100520</v>
      </c>
    </row>
    <row r="11" spans="1:3" s="333" customFormat="1" ht="21.75" customHeight="1">
      <c r="A11" s="249">
        <v>3</v>
      </c>
      <c r="B11" s="378" t="s">
        <v>318</v>
      </c>
      <c r="C11" s="247">
        <f>SUM(C12:C14)</f>
        <v>676486</v>
      </c>
    </row>
    <row r="12" spans="1:3" s="244" customFormat="1" ht="21.75" customHeight="1">
      <c r="A12" s="248"/>
      <c r="B12" s="379" t="s">
        <v>319</v>
      </c>
      <c r="C12" s="246">
        <f>253500+72554+48+75000</f>
        <v>401102</v>
      </c>
    </row>
    <row r="13" spans="1:3" s="244" customFormat="1" ht="21.75" customHeight="1">
      <c r="A13" s="248"/>
      <c r="B13" s="379" t="s">
        <v>320</v>
      </c>
      <c r="C13" s="246">
        <v>35553</v>
      </c>
    </row>
    <row r="14" spans="1:3" s="244" customFormat="1" ht="21.75" customHeight="1">
      <c r="A14" s="248"/>
      <c r="B14" s="358" t="s">
        <v>321</v>
      </c>
      <c r="C14" s="246">
        <f>11700+75300+152831</f>
        <v>239831</v>
      </c>
    </row>
    <row r="15" spans="1:3" s="333" customFormat="1" ht="21.75" customHeight="1">
      <c r="A15" s="249">
        <v>4</v>
      </c>
      <c r="B15" s="380" t="s">
        <v>322</v>
      </c>
      <c r="C15" s="247">
        <f>SUM(C16:C19)</f>
        <v>147082</v>
      </c>
    </row>
    <row r="16" spans="1:3" s="244" customFormat="1" ht="35.25" customHeight="1">
      <c r="A16" s="248"/>
      <c r="B16" s="381" t="s">
        <v>546</v>
      </c>
      <c r="C16" s="246">
        <v>517</v>
      </c>
    </row>
    <row r="17" spans="1:3" s="244" customFormat="1" ht="33.6">
      <c r="A17" s="248"/>
      <c r="B17" s="381" t="s">
        <v>323</v>
      </c>
      <c r="C17" s="246">
        <v>132563</v>
      </c>
    </row>
    <row r="18" spans="1:3" s="244" customFormat="1" ht="21.75" customHeight="1">
      <c r="A18" s="248"/>
      <c r="B18" s="381" t="s">
        <v>324</v>
      </c>
      <c r="C18" s="246">
        <v>12000</v>
      </c>
    </row>
    <row r="19" spans="1:3" s="244" customFormat="1" ht="21.75" customHeight="1">
      <c r="A19" s="248"/>
      <c r="B19" s="381" t="s">
        <v>325</v>
      </c>
      <c r="C19" s="246">
        <v>2002</v>
      </c>
    </row>
    <row r="20" spans="1:3" s="244" customFormat="1" ht="21.75" customHeight="1">
      <c r="A20" s="249">
        <v>5</v>
      </c>
      <c r="B20" s="382" t="s">
        <v>326</v>
      </c>
      <c r="C20" s="247">
        <v>640000</v>
      </c>
    </row>
    <row r="21" spans="1:3" s="244" customFormat="1" ht="21.75" customHeight="1">
      <c r="A21" s="249">
        <v>6</v>
      </c>
      <c r="B21" s="382" t="s">
        <v>327</v>
      </c>
      <c r="C21" s="247">
        <v>3400</v>
      </c>
    </row>
    <row r="22" spans="1:3" s="375" customFormat="1" ht="21.75" customHeight="1">
      <c r="A22" s="251" t="s">
        <v>328</v>
      </c>
      <c r="B22" s="377" t="s">
        <v>329</v>
      </c>
      <c r="C22" s="252">
        <f>C23+C24+C25+C26+C49</f>
        <v>7050744</v>
      </c>
    </row>
    <row r="23" spans="1:3" s="333" customFormat="1" ht="21.75" customHeight="1">
      <c r="A23" s="249">
        <v>1</v>
      </c>
      <c r="B23" s="378" t="s">
        <v>330</v>
      </c>
      <c r="C23" s="247">
        <v>3227001</v>
      </c>
    </row>
    <row r="24" spans="1:3" s="333" customFormat="1" ht="21.75" customHeight="1">
      <c r="A24" s="249">
        <v>2</v>
      </c>
      <c r="B24" s="378" t="s">
        <v>331</v>
      </c>
      <c r="C24" s="247">
        <v>64500</v>
      </c>
    </row>
    <row r="25" spans="1:3" s="333" customFormat="1" ht="21.75" customHeight="1">
      <c r="A25" s="249">
        <v>3</v>
      </c>
      <c r="B25" s="378" t="s">
        <v>332</v>
      </c>
      <c r="C25" s="247">
        <v>1329899</v>
      </c>
    </row>
    <row r="26" spans="1:3" s="333" customFormat="1" ht="21.75" customHeight="1">
      <c r="A26" s="249">
        <v>4</v>
      </c>
      <c r="B26" s="378" t="s">
        <v>333</v>
      </c>
      <c r="C26" s="250">
        <f t="shared" ref="C26" si="0">C27+C30+C40</f>
        <v>2426776</v>
      </c>
    </row>
    <row r="27" spans="1:3" s="333" customFormat="1" ht="21.75" customHeight="1">
      <c r="A27" s="249" t="s">
        <v>334</v>
      </c>
      <c r="B27" s="378" t="s">
        <v>335</v>
      </c>
      <c r="C27" s="250">
        <f>C28+C29</f>
        <v>1840993</v>
      </c>
    </row>
    <row r="28" spans="1:3" s="244" customFormat="1" ht="21.75" customHeight="1">
      <c r="A28" s="248" t="s">
        <v>336</v>
      </c>
      <c r="B28" s="379" t="s">
        <v>337</v>
      </c>
      <c r="C28" s="246">
        <v>780000</v>
      </c>
    </row>
    <row r="29" spans="1:3" s="244" customFormat="1" ht="21.75" customHeight="1">
      <c r="A29" s="248" t="s">
        <v>336</v>
      </c>
      <c r="B29" s="379" t="s">
        <v>338</v>
      </c>
      <c r="C29" s="246">
        <v>1060993</v>
      </c>
    </row>
    <row r="30" spans="1:3" s="333" customFormat="1" ht="23.25" customHeight="1">
      <c r="A30" s="249" t="s">
        <v>339</v>
      </c>
      <c r="B30" s="380" t="s">
        <v>340</v>
      </c>
      <c r="C30" s="250">
        <f>SUM(C31:C39)</f>
        <v>412665</v>
      </c>
    </row>
    <row r="31" spans="1:3" s="244" customFormat="1" ht="23.25" customHeight="1">
      <c r="A31" s="248" t="s">
        <v>336</v>
      </c>
      <c r="B31" s="383" t="s">
        <v>341</v>
      </c>
      <c r="C31" s="376">
        <v>483</v>
      </c>
    </row>
    <row r="32" spans="1:3" s="244" customFormat="1" ht="23.25" customHeight="1">
      <c r="A32" s="248" t="s">
        <v>336</v>
      </c>
      <c r="B32" s="383" t="s">
        <v>342</v>
      </c>
      <c r="C32" s="376">
        <v>200</v>
      </c>
    </row>
    <row r="33" spans="1:3" s="244" customFormat="1" ht="23.25" customHeight="1">
      <c r="A33" s="248" t="s">
        <v>336</v>
      </c>
      <c r="B33" s="383" t="s">
        <v>343</v>
      </c>
      <c r="C33" s="376">
        <v>294383</v>
      </c>
    </row>
    <row r="34" spans="1:3" s="244" customFormat="1" ht="23.25" customHeight="1">
      <c r="A34" s="248" t="s">
        <v>336</v>
      </c>
      <c r="B34" s="383" t="s">
        <v>344</v>
      </c>
      <c r="C34" s="376">
        <v>32273</v>
      </c>
    </row>
    <row r="35" spans="1:3" s="244" customFormat="1" ht="23.25" customHeight="1">
      <c r="A35" s="248" t="s">
        <v>336</v>
      </c>
      <c r="B35" s="358" t="s">
        <v>345</v>
      </c>
      <c r="C35" s="376">
        <v>29000</v>
      </c>
    </row>
    <row r="36" spans="1:3" s="244" customFormat="1" ht="23.25" customHeight="1">
      <c r="A36" s="248" t="s">
        <v>336</v>
      </c>
      <c r="B36" s="358" t="s">
        <v>346</v>
      </c>
      <c r="C36" s="376">
        <v>5851</v>
      </c>
    </row>
    <row r="37" spans="1:3" s="244" customFormat="1" ht="23.25" customHeight="1">
      <c r="A37" s="248" t="s">
        <v>336</v>
      </c>
      <c r="B37" s="358" t="s">
        <v>135</v>
      </c>
      <c r="C37" s="376">
        <v>420</v>
      </c>
    </row>
    <row r="38" spans="1:3" s="244" customFormat="1" ht="23.25" customHeight="1">
      <c r="A38" s="248" t="s">
        <v>336</v>
      </c>
      <c r="B38" s="358" t="s">
        <v>347</v>
      </c>
      <c r="C38" s="376">
        <v>50055</v>
      </c>
    </row>
    <row r="39" spans="1:3" s="244" customFormat="1" ht="23.25" customHeight="1">
      <c r="A39" s="248" t="s">
        <v>336</v>
      </c>
      <c r="B39" s="358" t="s">
        <v>348</v>
      </c>
      <c r="C39" s="376"/>
    </row>
    <row r="40" spans="1:3" s="333" customFormat="1" ht="23.25" customHeight="1">
      <c r="A40" s="249" t="s">
        <v>349</v>
      </c>
      <c r="B40" s="380" t="s">
        <v>350</v>
      </c>
      <c r="C40" s="250">
        <f t="shared" ref="C40" si="1">C41+C45</f>
        <v>173118</v>
      </c>
    </row>
    <row r="41" spans="1:3" s="333" customFormat="1" ht="23.25" customHeight="1">
      <c r="A41" s="249" t="s">
        <v>336</v>
      </c>
      <c r="B41" s="380" t="s">
        <v>351</v>
      </c>
      <c r="C41" s="250">
        <f t="shared" ref="C41" si="2">C42+C43+C44</f>
        <v>140365</v>
      </c>
    </row>
    <row r="42" spans="1:3" s="244" customFormat="1" ht="23.25" customHeight="1">
      <c r="A42" s="248"/>
      <c r="B42" s="384" t="s">
        <v>352</v>
      </c>
      <c r="C42" s="246">
        <v>2457</v>
      </c>
    </row>
    <row r="43" spans="1:3" s="244" customFormat="1" ht="23.25" customHeight="1">
      <c r="A43" s="248"/>
      <c r="B43" s="384" t="s">
        <v>353</v>
      </c>
      <c r="C43" s="246">
        <v>10038</v>
      </c>
    </row>
    <row r="44" spans="1:3" s="244" customFormat="1" ht="23.25" customHeight="1">
      <c r="A44" s="248"/>
      <c r="B44" s="384" t="s">
        <v>354</v>
      </c>
      <c r="C44" s="246">
        <v>127870</v>
      </c>
    </row>
    <row r="45" spans="1:3" s="333" customFormat="1" ht="23.25" customHeight="1">
      <c r="A45" s="249" t="s">
        <v>336</v>
      </c>
      <c r="B45" s="380" t="s">
        <v>355</v>
      </c>
      <c r="C45" s="250">
        <f t="shared" ref="C45" si="3">C46+C47+C48</f>
        <v>32753</v>
      </c>
    </row>
    <row r="46" spans="1:3" s="244" customFormat="1" ht="23.25" customHeight="1">
      <c r="A46" s="248"/>
      <c r="B46" s="384" t="s">
        <v>352</v>
      </c>
      <c r="C46" s="246"/>
    </row>
    <row r="47" spans="1:3" s="244" customFormat="1" ht="23.25" customHeight="1">
      <c r="A47" s="248"/>
      <c r="B47" s="384" t="s">
        <v>353</v>
      </c>
      <c r="C47" s="246"/>
    </row>
    <row r="48" spans="1:3" s="244" customFormat="1" ht="23.25" customHeight="1">
      <c r="A48" s="248"/>
      <c r="B48" s="384" t="s">
        <v>354</v>
      </c>
      <c r="C48" s="246">
        <v>32753</v>
      </c>
    </row>
    <row r="49" spans="1:3" s="333" customFormat="1" ht="43.5" customHeight="1">
      <c r="A49" s="249">
        <v>5</v>
      </c>
      <c r="B49" s="382" t="s">
        <v>356</v>
      </c>
      <c r="C49" s="247">
        <f>3795-1056-171</f>
        <v>2568</v>
      </c>
    </row>
    <row r="50" spans="1:3" s="375" customFormat="1" ht="22.5" customHeight="1">
      <c r="A50" s="251" t="s">
        <v>357</v>
      </c>
      <c r="B50" s="377" t="s">
        <v>358</v>
      </c>
      <c r="C50" s="252">
        <v>638300</v>
      </c>
    </row>
    <row r="51" spans="1:3" s="375" customFormat="1" ht="22.5" customHeight="1">
      <c r="A51" s="251"/>
      <c r="B51" s="251" t="s">
        <v>29</v>
      </c>
      <c r="C51" s="252">
        <f>C8+C22+C50</f>
        <v>15591532</v>
      </c>
    </row>
  </sheetData>
  <mergeCells count="5">
    <mergeCell ref="A2:C2"/>
    <mergeCell ref="A3:C3"/>
    <mergeCell ref="A5:A6"/>
    <mergeCell ref="B5:B6"/>
    <mergeCell ref="C5:C6"/>
  </mergeCells>
  <printOptions horizontalCentered="1"/>
  <pageMargins left="0.59055118110236227" right="0" top="0.78740157480314965" bottom="0.59055118110236227" header="0" footer="0"/>
  <pageSetup paperSize="9" orientation="portrait" horizontalDpi="300" verticalDpi="300" r:id="rId1"/>
  <headerFooter differentFirst="1">
    <oddHeader>&amp;C&amp;"Times New Roman,Regular"&amp;12&amp;P</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Zeros="0" zoomScaleNormal="100" workbookViewId="0">
      <selection activeCell="B14" sqref="B14"/>
    </sheetView>
  </sheetViews>
  <sheetFormatPr defaultColWidth="8.90625" defaultRowHeight="18"/>
  <cols>
    <col min="1" max="1" width="5.36328125" style="253" customWidth="1"/>
    <col min="2" max="2" width="41.1796875" style="253" customWidth="1"/>
    <col min="3" max="5" width="12.08984375" style="253" customWidth="1"/>
    <col min="6" max="16384" width="8.90625" style="253"/>
  </cols>
  <sheetData>
    <row r="1" spans="1:5" s="263" customFormat="1" ht="16.8">
      <c r="E1" s="283" t="s">
        <v>409</v>
      </c>
    </row>
    <row r="2" spans="1:5" s="263" customFormat="1" ht="16.8">
      <c r="A2" s="577" t="s">
        <v>359</v>
      </c>
      <c r="B2" s="577"/>
      <c r="C2" s="577"/>
      <c r="D2" s="577"/>
      <c r="E2" s="577"/>
    </row>
    <row r="3" spans="1:5" s="263" customFormat="1" ht="24.75" customHeight="1">
      <c r="A3" s="578" t="str">
        <f>'Bieu so 01'!A3:C3</f>
        <v>(Kèm theo Quyết định số 2603/QĐ-UBND ngày 16/12/2024 của Ủy ban nhân dân tỉnh)</v>
      </c>
      <c r="B3" s="578"/>
      <c r="C3" s="578"/>
      <c r="D3" s="578"/>
      <c r="E3" s="578"/>
    </row>
    <row r="4" spans="1:5" s="263" customFormat="1" ht="10.5" customHeight="1">
      <c r="A4" s="367"/>
      <c r="B4" s="367"/>
      <c r="C4" s="367"/>
      <c r="D4" s="367"/>
      <c r="E4" s="367"/>
    </row>
    <row r="5" spans="1:5" s="263" customFormat="1" ht="29.25" customHeight="1">
      <c r="B5" s="285"/>
      <c r="D5" s="579" t="s">
        <v>306</v>
      </c>
      <c r="E5" s="579"/>
    </row>
    <row r="6" spans="1:5" s="257" customFormat="1" ht="23.25" customHeight="1">
      <c r="A6" s="580" t="s">
        <v>309</v>
      </c>
      <c r="B6" s="582" t="s">
        <v>360</v>
      </c>
      <c r="C6" s="584" t="s">
        <v>361</v>
      </c>
      <c r="D6" s="584"/>
      <c r="E6" s="584"/>
    </row>
    <row r="7" spans="1:5" s="257" customFormat="1" ht="23.25" customHeight="1">
      <c r="A7" s="581"/>
      <c r="B7" s="583"/>
      <c r="C7" s="369" t="s">
        <v>29</v>
      </c>
      <c r="D7" s="369" t="s">
        <v>362</v>
      </c>
      <c r="E7" s="370" t="s">
        <v>286</v>
      </c>
    </row>
    <row r="8" spans="1:5" s="257" customFormat="1" ht="31.5" customHeight="1">
      <c r="A8" s="368" t="s">
        <v>312</v>
      </c>
      <c r="B8" s="259" t="s">
        <v>363</v>
      </c>
      <c r="C8" s="260">
        <f>C9+C56</f>
        <v>6868000</v>
      </c>
      <c r="D8" s="260">
        <f>D9+D56</f>
        <v>5518500</v>
      </c>
      <c r="E8" s="260">
        <f>E9+E56</f>
        <v>1349500</v>
      </c>
    </row>
    <row r="9" spans="1:5" s="263" customFormat="1" ht="31.5" customHeight="1">
      <c r="A9" s="370" t="s">
        <v>314</v>
      </c>
      <c r="B9" s="261" t="s">
        <v>364</v>
      </c>
      <c r="C9" s="262">
        <f>C10+C19+C24+C29+C31+C34+C35+C41+C42+C44+C45+C46+C47+C48+C54+C55</f>
        <v>6732000</v>
      </c>
      <c r="D9" s="262">
        <f>D10+D19+D24+D29+D31+D34+D35+D41+D42+D44+D45+D46+D47+D48+D54+D55</f>
        <v>5382500</v>
      </c>
      <c r="E9" s="262">
        <f>E10+E19+E24+E29+E31+E34+E35+E41+E42+E44+E45+E46+E47+E48+E54+E55</f>
        <v>1349500</v>
      </c>
    </row>
    <row r="10" spans="1:5" s="263" customFormat="1" ht="31.5" customHeight="1">
      <c r="A10" s="370">
        <v>1</v>
      </c>
      <c r="B10" s="264" t="s">
        <v>365</v>
      </c>
      <c r="C10" s="262">
        <f>C11+C15</f>
        <v>388000</v>
      </c>
      <c r="D10" s="262">
        <v>377500</v>
      </c>
      <c r="E10" s="262">
        <v>10500</v>
      </c>
    </row>
    <row r="11" spans="1:5" s="263" customFormat="1" ht="31.5" customHeight="1">
      <c r="A11" s="370" t="s">
        <v>334</v>
      </c>
      <c r="B11" s="264" t="s">
        <v>366</v>
      </c>
      <c r="C11" s="262">
        <f>D11+E11</f>
        <v>188000</v>
      </c>
      <c r="D11" s="262">
        <f>D12+D13+D14</f>
        <v>183000</v>
      </c>
      <c r="E11" s="262">
        <f t="shared" ref="E11" si="0">E12+E13+E14</f>
        <v>5000</v>
      </c>
    </row>
    <row r="12" spans="1:5" s="263" customFormat="1" ht="31.5" customHeight="1">
      <c r="A12" s="265"/>
      <c r="B12" s="266" t="s">
        <v>367</v>
      </c>
      <c r="C12" s="267">
        <f>D12+E12</f>
        <v>108000</v>
      </c>
      <c r="D12" s="267">
        <v>103000</v>
      </c>
      <c r="E12" s="267">
        <v>5000</v>
      </c>
    </row>
    <row r="13" spans="1:5" s="263" customFormat="1" ht="31.5" customHeight="1">
      <c r="A13" s="265"/>
      <c r="B13" s="266" t="s">
        <v>368</v>
      </c>
      <c r="C13" s="267">
        <f t="shared" ref="C13:C14" si="1">D13+E13</f>
        <v>48000</v>
      </c>
      <c r="D13" s="267">
        <v>48000</v>
      </c>
      <c r="E13" s="267">
        <v>0</v>
      </c>
    </row>
    <row r="14" spans="1:5" s="263" customFormat="1" ht="31.5" customHeight="1">
      <c r="A14" s="370"/>
      <c r="B14" s="266" t="s">
        <v>369</v>
      </c>
      <c r="C14" s="267">
        <f t="shared" si="1"/>
        <v>32000</v>
      </c>
      <c r="D14" s="267">
        <v>32000</v>
      </c>
      <c r="E14" s="267">
        <v>0</v>
      </c>
    </row>
    <row r="15" spans="1:5" s="263" customFormat="1" ht="31.5" customHeight="1">
      <c r="A15" s="370" t="s">
        <v>339</v>
      </c>
      <c r="B15" s="264" t="s">
        <v>370</v>
      </c>
      <c r="C15" s="262">
        <f>SUM(C16:C18)</f>
        <v>200000</v>
      </c>
      <c r="D15" s="262">
        <f t="shared" ref="D15:E15" si="2">SUM(D16:D18)</f>
        <v>194500</v>
      </c>
      <c r="E15" s="262">
        <f t="shared" si="2"/>
        <v>5500</v>
      </c>
    </row>
    <row r="16" spans="1:5" s="263" customFormat="1" ht="31.5" customHeight="1">
      <c r="A16" s="265"/>
      <c r="B16" s="266" t="s">
        <v>367</v>
      </c>
      <c r="C16" s="267">
        <f>D16+E16</f>
        <v>66000</v>
      </c>
      <c r="D16" s="267">
        <v>63900</v>
      </c>
      <c r="E16" s="267">
        <v>2100</v>
      </c>
    </row>
    <row r="17" spans="1:5" s="268" customFormat="1" ht="31.5" customHeight="1">
      <c r="A17" s="370"/>
      <c r="B17" s="266" t="s">
        <v>369</v>
      </c>
      <c r="C17" s="267">
        <f t="shared" ref="C17:C18" si="3">D17+E17</f>
        <v>131000</v>
      </c>
      <c r="D17" s="267">
        <v>127600</v>
      </c>
      <c r="E17" s="267">
        <v>3400</v>
      </c>
    </row>
    <row r="18" spans="1:5" s="263" customFormat="1" ht="31.5" customHeight="1">
      <c r="A18" s="370"/>
      <c r="B18" s="266" t="s">
        <v>371</v>
      </c>
      <c r="C18" s="267">
        <f t="shared" si="3"/>
        <v>3000</v>
      </c>
      <c r="D18" s="267">
        <v>3000</v>
      </c>
      <c r="E18" s="267">
        <v>0</v>
      </c>
    </row>
    <row r="19" spans="1:5" s="263" customFormat="1" ht="31.5" customHeight="1">
      <c r="A19" s="370">
        <v>2</v>
      </c>
      <c r="B19" s="269" t="s">
        <v>372</v>
      </c>
      <c r="C19" s="262">
        <f>D19</f>
        <v>480000</v>
      </c>
      <c r="D19" s="262">
        <v>480000</v>
      </c>
      <c r="E19" s="262">
        <v>0</v>
      </c>
    </row>
    <row r="20" spans="1:5" s="263" customFormat="1" ht="31.5" customHeight="1">
      <c r="A20" s="265"/>
      <c r="B20" s="266" t="s">
        <v>367</v>
      </c>
      <c r="C20" s="267">
        <f>D20</f>
        <v>95000</v>
      </c>
      <c r="D20" s="267">
        <v>95000</v>
      </c>
      <c r="E20" s="267"/>
    </row>
    <row r="21" spans="1:5" s="263" customFormat="1" ht="31.5" customHeight="1">
      <c r="A21" s="265"/>
      <c r="B21" s="266" t="s">
        <v>368</v>
      </c>
      <c r="C21" s="267">
        <f t="shared" ref="C21:C23" si="4">D21</f>
        <v>0</v>
      </c>
      <c r="D21" s="267">
        <v>0</v>
      </c>
      <c r="E21" s="267"/>
    </row>
    <row r="22" spans="1:5" s="263" customFormat="1" ht="31.5" customHeight="1">
      <c r="A22" s="370"/>
      <c r="B22" s="266" t="s">
        <v>369</v>
      </c>
      <c r="C22" s="267">
        <f t="shared" si="4"/>
        <v>385000</v>
      </c>
      <c r="D22" s="267">
        <v>385000</v>
      </c>
      <c r="E22" s="267"/>
    </row>
    <row r="23" spans="1:5" s="273" customFormat="1" ht="31.5" customHeight="1">
      <c r="A23" s="270"/>
      <c r="B23" s="271" t="s">
        <v>373</v>
      </c>
      <c r="C23" s="272">
        <f t="shared" si="4"/>
        <v>30000</v>
      </c>
      <c r="D23" s="272">
        <v>30000</v>
      </c>
      <c r="E23" s="272"/>
    </row>
    <row r="24" spans="1:5" s="263" customFormat="1" ht="31.5" customHeight="1">
      <c r="A24" s="370">
        <v>3</v>
      </c>
      <c r="B24" s="264" t="s">
        <v>374</v>
      </c>
      <c r="C24" s="262">
        <f>SUM(C25:C28)</f>
        <v>1380000</v>
      </c>
      <c r="D24" s="262">
        <f t="shared" ref="D24:E24" si="5">SUM(D25:D28)</f>
        <v>960100</v>
      </c>
      <c r="E24" s="262">
        <f t="shared" si="5"/>
        <v>419900</v>
      </c>
    </row>
    <row r="25" spans="1:5" s="263" customFormat="1" ht="31.5" customHeight="1">
      <c r="A25" s="265"/>
      <c r="B25" s="266" t="s">
        <v>367</v>
      </c>
      <c r="C25" s="267">
        <f>D25+E25</f>
        <v>663000</v>
      </c>
      <c r="D25" s="267">
        <v>317200</v>
      </c>
      <c r="E25" s="267">
        <v>345800</v>
      </c>
    </row>
    <row r="26" spans="1:5" s="263" customFormat="1" ht="31.5" customHeight="1">
      <c r="A26" s="265"/>
      <c r="B26" s="266" t="s">
        <v>368</v>
      </c>
      <c r="C26" s="267">
        <f t="shared" ref="C26:C28" si="6">D26+E26</f>
        <v>450000</v>
      </c>
      <c r="D26" s="267">
        <v>448600</v>
      </c>
      <c r="E26" s="267">
        <v>1400</v>
      </c>
    </row>
    <row r="27" spans="1:5" s="263" customFormat="1" ht="31.5" customHeight="1">
      <c r="A27" s="370"/>
      <c r="B27" s="266" t="s">
        <v>369</v>
      </c>
      <c r="C27" s="267">
        <f t="shared" si="6"/>
        <v>260000</v>
      </c>
      <c r="D27" s="267">
        <v>190500</v>
      </c>
      <c r="E27" s="267">
        <v>69500</v>
      </c>
    </row>
    <row r="28" spans="1:5" s="263" customFormat="1" ht="31.5" customHeight="1">
      <c r="A28" s="370"/>
      <c r="B28" s="266" t="s">
        <v>371</v>
      </c>
      <c r="C28" s="267">
        <f t="shared" si="6"/>
        <v>7000</v>
      </c>
      <c r="D28" s="267">
        <v>3800</v>
      </c>
      <c r="E28" s="267">
        <v>3200</v>
      </c>
    </row>
    <row r="29" spans="1:5" s="263" customFormat="1" ht="31.5" customHeight="1">
      <c r="A29" s="370">
        <v>4</v>
      </c>
      <c r="B29" s="274" t="s">
        <v>375</v>
      </c>
      <c r="C29" s="262">
        <v>635000</v>
      </c>
      <c r="D29" s="262">
        <v>415300</v>
      </c>
      <c r="E29" s="262">
        <v>219700</v>
      </c>
    </row>
    <row r="30" spans="1:5" s="263" customFormat="1" ht="31.5" customHeight="1">
      <c r="A30" s="265"/>
      <c r="B30" s="275" t="s">
        <v>376</v>
      </c>
      <c r="C30" s="267">
        <f>D30+E30</f>
        <v>108000</v>
      </c>
      <c r="D30" s="267">
        <v>58000</v>
      </c>
      <c r="E30" s="267">
        <v>50000</v>
      </c>
    </row>
    <row r="31" spans="1:5" s="263" customFormat="1" ht="30" customHeight="1">
      <c r="A31" s="370">
        <v>5</v>
      </c>
      <c r="B31" s="274" t="s">
        <v>377</v>
      </c>
      <c r="C31" s="262">
        <f>C32+C33</f>
        <v>685000</v>
      </c>
      <c r="D31" s="262">
        <f>D32+D33</f>
        <v>685000</v>
      </c>
      <c r="E31" s="262">
        <v>0</v>
      </c>
    </row>
    <row r="32" spans="1:5" s="263" customFormat="1" ht="30" customHeight="1">
      <c r="A32" s="265"/>
      <c r="B32" s="276" t="s">
        <v>378</v>
      </c>
      <c r="C32" s="267">
        <f>D32</f>
        <v>274000</v>
      </c>
      <c r="D32" s="267">
        <v>274000</v>
      </c>
      <c r="E32" s="267"/>
    </row>
    <row r="33" spans="1:5" s="263" customFormat="1" ht="30" customHeight="1">
      <c r="A33" s="265"/>
      <c r="B33" s="276" t="s">
        <v>379</v>
      </c>
      <c r="C33" s="267">
        <f>D33</f>
        <v>411000</v>
      </c>
      <c r="D33" s="267">
        <v>411000</v>
      </c>
      <c r="E33" s="267"/>
    </row>
    <row r="34" spans="1:5" s="263" customFormat="1" ht="30" customHeight="1">
      <c r="A34" s="370">
        <v>6</v>
      </c>
      <c r="B34" s="274" t="s">
        <v>380</v>
      </c>
      <c r="C34" s="262">
        <v>190500</v>
      </c>
      <c r="D34" s="262">
        <v>0</v>
      </c>
      <c r="E34" s="262">
        <v>190500</v>
      </c>
    </row>
    <row r="35" spans="1:5" s="263" customFormat="1" ht="30" customHeight="1">
      <c r="A35" s="370">
        <v>7</v>
      </c>
      <c r="B35" s="274" t="s">
        <v>381</v>
      </c>
      <c r="C35" s="262">
        <v>89000</v>
      </c>
      <c r="D35" s="262">
        <f>D36+D37</f>
        <v>41634</v>
      </c>
      <c r="E35" s="262">
        <f>E36+E37</f>
        <v>47366</v>
      </c>
    </row>
    <row r="36" spans="1:5" s="263" customFormat="1" ht="30" customHeight="1">
      <c r="A36" s="265"/>
      <c r="B36" s="276" t="s">
        <v>382</v>
      </c>
      <c r="C36" s="267">
        <f>D36+E36</f>
        <v>28000</v>
      </c>
      <c r="D36" s="267">
        <v>7600</v>
      </c>
      <c r="E36" s="267">
        <v>20400</v>
      </c>
    </row>
    <row r="37" spans="1:5" s="263" customFormat="1" ht="30" customHeight="1">
      <c r="A37" s="265"/>
      <c r="B37" s="276" t="s">
        <v>383</v>
      </c>
      <c r="C37" s="267">
        <f>D37+E37</f>
        <v>61000</v>
      </c>
      <c r="D37" s="267">
        <v>34034</v>
      </c>
      <c r="E37" s="267">
        <v>26966</v>
      </c>
    </row>
    <row r="38" spans="1:5" s="263" customFormat="1" ht="30" customHeight="1">
      <c r="A38" s="265"/>
      <c r="B38" s="277" t="s">
        <v>384</v>
      </c>
      <c r="C38" s="267">
        <f>D38+E38</f>
        <v>5300</v>
      </c>
      <c r="D38" s="267">
        <v>4300</v>
      </c>
      <c r="E38" s="267">
        <v>1000</v>
      </c>
    </row>
    <row r="39" spans="1:5" s="263" customFormat="1" ht="30" customHeight="1">
      <c r="A39" s="265"/>
      <c r="B39" s="277" t="s">
        <v>385</v>
      </c>
      <c r="C39" s="267">
        <f>D39+E39</f>
        <v>14700</v>
      </c>
      <c r="D39" s="267">
        <v>11700</v>
      </c>
      <c r="E39" s="267">
        <v>3000</v>
      </c>
    </row>
    <row r="40" spans="1:5" s="263" customFormat="1" ht="30" customHeight="1">
      <c r="A40" s="265"/>
      <c r="B40" s="277" t="s">
        <v>386</v>
      </c>
      <c r="C40" s="267">
        <f>D40+E40</f>
        <v>14600</v>
      </c>
      <c r="D40" s="267">
        <v>1650</v>
      </c>
      <c r="E40" s="267">
        <v>12950</v>
      </c>
    </row>
    <row r="41" spans="1:5" s="263" customFormat="1" ht="30" customHeight="1">
      <c r="A41" s="370">
        <v>8</v>
      </c>
      <c r="B41" s="274" t="s">
        <v>387</v>
      </c>
      <c r="C41" s="262">
        <v>9000</v>
      </c>
      <c r="D41" s="262">
        <v>0</v>
      </c>
      <c r="E41" s="262">
        <v>9000</v>
      </c>
    </row>
    <row r="42" spans="1:5" s="263" customFormat="1" ht="30" customHeight="1">
      <c r="A42" s="370">
        <v>9</v>
      </c>
      <c r="B42" s="274" t="s">
        <v>388</v>
      </c>
      <c r="C42" s="262">
        <v>65000</v>
      </c>
      <c r="D42" s="262">
        <v>63460</v>
      </c>
      <c r="E42" s="262">
        <v>1540</v>
      </c>
    </row>
    <row r="43" spans="1:5" s="273" customFormat="1" ht="33.6">
      <c r="A43" s="278"/>
      <c r="B43" s="286" t="s">
        <v>389</v>
      </c>
      <c r="C43" s="272">
        <f>D43</f>
        <v>29000</v>
      </c>
      <c r="D43" s="272">
        <v>29000</v>
      </c>
      <c r="E43" s="272"/>
    </row>
    <row r="44" spans="1:5" s="263" customFormat="1" ht="30" customHeight="1">
      <c r="A44" s="370">
        <v>10</v>
      </c>
      <c r="B44" s="274" t="s">
        <v>390</v>
      </c>
      <c r="C44" s="262">
        <v>480000</v>
      </c>
      <c r="D44" s="262">
        <v>109000</v>
      </c>
      <c r="E44" s="262">
        <v>371000</v>
      </c>
    </row>
    <row r="45" spans="1:5" s="263" customFormat="1" ht="30" customHeight="1">
      <c r="A45" s="370">
        <v>11</v>
      </c>
      <c r="B45" s="274" t="s">
        <v>391</v>
      </c>
      <c r="C45" s="262">
        <v>2000</v>
      </c>
      <c r="D45" s="262">
        <v>2000</v>
      </c>
      <c r="E45" s="262">
        <v>0</v>
      </c>
    </row>
    <row r="46" spans="1:5" s="263" customFormat="1" ht="30" customHeight="1">
      <c r="A46" s="370">
        <v>12</v>
      </c>
      <c r="B46" s="274" t="s">
        <v>392</v>
      </c>
      <c r="C46" s="262">
        <v>2140000</v>
      </c>
      <c r="D46" s="262">
        <v>2140000</v>
      </c>
      <c r="E46" s="262">
        <v>0</v>
      </c>
    </row>
    <row r="47" spans="1:5" s="263" customFormat="1" ht="36" customHeight="1">
      <c r="A47" s="370">
        <v>13</v>
      </c>
      <c r="B47" s="279" t="s">
        <v>393</v>
      </c>
      <c r="C47" s="262">
        <v>500</v>
      </c>
      <c r="D47" s="262">
        <v>406</v>
      </c>
      <c r="E47" s="262">
        <v>94</v>
      </c>
    </row>
    <row r="48" spans="1:5" s="263" customFormat="1" ht="27.75" customHeight="1">
      <c r="A48" s="370">
        <v>14</v>
      </c>
      <c r="B48" s="274" t="s">
        <v>394</v>
      </c>
      <c r="C48" s="262">
        <f>D48+E48</f>
        <v>163000</v>
      </c>
      <c r="D48" s="262">
        <f>D49+D52</f>
        <v>83500</v>
      </c>
      <c r="E48" s="262">
        <f>E49+E52</f>
        <v>79500</v>
      </c>
    </row>
    <row r="49" spans="1:5" s="263" customFormat="1" ht="27.75" customHeight="1">
      <c r="A49" s="265"/>
      <c r="B49" s="276" t="s">
        <v>395</v>
      </c>
      <c r="C49" s="267">
        <f>D49+E49</f>
        <v>65000</v>
      </c>
      <c r="D49" s="267">
        <v>27100</v>
      </c>
      <c r="E49" s="267">
        <v>37900</v>
      </c>
    </row>
    <row r="50" spans="1:5" s="263" customFormat="1" ht="27.75" customHeight="1">
      <c r="A50" s="265"/>
      <c r="B50" s="276" t="s">
        <v>396</v>
      </c>
      <c r="C50" s="267">
        <f t="shared" ref="C50:C53" si="7">D50+E50</f>
        <v>53200</v>
      </c>
      <c r="D50" s="267">
        <v>21200</v>
      </c>
      <c r="E50" s="267">
        <v>32000</v>
      </c>
    </row>
    <row r="51" spans="1:5" s="263" customFormat="1" ht="27.75" customHeight="1">
      <c r="A51" s="265"/>
      <c r="B51" s="276" t="s">
        <v>397</v>
      </c>
      <c r="C51" s="267">
        <f t="shared" si="7"/>
        <v>9600</v>
      </c>
      <c r="D51" s="267">
        <v>5600</v>
      </c>
      <c r="E51" s="267">
        <v>4000</v>
      </c>
    </row>
    <row r="52" spans="1:5" s="263" customFormat="1" ht="27.75" customHeight="1">
      <c r="A52" s="265"/>
      <c r="B52" s="280" t="s">
        <v>398</v>
      </c>
      <c r="C52" s="267">
        <f t="shared" si="7"/>
        <v>98000</v>
      </c>
      <c r="D52" s="267">
        <v>56400</v>
      </c>
      <c r="E52" s="267">
        <v>41600</v>
      </c>
    </row>
    <row r="53" spans="1:5" s="263" customFormat="1" ht="27.75" customHeight="1">
      <c r="A53" s="265"/>
      <c r="B53" s="280" t="s">
        <v>399</v>
      </c>
      <c r="C53" s="267">
        <f t="shared" si="7"/>
        <v>11500</v>
      </c>
      <c r="D53" s="267">
        <v>8400</v>
      </c>
      <c r="E53" s="267">
        <v>3100</v>
      </c>
    </row>
    <row r="54" spans="1:5" s="263" customFormat="1" ht="35.25" customHeight="1">
      <c r="A54" s="370">
        <v>15</v>
      </c>
      <c r="B54" s="279" t="s">
        <v>400</v>
      </c>
      <c r="C54" s="262">
        <v>1000</v>
      </c>
      <c r="D54" s="262">
        <v>600</v>
      </c>
      <c r="E54" s="262">
        <v>400</v>
      </c>
    </row>
    <row r="55" spans="1:5" s="263" customFormat="1" ht="35.25" customHeight="1">
      <c r="A55" s="370">
        <v>16</v>
      </c>
      <c r="B55" s="279" t="s">
        <v>401</v>
      </c>
      <c r="C55" s="262">
        <v>24000</v>
      </c>
      <c r="D55" s="262">
        <v>24000</v>
      </c>
      <c r="E55" s="262">
        <v>0</v>
      </c>
    </row>
    <row r="56" spans="1:5" s="288" customFormat="1" ht="25.5" customHeight="1">
      <c r="A56" s="370" t="s">
        <v>328</v>
      </c>
      <c r="B56" s="287" t="s">
        <v>402</v>
      </c>
      <c r="C56" s="287">
        <f>C57+C58+C59</f>
        <v>136000</v>
      </c>
      <c r="D56" s="287">
        <f>D57+D58+D59</f>
        <v>136000</v>
      </c>
      <c r="E56" s="287"/>
    </row>
    <row r="57" spans="1:5" s="263" customFormat="1" ht="25.5" customHeight="1">
      <c r="A57" s="265">
        <v>1</v>
      </c>
      <c r="B57" s="281" t="s">
        <v>403</v>
      </c>
      <c r="C57" s="289">
        <f>D57+E57</f>
        <v>87000</v>
      </c>
      <c r="D57" s="289">
        <v>87000</v>
      </c>
      <c r="E57" s="289"/>
    </row>
    <row r="58" spans="1:5" s="263" customFormat="1" ht="25.5" customHeight="1">
      <c r="A58" s="265">
        <v>2</v>
      </c>
      <c r="B58" s="281" t="s">
        <v>404</v>
      </c>
      <c r="C58" s="289">
        <f t="shared" ref="C58:C59" si="8">D58+E58</f>
        <v>48700</v>
      </c>
      <c r="D58" s="289">
        <v>48700</v>
      </c>
      <c r="E58" s="289"/>
    </row>
    <row r="59" spans="1:5" s="263" customFormat="1" ht="25.5" customHeight="1">
      <c r="A59" s="265">
        <v>3</v>
      </c>
      <c r="B59" s="281" t="s">
        <v>405</v>
      </c>
      <c r="C59" s="289">
        <f t="shared" si="8"/>
        <v>300</v>
      </c>
      <c r="D59" s="289">
        <v>300</v>
      </c>
      <c r="E59" s="289"/>
    </row>
    <row r="60" spans="1:5" s="263" customFormat="1" ht="33.6">
      <c r="A60" s="370" t="s">
        <v>313</v>
      </c>
      <c r="B60" s="290" t="s">
        <v>406</v>
      </c>
      <c r="C60" s="282">
        <f t="shared" ref="C60:E60" si="9">C61+C62</f>
        <v>6335000</v>
      </c>
      <c r="D60" s="282">
        <f t="shared" si="9"/>
        <v>5057400</v>
      </c>
      <c r="E60" s="282">
        <f t="shared" si="9"/>
        <v>1277600</v>
      </c>
    </row>
    <row r="61" spans="1:5" s="288" customFormat="1" ht="30" customHeight="1">
      <c r="A61" s="370" t="s">
        <v>314</v>
      </c>
      <c r="B61" s="291" t="s">
        <v>407</v>
      </c>
      <c r="C61" s="287">
        <f>D61+E61</f>
        <v>3081000</v>
      </c>
      <c r="D61" s="287">
        <f>D18+D28+D34+D37+D41+D42+D44+D45+D46+D47+D52+D54+D55+E53</f>
        <v>2439800</v>
      </c>
      <c r="E61" s="287">
        <f>E18+E28+E34+E37+E41+E42+E44+E45+E46+E47+E52+E54+E55-E53</f>
        <v>641200</v>
      </c>
    </row>
    <row r="62" spans="1:5" s="288" customFormat="1" ht="30" customHeight="1">
      <c r="A62" s="370" t="s">
        <v>328</v>
      </c>
      <c r="B62" s="291" t="s">
        <v>408</v>
      </c>
      <c r="C62" s="287">
        <f>D62+E62</f>
        <v>3254000</v>
      </c>
      <c r="D62" s="287">
        <f>D10+E10-D18+D19-D23+D24-D28+D29+D31-D32</f>
        <v>2617600</v>
      </c>
      <c r="E62" s="287">
        <f>E24-E28+E29</f>
        <v>636400</v>
      </c>
    </row>
  </sheetData>
  <mergeCells count="6">
    <mergeCell ref="A2:E2"/>
    <mergeCell ref="A3:E3"/>
    <mergeCell ref="D5:E5"/>
    <mergeCell ref="A6:A7"/>
    <mergeCell ref="B6:B7"/>
    <mergeCell ref="C6:E6"/>
  </mergeCells>
  <pageMargins left="0.27559055118110237" right="0" top="0.78740157480314965" bottom="0.78740157480314965" header="0" footer="0"/>
  <pageSetup paperSize="9" fitToHeight="0" orientation="portrait" r:id="rId1"/>
  <headerFooter differentFirst="1" scaleWithDoc="0" alignWithMargins="0">
    <oddHeader>&amp;C&amp;"Times New Roman,Regular"&amp;P</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Zeros="0" topLeftCell="A19" workbookViewId="0">
      <selection activeCell="B29" sqref="B29"/>
    </sheetView>
  </sheetViews>
  <sheetFormatPr defaultColWidth="8.90625" defaultRowHeight="16.8"/>
  <cols>
    <col min="1" max="1" width="3.54296875" style="254" bestFit="1" customWidth="1"/>
    <col min="2" max="2" width="43.1796875" style="255" customWidth="1"/>
    <col min="3" max="3" width="13.81640625" style="256" customWidth="1"/>
    <col min="4" max="4" width="12.6328125" style="256" customWidth="1"/>
    <col min="5" max="5" width="11.36328125" style="256" customWidth="1"/>
    <col min="6" max="16384" width="8.90625" style="256"/>
  </cols>
  <sheetData>
    <row r="1" spans="1:5">
      <c r="E1" s="385" t="s">
        <v>410</v>
      </c>
    </row>
    <row r="2" spans="1:5" ht="36.75" customHeight="1">
      <c r="A2" s="585" t="s">
        <v>411</v>
      </c>
      <c r="B2" s="585"/>
      <c r="C2" s="585"/>
      <c r="D2" s="585"/>
      <c r="E2" s="585"/>
    </row>
    <row r="3" spans="1:5" ht="21" customHeight="1">
      <c r="A3" s="586" t="str">
        <f>'Bieu so 01'!$A$3:$C$3</f>
        <v>(Kèm theo Quyết định số 2603/QĐ-UBND ngày 16/12/2024 của Ủy ban nhân dân tỉnh)</v>
      </c>
      <c r="B3" s="586"/>
      <c r="C3" s="586"/>
      <c r="D3" s="586"/>
      <c r="E3" s="586"/>
    </row>
    <row r="4" spans="1:5" ht="17.25" customHeight="1">
      <c r="A4" s="371"/>
      <c r="B4" s="371"/>
      <c r="C4" s="371"/>
      <c r="D4" s="371"/>
      <c r="E4" s="371"/>
    </row>
    <row r="5" spans="1:5" ht="29.25" customHeight="1">
      <c r="D5" s="587" t="s">
        <v>306</v>
      </c>
      <c r="E5" s="587"/>
    </row>
    <row r="6" spans="1:5" s="296" customFormat="1" ht="24.75" customHeight="1">
      <c r="A6" s="588" t="s">
        <v>309</v>
      </c>
      <c r="B6" s="589" t="s">
        <v>360</v>
      </c>
      <c r="C6" s="589" t="s">
        <v>361</v>
      </c>
      <c r="D6" s="589"/>
      <c r="E6" s="589"/>
    </row>
    <row r="7" spans="1:5" s="297" customFormat="1" ht="24.75" customHeight="1">
      <c r="A7" s="588"/>
      <c r="B7" s="589"/>
      <c r="C7" s="372" t="s">
        <v>29</v>
      </c>
      <c r="D7" s="372" t="s">
        <v>362</v>
      </c>
      <c r="E7" s="372" t="s">
        <v>286</v>
      </c>
    </row>
    <row r="8" spans="1:5" s="298" customFormat="1" ht="26.25" customHeight="1">
      <c r="A8" s="373" t="s">
        <v>312</v>
      </c>
      <c r="B8" s="356" t="s">
        <v>412</v>
      </c>
      <c r="C8" s="334">
        <f>C9+C32</f>
        <v>15579832</v>
      </c>
      <c r="D8" s="334">
        <f>D9+D32</f>
        <v>9734823</v>
      </c>
      <c r="E8" s="334">
        <f>E9+E32</f>
        <v>5845009</v>
      </c>
    </row>
    <row r="9" spans="1:5" s="298" customFormat="1" ht="26.25" customHeight="1">
      <c r="A9" s="373" t="s">
        <v>314</v>
      </c>
      <c r="B9" s="356" t="s">
        <v>413</v>
      </c>
      <c r="C9" s="334">
        <f>C10+C25+C29+C30+C31</f>
        <v>13153056</v>
      </c>
      <c r="D9" s="334">
        <f>D10+D25+D29+D30+D31</f>
        <v>7308047</v>
      </c>
      <c r="E9" s="334">
        <f>E10+E25+E29+E30+E31</f>
        <v>5845009</v>
      </c>
    </row>
    <row r="10" spans="1:5" s="298" customFormat="1" ht="26.25" customHeight="1">
      <c r="A10" s="373">
        <v>1</v>
      </c>
      <c r="B10" s="356" t="s">
        <v>414</v>
      </c>
      <c r="C10" s="334">
        <f>C11+C23</f>
        <v>5073630</v>
      </c>
      <c r="D10" s="334">
        <f>D11+D23</f>
        <v>4492430</v>
      </c>
      <c r="E10" s="334">
        <f>E11+E23</f>
        <v>581200</v>
      </c>
    </row>
    <row r="11" spans="1:5" s="298" customFormat="1" ht="26.25" customHeight="1">
      <c r="A11" s="373" t="s">
        <v>334</v>
      </c>
      <c r="B11" s="356" t="s">
        <v>415</v>
      </c>
      <c r="C11" s="334">
        <f t="shared" ref="C11" si="0">SUM(C12:C22)</f>
        <v>5044630</v>
      </c>
      <c r="D11" s="334">
        <f t="shared" ref="D11:E11" si="1">SUM(D12:D22)</f>
        <v>4463430</v>
      </c>
      <c r="E11" s="334">
        <f t="shared" si="1"/>
        <v>581200</v>
      </c>
    </row>
    <row r="12" spans="1:5" s="299" customFormat="1" ht="26.25" customHeight="1">
      <c r="A12" s="335"/>
      <c r="B12" s="357" t="s">
        <v>416</v>
      </c>
      <c r="C12" s="336">
        <f>D12+E12</f>
        <v>570610</v>
      </c>
      <c r="D12" s="336">
        <f>454410-29000</f>
        <v>425410</v>
      </c>
      <c r="E12" s="336">
        <v>145200</v>
      </c>
    </row>
    <row r="13" spans="1:5" s="299" customFormat="1" ht="26.25" customHeight="1">
      <c r="A13" s="335"/>
      <c r="B13" s="357" t="s">
        <v>417</v>
      </c>
      <c r="C13" s="336">
        <f t="shared" ref="C13:C22" si="2">D13+E13</f>
        <v>469100</v>
      </c>
      <c r="D13" s="336">
        <v>98100</v>
      </c>
      <c r="E13" s="336">
        <f>333900+37100</f>
        <v>371000</v>
      </c>
    </row>
    <row r="14" spans="1:5" s="299" customFormat="1" ht="26.25" customHeight="1">
      <c r="A14" s="335"/>
      <c r="B14" s="357" t="s">
        <v>418</v>
      </c>
      <c r="C14" s="336">
        <f t="shared" si="2"/>
        <v>2140000</v>
      </c>
      <c r="D14" s="336">
        <f>2075000</f>
        <v>2075000</v>
      </c>
      <c r="E14" s="336">
        <v>65000</v>
      </c>
    </row>
    <row r="15" spans="1:5" s="299" customFormat="1" ht="26.25" customHeight="1">
      <c r="A15" s="335"/>
      <c r="B15" s="357" t="s">
        <v>419</v>
      </c>
      <c r="C15" s="336">
        <f t="shared" si="2"/>
        <v>638300</v>
      </c>
      <c r="D15" s="336">
        <v>638300</v>
      </c>
      <c r="E15" s="336"/>
    </row>
    <row r="16" spans="1:5" s="299" customFormat="1" ht="26.25" customHeight="1">
      <c r="A16" s="335"/>
      <c r="B16" s="358" t="s">
        <v>420</v>
      </c>
      <c r="C16" s="336">
        <f t="shared" si="2"/>
        <v>401102</v>
      </c>
      <c r="D16" s="336">
        <f>253500+72554+48+75000</f>
        <v>401102</v>
      </c>
      <c r="E16" s="336"/>
    </row>
    <row r="17" spans="1:5" s="299" customFormat="1" ht="26.25" customHeight="1">
      <c r="A17" s="335"/>
      <c r="B17" s="358" t="s">
        <v>421</v>
      </c>
      <c r="C17" s="336">
        <f t="shared" si="2"/>
        <v>35553</v>
      </c>
      <c r="D17" s="336">
        <v>35553</v>
      </c>
      <c r="E17" s="336"/>
    </row>
    <row r="18" spans="1:5" s="299" customFormat="1" ht="33.6">
      <c r="A18" s="335"/>
      <c r="B18" s="358" t="s">
        <v>323</v>
      </c>
      <c r="C18" s="336">
        <f t="shared" si="2"/>
        <v>132563</v>
      </c>
      <c r="D18" s="336">
        <v>132563</v>
      </c>
      <c r="E18" s="336"/>
    </row>
    <row r="19" spans="1:5" s="299" customFormat="1" ht="21.75" customHeight="1">
      <c r="A19" s="335"/>
      <c r="B19" s="358" t="s">
        <v>324</v>
      </c>
      <c r="C19" s="336">
        <f t="shared" si="2"/>
        <v>12000</v>
      </c>
      <c r="D19" s="336">
        <v>12000</v>
      </c>
      <c r="E19" s="336"/>
    </row>
    <row r="20" spans="1:5" s="299" customFormat="1" ht="21.75" customHeight="1">
      <c r="A20" s="335"/>
      <c r="B20" s="358" t="s">
        <v>325</v>
      </c>
      <c r="C20" s="336">
        <f t="shared" si="2"/>
        <v>2002</v>
      </c>
      <c r="D20" s="336">
        <v>2002</v>
      </c>
      <c r="E20" s="336"/>
    </row>
    <row r="21" spans="1:5" s="299" customFormat="1" ht="36" customHeight="1">
      <c r="A21" s="335"/>
      <c r="B21" s="358" t="s">
        <v>326</v>
      </c>
      <c r="C21" s="336">
        <f t="shared" si="2"/>
        <v>640000</v>
      </c>
      <c r="D21" s="336">
        <v>640000</v>
      </c>
      <c r="E21" s="336"/>
    </row>
    <row r="22" spans="1:5" s="299" customFormat="1" ht="23.25" customHeight="1">
      <c r="A22" s="335"/>
      <c r="B22" s="358" t="s">
        <v>327</v>
      </c>
      <c r="C22" s="336">
        <f t="shared" si="2"/>
        <v>3400</v>
      </c>
      <c r="D22" s="336">
        <v>3400</v>
      </c>
      <c r="E22" s="336"/>
    </row>
    <row r="23" spans="1:5" s="298" customFormat="1" ht="23.25" customHeight="1">
      <c r="A23" s="373" t="s">
        <v>339</v>
      </c>
      <c r="B23" s="356" t="s">
        <v>96</v>
      </c>
      <c r="C23" s="334">
        <f>C24</f>
        <v>29000</v>
      </c>
      <c r="D23" s="334">
        <f t="shared" ref="D23:E23" si="3">D24</f>
        <v>29000</v>
      </c>
      <c r="E23" s="334">
        <f t="shared" si="3"/>
        <v>0</v>
      </c>
    </row>
    <row r="24" spans="1:5" s="295" customFormat="1" ht="72" customHeight="1">
      <c r="A24" s="337"/>
      <c r="B24" s="357" t="s">
        <v>422</v>
      </c>
      <c r="C24" s="336">
        <f>D24+E24</f>
        <v>29000</v>
      </c>
      <c r="D24" s="336">
        <v>29000</v>
      </c>
      <c r="E24" s="336"/>
    </row>
    <row r="25" spans="1:5" s="298" customFormat="1" ht="29.25" customHeight="1">
      <c r="A25" s="373">
        <v>2</v>
      </c>
      <c r="B25" s="356" t="s">
        <v>423</v>
      </c>
      <c r="C25" s="334">
        <f>E25+D25</f>
        <v>7726703</v>
      </c>
      <c r="D25" s="334">
        <f>D26+D27+D28</f>
        <v>2558894</v>
      </c>
      <c r="E25" s="334">
        <f>E26+E27+E28</f>
        <v>5167809</v>
      </c>
    </row>
    <row r="26" spans="1:5" s="299" customFormat="1" ht="29.25" customHeight="1">
      <c r="A26" s="335"/>
      <c r="B26" s="357" t="s">
        <v>424</v>
      </c>
      <c r="C26" s="336">
        <f>E26+D26</f>
        <v>3485538</v>
      </c>
      <c r="D26" s="336">
        <v>875054</v>
      </c>
      <c r="E26" s="336">
        <v>2610484</v>
      </c>
    </row>
    <row r="27" spans="1:5" s="299" customFormat="1" ht="29.25" customHeight="1">
      <c r="A27" s="335"/>
      <c r="B27" s="357" t="s">
        <v>425</v>
      </c>
      <c r="C27" s="336">
        <f t="shared" ref="C27:C28" si="4">E27+D27</f>
        <v>35601</v>
      </c>
      <c r="D27" s="336">
        <v>33911</v>
      </c>
      <c r="E27" s="336">
        <v>1690</v>
      </c>
    </row>
    <row r="28" spans="1:5" s="299" customFormat="1" ht="29.25" customHeight="1">
      <c r="A28" s="335"/>
      <c r="B28" s="357" t="s">
        <v>548</v>
      </c>
      <c r="C28" s="336">
        <f t="shared" si="4"/>
        <v>4205564</v>
      </c>
      <c r="D28" s="338">
        <f>1638894+135+10900</f>
        <v>1649929</v>
      </c>
      <c r="E28" s="336">
        <f>1572775+982860</f>
        <v>2555635</v>
      </c>
    </row>
    <row r="29" spans="1:5" s="298" customFormat="1" ht="29.25" customHeight="1">
      <c r="A29" s="373">
        <v>3</v>
      </c>
      <c r="B29" s="356" t="s">
        <v>427</v>
      </c>
      <c r="C29" s="334">
        <f t="shared" ref="C29:C31" si="5">D29+E29</f>
        <v>75300</v>
      </c>
      <c r="D29" s="334">
        <v>75300</v>
      </c>
      <c r="E29" s="334"/>
    </row>
    <row r="30" spans="1:5" s="298" customFormat="1" ht="29.25" customHeight="1">
      <c r="A30" s="373">
        <v>4</v>
      </c>
      <c r="B30" s="356" t="s">
        <v>428</v>
      </c>
      <c r="C30" s="334">
        <f t="shared" si="5"/>
        <v>1000</v>
      </c>
      <c r="D30" s="334">
        <v>1000</v>
      </c>
      <c r="E30" s="334"/>
    </row>
    <row r="31" spans="1:5" s="298" customFormat="1" ht="29.25" customHeight="1">
      <c r="A31" s="373">
        <v>5</v>
      </c>
      <c r="B31" s="356" t="s">
        <v>429</v>
      </c>
      <c r="C31" s="334">
        <f t="shared" si="5"/>
        <v>276423</v>
      </c>
      <c r="D31" s="334">
        <v>180423</v>
      </c>
      <c r="E31" s="334">
        <v>96000</v>
      </c>
    </row>
    <row r="32" spans="1:5" s="298" customFormat="1" ht="29.25" customHeight="1">
      <c r="A32" s="373" t="s">
        <v>328</v>
      </c>
      <c r="B32" s="356" t="s">
        <v>430</v>
      </c>
      <c r="C32" s="334">
        <f>C33+C34+C37</f>
        <v>2426776</v>
      </c>
      <c r="D32" s="334">
        <f>D33+D34+D37</f>
        <v>2426776</v>
      </c>
      <c r="E32" s="334"/>
    </row>
    <row r="33" spans="1:5" s="298" customFormat="1" ht="37.5" customHeight="1">
      <c r="A33" s="373">
        <v>1</v>
      </c>
      <c r="B33" s="356" t="s">
        <v>431</v>
      </c>
      <c r="C33" s="334">
        <v>412665</v>
      </c>
      <c r="D33" s="334">
        <v>412665</v>
      </c>
      <c r="E33" s="334"/>
    </row>
    <row r="34" spans="1:5" s="298" customFormat="1" ht="24.75" customHeight="1">
      <c r="A34" s="373">
        <v>2</v>
      </c>
      <c r="B34" s="356" t="s">
        <v>432</v>
      </c>
      <c r="C34" s="334">
        <f t="shared" ref="C34:D34" si="6">C35+C36</f>
        <v>1840993</v>
      </c>
      <c r="D34" s="334">
        <f t="shared" si="6"/>
        <v>1840993</v>
      </c>
      <c r="E34" s="334"/>
    </row>
    <row r="35" spans="1:5" s="295" customFormat="1" ht="24.75" customHeight="1">
      <c r="A35" s="337"/>
      <c r="B35" s="359" t="s">
        <v>337</v>
      </c>
      <c r="C35" s="338">
        <f>D35+E35</f>
        <v>780000</v>
      </c>
      <c r="D35" s="338">
        <v>780000</v>
      </c>
      <c r="E35" s="338"/>
    </row>
    <row r="36" spans="1:5" s="295" customFormat="1" ht="24.75" customHeight="1">
      <c r="A36" s="337"/>
      <c r="B36" s="359" t="s">
        <v>338</v>
      </c>
      <c r="C36" s="338">
        <f>D36+E36</f>
        <v>1060993</v>
      </c>
      <c r="D36" s="338">
        <v>1060993</v>
      </c>
      <c r="E36" s="338"/>
    </row>
    <row r="37" spans="1:5" s="298" customFormat="1" ht="24.75" customHeight="1">
      <c r="A37" s="373">
        <v>3</v>
      </c>
      <c r="B37" s="356" t="s">
        <v>433</v>
      </c>
      <c r="C37" s="334">
        <f>C38+C40</f>
        <v>173118</v>
      </c>
      <c r="D37" s="334">
        <f>D38+D40</f>
        <v>173118</v>
      </c>
      <c r="E37" s="334"/>
    </row>
    <row r="38" spans="1:5" s="298" customFormat="1" ht="24.75" customHeight="1">
      <c r="A38" s="373" t="s">
        <v>334</v>
      </c>
      <c r="B38" s="356" t="s">
        <v>355</v>
      </c>
      <c r="C38" s="334">
        <f t="shared" ref="C38:D38" si="7">C39</f>
        <v>32753</v>
      </c>
      <c r="D38" s="334">
        <f t="shared" si="7"/>
        <v>32753</v>
      </c>
      <c r="E38" s="334"/>
    </row>
    <row r="39" spans="1:5" s="295" customFormat="1" ht="24.75" customHeight="1">
      <c r="A39" s="337"/>
      <c r="B39" s="360" t="s">
        <v>354</v>
      </c>
      <c r="C39" s="338">
        <f>D39+E39</f>
        <v>32753</v>
      </c>
      <c r="D39" s="338">
        <v>32753</v>
      </c>
      <c r="E39" s="338"/>
    </row>
    <row r="40" spans="1:5" s="298" customFormat="1" ht="24.75" customHeight="1">
      <c r="A40" s="373" t="s">
        <v>339</v>
      </c>
      <c r="B40" s="361" t="s">
        <v>351</v>
      </c>
      <c r="C40" s="334">
        <f t="shared" ref="C40:D40" si="8">C41+C42+C43</f>
        <v>140365</v>
      </c>
      <c r="D40" s="334">
        <f t="shared" si="8"/>
        <v>140365</v>
      </c>
      <c r="E40" s="334"/>
    </row>
    <row r="41" spans="1:5" s="295" customFormat="1" ht="24.75" customHeight="1">
      <c r="A41" s="337"/>
      <c r="B41" s="360" t="s">
        <v>352</v>
      </c>
      <c r="C41" s="338">
        <f t="shared" ref="C41:C44" si="9">D41+E41</f>
        <v>2457</v>
      </c>
      <c r="D41" s="338">
        <v>2457</v>
      </c>
      <c r="E41" s="338"/>
    </row>
    <row r="42" spans="1:5" s="295" customFormat="1" ht="33.6">
      <c r="A42" s="337"/>
      <c r="B42" s="360" t="s">
        <v>353</v>
      </c>
      <c r="C42" s="338">
        <f t="shared" si="9"/>
        <v>10038</v>
      </c>
      <c r="D42" s="338">
        <v>10038</v>
      </c>
      <c r="E42" s="338"/>
    </row>
    <row r="43" spans="1:5" s="295" customFormat="1" ht="25.5" customHeight="1">
      <c r="A43" s="337"/>
      <c r="B43" s="360" t="s">
        <v>354</v>
      </c>
      <c r="C43" s="338">
        <f t="shared" si="9"/>
        <v>127870</v>
      </c>
      <c r="D43" s="338">
        <v>127870</v>
      </c>
      <c r="E43" s="338"/>
    </row>
    <row r="44" spans="1:5" s="295" customFormat="1" ht="25.5" customHeight="1">
      <c r="A44" s="373" t="s">
        <v>313</v>
      </c>
      <c r="B44" s="356" t="s">
        <v>434</v>
      </c>
      <c r="C44" s="334">
        <f t="shared" si="9"/>
        <v>11700</v>
      </c>
      <c r="D44" s="334">
        <v>11700</v>
      </c>
      <c r="E44" s="334"/>
    </row>
    <row r="45" spans="1:5" s="295" customFormat="1" ht="25.5" customHeight="1">
      <c r="A45" s="373"/>
      <c r="B45" s="356" t="s">
        <v>435</v>
      </c>
      <c r="C45" s="334">
        <f>D45+E45</f>
        <v>15591532</v>
      </c>
      <c r="D45" s="334">
        <f>D8+D44</f>
        <v>9746523</v>
      </c>
      <c r="E45" s="334">
        <f>E8+E44</f>
        <v>5845009</v>
      </c>
    </row>
  </sheetData>
  <mergeCells count="6">
    <mergeCell ref="A2:E2"/>
    <mergeCell ref="A3:E3"/>
    <mergeCell ref="D5:E5"/>
    <mergeCell ref="A6:A7"/>
    <mergeCell ref="B6:B7"/>
    <mergeCell ref="C6:E6"/>
  </mergeCells>
  <printOptions horizontalCentered="1"/>
  <pageMargins left="0" right="0" top="0.59055118110236227" bottom="0.59055118110236227" header="0" footer="0"/>
  <pageSetup paperSize="9" orientation="portrait" horizontalDpi="0" verticalDpi="0" r:id="rId1"/>
  <headerFooter differentFirst="1">
    <oddHeader>&amp;C&amp;"Times New Roman,Regular"&amp;P</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showZeros="0" zoomScaleNormal="100" workbookViewId="0">
      <selection activeCell="B15" sqref="B15"/>
    </sheetView>
  </sheetViews>
  <sheetFormatPr defaultColWidth="8.90625" defaultRowHeight="13.2"/>
  <cols>
    <col min="1" max="1" width="4.1796875" style="292" customWidth="1"/>
    <col min="2" max="2" width="53.08984375" style="293" customWidth="1"/>
    <col min="3" max="3" width="14.90625" style="293" customWidth="1"/>
    <col min="4" max="16384" width="8.90625" style="293"/>
  </cols>
  <sheetData>
    <row r="1" spans="1:4" s="339" customFormat="1" ht="16.8">
      <c r="A1" s="344"/>
      <c r="B1" s="345"/>
      <c r="C1" s="346" t="s">
        <v>436</v>
      </c>
    </row>
    <row r="2" spans="1:4" s="340" customFormat="1" ht="16.8">
      <c r="A2" s="590" t="s">
        <v>437</v>
      </c>
      <c r="B2" s="590"/>
      <c r="C2" s="590"/>
    </row>
    <row r="3" spans="1:4" s="340" customFormat="1" ht="16.8">
      <c r="A3" s="591" t="str">
        <f>'Bieu so 01'!$A$3:$C$3</f>
        <v>(Kèm theo Quyết định số 2603/QĐ-UBND ngày 16/12/2024 của Ủy ban nhân dân tỉnh)</v>
      </c>
      <c r="B3" s="591"/>
      <c r="C3" s="591"/>
    </row>
    <row r="4" spans="1:4" s="339" customFormat="1" ht="30.75" customHeight="1">
      <c r="A4" s="344"/>
      <c r="B4" s="345"/>
      <c r="C4" s="347" t="s">
        <v>306</v>
      </c>
    </row>
    <row r="5" spans="1:4" s="294" customFormat="1" ht="33.6">
      <c r="A5" s="348" t="s">
        <v>309</v>
      </c>
      <c r="B5" s="348" t="s">
        <v>438</v>
      </c>
      <c r="C5" s="349" t="s">
        <v>439</v>
      </c>
    </row>
    <row r="6" spans="1:4" s="419" customFormat="1" ht="21.75" customHeight="1">
      <c r="A6" s="348" t="s">
        <v>312</v>
      </c>
      <c r="B6" s="417" t="s">
        <v>440</v>
      </c>
      <c r="C6" s="418">
        <f>C7+C23+C51+C52+C53</f>
        <v>9734823</v>
      </c>
    </row>
    <row r="7" spans="1:4" s="419" customFormat="1" ht="21.75" customHeight="1">
      <c r="A7" s="348" t="s">
        <v>314</v>
      </c>
      <c r="B7" s="417" t="s">
        <v>414</v>
      </c>
      <c r="C7" s="418">
        <f>C8+C21</f>
        <v>6473788</v>
      </c>
    </row>
    <row r="8" spans="1:4" s="423" customFormat="1" ht="21.75" customHeight="1">
      <c r="A8" s="420">
        <v>1</v>
      </c>
      <c r="B8" s="421" t="s">
        <v>415</v>
      </c>
      <c r="C8" s="422">
        <f>SUM(C9:C20)</f>
        <v>6444788</v>
      </c>
    </row>
    <row r="9" spans="1:4" s="426" customFormat="1" ht="21.75" customHeight="1">
      <c r="A9" s="424"/>
      <c r="B9" s="425" t="s">
        <v>441</v>
      </c>
      <c r="C9" s="351">
        <f>454410-29000</f>
        <v>425410</v>
      </c>
    </row>
    <row r="10" spans="1:4" s="426" customFormat="1" ht="21.75" customHeight="1">
      <c r="A10" s="424"/>
      <c r="B10" s="425" t="s">
        <v>442</v>
      </c>
      <c r="C10" s="351">
        <v>98100</v>
      </c>
    </row>
    <row r="11" spans="1:4" s="426" customFormat="1" ht="21.75" customHeight="1">
      <c r="A11" s="424"/>
      <c r="B11" s="425" t="s">
        <v>443</v>
      </c>
      <c r="C11" s="351">
        <v>2075000</v>
      </c>
      <c r="D11" s="427"/>
    </row>
    <row r="12" spans="1:4" s="426" customFormat="1" ht="21.75" customHeight="1">
      <c r="A12" s="424"/>
      <c r="B12" s="425" t="s">
        <v>444</v>
      </c>
      <c r="C12" s="351">
        <v>132563</v>
      </c>
      <c r="D12" s="427"/>
    </row>
    <row r="13" spans="1:4" s="426" customFormat="1" ht="21.75" customHeight="1">
      <c r="A13" s="424"/>
      <c r="B13" s="425" t="s">
        <v>445</v>
      </c>
      <c r="C13" s="351">
        <f>1840993+140365</f>
        <v>1981358</v>
      </c>
    </row>
    <row r="14" spans="1:4" s="426" customFormat="1" ht="21.75" customHeight="1">
      <c r="A14" s="424"/>
      <c r="B14" s="352" t="s">
        <v>446</v>
      </c>
      <c r="C14" s="351">
        <v>638300</v>
      </c>
    </row>
    <row r="15" spans="1:4" s="426" customFormat="1" ht="21.75" customHeight="1">
      <c r="A15" s="424"/>
      <c r="B15" s="352" t="s">
        <v>447</v>
      </c>
      <c r="C15" s="351">
        <v>401102</v>
      </c>
    </row>
    <row r="16" spans="1:4" s="426" customFormat="1" ht="21.75" customHeight="1">
      <c r="A16" s="424"/>
      <c r="B16" s="352" t="s">
        <v>448</v>
      </c>
      <c r="C16" s="351">
        <v>35553</v>
      </c>
    </row>
    <row r="17" spans="1:3" s="426" customFormat="1" ht="21.75" customHeight="1">
      <c r="A17" s="424"/>
      <c r="B17" s="352" t="s">
        <v>449</v>
      </c>
      <c r="C17" s="351">
        <v>12000</v>
      </c>
    </row>
    <row r="18" spans="1:3" s="426" customFormat="1" ht="21.75" customHeight="1">
      <c r="A18" s="424"/>
      <c r="B18" s="352" t="s">
        <v>450</v>
      </c>
      <c r="C18" s="351">
        <v>2002</v>
      </c>
    </row>
    <row r="19" spans="1:3" s="426" customFormat="1" ht="21.75" customHeight="1">
      <c r="A19" s="424"/>
      <c r="B19" s="352" t="s">
        <v>451</v>
      </c>
      <c r="C19" s="351">
        <v>640000</v>
      </c>
    </row>
    <row r="20" spans="1:3" s="426" customFormat="1" ht="21.75" customHeight="1">
      <c r="A20" s="424"/>
      <c r="B20" s="352" t="s">
        <v>452</v>
      </c>
      <c r="C20" s="351">
        <v>3400</v>
      </c>
    </row>
    <row r="21" spans="1:3" s="423" customFormat="1" ht="21.75" customHeight="1">
      <c r="A21" s="420">
        <v>2</v>
      </c>
      <c r="B21" s="428" t="s">
        <v>453</v>
      </c>
      <c r="C21" s="429">
        <f>C22</f>
        <v>29000</v>
      </c>
    </row>
    <row r="22" spans="1:3" s="341" customFormat="1" ht="52.5" customHeight="1">
      <c r="A22" s="350"/>
      <c r="B22" s="353" t="s">
        <v>422</v>
      </c>
      <c r="C22" s="354">
        <v>29000</v>
      </c>
    </row>
    <row r="23" spans="1:3" s="419" customFormat="1" ht="21" customHeight="1">
      <c r="A23" s="348" t="s">
        <v>328</v>
      </c>
      <c r="B23" s="417" t="s">
        <v>423</v>
      </c>
      <c r="C23" s="418">
        <f>C25+C26+C32+C33+C41+C45+C48+C49+C50+20000+100000+169757+10900</f>
        <v>3004312</v>
      </c>
    </row>
    <row r="24" spans="1:3" s="423" customFormat="1" ht="21" customHeight="1">
      <c r="A24" s="430"/>
      <c r="B24" s="422" t="s">
        <v>454</v>
      </c>
      <c r="C24" s="431"/>
    </row>
    <row r="25" spans="1:3" s="423" customFormat="1" ht="21" customHeight="1">
      <c r="A25" s="430">
        <v>1</v>
      </c>
      <c r="B25" s="422" t="s">
        <v>455</v>
      </c>
      <c r="C25" s="431">
        <v>9026</v>
      </c>
    </row>
    <row r="26" spans="1:3" s="423" customFormat="1" ht="21" customHeight="1">
      <c r="A26" s="430">
        <v>2</v>
      </c>
      <c r="B26" s="422" t="s">
        <v>456</v>
      </c>
      <c r="C26" s="422">
        <f>SUM(C27:C31)</f>
        <v>315401</v>
      </c>
    </row>
    <row r="27" spans="1:3" s="426" customFormat="1" ht="21" customHeight="1">
      <c r="A27" s="432"/>
      <c r="B27" s="433" t="s">
        <v>457</v>
      </c>
      <c r="C27" s="434">
        <v>55997</v>
      </c>
    </row>
    <row r="28" spans="1:3" s="426" customFormat="1" ht="21" customHeight="1">
      <c r="A28" s="432"/>
      <c r="B28" s="433" t="s">
        <v>458</v>
      </c>
      <c r="C28" s="434">
        <f>91907+5376</f>
        <v>97283</v>
      </c>
    </row>
    <row r="29" spans="1:3" s="426" customFormat="1" ht="21" customHeight="1">
      <c r="A29" s="432"/>
      <c r="B29" s="433" t="s">
        <v>459</v>
      </c>
      <c r="C29" s="434">
        <v>19728</v>
      </c>
    </row>
    <row r="30" spans="1:3" s="426" customFormat="1" ht="21" customHeight="1">
      <c r="A30" s="432"/>
      <c r="B30" s="433" t="s">
        <v>460</v>
      </c>
      <c r="C30" s="434">
        <f>30077-1580</f>
        <v>28497</v>
      </c>
    </row>
    <row r="31" spans="1:3" s="426" customFormat="1" ht="21" customHeight="1">
      <c r="A31" s="432"/>
      <c r="B31" s="433" t="s">
        <v>461</v>
      </c>
      <c r="C31" s="434">
        <v>113896</v>
      </c>
    </row>
    <row r="32" spans="1:3" s="423" customFormat="1" ht="21" customHeight="1">
      <c r="A32" s="430">
        <v>3</v>
      </c>
      <c r="B32" s="422" t="s">
        <v>462</v>
      </c>
      <c r="C32" s="431">
        <v>18298</v>
      </c>
    </row>
    <row r="33" spans="1:3" s="423" customFormat="1" ht="21" customHeight="1">
      <c r="A33" s="430">
        <v>4</v>
      </c>
      <c r="B33" s="422" t="s">
        <v>463</v>
      </c>
      <c r="C33" s="422">
        <f>SUM(C34:C40)</f>
        <v>1726840</v>
      </c>
    </row>
    <row r="34" spans="1:3" s="426" customFormat="1" ht="21" customHeight="1">
      <c r="A34" s="432"/>
      <c r="B34" s="433" t="s">
        <v>464</v>
      </c>
      <c r="C34" s="434">
        <v>875054</v>
      </c>
    </row>
    <row r="35" spans="1:3" s="426" customFormat="1" ht="21" customHeight="1">
      <c r="A35" s="432"/>
      <c r="B35" s="433" t="s">
        <v>465</v>
      </c>
      <c r="C35" s="434">
        <v>590834</v>
      </c>
    </row>
    <row r="36" spans="1:3" s="426" customFormat="1" ht="21" customHeight="1">
      <c r="A36" s="432"/>
      <c r="B36" s="433" t="s">
        <v>466</v>
      </c>
      <c r="C36" s="434">
        <v>59441</v>
      </c>
    </row>
    <row r="37" spans="1:3" s="426" customFormat="1" ht="21" customHeight="1">
      <c r="A37" s="432"/>
      <c r="B37" s="433" t="s">
        <v>467</v>
      </c>
      <c r="C37" s="434">
        <v>36365</v>
      </c>
    </row>
    <row r="38" spans="1:3" s="426" customFormat="1" ht="21" customHeight="1">
      <c r="A38" s="432"/>
      <c r="B38" s="433" t="s">
        <v>468</v>
      </c>
      <c r="C38" s="434">
        <v>44253</v>
      </c>
    </row>
    <row r="39" spans="1:3" s="426" customFormat="1" ht="21" customHeight="1">
      <c r="A39" s="432"/>
      <c r="B39" s="433" t="s">
        <v>469</v>
      </c>
      <c r="C39" s="434">
        <v>33911</v>
      </c>
    </row>
    <row r="40" spans="1:3" s="426" customFormat="1" ht="21" customHeight="1">
      <c r="A40" s="432"/>
      <c r="B40" s="433" t="s">
        <v>470</v>
      </c>
      <c r="C40" s="434">
        <v>86982</v>
      </c>
    </row>
    <row r="41" spans="1:3" s="423" customFormat="1" ht="21" customHeight="1">
      <c r="A41" s="430">
        <v>5</v>
      </c>
      <c r="B41" s="422" t="s">
        <v>471</v>
      </c>
      <c r="C41" s="422">
        <f t="shared" ref="C41" si="0">C42+C43+C44</f>
        <v>396102</v>
      </c>
    </row>
    <row r="42" spans="1:3" s="426" customFormat="1" ht="21" customHeight="1">
      <c r="A42" s="432"/>
      <c r="B42" s="433" t="s">
        <v>472</v>
      </c>
      <c r="C42" s="354">
        <v>271314</v>
      </c>
    </row>
    <row r="43" spans="1:3" s="426" customFormat="1" ht="21" customHeight="1">
      <c r="A43" s="432"/>
      <c r="B43" s="433" t="s">
        <v>473</v>
      </c>
      <c r="C43" s="354">
        <f>90789+1580</f>
        <v>92369</v>
      </c>
    </row>
    <row r="44" spans="1:3" s="426" customFormat="1" ht="21" customHeight="1">
      <c r="A44" s="432"/>
      <c r="B44" s="433" t="s">
        <v>63</v>
      </c>
      <c r="C44" s="354">
        <v>32419</v>
      </c>
    </row>
    <row r="45" spans="1:3" s="426" customFormat="1" ht="21" customHeight="1">
      <c r="A45" s="430">
        <v>6</v>
      </c>
      <c r="B45" s="422" t="s">
        <v>474</v>
      </c>
      <c r="C45" s="354">
        <f>C46+C47</f>
        <v>54716</v>
      </c>
    </row>
    <row r="46" spans="1:3" s="426" customFormat="1" ht="21" customHeight="1">
      <c r="A46" s="432"/>
      <c r="B46" s="433" t="s">
        <v>475</v>
      </c>
      <c r="C46" s="354">
        <f>13025+100</f>
        <v>13125</v>
      </c>
    </row>
    <row r="47" spans="1:3" s="426" customFormat="1" ht="21" customHeight="1">
      <c r="A47" s="432"/>
      <c r="B47" s="433" t="s">
        <v>476</v>
      </c>
      <c r="C47" s="354">
        <f>36591+5000</f>
        <v>41591</v>
      </c>
    </row>
    <row r="48" spans="1:3" s="426" customFormat="1" ht="21" customHeight="1">
      <c r="A48" s="430">
        <v>7</v>
      </c>
      <c r="B48" s="422" t="s">
        <v>477</v>
      </c>
      <c r="C48" s="354">
        <v>37968</v>
      </c>
    </row>
    <row r="49" spans="1:3" s="426" customFormat="1" ht="21" customHeight="1">
      <c r="A49" s="430">
        <v>8</v>
      </c>
      <c r="B49" s="422" t="s">
        <v>478</v>
      </c>
      <c r="C49" s="429">
        <v>86009</v>
      </c>
    </row>
    <row r="50" spans="1:3" s="423" customFormat="1" ht="21" customHeight="1">
      <c r="A50" s="430">
        <v>9</v>
      </c>
      <c r="B50" s="422" t="s">
        <v>303</v>
      </c>
      <c r="C50" s="429">
        <f>26542+32753</f>
        <v>59295</v>
      </c>
    </row>
    <row r="51" spans="1:3" s="419" customFormat="1" ht="20.25" customHeight="1">
      <c r="A51" s="435" t="s">
        <v>357</v>
      </c>
      <c r="B51" s="417" t="s">
        <v>479</v>
      </c>
      <c r="C51" s="436">
        <v>1000</v>
      </c>
    </row>
    <row r="52" spans="1:3" s="419" customFormat="1" ht="20.25" customHeight="1">
      <c r="A52" s="435" t="s">
        <v>480</v>
      </c>
      <c r="B52" s="417" t="s">
        <v>429</v>
      </c>
      <c r="C52" s="436">
        <v>180423</v>
      </c>
    </row>
    <row r="53" spans="1:3" s="419" customFormat="1" ht="20.25" customHeight="1">
      <c r="A53" s="435" t="s">
        <v>481</v>
      </c>
      <c r="B53" s="417" t="s">
        <v>482</v>
      </c>
      <c r="C53" s="436">
        <v>75300</v>
      </c>
    </row>
    <row r="54" spans="1:3" s="419" customFormat="1" ht="20.25" customHeight="1">
      <c r="A54" s="435" t="s">
        <v>313</v>
      </c>
      <c r="B54" s="417" t="s">
        <v>434</v>
      </c>
      <c r="C54" s="436">
        <v>11700</v>
      </c>
    </row>
    <row r="55" spans="1:3" s="419" customFormat="1" ht="20.25" customHeight="1">
      <c r="A55" s="435" t="s">
        <v>483</v>
      </c>
      <c r="B55" s="417" t="s">
        <v>484</v>
      </c>
      <c r="C55" s="418">
        <f>SUM(C56:C60)</f>
        <v>4567409</v>
      </c>
    </row>
    <row r="56" spans="1:3" s="423" customFormat="1" ht="20.25" customHeight="1">
      <c r="A56" s="430"/>
      <c r="B56" s="421" t="s">
        <v>485</v>
      </c>
      <c r="C56" s="429">
        <v>2327763</v>
      </c>
    </row>
    <row r="57" spans="1:3" s="423" customFormat="1" ht="20.25" customHeight="1">
      <c r="A57" s="430"/>
      <c r="B57" s="421" t="s">
        <v>486</v>
      </c>
      <c r="C57" s="429">
        <v>125082</v>
      </c>
    </row>
    <row r="58" spans="1:3" s="423" customFormat="1" ht="20.25" customHeight="1">
      <c r="A58" s="430"/>
      <c r="B58" s="421" t="s">
        <v>487</v>
      </c>
      <c r="C58" s="429">
        <v>1066704</v>
      </c>
    </row>
    <row r="59" spans="1:3" s="423" customFormat="1" ht="20.25" customHeight="1">
      <c r="A59" s="430"/>
      <c r="B59" s="421" t="s">
        <v>488</v>
      </c>
      <c r="C59" s="429">
        <v>65000</v>
      </c>
    </row>
    <row r="60" spans="1:3" s="423" customFormat="1" ht="20.25" customHeight="1">
      <c r="A60" s="430"/>
      <c r="B60" s="421" t="s">
        <v>489</v>
      </c>
      <c r="C60" s="429">
        <v>982860</v>
      </c>
    </row>
    <row r="61" spans="1:3" s="423" customFormat="1" ht="20.25" customHeight="1">
      <c r="A61" s="348"/>
      <c r="B61" s="348" t="s">
        <v>29</v>
      </c>
      <c r="C61" s="355">
        <f>C6+C54+C55</f>
        <v>14313932</v>
      </c>
    </row>
  </sheetData>
  <mergeCells count="2">
    <mergeCell ref="A2:C2"/>
    <mergeCell ref="A3:C3"/>
  </mergeCells>
  <printOptions horizontalCentered="1"/>
  <pageMargins left="0.59055118110236227" right="0" top="0.59055118110236227" bottom="0.59055118110236227" header="0" footer="0"/>
  <pageSetup paperSize="9" orientation="portrait" r:id="rId1"/>
  <headerFooter differentFirst="1" alignWithMargins="0">
    <oddHeader>&amp;C&amp;"Times New Roman,Regular"&amp;P</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Zeros="0" zoomScale="110" zoomScaleNormal="110" zoomScaleSheetLayoutView="106" workbookViewId="0">
      <selection activeCell="B15" sqref="B15"/>
    </sheetView>
  </sheetViews>
  <sheetFormatPr defaultColWidth="8.90625" defaultRowHeight="16.8"/>
  <cols>
    <col min="1" max="1" width="4.1796875" style="300" bestFit="1" customWidth="1"/>
    <col min="2" max="2" width="51.6328125" style="305" customWidth="1"/>
    <col min="3" max="3" width="11.08984375" style="305" customWidth="1"/>
    <col min="4" max="4" width="9.54296875" style="263" customWidth="1"/>
    <col min="5" max="5" width="8" style="263" customWidth="1"/>
    <col min="6" max="6" width="10.1796875" style="263" customWidth="1"/>
    <col min="7" max="7" width="9.453125" style="263" customWidth="1"/>
    <col min="8" max="8" width="9" style="263" customWidth="1"/>
    <col min="9" max="9" width="7.453125" style="263" customWidth="1"/>
    <col min="10" max="10" width="10.6328125" style="263" customWidth="1"/>
    <col min="11" max="11" width="10.81640625" style="263" customWidth="1"/>
    <col min="12" max="16384" width="8.90625" style="305"/>
  </cols>
  <sheetData>
    <row r="1" spans="1:11">
      <c r="J1" s="594" t="s">
        <v>490</v>
      </c>
      <c r="K1" s="594"/>
    </row>
    <row r="2" spans="1:11">
      <c r="A2" s="577" t="s">
        <v>491</v>
      </c>
      <c r="B2" s="577"/>
      <c r="C2" s="577"/>
      <c r="D2" s="577"/>
      <c r="E2" s="577"/>
      <c r="F2" s="577"/>
      <c r="G2" s="577"/>
      <c r="H2" s="577"/>
      <c r="I2" s="577"/>
      <c r="J2" s="577"/>
      <c r="K2" s="577"/>
    </row>
    <row r="3" spans="1:11">
      <c r="A3" s="578" t="str">
        <f>'Bieu so 01'!$A$3:$C$3</f>
        <v>(Kèm theo Quyết định số 2603/QĐ-UBND ngày 16/12/2024 của Ủy ban nhân dân tỉnh)</v>
      </c>
      <c r="B3" s="578"/>
      <c r="C3" s="578"/>
      <c r="D3" s="578"/>
      <c r="E3" s="578"/>
      <c r="F3" s="578"/>
      <c r="G3" s="578"/>
      <c r="H3" s="578"/>
      <c r="I3" s="578"/>
      <c r="J3" s="578"/>
      <c r="K3" s="578"/>
    </row>
    <row r="4" spans="1:11" ht="21.75" customHeight="1">
      <c r="A4" s="257"/>
      <c r="B4" s="343"/>
      <c r="C4" s="396"/>
      <c r="H4" s="579" t="s">
        <v>306</v>
      </c>
      <c r="I4" s="579"/>
      <c r="J4" s="579"/>
      <c r="K4" s="579"/>
    </row>
    <row r="5" spans="1:11" s="300" customFormat="1" ht="20.25" customHeight="1">
      <c r="A5" s="595" t="s">
        <v>309</v>
      </c>
      <c r="B5" s="582" t="s">
        <v>360</v>
      </c>
      <c r="C5" s="580" t="s">
        <v>162</v>
      </c>
      <c r="D5" s="592" t="s">
        <v>492</v>
      </c>
      <c r="E5" s="593"/>
      <c r="F5" s="592" t="s">
        <v>493</v>
      </c>
      <c r="G5" s="593"/>
      <c r="H5" s="592" t="s">
        <v>494</v>
      </c>
      <c r="I5" s="593"/>
      <c r="J5" s="592" t="s">
        <v>495</v>
      </c>
      <c r="K5" s="593"/>
    </row>
    <row r="6" spans="1:11" s="300" customFormat="1" ht="20.25" customHeight="1">
      <c r="A6" s="596"/>
      <c r="B6" s="583"/>
      <c r="C6" s="581"/>
      <c r="D6" s="301" t="s">
        <v>496</v>
      </c>
      <c r="E6" s="301" t="s">
        <v>497</v>
      </c>
      <c r="F6" s="301" t="s">
        <v>498</v>
      </c>
      <c r="G6" s="301" t="s">
        <v>499</v>
      </c>
      <c r="H6" s="301" t="s">
        <v>500</v>
      </c>
      <c r="I6" s="301" t="s">
        <v>501</v>
      </c>
      <c r="J6" s="301" t="s">
        <v>502</v>
      </c>
      <c r="K6" s="301" t="s">
        <v>503</v>
      </c>
    </row>
    <row r="7" spans="1:11" ht="20.25" customHeight="1">
      <c r="A7" s="302" t="s">
        <v>314</v>
      </c>
      <c r="B7" s="303" t="s">
        <v>504</v>
      </c>
      <c r="C7" s="304">
        <f>C8+C16+C21+C23+C24+C30+C31+C33+C34+C35+C42</f>
        <v>1349500</v>
      </c>
      <c r="D7" s="304">
        <f>D8+D16+D21+D23+D24+D30+D31+D33+D34+D35+D42</f>
        <v>598700</v>
      </c>
      <c r="E7" s="304">
        <f t="shared" ref="E7:K7" si="0">E8+E16+E21+E23+E24+E30+E31+E33+E34+E35+E42</f>
        <v>180000</v>
      </c>
      <c r="F7" s="304">
        <f t="shared" si="0"/>
        <v>116900</v>
      </c>
      <c r="G7" s="304">
        <f t="shared" si="0"/>
        <v>61000</v>
      </c>
      <c r="H7" s="304">
        <f t="shared" si="0"/>
        <v>109300</v>
      </c>
      <c r="I7" s="304">
        <f t="shared" si="0"/>
        <v>83600</v>
      </c>
      <c r="J7" s="304">
        <f t="shared" si="0"/>
        <v>102000</v>
      </c>
      <c r="K7" s="304">
        <f t="shared" si="0"/>
        <v>98000</v>
      </c>
    </row>
    <row r="8" spans="1:11" ht="20.25" customHeight="1">
      <c r="A8" s="437">
        <v>1</v>
      </c>
      <c r="B8" s="306" t="s">
        <v>365</v>
      </c>
      <c r="C8" s="304">
        <f t="shared" ref="C8:K8" si="1">C9+C11</f>
        <v>10500</v>
      </c>
      <c r="D8" s="304">
        <f t="shared" si="1"/>
        <v>3300</v>
      </c>
      <c r="E8" s="304">
        <f t="shared" si="1"/>
        <v>1100</v>
      </c>
      <c r="F8" s="304">
        <f t="shared" si="1"/>
        <v>1050</v>
      </c>
      <c r="G8" s="304">
        <f t="shared" si="1"/>
        <v>650</v>
      </c>
      <c r="H8" s="304">
        <f t="shared" si="1"/>
        <v>1050</v>
      </c>
      <c r="I8" s="304">
        <f t="shared" si="1"/>
        <v>1700</v>
      </c>
      <c r="J8" s="304">
        <f t="shared" si="1"/>
        <v>800</v>
      </c>
      <c r="K8" s="304">
        <f t="shared" si="1"/>
        <v>850</v>
      </c>
    </row>
    <row r="9" spans="1:11" ht="20.25" customHeight="1">
      <c r="A9" s="437" t="s">
        <v>334</v>
      </c>
      <c r="B9" s="307" t="s">
        <v>366</v>
      </c>
      <c r="C9" s="308">
        <f t="shared" ref="C9:K9" si="2">SUM(C10:C10)</f>
        <v>5000</v>
      </c>
      <c r="D9" s="308">
        <f t="shared" si="2"/>
        <v>800</v>
      </c>
      <c r="E9" s="308">
        <f t="shared" si="2"/>
        <v>650</v>
      </c>
      <c r="F9" s="308">
        <f t="shared" si="2"/>
        <v>750</v>
      </c>
      <c r="G9" s="308">
        <f t="shared" si="2"/>
        <v>450</v>
      </c>
      <c r="H9" s="308">
        <f t="shared" si="2"/>
        <v>600</v>
      </c>
      <c r="I9" s="308">
        <f t="shared" si="2"/>
        <v>600</v>
      </c>
      <c r="J9" s="308">
        <f t="shared" si="2"/>
        <v>600</v>
      </c>
      <c r="K9" s="308">
        <f t="shared" si="2"/>
        <v>550</v>
      </c>
    </row>
    <row r="10" spans="1:11" ht="20.25" customHeight="1">
      <c r="A10" s="437"/>
      <c r="B10" s="307" t="s">
        <v>367</v>
      </c>
      <c r="C10" s="308">
        <f>SUM(D10:K10)</f>
        <v>5000</v>
      </c>
      <c r="D10" s="308">
        <v>800</v>
      </c>
      <c r="E10" s="308">
        <v>650</v>
      </c>
      <c r="F10" s="308">
        <v>750</v>
      </c>
      <c r="G10" s="308">
        <v>450</v>
      </c>
      <c r="H10" s="308">
        <v>600</v>
      </c>
      <c r="I10" s="308">
        <v>600</v>
      </c>
      <c r="J10" s="308">
        <v>600</v>
      </c>
      <c r="K10" s="308">
        <v>550</v>
      </c>
    </row>
    <row r="11" spans="1:11" ht="20.25" customHeight="1">
      <c r="A11" s="437" t="s">
        <v>339</v>
      </c>
      <c r="B11" s="307" t="s">
        <v>370</v>
      </c>
      <c r="C11" s="308">
        <f t="shared" ref="C11:K11" si="3">SUM(C12:C13)</f>
        <v>5500</v>
      </c>
      <c r="D11" s="308">
        <f t="shared" si="3"/>
        <v>2500</v>
      </c>
      <c r="E11" s="308">
        <f t="shared" si="3"/>
        <v>450</v>
      </c>
      <c r="F11" s="308">
        <f t="shared" si="3"/>
        <v>300</v>
      </c>
      <c r="G11" s="308">
        <f t="shared" si="3"/>
        <v>200</v>
      </c>
      <c r="H11" s="308">
        <f t="shared" si="3"/>
        <v>450</v>
      </c>
      <c r="I11" s="308">
        <f t="shared" si="3"/>
        <v>1100</v>
      </c>
      <c r="J11" s="308">
        <f t="shared" si="3"/>
        <v>200</v>
      </c>
      <c r="K11" s="308">
        <f t="shared" si="3"/>
        <v>300</v>
      </c>
    </row>
    <row r="12" spans="1:11" ht="20.25" customHeight="1">
      <c r="A12" s="437"/>
      <c r="B12" s="307" t="s">
        <v>367</v>
      </c>
      <c r="C12" s="308">
        <f>SUM(D12:K12)</f>
        <v>2100</v>
      </c>
      <c r="D12" s="308">
        <v>900</v>
      </c>
      <c r="E12" s="308">
        <v>150</v>
      </c>
      <c r="F12" s="308">
        <v>100</v>
      </c>
      <c r="G12" s="308">
        <v>50</v>
      </c>
      <c r="H12" s="308">
        <v>150</v>
      </c>
      <c r="I12" s="308">
        <v>600</v>
      </c>
      <c r="J12" s="308">
        <v>50</v>
      </c>
      <c r="K12" s="308">
        <v>100</v>
      </c>
    </row>
    <row r="13" spans="1:11" s="309" customFormat="1" ht="20.25" customHeight="1">
      <c r="A13" s="437"/>
      <c r="B13" s="307" t="s">
        <v>369</v>
      </c>
      <c r="C13" s="308">
        <f>SUM(D13:K13)</f>
        <v>3400</v>
      </c>
      <c r="D13" s="308">
        <v>1600</v>
      </c>
      <c r="E13" s="308">
        <v>300</v>
      </c>
      <c r="F13" s="308">
        <v>200</v>
      </c>
      <c r="G13" s="308">
        <v>150</v>
      </c>
      <c r="H13" s="308">
        <v>300</v>
      </c>
      <c r="I13" s="308">
        <v>500</v>
      </c>
      <c r="J13" s="308">
        <v>150</v>
      </c>
      <c r="K13" s="308">
        <v>200</v>
      </c>
    </row>
    <row r="14" spans="1:11" s="312" customFormat="1" ht="20.25" customHeight="1">
      <c r="A14" s="438"/>
      <c r="B14" s="310" t="s">
        <v>371</v>
      </c>
      <c r="C14" s="311"/>
      <c r="D14" s="311"/>
      <c r="E14" s="311"/>
      <c r="F14" s="311"/>
      <c r="G14" s="311"/>
      <c r="H14" s="311"/>
      <c r="I14" s="311"/>
      <c r="J14" s="311"/>
      <c r="K14" s="311"/>
    </row>
    <row r="15" spans="1:11" s="312" customFormat="1" ht="20.25" customHeight="1">
      <c r="A15" s="438"/>
      <c r="B15" s="310" t="s">
        <v>505</v>
      </c>
      <c r="C15" s="311"/>
      <c r="D15" s="311"/>
      <c r="E15" s="311"/>
      <c r="F15" s="311"/>
      <c r="G15" s="311"/>
      <c r="H15" s="311"/>
      <c r="I15" s="311"/>
      <c r="J15" s="311"/>
      <c r="K15" s="311"/>
    </row>
    <row r="16" spans="1:11" ht="20.25" customHeight="1">
      <c r="A16" s="437">
        <v>2</v>
      </c>
      <c r="B16" s="306" t="s">
        <v>374</v>
      </c>
      <c r="C16" s="304">
        <f>SUM(C17:C20)</f>
        <v>419900</v>
      </c>
      <c r="D16" s="304">
        <f>SUM(D17:D20)</f>
        <v>194800</v>
      </c>
      <c r="E16" s="304">
        <f t="shared" ref="E16:K16" si="4">SUM(E17:E20)</f>
        <v>71000</v>
      </c>
      <c r="F16" s="304">
        <f t="shared" si="4"/>
        <v>35200</v>
      </c>
      <c r="G16" s="304">
        <f t="shared" si="4"/>
        <v>15700</v>
      </c>
      <c r="H16" s="304">
        <f t="shared" si="4"/>
        <v>23800</v>
      </c>
      <c r="I16" s="304">
        <f t="shared" si="4"/>
        <v>18900</v>
      </c>
      <c r="J16" s="304">
        <f t="shared" si="4"/>
        <v>30500</v>
      </c>
      <c r="K16" s="304">
        <f t="shared" si="4"/>
        <v>30000</v>
      </c>
    </row>
    <row r="17" spans="1:11" ht="20.25" customHeight="1">
      <c r="A17" s="437"/>
      <c r="B17" s="307" t="s">
        <v>367</v>
      </c>
      <c r="C17" s="308">
        <f>SUM(D17:K17)</f>
        <v>345800</v>
      </c>
      <c r="D17" s="308">
        <v>157300</v>
      </c>
      <c r="E17" s="308">
        <v>60600</v>
      </c>
      <c r="F17" s="308">
        <v>26000</v>
      </c>
      <c r="G17" s="308">
        <v>13820</v>
      </c>
      <c r="H17" s="308">
        <v>20200</v>
      </c>
      <c r="I17" s="308">
        <v>14750</v>
      </c>
      <c r="J17" s="308">
        <v>26180</v>
      </c>
      <c r="K17" s="308">
        <v>26950</v>
      </c>
    </row>
    <row r="18" spans="1:11" ht="20.25" customHeight="1">
      <c r="A18" s="437"/>
      <c r="B18" s="307" t="s">
        <v>368</v>
      </c>
      <c r="C18" s="308">
        <f>SUM(D18:K18)</f>
        <v>1400</v>
      </c>
      <c r="D18" s="308">
        <v>500</v>
      </c>
      <c r="E18" s="308">
        <v>300</v>
      </c>
      <c r="F18" s="308">
        <v>30</v>
      </c>
      <c r="G18" s="308">
        <v>20</v>
      </c>
      <c r="H18" s="308">
        <v>80</v>
      </c>
      <c r="I18" s="308">
        <v>130</v>
      </c>
      <c r="J18" s="308">
        <v>310</v>
      </c>
      <c r="K18" s="308">
        <v>30</v>
      </c>
    </row>
    <row r="19" spans="1:11" ht="20.25" customHeight="1">
      <c r="A19" s="437"/>
      <c r="B19" s="307" t="s">
        <v>369</v>
      </c>
      <c r="C19" s="308">
        <f>SUM(D19:K19)</f>
        <v>69500</v>
      </c>
      <c r="D19" s="308">
        <v>36000</v>
      </c>
      <c r="E19" s="308">
        <v>10000</v>
      </c>
      <c r="F19" s="308">
        <v>9000</v>
      </c>
      <c r="G19" s="308">
        <v>1800</v>
      </c>
      <c r="H19" s="308">
        <v>3500</v>
      </c>
      <c r="I19" s="308">
        <v>3200</v>
      </c>
      <c r="J19" s="308">
        <v>3000</v>
      </c>
      <c r="K19" s="308">
        <v>3000</v>
      </c>
    </row>
    <row r="20" spans="1:11" ht="20.25" customHeight="1">
      <c r="A20" s="437"/>
      <c r="B20" s="307" t="s">
        <v>371</v>
      </c>
      <c r="C20" s="308">
        <f>SUM(D20:K20)</f>
        <v>3200</v>
      </c>
      <c r="D20" s="308">
        <v>1000</v>
      </c>
      <c r="E20" s="308">
        <v>100</v>
      </c>
      <c r="F20" s="308">
        <v>170</v>
      </c>
      <c r="G20" s="308">
        <v>60</v>
      </c>
      <c r="H20" s="308">
        <v>20</v>
      </c>
      <c r="I20" s="308">
        <v>820</v>
      </c>
      <c r="J20" s="308">
        <v>1010</v>
      </c>
      <c r="K20" s="308">
        <v>20</v>
      </c>
    </row>
    <row r="21" spans="1:11" ht="20.25" customHeight="1">
      <c r="A21" s="437">
        <v>3</v>
      </c>
      <c r="B21" s="313" t="s">
        <v>375</v>
      </c>
      <c r="C21" s="304">
        <f>SUM(D21:K21)</f>
        <v>219700</v>
      </c>
      <c r="D21" s="314">
        <v>95000</v>
      </c>
      <c r="E21" s="304">
        <v>28000</v>
      </c>
      <c r="F21" s="304">
        <v>21500</v>
      </c>
      <c r="G21" s="304">
        <v>13300</v>
      </c>
      <c r="H21" s="304">
        <v>17600</v>
      </c>
      <c r="I21" s="304">
        <v>13700</v>
      </c>
      <c r="J21" s="304">
        <v>15000</v>
      </c>
      <c r="K21" s="304">
        <v>15600</v>
      </c>
    </row>
    <row r="22" spans="1:11" s="312" customFormat="1" ht="20.25" customHeight="1">
      <c r="A22" s="438"/>
      <c r="B22" s="315" t="s">
        <v>376</v>
      </c>
      <c r="C22" s="311">
        <f t="shared" ref="C22:C41" si="5">SUM(D22:K22)</f>
        <v>50000</v>
      </c>
      <c r="D22" s="316">
        <v>18000</v>
      </c>
      <c r="E22" s="316">
        <v>5600</v>
      </c>
      <c r="F22" s="316">
        <v>4100</v>
      </c>
      <c r="G22" s="316">
        <v>3300</v>
      </c>
      <c r="H22" s="316">
        <f>5150-50</f>
        <v>5100</v>
      </c>
      <c r="I22" s="316">
        <v>5200</v>
      </c>
      <c r="J22" s="316">
        <f>4000-100</f>
        <v>3900</v>
      </c>
      <c r="K22" s="316">
        <v>4800</v>
      </c>
    </row>
    <row r="23" spans="1:11" ht="20.25" customHeight="1">
      <c r="A23" s="437">
        <v>4</v>
      </c>
      <c r="B23" s="313" t="s">
        <v>380</v>
      </c>
      <c r="C23" s="304">
        <f t="shared" si="5"/>
        <v>190500</v>
      </c>
      <c r="D23" s="304">
        <v>58400</v>
      </c>
      <c r="E23" s="304">
        <v>32000</v>
      </c>
      <c r="F23" s="304">
        <v>19000</v>
      </c>
      <c r="G23" s="304">
        <v>11900</v>
      </c>
      <c r="H23" s="304">
        <v>21500</v>
      </c>
      <c r="I23" s="304">
        <v>15500</v>
      </c>
      <c r="J23" s="304">
        <v>14200</v>
      </c>
      <c r="K23" s="304">
        <v>18000</v>
      </c>
    </row>
    <row r="24" spans="1:11" ht="20.25" customHeight="1">
      <c r="A24" s="437">
        <v>5</v>
      </c>
      <c r="B24" s="313" t="s">
        <v>381</v>
      </c>
      <c r="C24" s="304">
        <f t="shared" si="5"/>
        <v>47366</v>
      </c>
      <c r="D24" s="304">
        <v>12690</v>
      </c>
      <c r="E24" s="304">
        <v>5926</v>
      </c>
      <c r="F24" s="304">
        <v>5586</v>
      </c>
      <c r="G24" s="304">
        <v>4770</v>
      </c>
      <c r="H24" s="304">
        <v>4570</v>
      </c>
      <c r="I24" s="304">
        <v>4940</v>
      </c>
      <c r="J24" s="304">
        <v>3938</v>
      </c>
      <c r="K24" s="304">
        <v>4946</v>
      </c>
    </row>
    <row r="25" spans="1:11" s="312" customFormat="1" ht="20.25" customHeight="1">
      <c r="A25" s="438"/>
      <c r="B25" s="317" t="s">
        <v>382</v>
      </c>
      <c r="C25" s="311">
        <f>SUM(D25:K25)</f>
        <v>20400</v>
      </c>
      <c r="D25" s="316">
        <v>4000</v>
      </c>
      <c r="E25" s="316">
        <v>2200</v>
      </c>
      <c r="F25" s="316">
        <v>3400</v>
      </c>
      <c r="G25" s="316">
        <v>1500</v>
      </c>
      <c r="H25" s="316">
        <v>2200</v>
      </c>
      <c r="I25" s="316">
        <v>2400</v>
      </c>
      <c r="J25" s="316">
        <v>1900</v>
      </c>
      <c r="K25" s="316">
        <v>2800</v>
      </c>
    </row>
    <row r="26" spans="1:11" s="312" customFormat="1" ht="20.25" customHeight="1">
      <c r="A26" s="438"/>
      <c r="B26" s="317" t="s">
        <v>383</v>
      </c>
      <c r="C26" s="311">
        <f t="shared" si="5"/>
        <v>26966</v>
      </c>
      <c r="D26" s="316">
        <f>D24-D25</f>
        <v>8690</v>
      </c>
      <c r="E26" s="316">
        <f t="shared" ref="E26:K26" si="6">E24-E25</f>
        <v>3726</v>
      </c>
      <c r="F26" s="316">
        <f t="shared" si="6"/>
        <v>2186</v>
      </c>
      <c r="G26" s="316">
        <f t="shared" si="6"/>
        <v>3270</v>
      </c>
      <c r="H26" s="316">
        <f t="shared" si="6"/>
        <v>2370</v>
      </c>
      <c r="I26" s="316">
        <f t="shared" si="6"/>
        <v>2540</v>
      </c>
      <c r="J26" s="316">
        <f t="shared" si="6"/>
        <v>2038</v>
      </c>
      <c r="K26" s="316">
        <f t="shared" si="6"/>
        <v>2146</v>
      </c>
    </row>
    <row r="27" spans="1:11" s="312" customFormat="1" ht="20.25" customHeight="1">
      <c r="A27" s="438"/>
      <c r="B27" s="318" t="s">
        <v>384</v>
      </c>
      <c r="C27" s="311">
        <f t="shared" si="5"/>
        <v>1000</v>
      </c>
      <c r="D27" s="316">
        <v>500</v>
      </c>
      <c r="E27" s="316">
        <v>0</v>
      </c>
      <c r="F27" s="316">
        <v>50</v>
      </c>
      <c r="G27" s="316">
        <v>0</v>
      </c>
      <c r="H27" s="316">
        <v>0</v>
      </c>
      <c r="I27" s="316">
        <v>100</v>
      </c>
      <c r="J27" s="316">
        <f>350</f>
        <v>350</v>
      </c>
      <c r="K27" s="316">
        <f>50-50</f>
        <v>0</v>
      </c>
    </row>
    <row r="28" spans="1:11" s="312" customFormat="1" ht="20.25" customHeight="1">
      <c r="A28" s="438"/>
      <c r="B28" s="318" t="s">
        <v>385</v>
      </c>
      <c r="C28" s="311">
        <f t="shared" si="5"/>
        <v>3000</v>
      </c>
      <c r="D28" s="316">
        <v>100</v>
      </c>
      <c r="E28" s="316">
        <v>200</v>
      </c>
      <c r="F28" s="316">
        <f>140-80</f>
        <v>60</v>
      </c>
      <c r="G28" s="316">
        <v>1800</v>
      </c>
      <c r="H28" s="316">
        <f>100-20</f>
        <v>80</v>
      </c>
      <c r="I28" s="316">
        <v>100</v>
      </c>
      <c r="J28" s="316">
        <f>500+100</f>
        <v>600</v>
      </c>
      <c r="K28" s="316">
        <v>60</v>
      </c>
    </row>
    <row r="29" spans="1:11" s="312" customFormat="1" ht="20.25" customHeight="1">
      <c r="A29" s="438"/>
      <c r="B29" s="318" t="s">
        <v>386</v>
      </c>
      <c r="C29" s="311">
        <f t="shared" si="5"/>
        <v>12950</v>
      </c>
      <c r="D29" s="316">
        <v>4650</v>
      </c>
      <c r="E29" s="316">
        <v>1700</v>
      </c>
      <c r="F29" s="316">
        <f>1100+150</f>
        <v>1250</v>
      </c>
      <c r="G29" s="316">
        <f>700+50</f>
        <v>750</v>
      </c>
      <c r="H29" s="316">
        <v>1300</v>
      </c>
      <c r="I29" s="316">
        <v>1200</v>
      </c>
      <c r="J29" s="316">
        <v>800</v>
      </c>
      <c r="K29" s="316">
        <v>1300</v>
      </c>
    </row>
    <row r="30" spans="1:11" ht="20.25" customHeight="1">
      <c r="A30" s="437">
        <v>6</v>
      </c>
      <c r="B30" s="313" t="s">
        <v>387</v>
      </c>
      <c r="C30" s="304">
        <f t="shared" si="5"/>
        <v>9000</v>
      </c>
      <c r="D30" s="319">
        <v>5900</v>
      </c>
      <c r="E30" s="304">
        <v>950</v>
      </c>
      <c r="F30" s="304">
        <v>500</v>
      </c>
      <c r="G30" s="304">
        <v>150</v>
      </c>
      <c r="H30" s="304">
        <v>300</v>
      </c>
      <c r="I30" s="304">
        <v>150</v>
      </c>
      <c r="J30" s="304">
        <v>650</v>
      </c>
      <c r="K30" s="304">
        <v>400</v>
      </c>
    </row>
    <row r="31" spans="1:11" ht="20.25" customHeight="1">
      <c r="A31" s="437">
        <v>7</v>
      </c>
      <c r="B31" s="313" t="s">
        <v>388</v>
      </c>
      <c r="C31" s="304">
        <f t="shared" si="5"/>
        <v>1540</v>
      </c>
      <c r="D31" s="319">
        <v>0</v>
      </c>
      <c r="E31" s="304">
        <v>20</v>
      </c>
      <c r="F31" s="304">
        <v>20</v>
      </c>
      <c r="G31" s="304">
        <v>20</v>
      </c>
      <c r="H31" s="304">
        <v>1080</v>
      </c>
      <c r="I31" s="304">
        <v>100</v>
      </c>
      <c r="J31" s="304">
        <v>100</v>
      </c>
      <c r="K31" s="304">
        <v>200</v>
      </c>
    </row>
    <row r="32" spans="1:11" s="312" customFormat="1" ht="20.25" customHeight="1">
      <c r="A32" s="438"/>
      <c r="B32" s="320" t="s">
        <v>506</v>
      </c>
      <c r="C32" s="311"/>
      <c r="D32" s="316"/>
      <c r="E32" s="316"/>
      <c r="F32" s="316"/>
      <c r="G32" s="316"/>
      <c r="H32" s="316"/>
      <c r="I32" s="316"/>
      <c r="J32" s="316"/>
      <c r="K32" s="316"/>
    </row>
    <row r="33" spans="1:11" ht="20.25" customHeight="1">
      <c r="A33" s="437">
        <v>8</v>
      </c>
      <c r="B33" s="313" t="s">
        <v>390</v>
      </c>
      <c r="C33" s="304">
        <f t="shared" si="5"/>
        <v>371000</v>
      </c>
      <c r="D33" s="319">
        <v>215000</v>
      </c>
      <c r="E33" s="319">
        <v>30000</v>
      </c>
      <c r="F33" s="319">
        <v>25000</v>
      </c>
      <c r="G33" s="319">
        <v>8000</v>
      </c>
      <c r="H33" s="319">
        <v>28000</v>
      </c>
      <c r="I33" s="319">
        <v>20000</v>
      </c>
      <c r="J33" s="319">
        <v>27000</v>
      </c>
      <c r="K33" s="319">
        <v>18000</v>
      </c>
    </row>
    <row r="34" spans="1:11" ht="32.25" customHeight="1">
      <c r="A34" s="437">
        <v>9</v>
      </c>
      <c r="B34" s="321" t="s">
        <v>393</v>
      </c>
      <c r="C34" s="304">
        <f t="shared" si="5"/>
        <v>94</v>
      </c>
      <c r="D34" s="304">
        <v>10</v>
      </c>
      <c r="E34" s="304">
        <v>4</v>
      </c>
      <c r="F34" s="304">
        <v>44</v>
      </c>
      <c r="G34" s="304">
        <v>10</v>
      </c>
      <c r="H34" s="304">
        <v>0</v>
      </c>
      <c r="I34" s="304">
        <v>10</v>
      </c>
      <c r="J34" s="319">
        <v>12</v>
      </c>
      <c r="K34" s="319">
        <v>4</v>
      </c>
    </row>
    <row r="35" spans="1:11" ht="20.25" customHeight="1">
      <c r="A35" s="437">
        <v>10</v>
      </c>
      <c r="B35" s="313" t="s">
        <v>394</v>
      </c>
      <c r="C35" s="304">
        <f t="shared" si="5"/>
        <v>79500</v>
      </c>
      <c r="D35" s="304">
        <v>13600</v>
      </c>
      <c r="E35" s="304">
        <v>11000</v>
      </c>
      <c r="F35" s="304">
        <v>9000</v>
      </c>
      <c r="G35" s="304">
        <v>6500</v>
      </c>
      <c r="H35" s="304">
        <v>11000</v>
      </c>
      <c r="I35" s="304">
        <v>8600</v>
      </c>
      <c r="J35" s="304">
        <v>9800</v>
      </c>
      <c r="K35" s="304">
        <v>10000</v>
      </c>
    </row>
    <row r="36" spans="1:11" s="312" customFormat="1" ht="20.25" customHeight="1">
      <c r="A36" s="438"/>
      <c r="B36" s="317" t="s">
        <v>395</v>
      </c>
      <c r="C36" s="311">
        <f t="shared" si="5"/>
        <v>37900</v>
      </c>
      <c r="D36" s="316">
        <v>5600</v>
      </c>
      <c r="E36" s="316">
        <v>5400</v>
      </c>
      <c r="F36" s="316">
        <v>4000</v>
      </c>
      <c r="G36" s="316">
        <v>3500</v>
      </c>
      <c r="H36" s="316">
        <v>6200</v>
      </c>
      <c r="I36" s="316">
        <v>3700</v>
      </c>
      <c r="J36" s="316">
        <v>5500</v>
      </c>
      <c r="K36" s="316">
        <v>4000</v>
      </c>
    </row>
    <row r="37" spans="1:11" s="312" customFormat="1" ht="20.25" customHeight="1">
      <c r="A37" s="438"/>
      <c r="B37" s="317" t="s">
        <v>396</v>
      </c>
      <c r="C37" s="311">
        <f>SUM(D37:K37)</f>
        <v>32000</v>
      </c>
      <c r="D37" s="316">
        <v>3500</v>
      </c>
      <c r="E37" s="316">
        <v>4800</v>
      </c>
      <c r="F37" s="316">
        <v>3300</v>
      </c>
      <c r="G37" s="316">
        <v>3100</v>
      </c>
      <c r="H37" s="316">
        <v>5800</v>
      </c>
      <c r="I37" s="316">
        <v>3000</v>
      </c>
      <c r="J37" s="316">
        <v>5000</v>
      </c>
      <c r="K37" s="316">
        <v>3500</v>
      </c>
    </row>
    <row r="38" spans="1:11" s="312" customFormat="1" ht="20.25" customHeight="1">
      <c r="A38" s="438"/>
      <c r="B38" s="317" t="s">
        <v>397</v>
      </c>
      <c r="C38" s="311">
        <f>SUM(D38:K38)</f>
        <v>4000</v>
      </c>
      <c r="D38" s="316">
        <v>1800</v>
      </c>
      <c r="E38" s="316">
        <v>500</v>
      </c>
      <c r="F38" s="316">
        <v>400</v>
      </c>
      <c r="G38" s="316">
        <v>100</v>
      </c>
      <c r="H38" s="316">
        <v>200</v>
      </c>
      <c r="I38" s="316">
        <v>200</v>
      </c>
      <c r="J38" s="316">
        <v>400</v>
      </c>
      <c r="K38" s="316">
        <v>400</v>
      </c>
    </row>
    <row r="39" spans="1:11" s="312" customFormat="1" ht="20.25" customHeight="1">
      <c r="A39" s="438"/>
      <c r="B39" s="322" t="s">
        <v>398</v>
      </c>
      <c r="C39" s="311">
        <f t="shared" si="5"/>
        <v>41600</v>
      </c>
      <c r="D39" s="316">
        <f>D35-D36</f>
        <v>8000</v>
      </c>
      <c r="E39" s="316">
        <f t="shared" ref="E39:K39" si="7">E35-E36</f>
        <v>5600</v>
      </c>
      <c r="F39" s="316">
        <f t="shared" si="7"/>
        <v>5000</v>
      </c>
      <c r="G39" s="316">
        <f t="shared" si="7"/>
        <v>3000</v>
      </c>
      <c r="H39" s="316">
        <f t="shared" si="7"/>
        <v>4800</v>
      </c>
      <c r="I39" s="316">
        <f t="shared" si="7"/>
        <v>4900</v>
      </c>
      <c r="J39" s="316">
        <f t="shared" si="7"/>
        <v>4300</v>
      </c>
      <c r="K39" s="316">
        <f t="shared" si="7"/>
        <v>6000</v>
      </c>
    </row>
    <row r="40" spans="1:11" s="312" customFormat="1" ht="20.25" customHeight="1">
      <c r="A40" s="438"/>
      <c r="B40" s="317" t="s">
        <v>507</v>
      </c>
      <c r="C40" s="311">
        <f t="shared" si="5"/>
        <v>0</v>
      </c>
      <c r="D40" s="316"/>
      <c r="E40" s="316"/>
      <c r="F40" s="316"/>
      <c r="G40" s="316"/>
      <c r="H40" s="316"/>
      <c r="I40" s="316"/>
      <c r="J40" s="316"/>
      <c r="K40" s="316"/>
    </row>
    <row r="41" spans="1:11" s="312" customFormat="1" ht="20.25" customHeight="1">
      <c r="A41" s="438"/>
      <c r="B41" s="322" t="s">
        <v>399</v>
      </c>
      <c r="C41" s="311">
        <f t="shared" si="5"/>
        <v>3100</v>
      </c>
      <c r="D41" s="316">
        <v>0</v>
      </c>
      <c r="E41" s="316">
        <v>450</v>
      </c>
      <c r="F41" s="316">
        <v>400</v>
      </c>
      <c r="G41" s="316">
        <v>200</v>
      </c>
      <c r="H41" s="316">
        <v>1500</v>
      </c>
      <c r="I41" s="316">
        <v>300</v>
      </c>
      <c r="J41" s="316">
        <v>50</v>
      </c>
      <c r="K41" s="316">
        <v>200</v>
      </c>
    </row>
    <row r="42" spans="1:11" ht="31.5" customHeight="1">
      <c r="A42" s="437">
        <v>11</v>
      </c>
      <c r="B42" s="321" t="s">
        <v>400</v>
      </c>
      <c r="C42" s="304">
        <f>SUM(D42:K42)</f>
        <v>400</v>
      </c>
      <c r="D42" s="304"/>
      <c r="E42" s="304"/>
      <c r="F42" s="304"/>
      <c r="G42" s="304"/>
      <c r="H42" s="304">
        <v>400</v>
      </c>
      <c r="I42" s="304"/>
      <c r="J42" s="304"/>
      <c r="K42" s="304"/>
    </row>
    <row r="43" spans="1:11" s="324" customFormat="1" ht="20.25" customHeight="1">
      <c r="A43" s="302" t="s">
        <v>328</v>
      </c>
      <c r="B43" s="415" t="s">
        <v>508</v>
      </c>
      <c r="C43" s="287">
        <f>SUM(D43:K43)</f>
        <v>1277600</v>
      </c>
      <c r="D43" s="287">
        <f>D44+D45</f>
        <v>585800</v>
      </c>
      <c r="E43" s="287">
        <f t="shared" ref="E43:K43" si="8">E44+E45</f>
        <v>170850</v>
      </c>
      <c r="F43" s="287">
        <f t="shared" si="8"/>
        <v>108050</v>
      </c>
      <c r="G43" s="287">
        <f t="shared" si="8"/>
        <v>55150</v>
      </c>
      <c r="H43" s="287">
        <f t="shared" si="8"/>
        <v>98350</v>
      </c>
      <c r="I43" s="287">
        <f t="shared" si="8"/>
        <v>75500</v>
      </c>
      <c r="J43" s="287">
        <f t="shared" si="8"/>
        <v>93750</v>
      </c>
      <c r="K43" s="287">
        <f t="shared" si="8"/>
        <v>90150</v>
      </c>
    </row>
    <row r="44" spans="1:11" ht="20.25" customHeight="1">
      <c r="A44" s="323">
        <v>1</v>
      </c>
      <c r="B44" s="325" t="s">
        <v>407</v>
      </c>
      <c r="C44" s="289">
        <f>SUM(D44:K44)</f>
        <v>641200</v>
      </c>
      <c r="D44" s="289">
        <f t="shared" ref="D44:K44" si="9">D20+D23+D26+D30+D31+D33+D34+D39-D41+D42</f>
        <v>297000</v>
      </c>
      <c r="E44" s="289">
        <f t="shared" si="9"/>
        <v>71950</v>
      </c>
      <c r="F44" s="289">
        <f t="shared" si="9"/>
        <v>51520</v>
      </c>
      <c r="G44" s="289">
        <f t="shared" si="9"/>
        <v>26210</v>
      </c>
      <c r="H44" s="289">
        <f t="shared" si="9"/>
        <v>56970</v>
      </c>
      <c r="I44" s="289">
        <f t="shared" si="9"/>
        <v>43720</v>
      </c>
      <c r="J44" s="289">
        <f t="shared" si="9"/>
        <v>49260</v>
      </c>
      <c r="K44" s="289">
        <f t="shared" si="9"/>
        <v>44570</v>
      </c>
    </row>
    <row r="45" spans="1:11" ht="20.25" customHeight="1">
      <c r="A45" s="323">
        <v>2</v>
      </c>
      <c r="B45" s="325" t="s">
        <v>408</v>
      </c>
      <c r="C45" s="289">
        <f>SUM(D45:K45)</f>
        <v>636400</v>
      </c>
      <c r="D45" s="289">
        <f t="shared" ref="D45:K45" si="10">D16-D20+D21</f>
        <v>288800</v>
      </c>
      <c r="E45" s="289">
        <f t="shared" si="10"/>
        <v>98900</v>
      </c>
      <c r="F45" s="289">
        <f t="shared" si="10"/>
        <v>56530</v>
      </c>
      <c r="G45" s="289">
        <f t="shared" si="10"/>
        <v>28940</v>
      </c>
      <c r="H45" s="289">
        <f t="shared" si="10"/>
        <v>41380</v>
      </c>
      <c r="I45" s="289">
        <f t="shared" si="10"/>
        <v>31780</v>
      </c>
      <c r="J45" s="289">
        <f t="shared" si="10"/>
        <v>44490</v>
      </c>
      <c r="K45" s="289">
        <f t="shared" si="10"/>
        <v>45580</v>
      </c>
    </row>
    <row r="46" spans="1:11" s="324" customFormat="1" ht="20.25" customHeight="1">
      <c r="A46" s="302" t="s">
        <v>357</v>
      </c>
      <c r="B46" s="291" t="s">
        <v>509</v>
      </c>
      <c r="C46" s="287">
        <f>SUM(C47:C51)</f>
        <v>4567409</v>
      </c>
      <c r="D46" s="287">
        <f t="shared" ref="D46:K46" si="11">SUM(D47:D51)</f>
        <v>298367</v>
      </c>
      <c r="E46" s="287">
        <f t="shared" si="11"/>
        <v>618987</v>
      </c>
      <c r="F46" s="287">
        <f t="shared" si="11"/>
        <v>391786</v>
      </c>
      <c r="G46" s="287">
        <f t="shared" si="11"/>
        <v>444978</v>
      </c>
      <c r="H46" s="287">
        <f t="shared" si="11"/>
        <v>766478</v>
      </c>
      <c r="I46" s="287">
        <f t="shared" si="11"/>
        <v>804519</v>
      </c>
      <c r="J46" s="287">
        <f t="shared" si="11"/>
        <v>466302</v>
      </c>
      <c r="K46" s="287">
        <f t="shared" si="11"/>
        <v>775392</v>
      </c>
    </row>
    <row r="47" spans="1:11" ht="20.25" customHeight="1">
      <c r="A47" s="323">
        <v>1</v>
      </c>
      <c r="B47" s="325" t="s">
        <v>485</v>
      </c>
      <c r="C47" s="289">
        <f>SUM(D47:K47)</f>
        <v>2327763</v>
      </c>
      <c r="D47" s="289">
        <v>48390</v>
      </c>
      <c r="E47" s="289">
        <v>322320</v>
      </c>
      <c r="F47" s="289">
        <v>186776</v>
      </c>
      <c r="G47" s="289">
        <v>247930</v>
      </c>
      <c r="H47" s="289">
        <v>403590</v>
      </c>
      <c r="I47" s="289">
        <v>436265</v>
      </c>
      <c r="J47" s="289">
        <v>263067</v>
      </c>
      <c r="K47" s="289">
        <v>419425</v>
      </c>
    </row>
    <row r="48" spans="1:11" ht="20.25" customHeight="1">
      <c r="A48" s="323">
        <v>2</v>
      </c>
      <c r="B48" s="325" t="s">
        <v>486</v>
      </c>
      <c r="C48" s="289">
        <f>SUM(D48:K48)</f>
        <v>125082</v>
      </c>
      <c r="D48" s="289">
        <v>40090</v>
      </c>
      <c r="E48" s="289">
        <v>17848</v>
      </c>
      <c r="F48" s="289">
        <v>30724</v>
      </c>
      <c r="G48" s="289">
        <v>5020</v>
      </c>
      <c r="H48" s="289">
        <v>7020</v>
      </c>
      <c r="I48" s="289">
        <v>5322</v>
      </c>
      <c r="J48" s="289">
        <v>6487</v>
      </c>
      <c r="K48" s="289">
        <v>12571</v>
      </c>
    </row>
    <row r="49" spans="1:11" ht="20.25" customHeight="1">
      <c r="A49" s="323">
        <v>3</v>
      </c>
      <c r="B49" s="416" t="s">
        <v>510</v>
      </c>
      <c r="C49" s="289">
        <f>SUM(D49:K49)</f>
        <v>1066704</v>
      </c>
      <c r="D49" s="289">
        <v>117587</v>
      </c>
      <c r="E49" s="289">
        <v>149478</v>
      </c>
      <c r="F49" s="289">
        <v>98465</v>
      </c>
      <c r="G49" s="289">
        <v>96846</v>
      </c>
      <c r="H49" s="289">
        <v>164399</v>
      </c>
      <c r="I49" s="289">
        <v>166357</v>
      </c>
      <c r="J49" s="289">
        <v>109276</v>
      </c>
      <c r="K49" s="289">
        <v>164296</v>
      </c>
    </row>
    <row r="50" spans="1:11" ht="20.25" customHeight="1">
      <c r="A50" s="323">
        <v>4</v>
      </c>
      <c r="B50" s="325" t="s">
        <v>511</v>
      </c>
      <c r="C50" s="289">
        <f t="shared" ref="C50" si="12">SUM(D50:K50)</f>
        <v>65000</v>
      </c>
      <c r="D50" s="289">
        <v>6000</v>
      </c>
      <c r="E50" s="289">
        <v>9000</v>
      </c>
      <c r="F50" s="289">
        <v>7000</v>
      </c>
      <c r="G50" s="289">
        <v>8000</v>
      </c>
      <c r="H50" s="289">
        <v>9000</v>
      </c>
      <c r="I50" s="289">
        <v>9000</v>
      </c>
      <c r="J50" s="289">
        <v>8000</v>
      </c>
      <c r="K50" s="289">
        <v>9000</v>
      </c>
    </row>
    <row r="51" spans="1:11" ht="20.25" customHeight="1">
      <c r="A51" s="323">
        <v>5</v>
      </c>
      <c r="B51" s="325" t="s">
        <v>512</v>
      </c>
      <c r="C51" s="289">
        <f>SUM(D51:K51)+600</f>
        <v>982860</v>
      </c>
      <c r="D51" s="289">
        <f>'Bieu so 06'!D18</f>
        <v>86300</v>
      </c>
      <c r="E51" s="289">
        <f>'Bieu so 06'!E18</f>
        <v>120341</v>
      </c>
      <c r="F51" s="289">
        <f>'Bieu so 06'!F18</f>
        <v>68821</v>
      </c>
      <c r="G51" s="289">
        <f>'Bieu so 06'!G18</f>
        <v>87182</v>
      </c>
      <c r="H51" s="289">
        <f>'Bieu so 06'!H18</f>
        <v>182469</v>
      </c>
      <c r="I51" s="289">
        <f>'Bieu so 06'!I18</f>
        <v>187575</v>
      </c>
      <c r="J51" s="289">
        <f>'Bieu so 06'!J18</f>
        <v>79472</v>
      </c>
      <c r="K51" s="289">
        <f>'Bieu so 06'!K18</f>
        <v>170100</v>
      </c>
    </row>
    <row r="52" spans="1:11" hidden="1">
      <c r="C52" s="263">
        <v>125082</v>
      </c>
      <c r="D52" s="263">
        <v>40090</v>
      </c>
      <c r="E52" s="263">
        <v>17848</v>
      </c>
      <c r="F52" s="263">
        <v>30724</v>
      </c>
      <c r="G52" s="263">
        <v>5020</v>
      </c>
      <c r="H52" s="263">
        <v>7020</v>
      </c>
      <c r="I52" s="263">
        <v>5322</v>
      </c>
      <c r="J52" s="263">
        <v>6487</v>
      </c>
      <c r="K52" s="263">
        <v>12571</v>
      </c>
    </row>
    <row r="53" spans="1:11" hidden="1">
      <c r="C53" s="289">
        <v>5845009</v>
      </c>
      <c r="D53" s="289">
        <v>884167</v>
      </c>
      <c r="E53" s="289">
        <v>789837</v>
      </c>
      <c r="F53" s="289">
        <v>499836</v>
      </c>
      <c r="G53" s="289">
        <v>500128</v>
      </c>
      <c r="H53" s="289">
        <v>864828</v>
      </c>
      <c r="I53" s="289">
        <v>880019</v>
      </c>
      <c r="J53" s="289">
        <v>560052</v>
      </c>
      <c r="K53" s="289">
        <v>865542</v>
      </c>
    </row>
  </sheetData>
  <mergeCells count="11">
    <mergeCell ref="J5:K5"/>
    <mergeCell ref="J1:K1"/>
    <mergeCell ref="A2:K2"/>
    <mergeCell ref="A3:K3"/>
    <mergeCell ref="H4:K4"/>
    <mergeCell ref="A5:A6"/>
    <mergeCell ref="B5:B6"/>
    <mergeCell ref="C5:C6"/>
    <mergeCell ref="D5:E5"/>
    <mergeCell ref="F5:G5"/>
    <mergeCell ref="H5:I5"/>
  </mergeCells>
  <printOptions horizontalCentered="1"/>
  <pageMargins left="0" right="0" top="0.59055118110236227" bottom="0.59055118110236227" header="0" footer="0"/>
  <pageSetup paperSize="9" scale="81" fitToHeight="0" orientation="landscape" r:id="rId1"/>
  <headerFooter differentFirst="1">
    <oddHeader>&amp;C&amp;"Times New Roman,Regular"&amp;P</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zoomScaleNormal="100" zoomScaleSheetLayoutView="95" workbookViewId="0">
      <selection activeCell="A7" sqref="A7"/>
    </sheetView>
  </sheetViews>
  <sheetFormatPr defaultColWidth="8.90625" defaultRowHeight="16.8"/>
  <cols>
    <col min="1" max="1" width="4.1796875" style="300" bestFit="1" customWidth="1"/>
    <col min="2" max="2" width="47.6328125" style="305" customWidth="1"/>
    <col min="3" max="3" width="12.81640625" style="305" customWidth="1"/>
    <col min="4" max="4" width="12" style="263" customWidth="1"/>
    <col min="5" max="5" width="10.90625" style="263" customWidth="1"/>
    <col min="6" max="10" width="10.1796875" style="263" customWidth="1"/>
    <col min="11" max="11" width="11.36328125" style="263" customWidth="1"/>
    <col min="12" max="16384" width="8.90625" style="305"/>
  </cols>
  <sheetData>
    <row r="1" spans="1:11">
      <c r="K1" s="342" t="s">
        <v>543</v>
      </c>
    </row>
    <row r="2" spans="1:11" ht="26.25" customHeight="1">
      <c r="A2" s="577" t="s">
        <v>513</v>
      </c>
      <c r="B2" s="577"/>
      <c r="C2" s="577"/>
      <c r="D2" s="577"/>
      <c r="E2" s="577"/>
      <c r="F2" s="577"/>
      <c r="G2" s="577"/>
      <c r="H2" s="577"/>
      <c r="I2" s="577"/>
      <c r="J2" s="577"/>
      <c r="K2" s="577"/>
    </row>
    <row r="3" spans="1:11" ht="21.75" customHeight="1">
      <c r="A3" s="578" t="str">
        <f>'Bieu so 01'!$A$3:$C$3</f>
        <v>(Kèm theo Quyết định số 2603/QĐ-UBND ngày 16/12/2024 của Ủy ban nhân dân tỉnh)</v>
      </c>
      <c r="B3" s="578"/>
      <c r="C3" s="578"/>
      <c r="D3" s="578"/>
      <c r="E3" s="578"/>
      <c r="F3" s="578"/>
      <c r="G3" s="578"/>
      <c r="H3" s="578"/>
      <c r="I3" s="578"/>
      <c r="J3" s="578"/>
      <c r="K3" s="578"/>
    </row>
    <row r="4" spans="1:11" ht="28.5" customHeight="1">
      <c r="A4" s="257"/>
      <c r="B4" s="343"/>
      <c r="C4" s="284"/>
      <c r="H4" s="579" t="s">
        <v>306</v>
      </c>
      <c r="I4" s="579"/>
      <c r="J4" s="579"/>
      <c r="K4" s="579"/>
    </row>
    <row r="5" spans="1:11" s="300" customFormat="1" ht="25.5" customHeight="1">
      <c r="A5" s="580" t="s">
        <v>309</v>
      </c>
      <c r="B5" s="582" t="s">
        <v>360</v>
      </c>
      <c r="C5" s="580" t="s">
        <v>162</v>
      </c>
      <c r="D5" s="592" t="s">
        <v>492</v>
      </c>
      <c r="E5" s="593"/>
      <c r="F5" s="592" t="s">
        <v>493</v>
      </c>
      <c r="G5" s="593"/>
      <c r="H5" s="592" t="s">
        <v>494</v>
      </c>
      <c r="I5" s="593"/>
      <c r="J5" s="592" t="s">
        <v>495</v>
      </c>
      <c r="K5" s="593"/>
    </row>
    <row r="6" spans="1:11" s="300" customFormat="1" ht="25.5" customHeight="1">
      <c r="A6" s="581"/>
      <c r="B6" s="583"/>
      <c r="C6" s="581"/>
      <c r="D6" s="301" t="s">
        <v>496</v>
      </c>
      <c r="E6" s="301" t="s">
        <v>497</v>
      </c>
      <c r="F6" s="301" t="s">
        <v>498</v>
      </c>
      <c r="G6" s="301" t="s">
        <v>499</v>
      </c>
      <c r="H6" s="301" t="s">
        <v>500</v>
      </c>
      <c r="I6" s="301" t="s">
        <v>501</v>
      </c>
      <c r="J6" s="301" t="s">
        <v>502</v>
      </c>
      <c r="K6" s="301" t="s">
        <v>503</v>
      </c>
    </row>
    <row r="7" spans="1:11" s="300" customFormat="1" ht="25.5" customHeight="1">
      <c r="A7" s="258"/>
      <c r="B7" s="386" t="s">
        <v>514</v>
      </c>
      <c r="C7" s="260">
        <f t="shared" ref="C7:K7" si="0">C8+C18</f>
        <v>5845009</v>
      </c>
      <c r="D7" s="260">
        <f t="shared" si="0"/>
        <v>884167</v>
      </c>
      <c r="E7" s="260">
        <f t="shared" si="0"/>
        <v>789837</v>
      </c>
      <c r="F7" s="260">
        <f t="shared" si="0"/>
        <v>499836</v>
      </c>
      <c r="G7" s="260">
        <f t="shared" si="0"/>
        <v>500128</v>
      </c>
      <c r="H7" s="260">
        <f t="shared" si="0"/>
        <v>864828</v>
      </c>
      <c r="I7" s="260">
        <f t="shared" si="0"/>
        <v>880019</v>
      </c>
      <c r="J7" s="260">
        <f t="shared" si="0"/>
        <v>560052</v>
      </c>
      <c r="K7" s="260">
        <f t="shared" si="0"/>
        <v>865542</v>
      </c>
    </row>
    <row r="8" spans="1:11" s="324" customFormat="1" ht="25.5" customHeight="1">
      <c r="A8" s="302" t="s">
        <v>314</v>
      </c>
      <c r="B8" s="387" t="s">
        <v>515</v>
      </c>
      <c r="C8" s="287">
        <f t="shared" ref="C8:K8" si="1">C9+C13+C17</f>
        <v>4862149</v>
      </c>
      <c r="D8" s="287">
        <f t="shared" si="1"/>
        <v>797867</v>
      </c>
      <c r="E8" s="287">
        <f t="shared" si="1"/>
        <v>669496</v>
      </c>
      <c r="F8" s="287">
        <f t="shared" si="1"/>
        <v>431015</v>
      </c>
      <c r="G8" s="287">
        <f t="shared" si="1"/>
        <v>412946</v>
      </c>
      <c r="H8" s="287">
        <f t="shared" si="1"/>
        <v>682359</v>
      </c>
      <c r="I8" s="287">
        <f t="shared" si="1"/>
        <v>692444</v>
      </c>
      <c r="J8" s="287">
        <f t="shared" si="1"/>
        <v>480580</v>
      </c>
      <c r="K8" s="287">
        <f t="shared" si="1"/>
        <v>695442</v>
      </c>
    </row>
    <row r="9" spans="1:11" s="324" customFormat="1" ht="25.5" customHeight="1">
      <c r="A9" s="302">
        <v>1</v>
      </c>
      <c r="B9" s="387" t="s">
        <v>414</v>
      </c>
      <c r="C9" s="287">
        <f>C10+C11+C12</f>
        <v>581200</v>
      </c>
      <c r="D9" s="287">
        <f t="shared" ref="D9:K9" si="2">D10+D11+D12</f>
        <v>247163</v>
      </c>
      <c r="E9" s="287">
        <f t="shared" si="2"/>
        <v>56176</v>
      </c>
      <c r="F9" s="287">
        <f t="shared" si="2"/>
        <v>49702</v>
      </c>
      <c r="G9" s="287">
        <f t="shared" si="2"/>
        <v>31730</v>
      </c>
      <c r="H9" s="287">
        <f t="shared" si="2"/>
        <v>55206</v>
      </c>
      <c r="I9" s="287">
        <f t="shared" si="2"/>
        <v>45786</v>
      </c>
      <c r="J9" s="287">
        <f t="shared" si="2"/>
        <v>49924</v>
      </c>
      <c r="K9" s="287">
        <f t="shared" si="2"/>
        <v>45513</v>
      </c>
    </row>
    <row r="10" spans="1:11" ht="25.5" customHeight="1">
      <c r="A10" s="323"/>
      <c r="B10" s="388" t="s">
        <v>516</v>
      </c>
      <c r="C10" s="289">
        <f>SUM(D10:K10)</f>
        <v>145200</v>
      </c>
      <c r="D10" s="289">
        <v>26163</v>
      </c>
      <c r="E10" s="289">
        <v>17176</v>
      </c>
      <c r="F10" s="289">
        <v>17702</v>
      </c>
      <c r="G10" s="289">
        <v>15730</v>
      </c>
      <c r="H10" s="289">
        <v>18206</v>
      </c>
      <c r="I10" s="289">
        <v>16786</v>
      </c>
      <c r="J10" s="289">
        <v>14924</v>
      </c>
      <c r="K10" s="289">
        <v>18513</v>
      </c>
    </row>
    <row r="11" spans="1:11" ht="25.5" customHeight="1">
      <c r="A11" s="323"/>
      <c r="B11" s="388" t="s">
        <v>417</v>
      </c>
      <c r="C11" s="289">
        <f t="shared" ref="C11:C16" si="3">SUM(D11:K11)</f>
        <v>371000</v>
      </c>
      <c r="D11" s="289">
        <v>215000</v>
      </c>
      <c r="E11" s="289">
        <v>30000</v>
      </c>
      <c r="F11" s="289">
        <v>25000</v>
      </c>
      <c r="G11" s="289">
        <v>8000</v>
      </c>
      <c r="H11" s="289">
        <v>28000</v>
      </c>
      <c r="I11" s="289">
        <v>20000</v>
      </c>
      <c r="J11" s="289">
        <v>27000</v>
      </c>
      <c r="K11" s="289">
        <v>18000</v>
      </c>
    </row>
    <row r="12" spans="1:11" ht="25.5" customHeight="1">
      <c r="A12" s="323"/>
      <c r="B12" s="388" t="s">
        <v>517</v>
      </c>
      <c r="C12" s="289">
        <f t="shared" si="3"/>
        <v>65000</v>
      </c>
      <c r="D12" s="289">
        <v>6000</v>
      </c>
      <c r="E12" s="289">
        <v>9000</v>
      </c>
      <c r="F12" s="289">
        <v>7000</v>
      </c>
      <c r="G12" s="289">
        <v>8000</v>
      </c>
      <c r="H12" s="289">
        <v>9000</v>
      </c>
      <c r="I12" s="289">
        <v>9000</v>
      </c>
      <c r="J12" s="289">
        <v>8000</v>
      </c>
      <c r="K12" s="289">
        <v>9000</v>
      </c>
    </row>
    <row r="13" spans="1:11" s="324" customFormat="1" ht="25.5" customHeight="1">
      <c r="A13" s="302">
        <v>2</v>
      </c>
      <c r="B13" s="387" t="s">
        <v>423</v>
      </c>
      <c r="C13" s="287">
        <f>C14+C15+C16</f>
        <v>4184949</v>
      </c>
      <c r="D13" s="287">
        <f t="shared" ref="D13:K13" si="4">D14+D15+D16</f>
        <v>535004</v>
      </c>
      <c r="E13" s="287">
        <f t="shared" si="4"/>
        <v>600120</v>
      </c>
      <c r="F13" s="287">
        <f t="shared" si="4"/>
        <v>372813</v>
      </c>
      <c r="G13" s="287">
        <f t="shared" si="4"/>
        <v>373016</v>
      </c>
      <c r="H13" s="287">
        <f t="shared" si="4"/>
        <v>613653</v>
      </c>
      <c r="I13" s="287">
        <f t="shared" si="4"/>
        <v>632958</v>
      </c>
      <c r="J13" s="287">
        <f t="shared" si="4"/>
        <v>421156</v>
      </c>
      <c r="K13" s="287">
        <f t="shared" si="4"/>
        <v>636229</v>
      </c>
    </row>
    <row r="14" spans="1:11" ht="25.5" customHeight="1">
      <c r="A14" s="323"/>
      <c r="B14" s="388" t="s">
        <v>518</v>
      </c>
      <c r="C14" s="289">
        <f t="shared" si="3"/>
        <v>2610484</v>
      </c>
      <c r="D14" s="289">
        <v>322590</v>
      </c>
      <c r="E14" s="289">
        <v>385036</v>
      </c>
      <c r="F14" s="289">
        <v>223176</v>
      </c>
      <c r="G14" s="289">
        <v>229085</v>
      </c>
      <c r="H14" s="289">
        <v>379499</v>
      </c>
      <c r="I14" s="289">
        <v>426535</v>
      </c>
      <c r="J14" s="289">
        <v>255298</v>
      </c>
      <c r="K14" s="289">
        <v>389265</v>
      </c>
    </row>
    <row r="15" spans="1:11" ht="25.5" customHeight="1">
      <c r="A15" s="323"/>
      <c r="B15" s="388" t="s">
        <v>519</v>
      </c>
      <c r="C15" s="289">
        <f t="shared" si="3"/>
        <v>1690</v>
      </c>
      <c r="D15" s="289">
        <v>210</v>
      </c>
      <c r="E15" s="289">
        <v>210</v>
      </c>
      <c r="F15" s="289">
        <v>210</v>
      </c>
      <c r="G15" s="289">
        <v>220</v>
      </c>
      <c r="H15" s="289">
        <v>210</v>
      </c>
      <c r="I15" s="289">
        <v>210</v>
      </c>
      <c r="J15" s="289">
        <v>210</v>
      </c>
      <c r="K15" s="289">
        <v>210</v>
      </c>
    </row>
    <row r="16" spans="1:11" ht="25.5" customHeight="1">
      <c r="A16" s="323"/>
      <c r="B16" s="388" t="s">
        <v>426</v>
      </c>
      <c r="C16" s="289">
        <f t="shared" si="3"/>
        <v>1572775</v>
      </c>
      <c r="D16" s="289">
        <v>212204</v>
      </c>
      <c r="E16" s="289">
        <v>214874</v>
      </c>
      <c r="F16" s="289">
        <v>149427</v>
      </c>
      <c r="G16" s="289">
        <v>143711</v>
      </c>
      <c r="H16" s="289">
        <v>233944</v>
      </c>
      <c r="I16" s="289">
        <v>206213</v>
      </c>
      <c r="J16" s="289">
        <v>165648</v>
      </c>
      <c r="K16" s="289">
        <v>246754</v>
      </c>
    </row>
    <row r="17" spans="1:11" s="324" customFormat="1" ht="25.5" customHeight="1">
      <c r="A17" s="302">
        <v>3</v>
      </c>
      <c r="B17" s="387" t="s">
        <v>520</v>
      </c>
      <c r="C17" s="287">
        <f>SUM(D17:K17)</f>
        <v>96000</v>
      </c>
      <c r="D17" s="287">
        <v>15700</v>
      </c>
      <c r="E17" s="287">
        <v>13200</v>
      </c>
      <c r="F17" s="287">
        <v>8500</v>
      </c>
      <c r="G17" s="287">
        <v>8200</v>
      </c>
      <c r="H17" s="287">
        <v>13500</v>
      </c>
      <c r="I17" s="287">
        <v>13700</v>
      </c>
      <c r="J17" s="287">
        <v>9500</v>
      </c>
      <c r="K17" s="287">
        <v>13700</v>
      </c>
    </row>
    <row r="18" spans="1:11" s="324" customFormat="1" ht="25.5" customHeight="1">
      <c r="A18" s="302" t="s">
        <v>328</v>
      </c>
      <c r="B18" s="387" t="s">
        <v>521</v>
      </c>
      <c r="C18" s="287">
        <f>SUM(C19:C35)-C24-C29</f>
        <v>982860</v>
      </c>
      <c r="D18" s="287">
        <f t="shared" ref="D18:K18" si="5">SUM(D19:D35)-D24-D29</f>
        <v>86300</v>
      </c>
      <c r="E18" s="287">
        <f t="shared" si="5"/>
        <v>120341</v>
      </c>
      <c r="F18" s="287">
        <f t="shared" si="5"/>
        <v>68821</v>
      </c>
      <c r="G18" s="287">
        <f t="shared" si="5"/>
        <v>87182</v>
      </c>
      <c r="H18" s="287">
        <f t="shared" si="5"/>
        <v>182469</v>
      </c>
      <c r="I18" s="287">
        <f t="shared" si="5"/>
        <v>187575</v>
      </c>
      <c r="J18" s="287">
        <f t="shared" si="5"/>
        <v>79472</v>
      </c>
      <c r="K18" s="287">
        <f t="shared" si="5"/>
        <v>170100</v>
      </c>
    </row>
    <row r="19" spans="1:11" ht="52.5" customHeight="1">
      <c r="A19" s="323">
        <v>1</v>
      </c>
      <c r="B19" s="389" t="s">
        <v>522</v>
      </c>
      <c r="C19" s="289">
        <f>SUM(D19:K19)</f>
        <v>4850</v>
      </c>
      <c r="D19" s="289">
        <v>699</v>
      </c>
      <c r="E19" s="289">
        <v>950</v>
      </c>
      <c r="F19" s="289">
        <v>236</v>
      </c>
      <c r="G19" s="289">
        <v>111</v>
      </c>
      <c r="H19" s="289">
        <v>781</v>
      </c>
      <c r="I19" s="289">
        <v>720</v>
      </c>
      <c r="J19" s="289">
        <v>106</v>
      </c>
      <c r="K19" s="289">
        <v>1247</v>
      </c>
    </row>
    <row r="20" spans="1:11" ht="40.5" customHeight="1">
      <c r="A20" s="323">
        <v>2</v>
      </c>
      <c r="B20" s="389" t="s">
        <v>523</v>
      </c>
      <c r="C20" s="289">
        <f>SUM(D20:K20)</f>
        <v>4012</v>
      </c>
      <c r="D20" s="289">
        <v>346</v>
      </c>
      <c r="E20" s="289">
        <v>735</v>
      </c>
      <c r="F20" s="289">
        <v>951</v>
      </c>
      <c r="G20" s="289">
        <v>350</v>
      </c>
      <c r="H20" s="289">
        <v>389</v>
      </c>
      <c r="I20" s="289">
        <v>376</v>
      </c>
      <c r="J20" s="289">
        <v>247</v>
      </c>
      <c r="K20" s="289">
        <v>618</v>
      </c>
    </row>
    <row r="21" spans="1:11" ht="53.25" customHeight="1">
      <c r="A21" s="323">
        <v>3</v>
      </c>
      <c r="B21" s="389" t="s">
        <v>524</v>
      </c>
      <c r="C21" s="289">
        <f t="shared" ref="C21:C34" si="6">SUM(D21:K21)</f>
        <v>6725</v>
      </c>
      <c r="D21" s="289">
        <v>794</v>
      </c>
      <c r="E21" s="289">
        <v>1251</v>
      </c>
      <c r="F21" s="289">
        <v>1800</v>
      </c>
      <c r="G21" s="289">
        <v>187</v>
      </c>
      <c r="H21" s="289">
        <v>497</v>
      </c>
      <c r="I21" s="289">
        <v>1242</v>
      </c>
      <c r="J21" s="289">
        <v>209</v>
      </c>
      <c r="K21" s="289">
        <v>745</v>
      </c>
    </row>
    <row r="22" spans="1:11" ht="56.25" customHeight="1">
      <c r="A22" s="323">
        <v>4</v>
      </c>
      <c r="B22" s="389" t="s">
        <v>525</v>
      </c>
      <c r="C22" s="289">
        <f t="shared" si="6"/>
        <v>3686</v>
      </c>
      <c r="D22" s="289">
        <v>487</v>
      </c>
      <c r="E22" s="289">
        <v>435</v>
      </c>
      <c r="F22" s="289">
        <v>405</v>
      </c>
      <c r="G22" s="289">
        <v>512</v>
      </c>
      <c r="H22" s="289">
        <v>507</v>
      </c>
      <c r="I22" s="289">
        <v>380</v>
      </c>
      <c r="J22" s="289">
        <v>488</v>
      </c>
      <c r="K22" s="289">
        <v>472</v>
      </c>
    </row>
    <row r="23" spans="1:11" ht="53.25" customHeight="1">
      <c r="A23" s="323">
        <v>5</v>
      </c>
      <c r="B23" s="389" t="s">
        <v>526</v>
      </c>
      <c r="C23" s="289">
        <f t="shared" si="6"/>
        <v>12708</v>
      </c>
      <c r="D23" s="289">
        <f>696+226</f>
        <v>922</v>
      </c>
      <c r="E23" s="289">
        <f>1344+435</f>
        <v>1779</v>
      </c>
      <c r="F23" s="289">
        <f>636+324</f>
        <v>960</v>
      </c>
      <c r="G23" s="289">
        <f>840+428</f>
        <v>1268</v>
      </c>
      <c r="H23" s="289">
        <f>1536+783</f>
        <v>2319</v>
      </c>
      <c r="I23" s="289">
        <f>1080+551</f>
        <v>1631</v>
      </c>
      <c r="J23" s="289">
        <f>1020+330</f>
        <v>1350</v>
      </c>
      <c r="K23" s="289">
        <f>1872+607</f>
        <v>2479</v>
      </c>
    </row>
    <row r="24" spans="1:11" ht="38.25" customHeight="1">
      <c r="A24" s="323">
        <v>6</v>
      </c>
      <c r="B24" s="389" t="s">
        <v>527</v>
      </c>
      <c r="C24" s="289">
        <f>C25+C26</f>
        <v>26898</v>
      </c>
      <c r="D24" s="289">
        <f t="shared" ref="D24:K24" si="7">D25+D26</f>
        <v>2379</v>
      </c>
      <c r="E24" s="289">
        <f t="shared" si="7"/>
        <v>3293</v>
      </c>
      <c r="F24" s="289">
        <f t="shared" si="7"/>
        <v>2202</v>
      </c>
      <c r="G24" s="289">
        <f t="shared" si="7"/>
        <v>3021</v>
      </c>
      <c r="H24" s="289">
        <f t="shared" si="7"/>
        <v>5525</v>
      </c>
      <c r="I24" s="289">
        <f t="shared" si="7"/>
        <v>3746</v>
      </c>
      <c r="J24" s="289">
        <f t="shared" si="7"/>
        <v>2591</v>
      </c>
      <c r="K24" s="289">
        <f t="shared" si="7"/>
        <v>4141</v>
      </c>
    </row>
    <row r="25" spans="1:11" s="312" customFormat="1" ht="38.25" customHeight="1">
      <c r="A25" s="326"/>
      <c r="B25" s="390" t="s">
        <v>528</v>
      </c>
      <c r="C25" s="327">
        <f t="shared" si="6"/>
        <v>7570</v>
      </c>
      <c r="D25" s="327">
        <v>717</v>
      </c>
      <c r="E25" s="327">
        <v>1173</v>
      </c>
      <c r="F25" s="327">
        <v>433</v>
      </c>
      <c r="G25" s="327">
        <v>825</v>
      </c>
      <c r="H25" s="327">
        <v>1694</v>
      </c>
      <c r="I25" s="327">
        <v>540</v>
      </c>
      <c r="J25" s="327">
        <v>873</v>
      </c>
      <c r="K25" s="327">
        <v>1315</v>
      </c>
    </row>
    <row r="26" spans="1:11" s="312" customFormat="1" ht="51.75" customHeight="1">
      <c r="A26" s="326"/>
      <c r="B26" s="390" t="s">
        <v>529</v>
      </c>
      <c r="C26" s="327">
        <f t="shared" si="6"/>
        <v>19328</v>
      </c>
      <c r="D26" s="327">
        <f>1639+23</f>
        <v>1662</v>
      </c>
      <c r="E26" s="327">
        <f>2076+44</f>
        <v>2120</v>
      </c>
      <c r="F26" s="327">
        <f>1748+21</f>
        <v>1769</v>
      </c>
      <c r="G26" s="327">
        <f>2169+27</f>
        <v>2196</v>
      </c>
      <c r="H26" s="327">
        <f>3757+74</f>
        <v>3831</v>
      </c>
      <c r="I26" s="327">
        <f>3171+35</f>
        <v>3206</v>
      </c>
      <c r="J26" s="327">
        <f>1685+33</f>
        <v>1718</v>
      </c>
      <c r="K26" s="327">
        <f>2765+61</f>
        <v>2826</v>
      </c>
    </row>
    <row r="27" spans="1:11" ht="24" customHeight="1">
      <c r="A27" s="323">
        <v>7</v>
      </c>
      <c r="B27" s="388" t="s">
        <v>530</v>
      </c>
      <c r="C27" s="289">
        <f t="shared" si="6"/>
        <v>2324</v>
      </c>
      <c r="D27" s="289"/>
      <c r="E27" s="289">
        <v>589</v>
      </c>
      <c r="F27" s="328"/>
      <c r="G27" s="289">
        <v>425</v>
      </c>
      <c r="H27" s="289"/>
      <c r="I27" s="289"/>
      <c r="J27" s="289"/>
      <c r="K27" s="289">
        <v>1310</v>
      </c>
    </row>
    <row r="28" spans="1:11" ht="24" customHeight="1">
      <c r="A28" s="323">
        <v>8</v>
      </c>
      <c r="B28" s="391" t="s">
        <v>531</v>
      </c>
      <c r="C28" s="289">
        <f t="shared" si="6"/>
        <v>53400</v>
      </c>
      <c r="D28" s="289">
        <v>16000</v>
      </c>
      <c r="E28" s="289">
        <f>6800+500</f>
        <v>7300</v>
      </c>
      <c r="F28" s="328">
        <f>5300+300</f>
        <v>5600</v>
      </c>
      <c r="G28" s="289">
        <v>7000</v>
      </c>
      <c r="H28" s="289">
        <f>2500+500</f>
        <v>3000</v>
      </c>
      <c r="I28" s="289">
        <v>5000</v>
      </c>
      <c r="J28" s="289">
        <f>1800+700</f>
        <v>2500</v>
      </c>
      <c r="K28" s="289">
        <v>7000</v>
      </c>
    </row>
    <row r="29" spans="1:11" ht="24" customHeight="1">
      <c r="A29" s="323">
        <v>9</v>
      </c>
      <c r="B29" s="391" t="s">
        <v>532</v>
      </c>
      <c r="C29" s="289">
        <f>C30+C31</f>
        <v>62600</v>
      </c>
      <c r="D29" s="289">
        <f t="shared" ref="D29:K29" si="8">D30+D31</f>
        <v>5400</v>
      </c>
      <c r="E29" s="289">
        <f t="shared" si="8"/>
        <v>8599</v>
      </c>
      <c r="F29" s="289">
        <f t="shared" si="8"/>
        <v>3973</v>
      </c>
      <c r="G29" s="289">
        <f t="shared" si="8"/>
        <v>6780</v>
      </c>
      <c r="H29" s="289">
        <f t="shared" si="8"/>
        <v>9868</v>
      </c>
      <c r="I29" s="289">
        <f t="shared" si="8"/>
        <v>9217</v>
      </c>
      <c r="J29" s="289">
        <f t="shared" si="8"/>
        <v>8322</v>
      </c>
      <c r="K29" s="289">
        <f t="shared" si="8"/>
        <v>10441</v>
      </c>
    </row>
    <row r="30" spans="1:11" s="312" customFormat="1" ht="57" customHeight="1">
      <c r="A30" s="326"/>
      <c r="B30" s="392" t="s">
        <v>533</v>
      </c>
      <c r="C30" s="327">
        <f>SUM(D30:K30)</f>
        <v>36600</v>
      </c>
      <c r="D30" s="327">
        <v>3300</v>
      </c>
      <c r="E30" s="327">
        <v>4500</v>
      </c>
      <c r="F30" s="329">
        <v>2000</v>
      </c>
      <c r="G30" s="327">
        <v>4500</v>
      </c>
      <c r="H30" s="327">
        <v>5600</v>
      </c>
      <c r="I30" s="327">
        <v>5600</v>
      </c>
      <c r="J30" s="327">
        <v>5500</v>
      </c>
      <c r="K30" s="327">
        <v>5600</v>
      </c>
    </row>
    <row r="31" spans="1:11" s="312" customFormat="1" ht="38.25" customHeight="1">
      <c r="A31" s="326"/>
      <c r="B31" s="390" t="s">
        <v>534</v>
      </c>
      <c r="C31" s="327">
        <f>SUM(D31:K31)</f>
        <v>26000</v>
      </c>
      <c r="D31" s="327">
        <v>2100</v>
      </c>
      <c r="E31" s="327">
        <v>4099</v>
      </c>
      <c r="F31" s="329">
        <v>1973</v>
      </c>
      <c r="G31" s="327">
        <v>2280</v>
      </c>
      <c r="H31" s="327">
        <v>4268</v>
      </c>
      <c r="I31" s="327">
        <v>3617</v>
      </c>
      <c r="J31" s="327">
        <v>2822</v>
      </c>
      <c r="K31" s="327">
        <v>4841</v>
      </c>
    </row>
    <row r="32" spans="1:11" ht="23.25" customHeight="1">
      <c r="A32" s="323">
        <v>10</v>
      </c>
      <c r="B32" s="389" t="s">
        <v>535</v>
      </c>
      <c r="C32" s="289">
        <f t="shared" si="6"/>
        <v>40000</v>
      </c>
      <c r="D32" s="289">
        <v>5000</v>
      </c>
      <c r="E32" s="289">
        <v>5000</v>
      </c>
      <c r="F32" s="289">
        <v>5000</v>
      </c>
      <c r="G32" s="289">
        <v>5000</v>
      </c>
      <c r="H32" s="289">
        <v>5000</v>
      </c>
      <c r="I32" s="289">
        <v>5000</v>
      </c>
      <c r="J32" s="289">
        <v>5000</v>
      </c>
      <c r="K32" s="289">
        <v>5000</v>
      </c>
    </row>
    <row r="33" spans="1:11" ht="23.25" customHeight="1">
      <c r="A33" s="323">
        <v>11</v>
      </c>
      <c r="B33" s="388" t="s">
        <v>536</v>
      </c>
      <c r="C33" s="289">
        <f>SUM(D33:K33)</f>
        <v>666816</v>
      </c>
      <c r="D33" s="289">
        <v>54001</v>
      </c>
      <c r="E33" s="289">
        <v>81519</v>
      </c>
      <c r="F33" s="289">
        <v>42258</v>
      </c>
      <c r="G33" s="289">
        <v>48649</v>
      </c>
      <c r="H33" s="289">
        <v>130280</v>
      </c>
      <c r="I33" s="289">
        <v>142764</v>
      </c>
      <c r="J33" s="289">
        <v>49843</v>
      </c>
      <c r="K33" s="289">
        <v>117502</v>
      </c>
    </row>
    <row r="34" spans="1:11" ht="39" customHeight="1">
      <c r="A34" s="323">
        <v>12</v>
      </c>
      <c r="B34" s="389" t="s">
        <v>537</v>
      </c>
      <c r="C34" s="289">
        <f t="shared" si="6"/>
        <v>98241</v>
      </c>
      <c r="D34" s="289">
        <v>272</v>
      </c>
      <c r="E34" s="289">
        <v>8891</v>
      </c>
      <c r="F34" s="289">
        <v>5436</v>
      </c>
      <c r="G34" s="289">
        <v>13879</v>
      </c>
      <c r="H34" s="289">
        <v>24303</v>
      </c>
      <c r="I34" s="289">
        <v>17499</v>
      </c>
      <c r="J34" s="289">
        <v>8816</v>
      </c>
      <c r="K34" s="289">
        <v>19145</v>
      </c>
    </row>
    <row r="35" spans="1:11" ht="27" customHeight="1">
      <c r="A35" s="323">
        <v>13</v>
      </c>
      <c r="B35" s="393" t="s">
        <v>538</v>
      </c>
      <c r="C35" s="325">
        <v>600</v>
      </c>
      <c r="D35" s="289"/>
      <c r="E35" s="289"/>
      <c r="F35" s="289"/>
      <c r="G35" s="289"/>
      <c r="H35" s="289"/>
      <c r="I35" s="289"/>
      <c r="J35" s="289"/>
      <c r="K35" s="289"/>
    </row>
    <row r="36" spans="1:11" ht="22.5" customHeight="1">
      <c r="A36" s="597" t="s">
        <v>539</v>
      </c>
      <c r="B36" s="597"/>
    </row>
    <row r="37" spans="1:11" ht="72.75" customHeight="1">
      <c r="A37" s="598" t="s">
        <v>540</v>
      </c>
      <c r="B37" s="598"/>
      <c r="C37" s="598"/>
      <c r="D37" s="598"/>
      <c r="E37" s="598"/>
      <c r="F37" s="598"/>
      <c r="G37" s="598"/>
      <c r="H37" s="598"/>
      <c r="I37" s="598"/>
      <c r="J37" s="598"/>
      <c r="K37" s="598"/>
    </row>
    <row r="38" spans="1:11" ht="17.25" customHeight="1">
      <c r="A38" s="599" t="s">
        <v>541</v>
      </c>
      <c r="B38" s="600"/>
      <c r="C38" s="600"/>
      <c r="D38" s="600"/>
      <c r="E38" s="600"/>
      <c r="F38" s="600"/>
      <c r="G38" s="600"/>
      <c r="H38" s="600"/>
      <c r="I38" s="600"/>
      <c r="J38" s="600"/>
      <c r="K38" s="600"/>
    </row>
    <row r="39" spans="1:11">
      <c r="A39" s="599" t="s">
        <v>542</v>
      </c>
      <c r="B39" s="600"/>
      <c r="C39" s="600"/>
      <c r="D39" s="600"/>
      <c r="E39" s="600"/>
      <c r="F39" s="600"/>
      <c r="G39" s="600"/>
      <c r="H39" s="600"/>
      <c r="I39" s="600"/>
      <c r="J39" s="600"/>
      <c r="K39" s="600"/>
    </row>
    <row r="40" spans="1:11">
      <c r="A40" s="305"/>
    </row>
  </sheetData>
  <mergeCells count="14">
    <mergeCell ref="A36:B36"/>
    <mergeCell ref="A37:K37"/>
    <mergeCell ref="A38:K38"/>
    <mergeCell ref="A39:K39"/>
    <mergeCell ref="A2:K2"/>
    <mergeCell ref="A3:K3"/>
    <mergeCell ref="H4:K4"/>
    <mergeCell ref="A5:A6"/>
    <mergeCell ref="B5:B6"/>
    <mergeCell ref="C5:C6"/>
    <mergeCell ref="D5:E5"/>
    <mergeCell ref="F5:G5"/>
    <mergeCell ref="H5:I5"/>
    <mergeCell ref="J5:K5"/>
  </mergeCells>
  <printOptions horizontalCentered="1"/>
  <pageMargins left="0" right="0" top="0.59055118110236227" bottom="0" header="0" footer="0"/>
  <pageSetup paperSize="9" scale="80" orientation="landscape" horizontalDpi="0" verticalDpi="0" r:id="rId1"/>
  <headerFooter differentFirst="1">
    <oddHeader>&amp;C&amp;"Times New Roman,Regular"&amp;P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DT trinh GD</vt:lpstr>
      <vt:lpstr>Bieu so 01</vt:lpstr>
      <vt:lpstr>Bieu so 02</vt:lpstr>
      <vt:lpstr>Bieu so 03</vt:lpstr>
      <vt:lpstr>Bieu so 04</vt:lpstr>
      <vt:lpstr>Bieu so 05</vt:lpstr>
      <vt:lpstr>Bieu so 06</vt:lpstr>
      <vt:lpstr>Bieu so 07</vt:lpstr>
      <vt:lpstr>Sheet1</vt:lpstr>
      <vt:lpstr>Bieu so 07 New</vt:lpstr>
      <vt:lpstr>Bieu so 08</vt:lpstr>
      <vt:lpstr>Phu luc chi tiet bieu so 8</vt:lpstr>
      <vt:lpstr>Bieu 9</vt:lpstr>
      <vt:lpstr>Giảm hỗ trợ NS</vt:lpstr>
      <vt:lpstr>QUỸ THƯỞNG</vt:lpstr>
      <vt:lpstr>'Bieu so 07'!Print_Area</vt:lpstr>
      <vt:lpstr>'Bieu so 07 New'!Print_Area</vt:lpstr>
      <vt:lpstr>'Bieu 9'!Print_Titles</vt:lpstr>
      <vt:lpstr>'Bieu so 01'!Print_Titles</vt:lpstr>
      <vt:lpstr>'Bieu so 02'!Print_Titles</vt:lpstr>
      <vt:lpstr>'Bieu so 03'!Print_Titles</vt:lpstr>
      <vt:lpstr>'Bieu so 04'!Print_Titles</vt:lpstr>
      <vt:lpstr>'Bieu so 05'!Print_Titles</vt:lpstr>
      <vt:lpstr>'Bieu so 06'!Print_Titles</vt:lpstr>
      <vt:lpstr>'Bieu so 07'!Print_Titles</vt:lpstr>
      <vt:lpstr>'Bieu so 07 New'!Print_Titles</vt:lpstr>
      <vt:lpstr>'Bieu so 08'!Print_Titles</vt:lpstr>
      <vt:lpstr>'DT trinh GD'!Print_Titles</vt:lpstr>
      <vt:lpstr>'Phu luc chi tiet bieu so 8'!Print_Titles</vt:lpstr>
      <vt:lpstr>'QUỸ THƯỞNG'!Print_Titles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lethithuhien</dc:creator>
  <cp:lastModifiedBy>HP</cp:lastModifiedBy>
  <cp:lastPrinted>2024-12-25T01:54:00Z</cp:lastPrinted>
  <dcterms:created xsi:type="dcterms:W3CDTF">2004-09-18T03:17:53Z</dcterms:created>
  <dcterms:modified xsi:type="dcterms:W3CDTF">2024-12-25T03:37:37Z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852ea73548b44888802edc9d9ea6e47f.psdsxs" Id="Rfc735be529db45a9" /></Relationships>
</file>